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cob\Documents\1. Personal\My Projects\Funding\"/>
    </mc:Choice>
  </mc:AlternateContent>
  <xr:revisionPtr revIDLastSave="0" documentId="8_{A409CCA4-FBB1-4353-AA90-EB4AEAA13CAA}" xr6:coauthVersionLast="34" xr6:coauthVersionMax="34" xr10:uidLastSave="{00000000-0000-0000-0000-000000000000}"/>
  <bookViews>
    <workbookView xWindow="0" yWindow="0" windowWidth="19200" windowHeight="6960" tabRatio="500" firstSheet="9" activeTab="12" xr2:uid="{00000000-000D-0000-FFFF-FFFF00000000}"/>
  </bookViews>
  <sheets>
    <sheet name="2011 Total vs. Funding" sheetId="2" r:id="rId1"/>
    <sheet name="2011 Demographic Output" sheetId="3" r:id="rId2"/>
    <sheet name="2009" sheetId="4" r:id="rId3"/>
    <sheet name="2011" sheetId="1" r:id="rId4"/>
    <sheet name="2013" sheetId="6" r:id="rId5"/>
    <sheet name="2015" sheetId="9" r:id="rId6"/>
    <sheet name="2017" sheetId="11" r:id="rId7"/>
    <sheet name="Comparison 09-11" sheetId="5" r:id="rId8"/>
    <sheet name="Comparison 11-13" sheetId="7" r:id="rId9"/>
    <sheet name="Comparison 13-15" sheetId="10" r:id="rId10"/>
    <sheet name="Comparison 15-17" sheetId="12" r:id="rId11"/>
    <sheet name="Trend Data" sheetId="13" r:id="rId12"/>
    <sheet name="Voucher review" sheetId="8" r:id="rId13"/>
  </sheets>
  <externalReferences>
    <externalReference r:id="rId14"/>
  </externalReferences>
  <definedNames>
    <definedName name="_xlnm.Print_Area" localSheetId="2">'2009'!$A$2:$H$56</definedName>
    <definedName name="_xlnm.Print_Area" localSheetId="3">'2011'!$A$1:$J$56</definedName>
    <definedName name="_xlnm.Print_Area" localSheetId="4">'2013'!$A$1:$J$56</definedName>
    <definedName name="_xlnm.Print_Area" localSheetId="5">'2015'!$A$1:$J$56</definedName>
    <definedName name="_xlnm.Print_Area" localSheetId="6">'2017'!$A$1:$J$56</definedName>
    <definedName name="_xlnm.Print_Area" localSheetId="7">'Comparison 09-11'!$A$8:$M$63</definedName>
    <definedName name="_xlnm.Print_Area" localSheetId="8">'Comparison 11-13'!$A$8:$M$60</definedName>
    <definedName name="_xlnm.Print_Area" localSheetId="9">'Comparison 13-15'!$A$8:$M$60</definedName>
    <definedName name="_xlnm.Print_Area" localSheetId="10">'Comparison 15-17'!$A$8:$M$60</definedName>
    <definedName name="_xlnm.Print_Area" localSheetId="11">'Trend Data'!$A$8:$N$60</definedName>
  </definedNames>
  <calcPr calcId="179017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3" l="1"/>
  <c r="H11" i="13"/>
  <c r="H18" i="13"/>
  <c r="H36" i="13"/>
  <c r="H44" i="13"/>
  <c r="H55" i="13"/>
  <c r="H16" i="13"/>
  <c r="H30" i="13"/>
  <c r="H26" i="13"/>
  <c r="H29" i="13"/>
  <c r="H35" i="13"/>
  <c r="H42" i="13"/>
  <c r="H51" i="13"/>
  <c r="H53" i="13"/>
  <c r="H47" i="13"/>
  <c r="H50" i="13"/>
  <c r="H27" i="13"/>
  <c r="H13" i="13"/>
  <c r="H48" i="13"/>
  <c r="H45" i="13"/>
  <c r="H39" i="13"/>
  <c r="H59" i="13"/>
  <c r="H15" i="13"/>
  <c r="H31" i="13"/>
  <c r="H33" i="13"/>
  <c r="H41" i="13"/>
  <c r="H46" i="13"/>
  <c r="H22" i="13"/>
  <c r="H23" i="13"/>
  <c r="H43" i="13"/>
  <c r="H28" i="13"/>
  <c r="H49" i="13"/>
  <c r="H32" i="13"/>
  <c r="H25" i="13"/>
  <c r="H40" i="13"/>
  <c r="H57" i="13"/>
  <c r="H38" i="13"/>
  <c r="H19" i="13"/>
  <c r="H20" i="13"/>
  <c r="H52" i="13"/>
  <c r="H56" i="13"/>
  <c r="H58" i="13"/>
  <c r="H24" i="13"/>
  <c r="H37" i="13"/>
  <c r="H54" i="13"/>
  <c r="H60" i="13"/>
  <c r="H21" i="13"/>
  <c r="H12" i="13"/>
  <c r="H14" i="13"/>
  <c r="H34" i="13"/>
  <c r="H17" i="13"/>
  <c r="H63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3" i="13"/>
  <c r="H62" i="13"/>
  <c r="G62" i="13"/>
  <c r="H61" i="13"/>
  <c r="G61" i="13"/>
  <c r="N11" i="13"/>
  <c r="N18" i="13"/>
  <c r="N36" i="13"/>
  <c r="N44" i="13"/>
  <c r="N55" i="13"/>
  <c r="N16" i="13"/>
  <c r="N30" i="13"/>
  <c r="N26" i="13"/>
  <c r="N29" i="13"/>
  <c r="N35" i="13"/>
  <c r="N42" i="13"/>
  <c r="N51" i="13"/>
  <c r="N53" i="13"/>
  <c r="N47" i="13"/>
  <c r="N50" i="13"/>
  <c r="N27" i="13"/>
  <c r="N13" i="13"/>
  <c r="N48" i="13"/>
  <c r="N45" i="13"/>
  <c r="N39" i="13"/>
  <c r="N59" i="13"/>
  <c r="N15" i="13"/>
  <c r="N31" i="13"/>
  <c r="N33" i="13"/>
  <c r="N41" i="13"/>
  <c r="N46" i="13"/>
  <c r="N22" i="13"/>
  <c r="N23" i="13"/>
  <c r="N43" i="13"/>
  <c r="N28" i="13"/>
  <c r="N49" i="13"/>
  <c r="N32" i="13"/>
  <c r="N10" i="13"/>
  <c r="N25" i="13"/>
  <c r="N40" i="13"/>
  <c r="N57" i="13"/>
  <c r="N38" i="13"/>
  <c r="N19" i="13"/>
  <c r="N20" i="13"/>
  <c r="N52" i="13"/>
  <c r="N56" i="13"/>
  <c r="N58" i="13"/>
  <c r="N24" i="13"/>
  <c r="N37" i="13"/>
  <c r="N54" i="13"/>
  <c r="N60" i="13"/>
  <c r="N21" i="13"/>
  <c r="N12" i="13"/>
  <c r="N14" i="13"/>
  <c r="N34" i="13"/>
  <c r="N17" i="13"/>
  <c r="O63" i="13"/>
  <c r="N63" i="13"/>
  <c r="O62" i="13"/>
  <c r="N62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N61" i="13"/>
  <c r="M63" i="13"/>
  <c r="L63" i="13"/>
  <c r="K63" i="13"/>
  <c r="J63" i="13"/>
  <c r="M62" i="13"/>
  <c r="L62" i="13"/>
  <c r="K62" i="13"/>
  <c r="J62" i="13"/>
  <c r="M61" i="13"/>
  <c r="L61" i="13"/>
  <c r="K61" i="13"/>
  <c r="J61" i="13"/>
  <c r="I61" i="13"/>
  <c r="I63" i="13"/>
  <c r="I62" i="13"/>
  <c r="D63" i="13"/>
  <c r="C63" i="13"/>
  <c r="B63" i="13"/>
  <c r="D62" i="13"/>
  <c r="C62" i="13"/>
  <c r="B62" i="13"/>
  <c r="D61" i="13"/>
  <c r="C61" i="13"/>
  <c r="B61" i="13"/>
  <c r="F63" i="13"/>
  <c r="E63" i="13"/>
  <c r="F62" i="13"/>
  <c r="E62" i="13"/>
  <c r="F61" i="13"/>
  <c r="E61" i="13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E10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F3" i="11"/>
  <c r="F4" i="11"/>
  <c r="F10" i="11"/>
  <c r="F34" i="11"/>
  <c r="F21" i="11"/>
  <c r="F27" i="11"/>
  <c r="F31" i="11"/>
  <c r="F43" i="11"/>
  <c r="F6" i="11"/>
  <c r="F51" i="11"/>
  <c r="F7" i="11"/>
  <c r="F39" i="11"/>
  <c r="F14" i="11"/>
  <c r="F5" i="11"/>
  <c r="F45" i="11"/>
  <c r="F11" i="11"/>
  <c r="F46" i="11"/>
  <c r="F25" i="11"/>
  <c r="F40" i="11"/>
  <c r="F13" i="11"/>
  <c r="F35" i="11"/>
  <c r="F42" i="11"/>
  <c r="F20" i="11"/>
  <c r="F16" i="11"/>
  <c r="F28" i="11"/>
  <c r="F36" i="11"/>
  <c r="F22" i="11"/>
  <c r="F23" i="11"/>
  <c r="F19" i="11"/>
  <c r="F29" i="11"/>
  <c r="F15" i="11"/>
  <c r="F44" i="11"/>
  <c r="F52" i="11"/>
  <c r="F18" i="11"/>
  <c r="F37" i="11"/>
  <c r="F12" i="11"/>
  <c r="F8" i="11"/>
  <c r="F38" i="11"/>
  <c r="F41" i="11"/>
  <c r="F47" i="11"/>
  <c r="F9" i="11"/>
  <c r="F50" i="11"/>
  <c r="F30" i="11"/>
  <c r="F48" i="11"/>
  <c r="F17" i="11"/>
  <c r="F53" i="11"/>
  <c r="F49" i="11"/>
  <c r="F26" i="11"/>
  <c r="F32" i="11"/>
  <c r="F33" i="11"/>
  <c r="F2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E6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M60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M63" i="12"/>
  <c r="L63" i="12"/>
  <c r="K63" i="12"/>
  <c r="J40" i="12"/>
  <c r="J31" i="12"/>
  <c r="J41" i="12"/>
  <c r="J46" i="12"/>
  <c r="J22" i="12"/>
  <c r="J56" i="12"/>
  <c r="J35" i="12"/>
  <c r="J24" i="12"/>
  <c r="J34" i="12"/>
  <c r="J50" i="12"/>
  <c r="J32" i="12"/>
  <c r="J20" i="12"/>
  <c r="J15" i="12"/>
  <c r="J12" i="12"/>
  <c r="J10" i="12"/>
  <c r="J53" i="12"/>
  <c r="J47" i="12"/>
  <c r="J55" i="12"/>
  <c r="J26" i="12"/>
  <c r="J54" i="12"/>
  <c r="J14" i="12"/>
  <c r="J23" i="12"/>
  <c r="J33" i="12"/>
  <c r="J25" i="12"/>
  <c r="J27" i="12"/>
  <c r="J28" i="12"/>
  <c r="J37" i="12"/>
  <c r="J30" i="12"/>
  <c r="J43" i="12"/>
  <c r="J49" i="12"/>
  <c r="J21" i="12"/>
  <c r="J36" i="12"/>
  <c r="J19" i="12"/>
  <c r="J17" i="12"/>
  <c r="J13" i="12"/>
  <c r="J57" i="12"/>
  <c r="J58" i="12"/>
  <c r="J51" i="12"/>
  <c r="J38" i="12"/>
  <c r="J42" i="12"/>
  <c r="J48" i="12"/>
  <c r="J29" i="12"/>
  <c r="J39" i="12"/>
  <c r="J18" i="12"/>
  <c r="J45" i="12"/>
  <c r="J44" i="12"/>
  <c r="J59" i="12"/>
  <c r="J52" i="12"/>
  <c r="J16" i="12"/>
  <c r="J60" i="12"/>
  <c r="J11" i="12"/>
  <c r="J63" i="12"/>
  <c r="I63" i="12"/>
  <c r="H63" i="12"/>
  <c r="M62" i="12"/>
  <c r="L62" i="12"/>
  <c r="K62" i="12"/>
  <c r="J62" i="12"/>
  <c r="I62" i="12"/>
  <c r="H62" i="12"/>
  <c r="M61" i="12"/>
  <c r="L61" i="12"/>
  <c r="K61" i="12"/>
  <c r="J61" i="12"/>
  <c r="I61" i="12"/>
  <c r="H61" i="12"/>
  <c r="D11" i="12"/>
  <c r="D60" i="12"/>
  <c r="D16" i="12"/>
  <c r="D52" i="12"/>
  <c r="D59" i="12"/>
  <c r="D44" i="12"/>
  <c r="D45" i="12"/>
  <c r="D18" i="12"/>
  <c r="D39" i="12"/>
  <c r="D29" i="12"/>
  <c r="D48" i="12"/>
  <c r="D42" i="12"/>
  <c r="D38" i="12"/>
  <c r="D51" i="12"/>
  <c r="D58" i="12"/>
  <c r="D57" i="12"/>
  <c r="D13" i="12"/>
  <c r="D17" i="12"/>
  <c r="D19" i="12"/>
  <c r="D36" i="12"/>
  <c r="D21" i="12"/>
  <c r="D49" i="12"/>
  <c r="D43" i="12"/>
  <c r="D30" i="12"/>
  <c r="D37" i="12"/>
  <c r="D28" i="12"/>
  <c r="D27" i="12"/>
  <c r="D25" i="12"/>
  <c r="D33" i="12"/>
  <c r="D23" i="12"/>
  <c r="D14" i="12"/>
  <c r="D54" i="12"/>
  <c r="D26" i="12"/>
  <c r="D55" i="12"/>
  <c r="D47" i="12"/>
  <c r="D53" i="12"/>
  <c r="D10" i="12"/>
  <c r="D12" i="12"/>
  <c r="D15" i="12"/>
  <c r="D20" i="12"/>
  <c r="D32" i="12"/>
  <c r="D50" i="12"/>
  <c r="D34" i="12"/>
  <c r="D24" i="12"/>
  <c r="D35" i="12"/>
  <c r="D56" i="12"/>
  <c r="D22" i="12"/>
  <c r="D46" i="12"/>
  <c r="D41" i="12"/>
  <c r="D31" i="12"/>
  <c r="D40" i="12"/>
  <c r="T56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6" i="11"/>
  <c r="R56" i="11"/>
  <c r="Q56" i="11"/>
  <c r="P56" i="11"/>
  <c r="O56" i="11"/>
  <c r="N56" i="11"/>
  <c r="M56" i="11"/>
  <c r="L56" i="11"/>
  <c r="K5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6" i="11"/>
  <c r="H56" i="11"/>
  <c r="F56" i="11"/>
  <c r="E56" i="11"/>
  <c r="D56" i="11"/>
  <c r="C56" i="11"/>
  <c r="B56" i="11"/>
  <c r="T55" i="11"/>
  <c r="S55" i="11"/>
  <c r="R55" i="11"/>
  <c r="Q55" i="11"/>
  <c r="P55" i="11"/>
  <c r="O55" i="11"/>
  <c r="N55" i="11"/>
  <c r="M55" i="11"/>
  <c r="L55" i="11"/>
  <c r="K55" i="11"/>
  <c r="J55" i="11"/>
  <c r="H55" i="11"/>
  <c r="F55" i="11"/>
  <c r="E55" i="11"/>
  <c r="D55" i="11"/>
  <c r="C55" i="11"/>
  <c r="B55" i="11"/>
  <c r="T54" i="11"/>
  <c r="S54" i="11"/>
  <c r="R54" i="11"/>
  <c r="Q54" i="11"/>
  <c r="P54" i="11"/>
  <c r="O54" i="11"/>
  <c r="N54" i="11"/>
  <c r="M54" i="11"/>
  <c r="L54" i="11"/>
  <c r="K54" i="11"/>
  <c r="J54" i="11"/>
  <c r="H54" i="11"/>
  <c r="F54" i="11"/>
  <c r="E54" i="11"/>
  <c r="D54" i="11"/>
  <c r="C54" i="11"/>
  <c r="B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3" i="10"/>
  <c r="L63" i="10"/>
  <c r="K63" i="10"/>
  <c r="I63" i="10"/>
  <c r="M62" i="10"/>
  <c r="L62" i="10"/>
  <c r="K62" i="10"/>
  <c r="I62" i="10"/>
  <c r="M61" i="10"/>
  <c r="L61" i="10"/>
  <c r="K61" i="10"/>
  <c r="I61" i="10"/>
  <c r="G60" i="10"/>
  <c r="F60" i="10"/>
  <c r="C60" i="10"/>
  <c r="G59" i="10"/>
  <c r="F59" i="10"/>
  <c r="C59" i="10"/>
  <c r="G58" i="10"/>
  <c r="F58" i="10"/>
  <c r="C58" i="10"/>
  <c r="G57" i="10"/>
  <c r="F57" i="10"/>
  <c r="C57" i="10"/>
  <c r="G56" i="10"/>
  <c r="F56" i="10"/>
  <c r="C56" i="10"/>
  <c r="G55" i="10"/>
  <c r="F55" i="10"/>
  <c r="C55" i="10"/>
  <c r="G54" i="10"/>
  <c r="F54" i="10"/>
  <c r="C54" i="10"/>
  <c r="G53" i="10"/>
  <c r="F53" i="10"/>
  <c r="C53" i="10"/>
  <c r="G52" i="10"/>
  <c r="F52" i="10"/>
  <c r="C52" i="10"/>
  <c r="G51" i="10"/>
  <c r="F51" i="10"/>
  <c r="C51" i="10"/>
  <c r="G50" i="10"/>
  <c r="F50" i="10"/>
  <c r="C50" i="10"/>
  <c r="G49" i="10"/>
  <c r="F49" i="10"/>
  <c r="C49" i="10"/>
  <c r="G48" i="10"/>
  <c r="F48" i="10"/>
  <c r="C48" i="10"/>
  <c r="G47" i="10"/>
  <c r="F47" i="10"/>
  <c r="C47" i="10"/>
  <c r="G46" i="10"/>
  <c r="F46" i="10"/>
  <c r="C46" i="10"/>
  <c r="G45" i="10"/>
  <c r="F45" i="10"/>
  <c r="C45" i="10"/>
  <c r="G44" i="10"/>
  <c r="F44" i="10"/>
  <c r="C44" i="10"/>
  <c r="G43" i="10"/>
  <c r="F43" i="10"/>
  <c r="C43" i="10"/>
  <c r="G42" i="10"/>
  <c r="F42" i="10"/>
  <c r="C42" i="10"/>
  <c r="G41" i="10"/>
  <c r="F41" i="10"/>
  <c r="C41" i="10"/>
  <c r="G40" i="10"/>
  <c r="F40" i="10"/>
  <c r="C40" i="10"/>
  <c r="G39" i="10"/>
  <c r="F39" i="10"/>
  <c r="C39" i="10"/>
  <c r="G38" i="10"/>
  <c r="F38" i="10"/>
  <c r="C38" i="10"/>
  <c r="G37" i="10"/>
  <c r="F37" i="10"/>
  <c r="C37" i="10"/>
  <c r="G36" i="10"/>
  <c r="F36" i="10"/>
  <c r="C36" i="10"/>
  <c r="G35" i="10"/>
  <c r="F35" i="10"/>
  <c r="C35" i="10"/>
  <c r="G34" i="10"/>
  <c r="F34" i="10"/>
  <c r="C34" i="10"/>
  <c r="G33" i="10"/>
  <c r="F33" i="10"/>
  <c r="C33" i="10"/>
  <c r="G32" i="10"/>
  <c r="F32" i="10"/>
  <c r="C32" i="10"/>
  <c r="G31" i="10"/>
  <c r="F31" i="10"/>
  <c r="C31" i="10"/>
  <c r="G30" i="10"/>
  <c r="F30" i="10"/>
  <c r="C30" i="10"/>
  <c r="G29" i="10"/>
  <c r="F29" i="10"/>
  <c r="C29" i="10"/>
  <c r="G28" i="10"/>
  <c r="F28" i="10"/>
  <c r="C28" i="10"/>
  <c r="G27" i="10"/>
  <c r="F27" i="10"/>
  <c r="C27" i="10"/>
  <c r="G26" i="10"/>
  <c r="F26" i="10"/>
  <c r="C26" i="10"/>
  <c r="G25" i="10"/>
  <c r="F25" i="10"/>
  <c r="C25" i="10"/>
  <c r="G24" i="10"/>
  <c r="F24" i="10"/>
  <c r="C24" i="10"/>
  <c r="G23" i="10"/>
  <c r="F23" i="10"/>
  <c r="C23" i="10"/>
  <c r="G22" i="10"/>
  <c r="F22" i="10"/>
  <c r="C22" i="10"/>
  <c r="G21" i="10"/>
  <c r="F21" i="10"/>
  <c r="C21" i="10"/>
  <c r="G20" i="10"/>
  <c r="F20" i="10"/>
  <c r="C20" i="10"/>
  <c r="G19" i="10"/>
  <c r="F19" i="10"/>
  <c r="C19" i="10"/>
  <c r="G18" i="10"/>
  <c r="F18" i="10"/>
  <c r="C18" i="10"/>
  <c r="G17" i="10"/>
  <c r="F17" i="10"/>
  <c r="C17" i="10"/>
  <c r="G16" i="10"/>
  <c r="F16" i="10"/>
  <c r="C16" i="10"/>
  <c r="G15" i="10"/>
  <c r="F15" i="10"/>
  <c r="C15" i="10"/>
  <c r="G14" i="10"/>
  <c r="F14" i="10"/>
  <c r="C14" i="10"/>
  <c r="G13" i="10"/>
  <c r="F13" i="10"/>
  <c r="C13" i="10"/>
  <c r="G12" i="10"/>
  <c r="F12" i="10"/>
  <c r="C12" i="10"/>
  <c r="G11" i="10"/>
  <c r="F11" i="10"/>
  <c r="C11" i="10"/>
  <c r="G10" i="10"/>
  <c r="F10" i="10"/>
  <c r="C10" i="10"/>
  <c r="T56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6" i="9"/>
  <c r="R56" i="9"/>
  <c r="Q56" i="9"/>
  <c r="P56" i="9"/>
  <c r="O56" i="9"/>
  <c r="N56" i="9"/>
  <c r="M56" i="9"/>
  <c r="L56" i="9"/>
  <c r="K56" i="9"/>
  <c r="F3" i="9"/>
  <c r="J3" i="9"/>
  <c r="F4" i="9"/>
  <c r="J4" i="9"/>
  <c r="F5" i="9"/>
  <c r="J5" i="9"/>
  <c r="F6" i="9"/>
  <c r="J6" i="9"/>
  <c r="F7" i="9"/>
  <c r="J7" i="9"/>
  <c r="F8" i="9"/>
  <c r="J8" i="9"/>
  <c r="F9" i="9"/>
  <c r="J9" i="9"/>
  <c r="F10" i="9"/>
  <c r="J10" i="9"/>
  <c r="F11" i="9"/>
  <c r="J11" i="9"/>
  <c r="F12" i="9"/>
  <c r="J12" i="9"/>
  <c r="F13" i="9"/>
  <c r="J13" i="9"/>
  <c r="F14" i="9"/>
  <c r="J14" i="9"/>
  <c r="F15" i="9"/>
  <c r="J15" i="9"/>
  <c r="F16" i="9"/>
  <c r="J16" i="9"/>
  <c r="F17" i="9"/>
  <c r="J17" i="9"/>
  <c r="F18" i="9"/>
  <c r="J18" i="9"/>
  <c r="F19" i="9"/>
  <c r="J19" i="9"/>
  <c r="F20" i="9"/>
  <c r="J20" i="9"/>
  <c r="F21" i="9"/>
  <c r="J21" i="9"/>
  <c r="F22" i="9"/>
  <c r="J22" i="9"/>
  <c r="F23" i="9"/>
  <c r="J23" i="9"/>
  <c r="F24" i="9"/>
  <c r="J24" i="9"/>
  <c r="F25" i="9"/>
  <c r="J25" i="9"/>
  <c r="F26" i="9"/>
  <c r="J26" i="9"/>
  <c r="F27" i="9"/>
  <c r="J27" i="9"/>
  <c r="F28" i="9"/>
  <c r="J28" i="9"/>
  <c r="F29" i="9"/>
  <c r="J29" i="9"/>
  <c r="F30" i="9"/>
  <c r="J30" i="9"/>
  <c r="F31" i="9"/>
  <c r="J31" i="9"/>
  <c r="F32" i="9"/>
  <c r="J32" i="9"/>
  <c r="F33" i="9"/>
  <c r="J33" i="9"/>
  <c r="F34" i="9"/>
  <c r="J34" i="9"/>
  <c r="F35" i="9"/>
  <c r="J35" i="9"/>
  <c r="F36" i="9"/>
  <c r="J36" i="9"/>
  <c r="F37" i="9"/>
  <c r="J37" i="9"/>
  <c r="F38" i="9"/>
  <c r="J38" i="9"/>
  <c r="F39" i="9"/>
  <c r="J39" i="9"/>
  <c r="F40" i="9"/>
  <c r="J40" i="9"/>
  <c r="F41" i="9"/>
  <c r="J41" i="9"/>
  <c r="F42" i="9"/>
  <c r="J42" i="9"/>
  <c r="F43" i="9"/>
  <c r="J43" i="9"/>
  <c r="F44" i="9"/>
  <c r="J44" i="9"/>
  <c r="F45" i="9"/>
  <c r="J45" i="9"/>
  <c r="F46" i="9"/>
  <c r="J46" i="9"/>
  <c r="F47" i="9"/>
  <c r="J47" i="9"/>
  <c r="F48" i="9"/>
  <c r="J48" i="9"/>
  <c r="F49" i="9"/>
  <c r="J49" i="9"/>
  <c r="F50" i="9"/>
  <c r="J50" i="9"/>
  <c r="F51" i="9"/>
  <c r="J51" i="9"/>
  <c r="F52" i="9"/>
  <c r="J52" i="9"/>
  <c r="F53" i="9"/>
  <c r="J53" i="9"/>
  <c r="J56" i="9"/>
  <c r="H56" i="9"/>
  <c r="F56" i="9"/>
  <c r="E56" i="9"/>
  <c r="D56" i="9"/>
  <c r="C56" i="9"/>
  <c r="B56" i="9"/>
  <c r="T55" i="9"/>
  <c r="S55" i="9"/>
  <c r="R55" i="9"/>
  <c r="Q55" i="9"/>
  <c r="P55" i="9"/>
  <c r="O55" i="9"/>
  <c r="N55" i="9"/>
  <c r="M55" i="9"/>
  <c r="L55" i="9"/>
  <c r="K55" i="9"/>
  <c r="J55" i="9"/>
  <c r="H55" i="9"/>
  <c r="F55" i="9"/>
  <c r="E55" i="9"/>
  <c r="D55" i="9"/>
  <c r="C55" i="9"/>
  <c r="B55" i="9"/>
  <c r="T54" i="9"/>
  <c r="S54" i="9"/>
  <c r="R54" i="9"/>
  <c r="Q54" i="9"/>
  <c r="P54" i="9"/>
  <c r="O54" i="9"/>
  <c r="N54" i="9"/>
  <c r="M54" i="9"/>
  <c r="L54" i="9"/>
  <c r="K54" i="9"/>
  <c r="J54" i="9"/>
  <c r="H54" i="9"/>
  <c r="F54" i="9"/>
  <c r="E54" i="9"/>
  <c r="D54" i="9"/>
  <c r="C54" i="9"/>
  <c r="B54" i="9"/>
  <c r="I10" i="9"/>
  <c r="G10" i="9"/>
  <c r="I27" i="9"/>
  <c r="G27" i="9"/>
  <c r="I34" i="9"/>
  <c r="G34" i="9"/>
  <c r="I21" i="9"/>
  <c r="G21" i="9"/>
  <c r="I3" i="9"/>
  <c r="G3" i="9"/>
  <c r="I51" i="9"/>
  <c r="G51" i="9"/>
  <c r="I7" i="9"/>
  <c r="G7" i="9"/>
  <c r="I4" i="9"/>
  <c r="G4" i="9"/>
  <c r="I31" i="9"/>
  <c r="G31" i="9"/>
  <c r="I43" i="9"/>
  <c r="G43" i="9"/>
  <c r="I5" i="9"/>
  <c r="G5" i="9"/>
  <c r="I39" i="9"/>
  <c r="G39" i="9"/>
  <c r="I14" i="9"/>
  <c r="G14" i="9"/>
  <c r="I6" i="9"/>
  <c r="G6" i="9"/>
  <c r="I25" i="9"/>
  <c r="G25" i="9"/>
  <c r="I45" i="9"/>
  <c r="G45" i="9"/>
  <c r="I13" i="9"/>
  <c r="G13" i="9"/>
  <c r="I16" i="9"/>
  <c r="G16" i="9"/>
  <c r="I46" i="9"/>
  <c r="G46" i="9"/>
  <c r="I40" i="9"/>
  <c r="G40" i="9"/>
  <c r="I35" i="9"/>
  <c r="G35" i="9"/>
  <c r="I28" i="9"/>
  <c r="G28" i="9"/>
  <c r="I44" i="9"/>
  <c r="G44" i="9"/>
  <c r="I42" i="9"/>
  <c r="G42" i="9"/>
  <c r="I20" i="9"/>
  <c r="G20" i="9"/>
  <c r="I15" i="9"/>
  <c r="G15" i="9"/>
  <c r="I12" i="9"/>
  <c r="G12" i="9"/>
  <c r="I11" i="9"/>
  <c r="G11" i="9"/>
  <c r="I36" i="9"/>
  <c r="G36" i="9"/>
  <c r="I47" i="9"/>
  <c r="G47" i="9"/>
  <c r="I30" i="9"/>
  <c r="G30" i="9"/>
  <c r="I52" i="9"/>
  <c r="G52" i="9"/>
  <c r="I18" i="9"/>
  <c r="G18" i="9"/>
  <c r="I19" i="9"/>
  <c r="G19" i="9"/>
  <c r="I29" i="9"/>
  <c r="G29" i="9"/>
  <c r="I38" i="9"/>
  <c r="G38" i="9"/>
  <c r="I37" i="9"/>
  <c r="G37" i="9"/>
  <c r="I22" i="9"/>
  <c r="G22" i="9"/>
  <c r="I17" i="9"/>
  <c r="G17" i="9"/>
  <c r="I49" i="9"/>
  <c r="G49" i="9"/>
  <c r="I53" i="9"/>
  <c r="G53" i="9"/>
  <c r="I41" i="9"/>
  <c r="G41" i="9"/>
  <c r="I9" i="9"/>
  <c r="G9" i="9"/>
  <c r="I50" i="9"/>
  <c r="G50" i="9"/>
  <c r="I8" i="9"/>
  <c r="G8" i="9"/>
  <c r="I23" i="9"/>
  <c r="G23" i="9"/>
  <c r="I48" i="9"/>
  <c r="G48" i="9"/>
  <c r="I26" i="9"/>
  <c r="G26" i="9"/>
  <c r="I33" i="9"/>
  <c r="G33" i="9"/>
  <c r="I32" i="9"/>
  <c r="G32" i="9"/>
  <c r="I24" i="9"/>
  <c r="G24" i="9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37" i="8"/>
  <c r="F5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7" i="8"/>
  <c r="F56" i="8"/>
  <c r="E56" i="8"/>
  <c r="F55" i="8"/>
  <c r="E55" i="8"/>
  <c r="D57" i="8"/>
  <c r="D56" i="8"/>
  <c r="D55" i="8"/>
  <c r="C57" i="8"/>
  <c r="B57" i="8"/>
  <c r="C56" i="8"/>
  <c r="B56" i="8"/>
  <c r="C55" i="8"/>
  <c r="B55" i="8"/>
  <c r="F47" i="4"/>
  <c r="F10" i="4"/>
  <c r="F33" i="4"/>
  <c r="F35" i="4"/>
  <c r="F9" i="4"/>
  <c r="F4" i="4"/>
  <c r="F48" i="4"/>
  <c r="F42" i="4"/>
  <c r="F53" i="4"/>
  <c r="F24" i="4"/>
  <c r="F23" i="4"/>
  <c r="F11" i="4"/>
  <c r="F22" i="4"/>
  <c r="F32" i="4"/>
  <c r="F14" i="4"/>
  <c r="F41" i="4"/>
  <c r="F49" i="4"/>
  <c r="F52" i="4"/>
  <c r="F30" i="4"/>
  <c r="F16" i="4"/>
  <c r="F38" i="4"/>
  <c r="F21" i="4"/>
  <c r="F51" i="4"/>
  <c r="F26" i="4"/>
  <c r="F25" i="4"/>
  <c r="F19" i="4"/>
  <c r="F13" i="4"/>
  <c r="F29" i="4"/>
  <c r="F40" i="4"/>
  <c r="F7" i="4"/>
  <c r="F28" i="4"/>
  <c r="F18" i="4"/>
  <c r="F34" i="4"/>
  <c r="F8" i="4"/>
  <c r="F3" i="4"/>
  <c r="F43" i="4"/>
  <c r="F37" i="4"/>
  <c r="F50" i="4"/>
  <c r="F12" i="4"/>
  <c r="F17" i="4"/>
  <c r="F6" i="4"/>
  <c r="F44" i="4"/>
  <c r="F20" i="4"/>
  <c r="F46" i="4"/>
  <c r="F31" i="4"/>
  <c r="F36" i="4"/>
  <c r="F5" i="4"/>
  <c r="F27" i="4"/>
  <c r="F39" i="4"/>
  <c r="F45" i="4"/>
  <c r="F15" i="4"/>
  <c r="G47" i="4"/>
  <c r="G15" i="4"/>
  <c r="G45" i="4"/>
  <c r="G39" i="4"/>
  <c r="G27" i="4"/>
  <c r="G5" i="4"/>
  <c r="G36" i="4"/>
  <c r="G31" i="4"/>
  <c r="G46" i="4"/>
  <c r="G20" i="4"/>
  <c r="G44" i="4"/>
  <c r="G6" i="4"/>
  <c r="G17" i="4"/>
  <c r="G12" i="4"/>
  <c r="G50" i="4"/>
  <c r="G37" i="4"/>
  <c r="G43" i="4"/>
  <c r="G3" i="4"/>
  <c r="G8" i="4"/>
  <c r="G34" i="4"/>
  <c r="G18" i="4"/>
  <c r="G28" i="4"/>
  <c r="G7" i="4"/>
  <c r="G40" i="4"/>
  <c r="G29" i="4"/>
  <c r="G13" i="4"/>
  <c r="G19" i="4"/>
  <c r="G25" i="4"/>
  <c r="G26" i="4"/>
  <c r="G51" i="4"/>
  <c r="G21" i="4"/>
  <c r="G38" i="4"/>
  <c r="G16" i="4"/>
  <c r="G30" i="4"/>
  <c r="G52" i="4"/>
  <c r="G49" i="4"/>
  <c r="G41" i="4"/>
  <c r="G14" i="4"/>
  <c r="G32" i="4"/>
  <c r="G22" i="4"/>
  <c r="G11" i="4"/>
  <c r="G23" i="4"/>
  <c r="G24" i="4"/>
  <c r="G53" i="4"/>
  <c r="G42" i="4"/>
  <c r="G48" i="4"/>
  <c r="G4" i="4"/>
  <c r="G9" i="4"/>
  <c r="G35" i="4"/>
  <c r="G33" i="4"/>
  <c r="G10" i="4"/>
  <c r="I47" i="4"/>
  <c r="I15" i="4"/>
  <c r="I45" i="4"/>
  <c r="I39" i="4"/>
  <c r="I27" i="4"/>
  <c r="I5" i="4"/>
  <c r="I36" i="4"/>
  <c r="I31" i="4"/>
  <c r="I46" i="4"/>
  <c r="I20" i="4"/>
  <c r="I44" i="4"/>
  <c r="I6" i="4"/>
  <c r="I17" i="4"/>
  <c r="I12" i="4"/>
  <c r="I50" i="4"/>
  <c r="I37" i="4"/>
  <c r="I43" i="4"/>
  <c r="I3" i="4"/>
  <c r="I8" i="4"/>
  <c r="I34" i="4"/>
  <c r="I18" i="4"/>
  <c r="I28" i="4"/>
  <c r="I7" i="4"/>
  <c r="I40" i="4"/>
  <c r="I29" i="4"/>
  <c r="I13" i="4"/>
  <c r="I19" i="4"/>
  <c r="I25" i="4"/>
  <c r="I26" i="4"/>
  <c r="I51" i="4"/>
  <c r="I21" i="4"/>
  <c r="I38" i="4"/>
  <c r="I16" i="4"/>
  <c r="I30" i="4"/>
  <c r="I52" i="4"/>
  <c r="I49" i="4"/>
  <c r="I41" i="4"/>
  <c r="I14" i="4"/>
  <c r="I32" i="4"/>
  <c r="I22" i="4"/>
  <c r="I11" i="4"/>
  <c r="I23" i="4"/>
  <c r="I24" i="4"/>
  <c r="I53" i="4"/>
  <c r="I42" i="4"/>
  <c r="I48" i="4"/>
  <c r="I4" i="4"/>
  <c r="I9" i="4"/>
  <c r="I35" i="4"/>
  <c r="I33" i="4"/>
  <c r="I10" i="4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F5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U54" i="1"/>
  <c r="V54" i="1"/>
  <c r="W54" i="1"/>
  <c r="X54" i="1"/>
  <c r="Y54" i="1"/>
  <c r="Z54" i="1"/>
  <c r="U55" i="1"/>
  <c r="V55" i="1"/>
  <c r="W55" i="1"/>
  <c r="X55" i="1"/>
  <c r="Y55" i="1"/>
  <c r="Z55" i="1"/>
  <c r="U56" i="1"/>
  <c r="V56" i="1"/>
  <c r="W56" i="1"/>
  <c r="X56" i="1"/>
  <c r="Y56" i="1"/>
  <c r="Z56" i="1"/>
  <c r="M51" i="7"/>
  <c r="M21" i="7"/>
  <c r="M47" i="7"/>
  <c r="M33" i="7"/>
  <c r="M56" i="7"/>
  <c r="M43" i="7"/>
  <c r="M14" i="7"/>
  <c r="M26" i="7"/>
  <c r="M20" i="7"/>
  <c r="M25" i="7"/>
  <c r="M57" i="7"/>
  <c r="M50" i="7"/>
  <c r="M35" i="7"/>
  <c r="M38" i="7"/>
  <c r="M22" i="7"/>
  <c r="M10" i="7"/>
  <c r="M12" i="7"/>
  <c r="M18" i="7"/>
  <c r="M41" i="7"/>
  <c r="M52" i="7"/>
  <c r="M34" i="7"/>
  <c r="M28" i="7"/>
  <c r="M15" i="7"/>
  <c r="M19" i="7"/>
  <c r="M46" i="7"/>
  <c r="M31" i="7"/>
  <c r="M32" i="7"/>
  <c r="M49" i="7"/>
  <c r="M24" i="7"/>
  <c r="M29" i="7"/>
  <c r="M27" i="7"/>
  <c r="M45" i="7"/>
  <c r="M53" i="7"/>
  <c r="M59" i="7"/>
  <c r="M54" i="7"/>
  <c r="M16" i="7"/>
  <c r="M30" i="7"/>
  <c r="M13" i="7"/>
  <c r="M36" i="7"/>
  <c r="M40" i="7"/>
  <c r="M23" i="7"/>
  <c r="M55" i="7"/>
  <c r="M39" i="7"/>
  <c r="M11" i="7"/>
  <c r="M60" i="7"/>
  <c r="M37" i="7"/>
  <c r="M48" i="7"/>
  <c r="M42" i="7"/>
  <c r="M44" i="7"/>
  <c r="M58" i="7"/>
  <c r="M17" i="7"/>
  <c r="G51" i="7"/>
  <c r="F51" i="7"/>
  <c r="E51" i="7"/>
  <c r="J51" i="7"/>
  <c r="J21" i="7"/>
  <c r="J47" i="7"/>
  <c r="J33" i="7"/>
  <c r="J56" i="7"/>
  <c r="J43" i="7"/>
  <c r="J14" i="7"/>
  <c r="J26" i="7"/>
  <c r="J20" i="7"/>
  <c r="J25" i="7"/>
  <c r="J57" i="7"/>
  <c r="J50" i="7"/>
  <c r="J35" i="7"/>
  <c r="J38" i="7"/>
  <c r="J22" i="7"/>
  <c r="J10" i="7"/>
  <c r="J12" i="7"/>
  <c r="J18" i="7"/>
  <c r="J41" i="7"/>
  <c r="J52" i="7"/>
  <c r="J34" i="7"/>
  <c r="J28" i="7"/>
  <c r="J15" i="7"/>
  <c r="J19" i="7"/>
  <c r="J46" i="7"/>
  <c r="J31" i="7"/>
  <c r="J32" i="7"/>
  <c r="J49" i="7"/>
  <c r="J24" i="7"/>
  <c r="J29" i="7"/>
  <c r="J27" i="7"/>
  <c r="J45" i="7"/>
  <c r="J53" i="7"/>
  <c r="J59" i="7"/>
  <c r="J54" i="7"/>
  <c r="J16" i="7"/>
  <c r="J30" i="7"/>
  <c r="J13" i="7"/>
  <c r="J36" i="7"/>
  <c r="J40" i="7"/>
  <c r="J23" i="7"/>
  <c r="J55" i="7"/>
  <c r="J39" i="7"/>
  <c r="J11" i="7"/>
  <c r="J60" i="7"/>
  <c r="J37" i="7"/>
  <c r="J48" i="7"/>
  <c r="J42" i="7"/>
  <c r="J44" i="7"/>
  <c r="J58" i="7"/>
  <c r="J17" i="7"/>
  <c r="D51" i="7"/>
  <c r="C51" i="7"/>
  <c r="B51" i="7"/>
  <c r="G36" i="7"/>
  <c r="F36" i="7"/>
  <c r="E36" i="7"/>
  <c r="D36" i="7"/>
  <c r="C36" i="7"/>
  <c r="B36" i="7"/>
  <c r="G41" i="7"/>
  <c r="F41" i="7"/>
  <c r="E41" i="7"/>
  <c r="D41" i="7"/>
  <c r="C41" i="7"/>
  <c r="B41" i="7"/>
  <c r="G44" i="7"/>
  <c r="F44" i="7"/>
  <c r="E44" i="7"/>
  <c r="D44" i="7"/>
  <c r="C44" i="7"/>
  <c r="B44" i="7"/>
  <c r="G26" i="7"/>
  <c r="F26" i="7"/>
  <c r="E26" i="7"/>
  <c r="D26" i="7"/>
  <c r="C26" i="7"/>
  <c r="B26" i="7"/>
  <c r="G50" i="7"/>
  <c r="F50" i="7"/>
  <c r="E50" i="7"/>
  <c r="D50" i="7"/>
  <c r="C50" i="7"/>
  <c r="B50" i="7"/>
  <c r="G31" i="7"/>
  <c r="F31" i="7"/>
  <c r="E31" i="7"/>
  <c r="D31" i="7"/>
  <c r="C31" i="7"/>
  <c r="B31" i="7"/>
  <c r="G27" i="7"/>
  <c r="F27" i="7"/>
  <c r="E27" i="7"/>
  <c r="D27" i="7"/>
  <c r="C27" i="7"/>
  <c r="B27" i="7"/>
  <c r="G22" i="7"/>
  <c r="F22" i="7"/>
  <c r="E22" i="7"/>
  <c r="D22" i="7"/>
  <c r="C22" i="7"/>
  <c r="B22" i="7"/>
  <c r="G10" i="7"/>
  <c r="F10" i="7"/>
  <c r="E10" i="7"/>
  <c r="D10" i="7"/>
  <c r="C10" i="7"/>
  <c r="B10" i="7"/>
  <c r="G32" i="7"/>
  <c r="F32" i="7"/>
  <c r="E32" i="7"/>
  <c r="D32" i="7"/>
  <c r="C32" i="7"/>
  <c r="B32" i="7"/>
  <c r="G40" i="7"/>
  <c r="F40" i="7"/>
  <c r="E40" i="7"/>
  <c r="D40" i="7"/>
  <c r="C40" i="7"/>
  <c r="B40" i="7"/>
  <c r="G11" i="7"/>
  <c r="F11" i="7"/>
  <c r="E11" i="7"/>
  <c r="D11" i="7"/>
  <c r="C11" i="7"/>
  <c r="B11" i="7"/>
  <c r="G53" i="7"/>
  <c r="F53" i="7"/>
  <c r="E53" i="7"/>
  <c r="D53" i="7"/>
  <c r="C53" i="7"/>
  <c r="B53" i="7"/>
  <c r="G59" i="7"/>
  <c r="F59" i="7"/>
  <c r="E59" i="7"/>
  <c r="D59" i="7"/>
  <c r="C59" i="7"/>
  <c r="B59" i="7"/>
  <c r="G16" i="7"/>
  <c r="F16" i="7"/>
  <c r="E16" i="7"/>
  <c r="D16" i="7"/>
  <c r="C16" i="7"/>
  <c r="B16" i="7"/>
  <c r="G30" i="7"/>
  <c r="F30" i="7"/>
  <c r="E30" i="7"/>
  <c r="D30" i="7"/>
  <c r="C30" i="7"/>
  <c r="B30" i="7"/>
  <c r="G34" i="7"/>
  <c r="F34" i="7"/>
  <c r="E34" i="7"/>
  <c r="D34" i="7"/>
  <c r="C34" i="7"/>
  <c r="B34" i="7"/>
  <c r="G28" i="7"/>
  <c r="F28" i="7"/>
  <c r="E28" i="7"/>
  <c r="D28" i="7"/>
  <c r="C28" i="7"/>
  <c r="B28" i="7"/>
  <c r="G43" i="7"/>
  <c r="F43" i="7"/>
  <c r="E43" i="7"/>
  <c r="D43" i="7"/>
  <c r="C43" i="7"/>
  <c r="B43" i="7"/>
  <c r="G35" i="7"/>
  <c r="F35" i="7"/>
  <c r="E35" i="7"/>
  <c r="D35" i="7"/>
  <c r="C35" i="7"/>
  <c r="B35" i="7"/>
  <c r="G18" i="7"/>
  <c r="F18" i="7"/>
  <c r="E18" i="7"/>
  <c r="D18" i="7"/>
  <c r="C18" i="7"/>
  <c r="B18" i="7"/>
  <c r="G46" i="7"/>
  <c r="F46" i="7"/>
  <c r="E46" i="7"/>
  <c r="D46" i="7"/>
  <c r="C46" i="7"/>
  <c r="B46" i="7"/>
  <c r="G49" i="7"/>
  <c r="F49" i="7"/>
  <c r="E49" i="7"/>
  <c r="D49" i="7"/>
  <c r="C49" i="7"/>
  <c r="B49" i="7"/>
  <c r="G23" i="7"/>
  <c r="F23" i="7"/>
  <c r="E23" i="7"/>
  <c r="D23" i="7"/>
  <c r="C23" i="7"/>
  <c r="B23" i="7"/>
  <c r="G55" i="7"/>
  <c r="F55" i="7"/>
  <c r="E55" i="7"/>
  <c r="D55" i="7"/>
  <c r="C55" i="7"/>
  <c r="B55" i="7"/>
  <c r="G56" i="7"/>
  <c r="F56" i="7"/>
  <c r="E56" i="7"/>
  <c r="D56" i="7"/>
  <c r="C56" i="7"/>
  <c r="B56" i="7"/>
  <c r="G38" i="7"/>
  <c r="F38" i="7"/>
  <c r="E38" i="7"/>
  <c r="D38" i="7"/>
  <c r="C38" i="7"/>
  <c r="B38" i="7"/>
  <c r="G29" i="7"/>
  <c r="F29" i="7"/>
  <c r="E29" i="7"/>
  <c r="D29" i="7"/>
  <c r="C29" i="7"/>
  <c r="B29" i="7"/>
  <c r="G45" i="7"/>
  <c r="F45" i="7"/>
  <c r="E45" i="7"/>
  <c r="D45" i="7"/>
  <c r="C45" i="7"/>
  <c r="B45" i="7"/>
  <c r="G15" i="7"/>
  <c r="F15" i="7"/>
  <c r="E15" i="7"/>
  <c r="D15" i="7"/>
  <c r="C15" i="7"/>
  <c r="B15" i="7"/>
  <c r="G48" i="7"/>
  <c r="F48" i="7"/>
  <c r="E48" i="7"/>
  <c r="D48" i="7"/>
  <c r="C48" i="7"/>
  <c r="B48" i="7"/>
  <c r="G58" i="7"/>
  <c r="F58" i="7"/>
  <c r="E58" i="7"/>
  <c r="D58" i="7"/>
  <c r="C58" i="7"/>
  <c r="B58" i="7"/>
  <c r="G13" i="7"/>
  <c r="F13" i="7"/>
  <c r="E13" i="7"/>
  <c r="D13" i="7"/>
  <c r="C13" i="7"/>
  <c r="B13" i="7"/>
  <c r="G60" i="7"/>
  <c r="F60" i="7"/>
  <c r="E60" i="7"/>
  <c r="D60" i="7"/>
  <c r="C60" i="7"/>
  <c r="B60" i="7"/>
  <c r="G37" i="7"/>
  <c r="F37" i="7"/>
  <c r="E37" i="7"/>
  <c r="D37" i="7"/>
  <c r="C37" i="7"/>
  <c r="B37" i="7"/>
  <c r="G42" i="7"/>
  <c r="F42" i="7"/>
  <c r="E42" i="7"/>
  <c r="D42" i="7"/>
  <c r="C42" i="7"/>
  <c r="B42" i="7"/>
  <c r="G20" i="7"/>
  <c r="F20" i="7"/>
  <c r="E20" i="7"/>
  <c r="D20" i="7"/>
  <c r="C20" i="7"/>
  <c r="B20" i="7"/>
  <c r="G12" i="7"/>
  <c r="F12" i="7"/>
  <c r="E12" i="7"/>
  <c r="D12" i="7"/>
  <c r="C12" i="7"/>
  <c r="B12" i="7"/>
  <c r="G54" i="7"/>
  <c r="F54" i="7"/>
  <c r="E54" i="7"/>
  <c r="D54" i="7"/>
  <c r="C54" i="7"/>
  <c r="B54" i="7"/>
  <c r="G39" i="7"/>
  <c r="F39" i="7"/>
  <c r="E39" i="7"/>
  <c r="D39" i="7"/>
  <c r="C39" i="7"/>
  <c r="B39" i="7"/>
  <c r="G33" i="7"/>
  <c r="F33" i="7"/>
  <c r="E33" i="7"/>
  <c r="D33" i="7"/>
  <c r="C33" i="7"/>
  <c r="B33" i="7"/>
  <c r="G25" i="7"/>
  <c r="F25" i="7"/>
  <c r="E25" i="7"/>
  <c r="D25" i="7"/>
  <c r="C25" i="7"/>
  <c r="B25" i="7"/>
  <c r="G21" i="7"/>
  <c r="F21" i="7"/>
  <c r="E21" i="7"/>
  <c r="D21" i="7"/>
  <c r="C21" i="7"/>
  <c r="B21" i="7"/>
  <c r="G47" i="7"/>
  <c r="F47" i="7"/>
  <c r="E47" i="7"/>
  <c r="D47" i="7"/>
  <c r="C47" i="7"/>
  <c r="B47" i="7"/>
  <c r="G19" i="7"/>
  <c r="F19" i="7"/>
  <c r="E19" i="7"/>
  <c r="D19" i="7"/>
  <c r="C19" i="7"/>
  <c r="B19" i="7"/>
  <c r="G14" i="7"/>
  <c r="F14" i="7"/>
  <c r="E14" i="7"/>
  <c r="D14" i="7"/>
  <c r="C14" i="7"/>
  <c r="B14" i="7"/>
  <c r="G57" i="7"/>
  <c r="F57" i="7"/>
  <c r="E57" i="7"/>
  <c r="D57" i="7"/>
  <c r="C57" i="7"/>
  <c r="B57" i="7"/>
  <c r="G24" i="7"/>
  <c r="F24" i="7"/>
  <c r="E24" i="7"/>
  <c r="D24" i="7"/>
  <c r="C24" i="7"/>
  <c r="B24" i="7"/>
  <c r="G52" i="7"/>
  <c r="F52" i="7"/>
  <c r="E52" i="7"/>
  <c r="D52" i="7"/>
  <c r="C52" i="7"/>
  <c r="B52" i="7"/>
  <c r="G17" i="7"/>
  <c r="F17" i="7"/>
  <c r="E17" i="7"/>
  <c r="D17" i="7"/>
  <c r="C17" i="7"/>
  <c r="B17" i="7"/>
  <c r="M31" i="5"/>
  <c r="M17" i="5"/>
  <c r="M34" i="5"/>
  <c r="M28" i="5"/>
  <c r="M41" i="5"/>
  <c r="M14" i="5"/>
  <c r="M58" i="5"/>
  <c r="M10" i="5"/>
  <c r="M52" i="5"/>
  <c r="M38" i="5"/>
  <c r="M12" i="5"/>
  <c r="M11" i="5"/>
  <c r="M21" i="5"/>
  <c r="M46" i="5"/>
  <c r="M13" i="5"/>
  <c r="M50" i="5"/>
  <c r="M20" i="5"/>
  <c r="M32" i="5"/>
  <c r="M47" i="5"/>
  <c r="M19" i="5"/>
  <c r="M42" i="5"/>
  <c r="M23" i="5"/>
  <c r="M35" i="5"/>
  <c r="M53" i="5"/>
  <c r="M49" i="5"/>
  <c r="M54" i="5"/>
  <c r="M25" i="5"/>
  <c r="M37" i="5"/>
  <c r="M18" i="5"/>
  <c r="M43" i="5"/>
  <c r="M24" i="5"/>
  <c r="M22" i="5"/>
  <c r="M27" i="5"/>
  <c r="M57" i="5"/>
  <c r="M51" i="5"/>
  <c r="M59" i="5"/>
  <c r="M45" i="5"/>
  <c r="M29" i="5"/>
  <c r="M60" i="5"/>
  <c r="M48" i="5"/>
  <c r="M26" i="5"/>
  <c r="M56" i="5"/>
  <c r="M15" i="5"/>
  <c r="M16" i="5"/>
  <c r="M44" i="5"/>
  <c r="M36" i="5"/>
  <c r="M33" i="5"/>
  <c r="M30" i="5"/>
  <c r="M55" i="5"/>
  <c r="M39" i="5"/>
  <c r="M40" i="5"/>
  <c r="G31" i="5"/>
  <c r="F31" i="5"/>
  <c r="E31" i="5"/>
  <c r="J31" i="5"/>
  <c r="J17" i="5"/>
  <c r="J34" i="5"/>
  <c r="J28" i="5"/>
  <c r="J41" i="5"/>
  <c r="J14" i="5"/>
  <c r="J58" i="5"/>
  <c r="J10" i="5"/>
  <c r="J52" i="5"/>
  <c r="J38" i="5"/>
  <c r="J12" i="5"/>
  <c r="J11" i="5"/>
  <c r="J21" i="5"/>
  <c r="J46" i="5"/>
  <c r="J13" i="5"/>
  <c r="J50" i="5"/>
  <c r="J20" i="5"/>
  <c r="J32" i="5"/>
  <c r="J47" i="5"/>
  <c r="J19" i="5"/>
  <c r="J42" i="5"/>
  <c r="J23" i="5"/>
  <c r="J35" i="5"/>
  <c r="J53" i="5"/>
  <c r="J49" i="5"/>
  <c r="J54" i="5"/>
  <c r="J25" i="5"/>
  <c r="J37" i="5"/>
  <c r="J18" i="5"/>
  <c r="J43" i="5"/>
  <c r="J24" i="5"/>
  <c r="J22" i="5"/>
  <c r="J27" i="5"/>
  <c r="J57" i="5"/>
  <c r="J51" i="5"/>
  <c r="J59" i="5"/>
  <c r="J45" i="5"/>
  <c r="J29" i="5"/>
  <c r="J60" i="5"/>
  <c r="J48" i="5"/>
  <c r="J26" i="5"/>
  <c r="J56" i="5"/>
  <c r="J15" i="5"/>
  <c r="J16" i="5"/>
  <c r="J44" i="5"/>
  <c r="J36" i="5"/>
  <c r="J33" i="5"/>
  <c r="J30" i="5"/>
  <c r="J55" i="5"/>
  <c r="J39" i="5"/>
  <c r="J40" i="5"/>
  <c r="D31" i="5"/>
  <c r="C31" i="5"/>
  <c r="G40" i="5"/>
  <c r="F40" i="5"/>
  <c r="E40" i="5"/>
  <c r="D40" i="5"/>
  <c r="C40" i="5"/>
  <c r="G39" i="5"/>
  <c r="F39" i="5"/>
  <c r="E39" i="5"/>
  <c r="D39" i="5"/>
  <c r="C39" i="5"/>
  <c r="G55" i="5"/>
  <c r="F55" i="5"/>
  <c r="E55" i="5"/>
  <c r="D55" i="5"/>
  <c r="C55" i="5"/>
  <c r="G30" i="5"/>
  <c r="F30" i="5"/>
  <c r="E30" i="5"/>
  <c r="D30" i="5"/>
  <c r="C30" i="5"/>
  <c r="G33" i="5"/>
  <c r="F33" i="5"/>
  <c r="E33" i="5"/>
  <c r="D33" i="5"/>
  <c r="C33" i="5"/>
  <c r="G36" i="5"/>
  <c r="F36" i="5"/>
  <c r="E36" i="5"/>
  <c r="D36" i="5"/>
  <c r="C36" i="5"/>
  <c r="G44" i="5"/>
  <c r="F44" i="5"/>
  <c r="E44" i="5"/>
  <c r="D44" i="5"/>
  <c r="C44" i="5"/>
  <c r="G16" i="5"/>
  <c r="F16" i="5"/>
  <c r="E16" i="5"/>
  <c r="D16" i="5"/>
  <c r="C16" i="5"/>
  <c r="G15" i="5"/>
  <c r="F15" i="5"/>
  <c r="E15" i="5"/>
  <c r="D15" i="5"/>
  <c r="C15" i="5"/>
  <c r="G56" i="5"/>
  <c r="F56" i="5"/>
  <c r="E56" i="5"/>
  <c r="D56" i="5"/>
  <c r="C56" i="5"/>
  <c r="G26" i="5"/>
  <c r="F26" i="5"/>
  <c r="E26" i="5"/>
  <c r="D26" i="5"/>
  <c r="C26" i="5"/>
  <c r="G48" i="5"/>
  <c r="F48" i="5"/>
  <c r="E48" i="5"/>
  <c r="D48" i="5"/>
  <c r="C48" i="5"/>
  <c r="G60" i="5"/>
  <c r="F60" i="5"/>
  <c r="E60" i="5"/>
  <c r="D60" i="5"/>
  <c r="C60" i="5"/>
  <c r="G29" i="5"/>
  <c r="F29" i="5"/>
  <c r="E29" i="5"/>
  <c r="D29" i="5"/>
  <c r="C29" i="5"/>
  <c r="G45" i="5"/>
  <c r="F45" i="5"/>
  <c r="E45" i="5"/>
  <c r="D45" i="5"/>
  <c r="C45" i="5"/>
  <c r="G59" i="5"/>
  <c r="F59" i="5"/>
  <c r="E59" i="5"/>
  <c r="D59" i="5"/>
  <c r="C59" i="5"/>
  <c r="G51" i="5"/>
  <c r="F51" i="5"/>
  <c r="E51" i="5"/>
  <c r="D51" i="5"/>
  <c r="C51" i="5"/>
  <c r="G57" i="5"/>
  <c r="F57" i="5"/>
  <c r="E57" i="5"/>
  <c r="D57" i="5"/>
  <c r="C57" i="5"/>
  <c r="G27" i="5"/>
  <c r="F27" i="5"/>
  <c r="E27" i="5"/>
  <c r="D27" i="5"/>
  <c r="C27" i="5"/>
  <c r="G22" i="5"/>
  <c r="F22" i="5"/>
  <c r="E22" i="5"/>
  <c r="D22" i="5"/>
  <c r="C22" i="5"/>
  <c r="G24" i="5"/>
  <c r="F24" i="5"/>
  <c r="E24" i="5"/>
  <c r="D24" i="5"/>
  <c r="C24" i="5"/>
  <c r="G43" i="5"/>
  <c r="F43" i="5"/>
  <c r="E43" i="5"/>
  <c r="D43" i="5"/>
  <c r="C43" i="5"/>
  <c r="G18" i="5"/>
  <c r="F18" i="5"/>
  <c r="E18" i="5"/>
  <c r="D18" i="5"/>
  <c r="C18" i="5"/>
  <c r="G37" i="5"/>
  <c r="F37" i="5"/>
  <c r="E37" i="5"/>
  <c r="D37" i="5"/>
  <c r="C37" i="5"/>
  <c r="G25" i="5"/>
  <c r="F25" i="5"/>
  <c r="E25" i="5"/>
  <c r="D25" i="5"/>
  <c r="C25" i="5"/>
  <c r="G54" i="5"/>
  <c r="F54" i="5"/>
  <c r="E54" i="5"/>
  <c r="D54" i="5"/>
  <c r="C54" i="5"/>
  <c r="G49" i="5"/>
  <c r="F49" i="5"/>
  <c r="E49" i="5"/>
  <c r="D49" i="5"/>
  <c r="C49" i="5"/>
  <c r="G53" i="5"/>
  <c r="F53" i="5"/>
  <c r="E53" i="5"/>
  <c r="D53" i="5"/>
  <c r="C53" i="5"/>
  <c r="G35" i="5"/>
  <c r="F35" i="5"/>
  <c r="E35" i="5"/>
  <c r="D35" i="5"/>
  <c r="C35" i="5"/>
  <c r="G23" i="5"/>
  <c r="F23" i="5"/>
  <c r="E23" i="5"/>
  <c r="D23" i="5"/>
  <c r="C23" i="5"/>
  <c r="G42" i="5"/>
  <c r="F42" i="5"/>
  <c r="E42" i="5"/>
  <c r="D42" i="5"/>
  <c r="C42" i="5"/>
  <c r="G19" i="5"/>
  <c r="F19" i="5"/>
  <c r="E19" i="5"/>
  <c r="D19" i="5"/>
  <c r="C19" i="5"/>
  <c r="G47" i="5"/>
  <c r="F47" i="5"/>
  <c r="E47" i="5"/>
  <c r="D47" i="5"/>
  <c r="C47" i="5"/>
  <c r="G32" i="5"/>
  <c r="F32" i="5"/>
  <c r="E32" i="5"/>
  <c r="D32" i="5"/>
  <c r="C32" i="5"/>
  <c r="G20" i="5"/>
  <c r="F20" i="5"/>
  <c r="E20" i="5"/>
  <c r="D20" i="5"/>
  <c r="C20" i="5"/>
  <c r="G50" i="5"/>
  <c r="F50" i="5"/>
  <c r="E50" i="5"/>
  <c r="D50" i="5"/>
  <c r="C50" i="5"/>
  <c r="G13" i="5"/>
  <c r="F13" i="5"/>
  <c r="E13" i="5"/>
  <c r="D13" i="5"/>
  <c r="C13" i="5"/>
  <c r="G46" i="5"/>
  <c r="F46" i="5"/>
  <c r="E46" i="5"/>
  <c r="D46" i="5"/>
  <c r="C46" i="5"/>
  <c r="G21" i="5"/>
  <c r="F21" i="5"/>
  <c r="E21" i="5"/>
  <c r="D21" i="5"/>
  <c r="C21" i="5"/>
  <c r="G11" i="5"/>
  <c r="F11" i="5"/>
  <c r="E11" i="5"/>
  <c r="D11" i="5"/>
  <c r="C11" i="5"/>
  <c r="G12" i="5"/>
  <c r="F12" i="5"/>
  <c r="E12" i="5"/>
  <c r="D12" i="5"/>
  <c r="C12" i="5"/>
  <c r="G38" i="5"/>
  <c r="F38" i="5"/>
  <c r="E38" i="5"/>
  <c r="D38" i="5"/>
  <c r="C38" i="5"/>
  <c r="G52" i="5"/>
  <c r="F52" i="5"/>
  <c r="E52" i="5"/>
  <c r="D52" i="5"/>
  <c r="C52" i="5"/>
  <c r="G10" i="5"/>
  <c r="F10" i="5"/>
  <c r="E10" i="5"/>
  <c r="D10" i="5"/>
  <c r="C10" i="5"/>
  <c r="G58" i="5"/>
  <c r="F58" i="5"/>
  <c r="E58" i="5"/>
  <c r="D58" i="5"/>
  <c r="C58" i="5"/>
  <c r="G14" i="5"/>
  <c r="F14" i="5"/>
  <c r="E14" i="5"/>
  <c r="D14" i="5"/>
  <c r="C14" i="5"/>
  <c r="G41" i="5"/>
  <c r="F41" i="5"/>
  <c r="E41" i="5"/>
  <c r="D41" i="5"/>
  <c r="C41" i="5"/>
  <c r="G28" i="5"/>
  <c r="F28" i="5"/>
  <c r="E28" i="5"/>
  <c r="D28" i="5"/>
  <c r="C28" i="5"/>
  <c r="G34" i="5"/>
  <c r="F34" i="5"/>
  <c r="E34" i="5"/>
  <c r="D34" i="5"/>
  <c r="C34" i="5"/>
  <c r="G17" i="5"/>
  <c r="F17" i="5"/>
  <c r="E17" i="5"/>
  <c r="D17" i="5"/>
  <c r="C17" i="5"/>
  <c r="B31" i="5"/>
  <c r="B40" i="5"/>
  <c r="B39" i="5"/>
  <c r="B55" i="5"/>
  <c r="B30" i="5"/>
  <c r="B33" i="5"/>
  <c r="B36" i="5"/>
  <c r="B44" i="5"/>
  <c r="B16" i="5"/>
  <c r="B15" i="5"/>
  <c r="B56" i="5"/>
  <c r="B26" i="5"/>
  <c r="B48" i="5"/>
  <c r="B60" i="5"/>
  <c r="B29" i="5"/>
  <c r="B45" i="5"/>
  <c r="B59" i="5"/>
  <c r="B51" i="5"/>
  <c r="B57" i="5"/>
  <c r="B27" i="5"/>
  <c r="B22" i="5"/>
  <c r="B24" i="5"/>
  <c r="B43" i="5"/>
  <c r="B18" i="5"/>
  <c r="B37" i="5"/>
  <c r="B25" i="5"/>
  <c r="B54" i="5"/>
  <c r="B49" i="5"/>
  <c r="B53" i="5"/>
  <c r="B35" i="5"/>
  <c r="B23" i="5"/>
  <c r="B42" i="5"/>
  <c r="B19" i="5"/>
  <c r="B47" i="5"/>
  <c r="B32" i="5"/>
  <c r="B20" i="5"/>
  <c r="B50" i="5"/>
  <c r="B13" i="5"/>
  <c r="B46" i="5"/>
  <c r="B21" i="5"/>
  <c r="B11" i="5"/>
  <c r="B12" i="5"/>
  <c r="B38" i="5"/>
  <c r="B52" i="5"/>
  <c r="B10" i="5"/>
  <c r="B58" i="5"/>
  <c r="B14" i="5"/>
  <c r="B41" i="5"/>
  <c r="B28" i="5"/>
  <c r="B34" i="5"/>
  <c r="B17" i="5"/>
  <c r="F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54" i="6"/>
  <c r="B55" i="6"/>
  <c r="B56" i="6"/>
  <c r="B54" i="1"/>
  <c r="B55" i="1"/>
  <c r="B56" i="1"/>
  <c r="J5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L63" i="7"/>
  <c r="K63" i="7"/>
  <c r="I63" i="7"/>
  <c r="H63" i="7"/>
  <c r="L62" i="7"/>
  <c r="K62" i="7"/>
  <c r="I62" i="7"/>
  <c r="H62" i="7"/>
  <c r="L61" i="7"/>
  <c r="K61" i="7"/>
  <c r="I61" i="7"/>
  <c r="H61" i="7"/>
  <c r="M63" i="7"/>
  <c r="J63" i="7"/>
  <c r="M62" i="7"/>
  <c r="J62" i="7"/>
  <c r="M61" i="7"/>
  <c r="J61" i="7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T56" i="6"/>
  <c r="S56" i="6"/>
  <c r="R56" i="6"/>
  <c r="Q56" i="6"/>
  <c r="P56" i="6"/>
  <c r="O56" i="6"/>
  <c r="N56" i="6"/>
  <c r="M56" i="6"/>
  <c r="L56" i="6"/>
  <c r="K56" i="6"/>
  <c r="H56" i="6"/>
  <c r="F56" i="6"/>
  <c r="E56" i="6"/>
  <c r="D56" i="6"/>
  <c r="C56" i="6"/>
  <c r="T55" i="6"/>
  <c r="S55" i="6"/>
  <c r="R55" i="6"/>
  <c r="Q55" i="6"/>
  <c r="P55" i="6"/>
  <c r="O55" i="6"/>
  <c r="N55" i="6"/>
  <c r="M55" i="6"/>
  <c r="L55" i="6"/>
  <c r="K55" i="6"/>
  <c r="H55" i="6"/>
  <c r="F55" i="6"/>
  <c r="E55" i="6"/>
  <c r="D55" i="6"/>
  <c r="C55" i="6"/>
  <c r="T54" i="6"/>
  <c r="S54" i="6"/>
  <c r="R54" i="6"/>
  <c r="Q54" i="6"/>
  <c r="P54" i="6"/>
  <c r="O54" i="6"/>
  <c r="N54" i="6"/>
  <c r="M54" i="6"/>
  <c r="L54" i="6"/>
  <c r="K54" i="6"/>
  <c r="H54" i="6"/>
  <c r="F54" i="6"/>
  <c r="E54" i="6"/>
  <c r="D54" i="6"/>
  <c r="C54" i="6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M63" i="5"/>
  <c r="M62" i="5"/>
  <c r="M61" i="5"/>
  <c r="J63" i="5"/>
  <c r="J62" i="5"/>
  <c r="J61" i="5"/>
  <c r="L63" i="5"/>
  <c r="L62" i="5"/>
  <c r="L61" i="5"/>
  <c r="K63" i="5"/>
  <c r="K62" i="5"/>
  <c r="K61" i="5"/>
  <c r="I63" i="5"/>
  <c r="I62" i="5"/>
  <c r="I61" i="5"/>
  <c r="H63" i="5"/>
  <c r="H62" i="5"/>
  <c r="H61" i="5"/>
  <c r="T56" i="4"/>
  <c r="S10" i="4"/>
  <c r="S33" i="4"/>
  <c r="S35" i="4"/>
  <c r="S9" i="4"/>
  <c r="S4" i="4"/>
  <c r="S48" i="4"/>
  <c r="S42" i="4"/>
  <c r="S53" i="4"/>
  <c r="S24" i="4"/>
  <c r="S23" i="4"/>
  <c r="S11" i="4"/>
  <c r="S22" i="4"/>
  <c r="S32" i="4"/>
  <c r="S14" i="4"/>
  <c r="S41" i="4"/>
  <c r="S49" i="4"/>
  <c r="S52" i="4"/>
  <c r="S30" i="4"/>
  <c r="S16" i="4"/>
  <c r="S38" i="4"/>
  <c r="S21" i="4"/>
  <c r="S51" i="4"/>
  <c r="S26" i="4"/>
  <c r="S25" i="4"/>
  <c r="S19" i="4"/>
  <c r="S13" i="4"/>
  <c r="S29" i="4"/>
  <c r="S40" i="4"/>
  <c r="S7" i="4"/>
  <c r="S28" i="4"/>
  <c r="S18" i="4"/>
  <c r="S34" i="4"/>
  <c r="S8" i="4"/>
  <c r="S3" i="4"/>
  <c r="S43" i="4"/>
  <c r="S37" i="4"/>
  <c r="S50" i="4"/>
  <c r="S12" i="4"/>
  <c r="S17" i="4"/>
  <c r="S6" i="4"/>
  <c r="S44" i="4"/>
  <c r="S20" i="4"/>
  <c r="S46" i="4"/>
  <c r="S31" i="4"/>
  <c r="S36" i="4"/>
  <c r="S5" i="4"/>
  <c r="S27" i="4"/>
  <c r="S39" i="4"/>
  <c r="S45" i="4"/>
  <c r="S15" i="4"/>
  <c r="S47" i="4"/>
  <c r="S56" i="4"/>
  <c r="R56" i="4"/>
  <c r="Q56" i="4"/>
  <c r="P56" i="4"/>
  <c r="O56" i="4"/>
  <c r="N56" i="4"/>
  <c r="M56" i="4"/>
  <c r="L56" i="4"/>
  <c r="K56" i="4"/>
  <c r="J56" i="4"/>
  <c r="H56" i="4"/>
  <c r="F56" i="4"/>
  <c r="E56" i="4"/>
  <c r="D56" i="4"/>
  <c r="C56" i="4"/>
  <c r="B56" i="4"/>
  <c r="T55" i="4"/>
  <c r="S55" i="4"/>
  <c r="R55" i="4"/>
  <c r="Q55" i="4"/>
  <c r="P55" i="4"/>
  <c r="O55" i="4"/>
  <c r="N55" i="4"/>
  <c r="M55" i="4"/>
  <c r="L55" i="4"/>
  <c r="K55" i="4"/>
  <c r="J55" i="4"/>
  <c r="H55" i="4"/>
  <c r="F55" i="4"/>
  <c r="E55" i="4"/>
  <c r="D55" i="4"/>
  <c r="C55" i="4"/>
  <c r="B55" i="4"/>
  <c r="T54" i="4"/>
  <c r="S54" i="4"/>
  <c r="R54" i="4"/>
  <c r="Q54" i="4"/>
  <c r="P54" i="4"/>
  <c r="O54" i="4"/>
  <c r="N54" i="4"/>
  <c r="M54" i="4"/>
  <c r="L54" i="4"/>
  <c r="K54" i="4"/>
  <c r="J54" i="4"/>
  <c r="H54" i="4"/>
  <c r="F54" i="4"/>
  <c r="E54" i="4"/>
  <c r="D54" i="4"/>
  <c r="C54" i="4"/>
  <c r="B54" i="4"/>
  <c r="J56" i="1"/>
  <c r="J55" i="1"/>
  <c r="J54" i="1"/>
  <c r="T56" i="1"/>
  <c r="S3" i="1"/>
  <c r="S13" i="1"/>
  <c r="S14" i="1"/>
  <c r="S16" i="1"/>
  <c r="S18" i="1"/>
  <c r="S19" i="1"/>
  <c r="S20" i="1"/>
  <c r="S22" i="1"/>
  <c r="S27" i="1"/>
  <c r="S30" i="1"/>
  <c r="S32" i="1"/>
  <c r="S36" i="1"/>
  <c r="S37" i="1"/>
  <c r="S42" i="1"/>
  <c r="S44" i="1"/>
  <c r="S48" i="1"/>
  <c r="S49" i="1"/>
  <c r="S50" i="1"/>
  <c r="S51" i="1"/>
  <c r="S53" i="1"/>
  <c r="S56" i="1"/>
  <c r="R56" i="1"/>
  <c r="Q56" i="1"/>
  <c r="P56" i="1"/>
  <c r="O56" i="1"/>
  <c r="N56" i="1"/>
  <c r="M56" i="1"/>
  <c r="L56" i="1"/>
  <c r="K56" i="1"/>
  <c r="H56" i="1"/>
  <c r="F56" i="1"/>
  <c r="E56" i="1"/>
  <c r="D56" i="1"/>
  <c r="C56" i="1"/>
  <c r="E55" i="1"/>
  <c r="D55" i="1"/>
  <c r="C55" i="1"/>
  <c r="E54" i="1"/>
  <c r="D54" i="1"/>
  <c r="C54" i="1"/>
  <c r="T55" i="1"/>
  <c r="S55" i="1"/>
  <c r="R55" i="1"/>
  <c r="Q55" i="1"/>
  <c r="P55" i="1"/>
  <c r="O55" i="1"/>
  <c r="N55" i="1"/>
  <c r="M55" i="1"/>
  <c r="L55" i="1"/>
  <c r="K55" i="1"/>
  <c r="H55" i="1"/>
  <c r="F55" i="1"/>
  <c r="T54" i="1"/>
  <c r="S54" i="1"/>
  <c r="R54" i="1"/>
  <c r="Q54" i="1"/>
  <c r="P54" i="1"/>
  <c r="O54" i="1"/>
  <c r="N54" i="1"/>
  <c r="M54" i="1"/>
  <c r="L54" i="1"/>
  <c r="K54" i="1"/>
  <c r="H54" i="1"/>
  <c r="F54" i="1"/>
  <c r="J60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D60" i="10"/>
  <c r="B60" i="10"/>
  <c r="D59" i="10"/>
  <c r="B59" i="10"/>
  <c r="D58" i="10"/>
  <c r="B58" i="10"/>
  <c r="D57" i="10"/>
  <c r="B57" i="10"/>
  <c r="D56" i="10"/>
  <c r="B56" i="10"/>
  <c r="D55" i="10"/>
  <c r="B55" i="10"/>
  <c r="D54" i="10"/>
  <c r="B54" i="10"/>
  <c r="D53" i="10"/>
  <c r="B53" i="10"/>
  <c r="D52" i="10"/>
  <c r="B52" i="10"/>
  <c r="D51" i="10"/>
  <c r="B51" i="10"/>
  <c r="D50" i="10"/>
  <c r="B50" i="10"/>
  <c r="D49" i="10"/>
  <c r="B49" i="10"/>
  <c r="D48" i="10"/>
  <c r="B48" i="10"/>
  <c r="D47" i="10"/>
  <c r="B47" i="10"/>
  <c r="D46" i="10"/>
  <c r="B46" i="10"/>
  <c r="D45" i="10"/>
  <c r="B45" i="10"/>
  <c r="D44" i="10"/>
  <c r="B44" i="10"/>
  <c r="D43" i="10"/>
  <c r="B43" i="10"/>
  <c r="D42" i="10"/>
  <c r="B42" i="10"/>
  <c r="D41" i="10"/>
  <c r="B41" i="10"/>
  <c r="D40" i="10"/>
  <c r="B40" i="10"/>
  <c r="D39" i="10"/>
  <c r="B39" i="10"/>
  <c r="D38" i="10"/>
  <c r="B38" i="10"/>
  <c r="D37" i="10"/>
  <c r="B37" i="10"/>
  <c r="D36" i="10"/>
  <c r="B36" i="10"/>
  <c r="D35" i="10"/>
  <c r="B35" i="10"/>
  <c r="D34" i="10"/>
  <c r="B34" i="10"/>
  <c r="D33" i="10"/>
  <c r="B33" i="10"/>
  <c r="D32" i="10"/>
  <c r="B32" i="10"/>
  <c r="D31" i="10"/>
  <c r="B31" i="10"/>
  <c r="D30" i="10"/>
  <c r="B30" i="10"/>
  <c r="D29" i="10"/>
  <c r="B29" i="10"/>
  <c r="D28" i="10"/>
  <c r="B28" i="10"/>
  <c r="D27" i="10"/>
  <c r="B27" i="10"/>
  <c r="D26" i="10"/>
  <c r="B26" i="10"/>
  <c r="D25" i="10"/>
  <c r="B25" i="10"/>
  <c r="D24" i="10"/>
  <c r="B24" i="10"/>
  <c r="D23" i="10"/>
  <c r="B23" i="10"/>
  <c r="D22" i="10"/>
  <c r="B22" i="10"/>
  <c r="D21" i="10"/>
  <c r="B21" i="10"/>
  <c r="D20" i="10"/>
  <c r="B20" i="10"/>
  <c r="D19" i="10"/>
  <c r="B19" i="10"/>
  <c r="D18" i="10"/>
  <c r="B18" i="10"/>
  <c r="D17" i="10"/>
  <c r="B17" i="10"/>
  <c r="D16" i="10"/>
  <c r="B16" i="10"/>
  <c r="D15" i="10"/>
  <c r="B15" i="10"/>
  <c r="D14" i="10"/>
  <c r="B14" i="10"/>
  <c r="D13" i="10"/>
  <c r="B13" i="10"/>
  <c r="D12" i="10"/>
  <c r="B12" i="10"/>
  <c r="D11" i="10"/>
  <c r="B11" i="10"/>
  <c r="B10" i="10"/>
  <c r="J63" i="10"/>
  <c r="H63" i="10"/>
  <c r="J62" i="10"/>
  <c r="H62" i="10"/>
  <c r="J61" i="10"/>
  <c r="D10" i="10"/>
  <c r="H61" i="10"/>
</calcChain>
</file>

<file path=xl/sharedStrings.xml><?xml version="1.0" encoding="utf-8"?>
<sst xmlns="http://schemas.openxmlformats.org/spreadsheetml/2006/main" count="1482" uniqueCount="250">
  <si>
    <t>4th Math</t>
  </si>
  <si>
    <t>8th Math</t>
  </si>
  <si>
    <t>4th Reading</t>
  </si>
  <si>
    <t>8th Reading</t>
  </si>
  <si>
    <t>Total</t>
  </si>
  <si>
    <t>PPF</t>
  </si>
  <si>
    <t>Cost</t>
  </si>
  <si>
    <t>White</t>
  </si>
  <si>
    <t>Black</t>
  </si>
  <si>
    <t>Hispanic</t>
  </si>
  <si>
    <t>Asian</t>
  </si>
  <si>
    <t>Nat. Am.</t>
  </si>
  <si>
    <t>ELL</t>
  </si>
  <si>
    <t>At-Risk</t>
  </si>
  <si>
    <t>Charter %</t>
  </si>
  <si>
    <t>Ratio</t>
  </si>
  <si>
    <t>Demographics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</si>
  <si>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</si>
  <si>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</si>
  <si>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</si>
  <si>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</si>
  <si>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</si>
  <si>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</si>
  <si>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</si>
  <si>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</si>
  <si>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</si>
  <si>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</si>
  <si>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</si>
  <si>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</si>
  <si>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</si>
  <si>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Indiana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</si>
  <si>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</si>
  <si>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</si>
  <si>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</si>
  <si>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</si>
  <si>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</si>
  <si>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</si>
  <si>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</si>
  <si>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</si>
  <si>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</si>
  <si>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</si>
  <si>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</si>
  <si>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</si>
  <si>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</si>
  <si>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</si>
  <si>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</si>
  <si>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</si>
  <si>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</si>
  <si>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</si>
  <si>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</si>
  <si>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</si>
  <si>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</si>
  <si>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</si>
  <si>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</si>
  <si>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</si>
  <si>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</si>
  <si>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</si>
  <si>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</si>
  <si>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</si>
  <si>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</si>
  <si>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</si>
  <si>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</si>
  <si>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</si>
  <si>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</si>
  <si>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</si>
  <si>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</si>
  <si>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</si>
  <si>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</si>
  <si>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 </t>
  </si>
  <si>
    <t>Regression Analysis</t>
  </si>
  <si>
    <t xml:space="preserve">r≤ </t>
  </si>
  <si>
    <t xml:space="preserve">r  </t>
  </si>
  <si>
    <t xml:space="preserve">Std. Error  </t>
  </si>
  <si>
    <t xml:space="preserve">n  </t>
  </si>
  <si>
    <t xml:space="preserve">k  </t>
  </si>
  <si>
    <t xml:space="preserve">Dep. Var. </t>
  </si>
  <si>
    <t>Regression output</t>
  </si>
  <si>
    <t>variables</t>
  </si>
  <si>
    <t xml:space="preserve"> coefficients</t>
  </si>
  <si>
    <t xml:space="preserve">std. error </t>
  </si>
  <si>
    <t xml:space="preserve">   t (df=49)</t>
  </si>
  <si>
    <t>p-value</t>
  </si>
  <si>
    <t>95% lower</t>
  </si>
  <si>
    <t>95% upper</t>
  </si>
  <si>
    <t>Intercept</t>
  </si>
  <si>
    <t>confidence interval</t>
  </si>
  <si>
    <t>ANOVA table</t>
  </si>
  <si>
    <t>Source</t>
  </si>
  <si>
    <t xml:space="preserve">SS  </t>
  </si>
  <si>
    <t xml:space="preserve">df  </t>
  </si>
  <si>
    <t>MS</t>
  </si>
  <si>
    <t>F</t>
  </si>
  <si>
    <t>Regression</t>
  </si>
  <si>
    <t>Residual</t>
  </si>
  <si>
    <t>Score</t>
  </si>
  <si>
    <t>IEP</t>
  </si>
  <si>
    <t xml:space="preserve">R≤ </t>
  </si>
  <si>
    <t xml:space="preserve">R  </t>
  </si>
  <si>
    <t xml:space="preserve">   t (df=45)</t>
  </si>
  <si>
    <t xml:space="preserve">Adjusted R≤ </t>
  </si>
  <si>
    <t>Total Score vs. Percentage of Charter Schools</t>
  </si>
  <si>
    <t>Total Score vs. Student-to-Teacher Ratio</t>
  </si>
  <si>
    <t>Total Score vs. All Races</t>
  </si>
  <si>
    <t>Total Score vs. At-Risk (Poverty measured as Free &amp; Reduced Lunches)</t>
  </si>
  <si>
    <t>Total Score vs. Asians and Pacific Islanders</t>
  </si>
  <si>
    <t>Total Score vs. Native Americans and Native Alaskans</t>
  </si>
  <si>
    <t>Total Score vs. Hispanics</t>
  </si>
  <si>
    <t>Total Score vs. Blacks</t>
  </si>
  <si>
    <t>Total Score vs. Whites</t>
  </si>
  <si>
    <t>% College</t>
  </si>
  <si>
    <t>Total Score vs. Percentage of College Educated Adults</t>
  </si>
  <si>
    <t>Tax Rate</t>
  </si>
  <si>
    <t>% Cremated</t>
  </si>
  <si>
    <t>Overall</t>
  </si>
  <si>
    <t>Starting Sal.</t>
  </si>
  <si>
    <t>Average Sal.</t>
  </si>
  <si>
    <t>10-yr incr.</t>
  </si>
  <si>
    <t>Total Score vs. Overall State Tax Rate</t>
  </si>
  <si>
    <t>Total Score vs. Percentage of Population Cremated (Control Variable)</t>
  </si>
  <si>
    <t xml:space="preserve">   t (df=48)</t>
  </si>
  <si>
    <t>Total Score vs. Starting Teacher Salary</t>
  </si>
  <si>
    <t>Total Score vs. Average Teacher Salary</t>
  </si>
  <si>
    <t>Total Score vs. Teacher Salary Increase over 10 Years</t>
  </si>
  <si>
    <t xml:space="preserve">   t (df=47)</t>
  </si>
  <si>
    <t>Total Score vs. Starting and Average Teacher Salary</t>
  </si>
  <si>
    <t>Mean</t>
  </si>
  <si>
    <t>Range</t>
  </si>
  <si>
    <t>Standard Devation</t>
  </si>
  <si>
    <t>Descriptive statistics</t>
  </si>
  <si>
    <t>count</t>
  </si>
  <si>
    <t>mean</t>
  </si>
  <si>
    <t>sample variance</t>
  </si>
  <si>
    <t>sample standard deviation</t>
  </si>
  <si>
    <t>minimum</t>
  </si>
  <si>
    <t>maximum</t>
  </si>
  <si>
    <t>range</t>
  </si>
  <si>
    <t>empirical rule</t>
  </si>
  <si>
    <t xml:space="preserve">   mean - 1s</t>
  </si>
  <si>
    <t xml:space="preserve">   mean + 1s</t>
  </si>
  <si>
    <t xml:space="preserve">   percent in interval (68.26%)</t>
  </si>
  <si>
    <t xml:space="preserve">   mean - 2s</t>
  </si>
  <si>
    <t xml:space="preserve">   mean + 2s</t>
  </si>
  <si>
    <t xml:space="preserve">   percent in interval (95.44%)</t>
  </si>
  <si>
    <t xml:space="preserve">   mean - 3s</t>
  </si>
  <si>
    <t xml:space="preserve">   mean + 3s</t>
  </si>
  <si>
    <t xml:space="preserve">   percent in interval (99.73%)</t>
  </si>
  <si>
    <t>skewness</t>
  </si>
  <si>
    <t>kurtosis</t>
  </si>
  <si>
    <t>coefficient of variation (CV)</t>
  </si>
  <si>
    <t>1st quartile</t>
  </si>
  <si>
    <t>median</t>
  </si>
  <si>
    <t>3rd quartile</t>
  </si>
  <si>
    <t>interquartile range</t>
  </si>
  <si>
    <t>mode</t>
  </si>
  <si>
    <t>low extremes</t>
  </si>
  <si>
    <t>low outliers</t>
  </si>
  <si>
    <t>high outliers</t>
  </si>
  <si>
    <t>high extremes</t>
  </si>
  <si>
    <t xml:space="preserve">Score Total </t>
  </si>
  <si>
    <t xml:space="preserve">PPF </t>
  </si>
  <si>
    <t>Teach./Student</t>
  </si>
  <si>
    <t>2009</t>
  </si>
  <si>
    <t>$ per point</t>
  </si>
  <si>
    <t>--</t>
  </si>
  <si>
    <t>State</t>
  </si>
  <si>
    <t>2009 Score Total</t>
  </si>
  <si>
    <t>2011 Score Total</t>
  </si>
  <si>
    <t>2009 Total PPF</t>
  </si>
  <si>
    <t>2011 Total PPF</t>
  </si>
  <si>
    <t>Score Change</t>
  </si>
  <si>
    <t>PPF Change</t>
  </si>
  <si>
    <t>2011</t>
  </si>
  <si>
    <t>2013 Score Total</t>
  </si>
  <si>
    <t>2013 Total PPF</t>
  </si>
  <si>
    <t>PPF Rank</t>
  </si>
  <si>
    <t>Score Rank</t>
  </si>
  <si>
    <t>2009-2011</t>
  </si>
  <si>
    <t>Score Rank2</t>
  </si>
  <si>
    <t>PPF Rank3</t>
  </si>
  <si>
    <t>Score Change4</t>
  </si>
  <si>
    <t>PPF Change5</t>
  </si>
  <si>
    <t>Score Change2</t>
  </si>
  <si>
    <t>PPF Change3</t>
  </si>
  <si>
    <t>2013</t>
  </si>
  <si>
    <t>2011-2013</t>
  </si>
  <si>
    <t>2 year change</t>
  </si>
  <si>
    <t>4 year change</t>
  </si>
  <si>
    <t>Those under "4 year change" began in 2009 or earlier, see additional notes</t>
  </si>
  <si>
    <t>Poverty + 250%, gains above the mean</t>
  </si>
  <si>
    <t>Poverty + 150%, gains 10 points above the mean in 2011-2013 after 4 point dip in 2009-2011, 3rd highest improvement factor</t>
  </si>
  <si>
    <t>Students of poor performing schools, or special needs, gains below the mean</t>
  </si>
  <si>
    <t>Those under "2 year change" are for programs started in 2010 or more recent, see additional notes</t>
  </si>
  <si>
    <t>Poverty + 185%, Charters make up almost half the schools in DC so it's difficult to separate unique impact of vouchers</t>
  </si>
  <si>
    <t>Old law on books regarding districts without schools or purchased services from another district</t>
  </si>
  <si>
    <t>Voucher system only in Milwaukee and Racine</t>
  </si>
  <si>
    <t>Disabled + special ed only</t>
  </si>
  <si>
    <t>Disabled or special ed only</t>
  </si>
  <si>
    <t>Started voucher system for dyslexic kids grades 1-6 only in 2012</t>
  </si>
  <si>
    <t>http://www.ncsl.org/research/education/voucher-law-comparison.aspx</t>
  </si>
  <si>
    <t>Yellow box indicates statewide voucher system, see link to the left for voucher law origins</t>
  </si>
  <si>
    <t>Disabled or students in poor performing schools, gains above the mean but greater gains 2009-2011 before voucher program introduced</t>
  </si>
  <si>
    <t>2015</t>
  </si>
  <si>
    <t>2013-2015</t>
  </si>
  <si>
    <t>2015 Score Total2</t>
  </si>
  <si>
    <t>2015 Total PPF2</t>
  </si>
  <si>
    <t>x</t>
  </si>
  <si>
    <t>2017</t>
  </si>
  <si>
    <t>2015-2017</t>
  </si>
  <si>
    <t>2015 Score Total</t>
  </si>
  <si>
    <t>2017 Score Total2</t>
  </si>
  <si>
    <t>2015 Total PPF</t>
  </si>
  <si>
    <t>2017 Total PPF2</t>
  </si>
  <si>
    <t>15 Score Total</t>
  </si>
  <si>
    <t>17 Score Total</t>
  </si>
  <si>
    <t>13 Score Total</t>
  </si>
  <si>
    <t>11 Score Total</t>
  </si>
  <si>
    <t>09 Score Total</t>
  </si>
  <si>
    <t>09 Total PPF</t>
  </si>
  <si>
    <t>11 Total PPF</t>
  </si>
  <si>
    <t>13 Total PPF</t>
  </si>
  <si>
    <t>15 Total PPF</t>
  </si>
  <si>
    <t>2009 - 2017</t>
  </si>
  <si>
    <t>17 Total PPF</t>
  </si>
  <si>
    <t>Avg. Score</t>
  </si>
  <si>
    <t>Avg. PPF</t>
  </si>
  <si>
    <t>Notes:</t>
  </si>
  <si>
    <t>Only 10 states had growth on NAEP Total Score</t>
  </si>
  <si>
    <t>1st test after Common Core</t>
  </si>
  <si>
    <t>30 states increased funding, 5 had Total Score increases</t>
  </si>
  <si>
    <t>38 states increased Total Scores</t>
  </si>
  <si>
    <t>33 states increased funding</t>
  </si>
  <si>
    <t>Of the 18 states that decreased funding only 5 had 0 or decreased Total Scores</t>
  </si>
  <si>
    <t>23 states increased their Total Scores</t>
  </si>
  <si>
    <t>45 states increased funding</t>
  </si>
  <si>
    <t>Average funding increase = $800 per pupil</t>
  </si>
  <si>
    <t>37 states increased Total Score</t>
  </si>
  <si>
    <t>43 states increased funding</t>
  </si>
  <si>
    <t>Only 1 state that decreased funding had a decrease in Total Score</t>
  </si>
  <si>
    <t>Average increase in Total Score = 3</t>
  </si>
  <si>
    <t>Average Total Score change = 4</t>
  </si>
  <si>
    <t>Average funding increase = $242 per pupil</t>
  </si>
  <si>
    <t>Average increase in funding = $339 per pupil</t>
  </si>
  <si>
    <t>Average funding increase = $69 per pupil</t>
  </si>
  <si>
    <t>Average score change = -4</t>
  </si>
  <si>
    <t>Average score change = -1</t>
  </si>
  <si>
    <t>Average Total Score change from 2009 - 2017 = 2</t>
  </si>
  <si>
    <t>Average funding increase from 2009 - 2017 = $1,450 per pupil</t>
  </si>
  <si>
    <t>47 states increased funding from 2009 - 2017</t>
  </si>
  <si>
    <t>29 states increased their Total Score and 22 states had 0 or decreased Total Scores from 2009 - 2017</t>
  </si>
  <si>
    <t>CO dropped from 7th in total Score for 2013 to 18th for 2015, their 15 point decrease was the 2nd 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</si>
</sst>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0.0"/>
    <numFmt numFmtId="167" formatCode="0.000\ ;\-0.000\ "/>
    <numFmt numFmtId="168" formatCode="0\ "/>
    <numFmt numFmtId="169" formatCode="#,##0.0000\ ;\-#,##0.0000\ "/>
    <numFmt numFmtId="170" formatCode="#,##0.0000\ ;\-#,##0.0000\ \ "/>
    <numFmt numFmtId="171" formatCode=".0000"/>
    <numFmt numFmtId="172" formatCode="\ 0.000\ ;\ \-0.000\ "/>
    <numFmt numFmtId="173" formatCode="\ #,##0.0000\ ;\-#,##0.0000\ \ "/>
    <numFmt numFmtId="174" formatCode="0\ \ \ "/>
    <numFmt numFmtId="175" formatCode="#,##0.00000000\ ;\-#,##0.00000000\ "/>
    <numFmt numFmtId="176" formatCode="#,##0.00000000\ ;\-#,##0.00000000\ \ "/>
    <numFmt numFmtId="177" formatCode="\ #,##0.00000000\ ;\-#,##0.00000000\ \ "/>
    <numFmt numFmtId="178" formatCode="[$$-409]#,##0_);\([$$-409]#,##0\)"/>
    <numFmt numFmtId="179" formatCode="&quot;$&quot;#,##0.00"/>
    <numFmt numFmtId="180" formatCode="#,##0.00\ ;\-#,##0.00\ "/>
    <numFmt numFmtId="181" formatCode="General\ "/>
    <numFmt numFmtId="182" formatCode="[$$-409]#,##0_);[Red]\([$$-409]#,##0\)"/>
    <numFmt numFmtId="183" formatCode="0_);[Red]\(0\)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8"/>
      <color theme="1"/>
      <name val="Arial"/>
    </font>
    <font>
      <sz val="12"/>
      <name val="Calibri"/>
      <scheme val="minor"/>
    </font>
    <font>
      <sz val="10"/>
      <color theme="1"/>
      <name val="Lucida Console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0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2" xfId="0" applyFont="1" applyBorder="1"/>
    <xf numFmtId="172" fontId="6" fillId="0" borderId="0" xfId="0" applyNumberFormat="1" applyFont="1"/>
    <xf numFmtId="0" fontId="8" fillId="0" borderId="5" xfId="0" applyFont="1" applyBorder="1" applyAlignment="1">
      <alignment horizontal="right"/>
    </xf>
    <xf numFmtId="172" fontId="8" fillId="0" borderId="5" xfId="0" applyNumberFormat="1" applyFont="1" applyBorder="1" applyAlignment="1">
      <alignment horizontal="right"/>
    </xf>
    <xf numFmtId="0" fontId="6" fillId="0" borderId="6" xfId="0" applyFont="1" applyBorder="1"/>
    <xf numFmtId="173" fontId="6" fillId="0" borderId="6" xfId="0" applyNumberFormat="1" applyFont="1" applyBorder="1" applyAlignment="1">
      <alignment horizontal="right"/>
    </xf>
    <xf numFmtId="174" fontId="8" fillId="0" borderId="5" xfId="0" applyNumberFormat="1" applyFont="1" applyBorder="1" applyAlignment="1">
      <alignment horizontal="right"/>
    </xf>
    <xf numFmtId="174" fontId="6" fillId="0" borderId="6" xfId="0" applyNumberFormat="1" applyFont="1" applyBorder="1" applyAlignment="1">
      <alignment horizontal="right"/>
    </xf>
    <xf numFmtId="177" fontId="6" fillId="0" borderId="6" xfId="0" applyNumberFormat="1" applyFont="1" applyBorder="1" applyAlignment="1">
      <alignment horizontal="right"/>
    </xf>
    <xf numFmtId="0" fontId="6" fillId="0" borderId="0" xfId="0" applyFont="1" applyFill="1" applyBorder="1"/>
    <xf numFmtId="167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74" fontId="8" fillId="0" borderId="0" xfId="0" applyNumberFormat="1" applyFont="1" applyFill="1" applyBorder="1" applyAlignment="1">
      <alignment horizontal="right"/>
    </xf>
    <xf numFmtId="174" fontId="6" fillId="0" borderId="0" xfId="0" applyNumberFormat="1" applyFont="1" applyFill="1" applyBorder="1" applyAlignment="1">
      <alignment horizontal="right"/>
    </xf>
    <xf numFmtId="170" fontId="6" fillId="0" borderId="0" xfId="0" applyNumberFormat="1" applyFont="1" applyFill="1" applyBorder="1"/>
    <xf numFmtId="171" fontId="6" fillId="0" borderId="0" xfId="0" applyNumberFormat="1" applyFont="1" applyFill="1" applyBorder="1"/>
    <xf numFmtId="0" fontId="8" fillId="0" borderId="0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169" fontId="6" fillId="0" borderId="0" xfId="0" applyNumberFormat="1" applyFont="1" applyFill="1" applyBorder="1"/>
    <xf numFmtId="169" fontId="6" fillId="0" borderId="0" xfId="0" applyNumberFormat="1" applyFont="1" applyBorder="1"/>
    <xf numFmtId="170" fontId="6" fillId="0" borderId="0" xfId="0" applyNumberFormat="1" applyFont="1" applyBorder="1"/>
    <xf numFmtId="172" fontId="6" fillId="0" borderId="0" xfId="0" applyNumberFormat="1" applyFont="1" applyBorder="1"/>
    <xf numFmtId="171" fontId="6" fillId="0" borderId="0" xfId="0" applyNumberFormat="1" applyFont="1" applyBorder="1"/>
    <xf numFmtId="165" fontId="0" fillId="0" borderId="0" xfId="53" applyNumberFormat="1" applyFont="1" applyAlignment="1">
      <alignment horizontal="center"/>
    </xf>
    <xf numFmtId="10" fontId="0" fillId="0" borderId="0" xfId="53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68" fontId="6" fillId="0" borderId="0" xfId="0" applyNumberFormat="1" applyFont="1"/>
    <xf numFmtId="0" fontId="0" fillId="0" borderId="0" xfId="0" applyBorder="1"/>
    <xf numFmtId="165" fontId="0" fillId="0" borderId="1" xfId="53" applyNumberFormat="1" applyFont="1" applyBorder="1" applyAlignment="1">
      <alignment horizontal="center"/>
    </xf>
    <xf numFmtId="10" fontId="0" fillId="0" borderId="1" xfId="53" applyNumberFormat="1" applyFon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9" fontId="0" fillId="0" borderId="0" xfId="53" applyFont="1" applyAlignment="1">
      <alignment horizontal="center"/>
    </xf>
    <xf numFmtId="5" fontId="0" fillId="0" borderId="0" xfId="62" applyNumberFormat="1" applyFont="1" applyAlignment="1">
      <alignment horizontal="center"/>
    </xf>
    <xf numFmtId="166" fontId="0" fillId="0" borderId="0" xfId="53" applyNumberFormat="1" applyFont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7" fontId="0" fillId="0" borderId="0" xfId="62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180" fontId="6" fillId="0" borderId="0" xfId="0" applyNumberFormat="1" applyFont="1"/>
    <xf numFmtId="181" fontId="6" fillId="0" borderId="0" xfId="0" applyNumberFormat="1" applyFont="1"/>
    <xf numFmtId="165" fontId="6" fillId="0" borderId="0" xfId="0" applyNumberFormat="1" applyFont="1"/>
    <xf numFmtId="0" fontId="11" fillId="0" borderId="0" xfId="0" applyFont="1"/>
    <xf numFmtId="10" fontId="6" fillId="0" borderId="0" xfId="0" applyNumberFormat="1" applyFont="1"/>
    <xf numFmtId="171" fontId="6" fillId="3" borderId="0" xfId="0" applyNumberFormat="1" applyFont="1" applyFill="1" applyBorder="1"/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10" fillId="0" borderId="0" xfId="53" applyNumberFormat="1" applyFont="1" applyBorder="1" applyAlignment="1">
      <alignment horizontal="center"/>
    </xf>
    <xf numFmtId="165" fontId="0" fillId="0" borderId="0" xfId="53" applyNumberFormat="1" applyFont="1" applyBorder="1" applyAlignment="1">
      <alignment horizontal="center"/>
    </xf>
    <xf numFmtId="10" fontId="0" fillId="0" borderId="0" xfId="53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7" fontId="0" fillId="0" borderId="0" xfId="62" applyNumberFormat="1" applyFont="1" applyBorder="1" applyAlignment="1">
      <alignment horizontal="center"/>
    </xf>
    <xf numFmtId="9" fontId="0" fillId="0" borderId="0" xfId="53" applyFon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65" fontId="0" fillId="0" borderId="0" xfId="0" quotePrefix="1" applyNumberForma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2" xfId="0" applyFont="1" applyBorder="1"/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168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14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173" fontId="6" fillId="0" borderId="0" xfId="0" applyNumberFormat="1" applyFont="1" applyBorder="1" applyAlignment="1">
      <alignment horizontal="right"/>
    </xf>
    <xf numFmtId="174" fontId="6" fillId="0" borderId="0" xfId="0" applyNumberFormat="1" applyFont="1" applyBorder="1" applyAlignment="1">
      <alignment horizontal="right"/>
    </xf>
    <xf numFmtId="2" fontId="6" fillId="0" borderId="0" xfId="0" applyNumberFormat="1" applyFont="1" applyBorder="1"/>
    <xf numFmtId="11" fontId="6" fillId="2" borderId="0" xfId="0" applyNumberFormat="1" applyFont="1" applyFill="1" applyBorder="1"/>
    <xf numFmtId="0" fontId="6" fillId="0" borderId="15" xfId="0" applyFont="1" applyBorder="1" applyAlignment="1">
      <alignment horizontal="right"/>
    </xf>
    <xf numFmtId="0" fontId="8" fillId="0" borderId="0" xfId="0" applyFont="1" applyBorder="1" applyAlignment="1">
      <alignment horizontal="centerContinuous"/>
    </xf>
    <xf numFmtId="0" fontId="9" fillId="0" borderId="13" xfId="0" applyFont="1" applyBorder="1" applyAlignment="1">
      <alignment horizontal="centerContinuous"/>
    </xf>
    <xf numFmtId="0" fontId="8" fillId="0" borderId="16" xfId="0" applyFont="1" applyBorder="1" applyAlignment="1">
      <alignment horizontal="right"/>
    </xf>
    <xf numFmtId="0" fontId="6" fillId="2" borderId="12" xfId="0" applyFont="1" applyFill="1" applyBorder="1" applyAlignment="1">
      <alignment horizontal="right"/>
    </xf>
    <xf numFmtId="169" fontId="6" fillId="0" borderId="13" xfId="0" applyNumberFormat="1" applyFont="1" applyBorder="1"/>
    <xf numFmtId="0" fontId="6" fillId="2" borderId="17" xfId="0" applyFont="1" applyFill="1" applyBorder="1" applyAlignment="1">
      <alignment horizontal="right"/>
    </xf>
    <xf numFmtId="169" fontId="6" fillId="0" borderId="1" xfId="0" applyNumberFormat="1" applyFont="1" applyBorder="1"/>
    <xf numFmtId="170" fontId="6" fillId="0" borderId="1" xfId="0" applyNumberFormat="1" applyFont="1" applyBorder="1"/>
    <xf numFmtId="172" fontId="6" fillId="0" borderId="1" xfId="0" applyNumberFormat="1" applyFont="1" applyBorder="1"/>
    <xf numFmtId="11" fontId="6" fillId="2" borderId="1" xfId="0" applyNumberFormat="1" applyFont="1" applyFill="1" applyBorder="1"/>
    <xf numFmtId="169" fontId="6" fillId="0" borderId="18" xfId="0" applyNumberFormat="1" applyFont="1" applyBorder="1"/>
    <xf numFmtId="171" fontId="6" fillId="2" borderId="0" xfId="0" applyNumberFormat="1" applyFont="1" applyFill="1" applyBorder="1"/>
    <xf numFmtId="171" fontId="6" fillId="2" borderId="1" xfId="0" applyNumberFormat="1" applyFont="1" applyFill="1" applyBorder="1"/>
    <xf numFmtId="0" fontId="6" fillId="0" borderId="12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171" fontId="6" fillId="0" borderId="1" xfId="0" applyNumberFormat="1" applyFont="1" applyBorder="1"/>
    <xf numFmtId="175" fontId="6" fillId="0" borderId="1" xfId="0" applyNumberFormat="1" applyFont="1" applyBorder="1"/>
    <xf numFmtId="175" fontId="6" fillId="0" borderId="18" xfId="0" applyNumberFormat="1" applyFont="1" applyBorder="1"/>
    <xf numFmtId="177" fontId="6" fillId="0" borderId="0" xfId="0" applyNumberFormat="1" applyFont="1" applyBorder="1" applyAlignment="1">
      <alignment horizontal="right"/>
    </xf>
    <xf numFmtId="176" fontId="6" fillId="0" borderId="0" xfId="0" applyNumberFormat="1" applyFont="1" applyBorder="1"/>
    <xf numFmtId="176" fontId="6" fillId="0" borderId="1" xfId="0" applyNumberFormat="1" applyFont="1" applyBorder="1"/>
    <xf numFmtId="0" fontId="6" fillId="3" borderId="17" xfId="0" applyFont="1" applyFill="1" applyBorder="1" applyAlignment="1">
      <alignment horizontal="right"/>
    </xf>
    <xf numFmtId="171" fontId="6" fillId="3" borderId="1" xfId="0" applyNumberFormat="1" applyFont="1" applyFill="1" applyBorder="1"/>
    <xf numFmtId="176" fontId="6" fillId="0" borderId="0" xfId="0" applyNumberFormat="1" applyFont="1" applyFill="1" applyBorder="1"/>
    <xf numFmtId="172" fontId="6" fillId="0" borderId="0" xfId="0" applyNumberFormat="1" applyFont="1" applyFill="1" applyBorder="1"/>
    <xf numFmtId="0" fontId="6" fillId="3" borderId="12" xfId="0" applyFont="1" applyFill="1" applyBorder="1" applyAlignment="1">
      <alignment horizontal="right"/>
    </xf>
    <xf numFmtId="171" fontId="6" fillId="4" borderId="0" xfId="0" applyNumberFormat="1" applyFont="1" applyFill="1" applyBorder="1"/>
    <xf numFmtId="169" fontId="6" fillId="4" borderId="0" xfId="0" applyNumberFormat="1" applyFont="1" applyFill="1" applyBorder="1"/>
    <xf numFmtId="169" fontId="6" fillId="4" borderId="13" xfId="0" applyNumberFormat="1" applyFont="1" applyFill="1" applyBorder="1"/>
    <xf numFmtId="171" fontId="6" fillId="4" borderId="1" xfId="0" applyNumberFormat="1" applyFont="1" applyFill="1" applyBorder="1"/>
    <xf numFmtId="169" fontId="6" fillId="4" borderId="1" xfId="0" applyNumberFormat="1" applyFont="1" applyFill="1" applyBorder="1"/>
    <xf numFmtId="169" fontId="6" fillId="4" borderId="18" xfId="0" applyNumberFormat="1" applyFont="1" applyFill="1" applyBorder="1"/>
    <xf numFmtId="5" fontId="0" fillId="0" borderId="0" xfId="62" applyNumberFormat="1" applyFont="1" applyBorder="1" applyAlignment="1">
      <alignment horizontal="center"/>
    </xf>
    <xf numFmtId="166" fontId="0" fillId="0" borderId="0" xfId="53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6" fontId="0" fillId="0" borderId="0" xfId="62" applyNumberFormat="1" applyFont="1" applyAlignment="1">
      <alignment horizontal="center"/>
    </xf>
    <xf numFmtId="6" fontId="0" fillId="0" borderId="0" xfId="62" applyNumberFormat="1" applyFont="1" applyBorder="1" applyAlignment="1">
      <alignment horizontal="center"/>
    </xf>
    <xf numFmtId="182" fontId="0" fillId="0" borderId="0" xfId="62" applyNumberFormat="1" applyFont="1" applyBorder="1" applyAlignment="1">
      <alignment horizontal="center"/>
    </xf>
    <xf numFmtId="0" fontId="0" fillId="0" borderId="1" xfId="0" applyBorder="1"/>
    <xf numFmtId="16" fontId="0" fillId="0" borderId="0" xfId="0" quotePrefix="1" applyNumberFormat="1" applyAlignment="1">
      <alignment horizontal="center"/>
    </xf>
    <xf numFmtId="0" fontId="0" fillId="0" borderId="19" xfId="0" applyBorder="1" applyAlignment="1">
      <alignment horizontal="left"/>
    </xf>
    <xf numFmtId="1" fontId="0" fillId="0" borderId="19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5" borderId="24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8" xfId="0" applyBorder="1" applyAlignment="1">
      <alignment horizontal="center"/>
    </xf>
    <xf numFmtId="0" fontId="3" fillId="6" borderId="0" xfId="279" applyFill="1" applyAlignment="1">
      <alignment horizontal="left"/>
    </xf>
    <xf numFmtId="0" fontId="0" fillId="6" borderId="0" xfId="0" applyFill="1" applyAlignment="1">
      <alignment horizontal="center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4" xfId="0" quotePrefix="1" applyBorder="1" applyAlignment="1">
      <alignment horizontal="center"/>
    </xf>
    <xf numFmtId="0" fontId="13" fillId="0" borderId="0" xfId="0" applyFont="1" applyAlignment="1">
      <alignment horizontal="left"/>
    </xf>
    <xf numFmtId="183" fontId="0" fillId="0" borderId="0" xfId="0" applyNumberFormat="1" applyBorder="1" applyAlignment="1">
      <alignment horizontal="center"/>
    </xf>
    <xf numFmtId="183" fontId="0" fillId="0" borderId="0" xfId="0" applyNumberFormat="1" applyAlignment="1">
      <alignment horizontal="center"/>
    </xf>
  </cellXfs>
  <cellStyles count="336">
    <cellStyle name="Currency" xfId="6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/>
    <cellStyle name="Normal" xfId="0" builtinId="0"/>
    <cellStyle name="Percent" xfId="53" builtinId="5"/>
  </cellStyles>
  <dxfs count="207"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83" formatCode="0_);[Red]\(0\)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83" formatCode="0_);[Red]\(0\)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83" formatCode="0_);[Red]\(0\)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83" formatCode="0_);[Red]\(0\)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83" formatCode="0_);[Red]\(0\)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79" formatCode="&quot;$&quot;#,##0.0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79" formatCode="&quot;$&quot;#,##0.0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79" formatCode="&quot;$&quot;#,##0.0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%"/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79" formatCode="&quot;$&quot;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66" formatCode="0.0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65" formatCode="0.0%"/>
      <alignment horizontal="center" vertical="bottom" textRotation="0" wrapText="0" indent="0" justifyLastLine="0" shrinkToFit="0" readingOrder="0"/>
    </dxf>
    <dxf>
      <numFmt numFmtId="179" formatCode="&quot;$&quot;#,##0.0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 w="9525">
                <a:noFill/>
              </a:ln>
            </c:spPr>
          </c:marker>
          <c:trendline>
            <c:spPr>
              <a:ln w="3175"/>
            </c:spPr>
            <c:trendlineType val="linear"/>
            <c:dispRSqr val="0"/>
            <c:dispEq val="0"/>
          </c:trendline>
          <c:xVal>
            <c:numRef>
              <c:f>'2011'!$F$3:$F$52</c:f>
              <c:numCache>
                <c:formatCode>0</c:formatCode>
                <c:ptCount val="50"/>
                <c:pt idx="0">
                  <c:v>978</c:v>
                </c:pt>
                <c:pt idx="1">
                  <c:v>988</c:v>
                </c:pt>
                <c:pt idx="2">
                  <c:v>986</c:v>
                </c:pt>
                <c:pt idx="3">
                  <c:v>993</c:v>
                </c:pt>
                <c:pt idx="4">
                  <c:v>973</c:v>
                </c:pt>
                <c:pt idx="5">
                  <c:v>1030</c:v>
                </c:pt>
                <c:pt idx="6">
                  <c:v>1031</c:v>
                </c:pt>
                <c:pt idx="7">
                  <c:v>925</c:v>
                </c:pt>
                <c:pt idx="8">
                  <c:v>1014</c:v>
                </c:pt>
                <c:pt idx="9">
                  <c:v>1005</c:v>
                </c:pt>
                <c:pt idx="10">
                  <c:v>999</c:v>
                </c:pt>
                <c:pt idx="11">
                  <c:v>988</c:v>
                </c:pt>
                <c:pt idx="12">
                  <c:v>1016</c:v>
                </c:pt>
                <c:pt idx="13">
                  <c:v>1007</c:v>
                </c:pt>
                <c:pt idx="14">
                  <c:v>1015</c:v>
                </c:pt>
                <c:pt idx="15">
                  <c:v>1014</c:v>
                </c:pt>
                <c:pt idx="16">
                  <c:v>1027</c:v>
                </c:pt>
                <c:pt idx="17">
                  <c:v>1017</c:v>
                </c:pt>
                <c:pt idx="18">
                  <c:v>969</c:v>
                </c:pt>
                <c:pt idx="19">
                  <c:v>1025</c:v>
                </c:pt>
                <c:pt idx="20">
                  <c:v>1037</c:v>
                </c:pt>
                <c:pt idx="21">
                  <c:v>1064</c:v>
                </c:pt>
                <c:pt idx="22">
                  <c:v>1000</c:v>
                </c:pt>
                <c:pt idx="23">
                  <c:v>1036</c:v>
                </c:pt>
                <c:pt idx="24">
                  <c:v>962</c:v>
                </c:pt>
                <c:pt idx="25">
                  <c:v>1009</c:v>
                </c:pt>
                <c:pt idx="26">
                  <c:v>1035</c:v>
                </c:pt>
                <c:pt idx="27">
                  <c:v>1014</c:v>
                </c:pt>
                <c:pt idx="28">
                  <c:v>986</c:v>
                </c:pt>
                <c:pt idx="29">
                  <c:v>1046</c:v>
                </c:pt>
                <c:pt idx="30">
                  <c:v>1048</c:v>
                </c:pt>
                <c:pt idx="31">
                  <c:v>971</c:v>
                </c:pt>
                <c:pt idx="32">
                  <c:v>1006</c:v>
                </c:pt>
                <c:pt idx="33">
                  <c:v>1015</c:v>
                </c:pt>
                <c:pt idx="34">
                  <c:v>1032</c:v>
                </c:pt>
                <c:pt idx="35">
                  <c:v>1025</c:v>
                </c:pt>
                <c:pt idx="36">
                  <c:v>991</c:v>
                </c:pt>
                <c:pt idx="37">
                  <c:v>1000</c:v>
                </c:pt>
                <c:pt idx="38">
                  <c:v>1027</c:v>
                </c:pt>
                <c:pt idx="39">
                  <c:v>1012</c:v>
                </c:pt>
                <c:pt idx="40">
                  <c:v>993</c:v>
                </c:pt>
                <c:pt idx="41">
                  <c:v>1021</c:v>
                </c:pt>
                <c:pt idx="42">
                  <c:v>981</c:v>
                </c:pt>
                <c:pt idx="43">
                  <c:v>1010</c:v>
                </c:pt>
                <c:pt idx="44">
                  <c:v>1013</c:v>
                </c:pt>
                <c:pt idx="45">
                  <c:v>1042</c:v>
                </c:pt>
                <c:pt idx="46">
                  <c:v>1027</c:v>
                </c:pt>
                <c:pt idx="47">
                  <c:v>1020</c:v>
                </c:pt>
                <c:pt idx="48">
                  <c:v>978</c:v>
                </c:pt>
                <c:pt idx="49">
                  <c:v>1022</c:v>
                </c:pt>
              </c:numCache>
            </c:numRef>
          </c:xVal>
          <c:yVal>
            <c:numRef>
              <c:f>'2011'!$H$3:$H$52</c:f>
              <c:numCache>
                <c:formatCode>"$"#,##0</c:formatCode>
                <c:ptCount val="50"/>
                <c:pt idx="0">
                  <c:v>8996</c:v>
                </c:pt>
                <c:pt idx="1">
                  <c:v>15310</c:v>
                </c:pt>
                <c:pt idx="2">
                  <c:v>7931</c:v>
                </c:pt>
                <c:pt idx="3">
                  <c:v>8853</c:v>
                </c:pt>
                <c:pt idx="4">
                  <c:v>9471</c:v>
                </c:pt>
                <c:pt idx="5">
                  <c:v>8963</c:v>
                </c:pt>
                <c:pt idx="6">
                  <c:v>15260</c:v>
                </c:pt>
                <c:pt idx="7">
                  <c:v>17251</c:v>
                </c:pt>
                <c:pt idx="8">
                  <c:v>12390</c:v>
                </c:pt>
                <c:pt idx="9">
                  <c:v>8747</c:v>
                </c:pt>
                <c:pt idx="10">
                  <c:v>9685</c:v>
                </c:pt>
                <c:pt idx="11">
                  <c:v>12370</c:v>
                </c:pt>
                <c:pt idx="12">
                  <c:v>7194</c:v>
                </c:pt>
                <c:pt idx="13">
                  <c:v>11120</c:v>
                </c:pt>
                <c:pt idx="14">
                  <c:v>9248</c:v>
                </c:pt>
                <c:pt idx="15">
                  <c:v>10010</c:v>
                </c:pt>
                <c:pt idx="16">
                  <c:v>10261</c:v>
                </c:pt>
                <c:pt idx="17">
                  <c:v>8836</c:v>
                </c:pt>
                <c:pt idx="18">
                  <c:v>10684</c:v>
                </c:pt>
                <c:pt idx="19">
                  <c:v>11977</c:v>
                </c:pt>
                <c:pt idx="20">
                  <c:v>13706</c:v>
                </c:pt>
                <c:pt idx="21">
                  <c:v>14478</c:v>
                </c:pt>
                <c:pt idx="22">
                  <c:v>10171</c:v>
                </c:pt>
                <c:pt idx="23">
                  <c:v>11067</c:v>
                </c:pt>
                <c:pt idx="24">
                  <c:v>8028</c:v>
                </c:pt>
                <c:pt idx="25">
                  <c:v>9868</c:v>
                </c:pt>
                <c:pt idx="26">
                  <c:v>10092</c:v>
                </c:pt>
                <c:pt idx="27">
                  <c:v>10860</c:v>
                </c:pt>
                <c:pt idx="28">
                  <c:v>8398</c:v>
                </c:pt>
                <c:pt idx="29">
                  <c:v>12405</c:v>
                </c:pt>
                <c:pt idx="30">
                  <c:v>17064</c:v>
                </c:pt>
                <c:pt idx="31">
                  <c:v>9683</c:v>
                </c:pt>
                <c:pt idx="32">
                  <c:v>17586</c:v>
                </c:pt>
                <c:pt idx="33">
                  <c:v>8468</c:v>
                </c:pt>
                <c:pt idx="34">
                  <c:v>9767</c:v>
                </c:pt>
                <c:pt idx="35">
                  <c:v>10616</c:v>
                </c:pt>
                <c:pt idx="36">
                  <c:v>7915</c:v>
                </c:pt>
                <c:pt idx="37">
                  <c:v>9777</c:v>
                </c:pt>
                <c:pt idx="38">
                  <c:v>12115</c:v>
                </c:pt>
                <c:pt idx="39">
                  <c:v>14491</c:v>
                </c:pt>
                <c:pt idx="40">
                  <c:v>9303</c:v>
                </c:pt>
                <c:pt idx="41">
                  <c:v>8881</c:v>
                </c:pt>
                <c:pt idx="42">
                  <c:v>8055</c:v>
                </c:pt>
                <c:pt idx="43">
                  <c:v>8703</c:v>
                </c:pt>
                <c:pt idx="44">
                  <c:v>6314</c:v>
                </c:pt>
                <c:pt idx="45">
                  <c:v>15029</c:v>
                </c:pt>
                <c:pt idx="46">
                  <c:v>10972</c:v>
                </c:pt>
                <c:pt idx="47">
                  <c:v>9648</c:v>
                </c:pt>
                <c:pt idx="48">
                  <c:v>10828</c:v>
                </c:pt>
                <c:pt idx="49">
                  <c:v>11171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A-4227-BC7A-9598E638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55256"/>
        <c:axId val="2112460456"/>
      </c:scatterChart>
      <c:valAx>
        <c:axId val="211245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12460456"/>
        <c:crosses val="autoZero"/>
        <c:crossBetween val="midCat"/>
      </c:valAx>
      <c:valAx>
        <c:axId val="2112460456"/>
        <c:scaling>
          <c:orientation val="minMax"/>
          <c:min val="6000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PPF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112455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647700</xdr:colOff>
      <xdr:row>1</xdr:row>
      <xdr:rowOff>76200</xdr:rowOff>
    </xdr:from>
    <xdr:to>
      <xdr:col>12</xdr:col>
      <xdr:colOff>774700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rm/Documents/BOE/Funding%20Issue/Funding%20vs%20Achievement%20Data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vs. Funding"/>
      <sheetName val="Output"/>
      <sheetName val="Sheet1"/>
      <sheetName val="Funding vs Achievement Data 200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T53" totalsRowShown="0" headerRowDxfId="206" dataDxfId="204" headerRowBorderDxfId="205">
  <autoFilter ref="A2:T53" xr:uid="{00000000-0009-0000-0100-000001000000}"/>
  <sortState ref="A3:T53">
    <sortCondition ref="A2:A53"/>
  </sortState>
  <tableColumns count="20">
    <tableColumn id="1" xr3:uid="{00000000-0010-0000-0000-000001000000}" name="2009" dataDxfId="203"/>
    <tableColumn id="2" xr3:uid="{00000000-0010-0000-0000-000002000000}" name="4th Math" dataDxfId="202"/>
    <tableColumn id="3" xr3:uid="{00000000-0010-0000-0000-000003000000}" name="8th Math" dataDxfId="201"/>
    <tableColumn id="4" xr3:uid="{00000000-0010-0000-0000-000004000000}" name="4th Reading" dataDxfId="200"/>
    <tableColumn id="5" xr3:uid="{00000000-0010-0000-0000-000005000000}" name="8th Reading" dataDxfId="199"/>
    <tableColumn id="6" xr3:uid="{00000000-0010-0000-0000-000006000000}" name="Total" dataDxfId="198">
      <calculatedColumnFormula>SUM(B3:E3)</calculatedColumnFormula>
    </tableColumn>
    <tableColumn id="19" xr3:uid="{00000000-0010-0000-0000-000013000000}" name="Score Rank" dataDxfId="197">
      <calculatedColumnFormula>RANK(F3,F$3:F$53)</calculatedColumnFormula>
    </tableColumn>
    <tableColumn id="7" xr3:uid="{00000000-0010-0000-0000-000007000000}" name="PPF" dataDxfId="196"/>
    <tableColumn id="20" xr3:uid="{00000000-0010-0000-0000-000014000000}" name="PPF Rank" dataDxfId="195">
      <calculatedColumnFormula>RANK(H3,H$3:H$53)</calculatedColumnFormula>
    </tableColumn>
    <tableColumn id="8" xr3:uid="{00000000-0010-0000-0000-000008000000}" name="$ per point" dataDxfId="194">
      <calculatedColumnFormula>[1]!Table3[[#This Row],[PPF]]/[1]!Table3[[#This Row],[Total]]</calculatedColumnFormula>
    </tableColumn>
    <tableColumn id="9" xr3:uid="{00000000-0010-0000-0000-000009000000}" name="White" dataDxfId="193"/>
    <tableColumn id="10" xr3:uid="{00000000-0010-0000-0000-00000A000000}" name="Black" dataDxfId="192"/>
    <tableColumn id="11" xr3:uid="{00000000-0010-0000-0000-00000B000000}" name="Hispanic" dataDxfId="191"/>
    <tableColumn id="12" xr3:uid="{00000000-0010-0000-0000-00000C000000}" name="Asian" dataDxfId="190"/>
    <tableColumn id="13" xr3:uid="{00000000-0010-0000-0000-00000D000000}" name="Nat. Am." dataDxfId="189"/>
    <tableColumn id="14" xr3:uid="{00000000-0010-0000-0000-00000E000000}" name="IEP" dataDxfId="188"/>
    <tableColumn id="15" xr3:uid="{00000000-0010-0000-0000-00000F000000}" name="ELL" dataDxfId="187"/>
    <tableColumn id="16" xr3:uid="{00000000-0010-0000-0000-000010000000}" name="At-Risk" dataDxfId="186"/>
    <tableColumn id="17" xr3:uid="{00000000-0010-0000-0000-000011000000}" name="Charter %" dataDxfId="185"/>
    <tableColumn id="18" xr3:uid="{00000000-0010-0000-0000-000012000000}" name="Ratio" dataDxfId="1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6581011" displayName="Table6581011" ref="A9:O60" totalsRowShown="0" headerRowDxfId="18" dataDxfId="16" headerRowBorderDxfId="17" tableBorderDxfId="15">
  <autoFilter ref="A9:O60" xr:uid="{00000000-0009-0000-0100-00000A000000}"/>
  <sortState ref="A10:O60">
    <sortCondition ref="A9:A60"/>
  </sortState>
  <tableColumns count="15">
    <tableColumn id="1" xr3:uid="{00000000-0010-0000-0900-000001000000}" name="State" dataDxfId="14"/>
    <tableColumn id="14" xr3:uid="{00000000-0010-0000-0900-00000E000000}" name="09 Score Total" dataDxfId="13"/>
    <tableColumn id="15" xr3:uid="{00000000-0010-0000-0900-00000F000000}" name="11 Score Total" dataDxfId="12"/>
    <tableColumn id="16" xr3:uid="{00000000-0010-0000-0900-000010000000}" name="13 Score Total" dataDxfId="11"/>
    <tableColumn id="2" xr3:uid="{00000000-0010-0000-0900-000002000000}" name="15 Score Total" dataDxfId="10"/>
    <tableColumn id="3" xr3:uid="{00000000-0010-0000-0900-000003000000}" name="17 Score Total" dataDxfId="9"/>
    <tableColumn id="20" xr3:uid="{00000000-0010-0000-0900-000014000000}" name="Score Change" dataDxfId="8">
      <calculatedColumnFormula>Table6581011[[#This Row],[17 Score Total]]-Table6581011[[#This Row],[09 Score Total]]</calculatedColumnFormula>
    </tableColumn>
    <tableColumn id="21" xr3:uid="{00000000-0010-0000-0900-000015000000}" name="Avg. Score" dataDxfId="7">
      <calculatedColumnFormula>SUM(B10:F10)/5</calculatedColumnFormula>
    </tableColumn>
    <tableColumn id="17" xr3:uid="{00000000-0010-0000-0900-000011000000}" name="09 Total PPF" dataDxfId="6"/>
    <tableColumn id="18" xr3:uid="{00000000-0010-0000-0900-000012000000}" name="11 Total PPF" dataDxfId="5"/>
    <tableColumn id="19" xr3:uid="{00000000-0010-0000-0900-000013000000}" name="13 Total PPF" dataDxfId="4"/>
    <tableColumn id="5" xr3:uid="{00000000-0010-0000-0900-000005000000}" name="15 Total PPF" dataDxfId="3"/>
    <tableColumn id="6" xr3:uid="{00000000-0010-0000-0900-000006000000}" name="17 Total PPF" dataDxfId="2"/>
    <tableColumn id="7" xr3:uid="{00000000-0010-0000-0900-000007000000}" name="PPF Change" dataDxfId="1" dataCellStyle="Currency">
      <calculatedColumnFormula>M10-I10</calculatedColumnFormula>
    </tableColumn>
    <tableColumn id="22" xr3:uid="{00000000-0010-0000-0900-000016000000}" name="Avg. PPF" dataDxfId="0" dataCellStyle="Currency">
      <calculatedColumnFormula>SUM(Table6581011[[#This Row],[09 Total PPF]:[PPF Change]])/5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2:U53" totalsRowShown="0" headerRowDxfId="183" dataDxfId="181" headerRowBorderDxfId="182" tableBorderDxfId="180">
  <autoFilter ref="A2:U53" xr:uid="{00000000-0009-0000-0100-000003000000}"/>
  <sortState ref="A3:S53">
    <sortCondition ref="A2:A53"/>
  </sortState>
  <tableColumns count="21">
    <tableColumn id="1" xr3:uid="{00000000-0010-0000-0100-000001000000}" name="2011" dataDxfId="179"/>
    <tableColumn id="2" xr3:uid="{00000000-0010-0000-0100-000002000000}" name="4th Math" dataDxfId="178"/>
    <tableColumn id="3" xr3:uid="{00000000-0010-0000-0100-000003000000}" name="8th Math" dataDxfId="177"/>
    <tableColumn id="4" xr3:uid="{00000000-0010-0000-0100-000004000000}" name="4th Reading" dataDxfId="176"/>
    <tableColumn id="5" xr3:uid="{00000000-0010-0000-0100-000005000000}" name="8th Reading" dataDxfId="175"/>
    <tableColumn id="6" xr3:uid="{00000000-0010-0000-0100-000006000000}" name="Total" dataDxfId="174">
      <calculatedColumnFormula>SUM(B3:E3)</calculatedColumnFormula>
    </tableColumn>
    <tableColumn id="20" xr3:uid="{00000000-0010-0000-0100-000014000000}" name="Score Rank" dataDxfId="173">
      <calculatedColumnFormula>RANK(F3,F$3:F$53)</calculatedColumnFormula>
    </tableColumn>
    <tableColumn id="7" xr3:uid="{00000000-0010-0000-0100-000007000000}" name="PPF" dataDxfId="172"/>
    <tableColumn id="21" xr3:uid="{00000000-0010-0000-0100-000015000000}" name="PPF Rank" dataDxfId="171">
      <calculatedColumnFormula>RANK(H3,H$3:H$53)</calculatedColumnFormula>
    </tableColumn>
    <tableColumn id="19" xr3:uid="{00000000-0010-0000-0100-000013000000}" name="$ per point" dataDxfId="170">
      <calculatedColumnFormula>Table3[[#This Row],[PPF]]/Table3[[#This Row],[Total]]</calculatedColumnFormula>
    </tableColumn>
    <tableColumn id="8" xr3:uid="{00000000-0010-0000-0100-000008000000}" name="White" dataDxfId="169"/>
    <tableColumn id="9" xr3:uid="{00000000-0010-0000-0100-000009000000}" name="Black" dataDxfId="168"/>
    <tableColumn id="10" xr3:uid="{00000000-0010-0000-0100-00000A000000}" name="Hispanic" dataDxfId="167"/>
    <tableColumn id="11" xr3:uid="{00000000-0010-0000-0100-00000B000000}" name="Asian" dataDxfId="166"/>
    <tableColumn id="12" xr3:uid="{00000000-0010-0000-0100-00000C000000}" name="Nat. Am." dataDxfId="165"/>
    <tableColumn id="13" xr3:uid="{00000000-0010-0000-0100-00000D000000}" name="IEP" dataDxfId="164"/>
    <tableColumn id="14" xr3:uid="{00000000-0010-0000-0100-00000E000000}" name="ELL" dataDxfId="163"/>
    <tableColumn id="15" xr3:uid="{00000000-0010-0000-0100-00000F000000}" name="At-Risk" dataDxfId="162"/>
    <tableColumn id="16" xr3:uid="{00000000-0010-0000-0100-000010000000}" name="Charter %" dataDxfId="161"/>
    <tableColumn id="17" xr3:uid="{00000000-0010-0000-0100-000011000000}" name="Ratio" dataDxfId="160"/>
    <tableColumn id="18" xr3:uid="{00000000-0010-0000-0100-000012000000}" name="% College" dataDxfId="159" dataCellStyle="Perc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33" displayName="Table33" ref="A2:T53" totalsRowShown="0" headerRowDxfId="158" dataDxfId="156" headerRowBorderDxfId="157" tableBorderDxfId="155">
  <autoFilter ref="A2:T53" xr:uid="{00000000-0009-0000-0100-000002000000}"/>
  <sortState ref="A3:T53">
    <sortCondition ref="A2:A53"/>
  </sortState>
  <tableColumns count="20">
    <tableColumn id="1" xr3:uid="{00000000-0010-0000-0200-000001000000}" name="2013" dataDxfId="154"/>
    <tableColumn id="2" xr3:uid="{00000000-0010-0000-0200-000002000000}" name="4th Math" dataDxfId="153"/>
    <tableColumn id="3" xr3:uid="{00000000-0010-0000-0200-000003000000}" name="8th Math" dataDxfId="152"/>
    <tableColumn id="4" xr3:uid="{00000000-0010-0000-0200-000004000000}" name="4th Reading" dataDxfId="151"/>
    <tableColumn id="5" xr3:uid="{00000000-0010-0000-0200-000005000000}" name="8th Reading" dataDxfId="150"/>
    <tableColumn id="6" xr3:uid="{00000000-0010-0000-0200-000006000000}" name="Total" dataDxfId="149">
      <calculatedColumnFormula>SUM(B3:E3)</calculatedColumnFormula>
    </tableColumn>
    <tableColumn id="18" xr3:uid="{00000000-0010-0000-0200-000012000000}" name="Score Rank" dataDxfId="148">
      <calculatedColumnFormula>RANK(F3,F$3:F$53)</calculatedColumnFormula>
    </tableColumn>
    <tableColumn id="7" xr3:uid="{00000000-0010-0000-0200-000007000000}" name="PPF" dataDxfId="147"/>
    <tableColumn id="20" xr3:uid="{00000000-0010-0000-0200-000014000000}" name="PPF Rank" dataDxfId="146">
      <calculatedColumnFormula>RANK(H3,H$3:H$53)</calculatedColumnFormula>
    </tableColumn>
    <tableColumn id="19" xr3:uid="{00000000-0010-0000-0200-000013000000}" name="$ per point" dataDxfId="145">
      <calculatedColumnFormula>Table33[[#This Row],[PPF]]/Table33[[#This Row],[Total]]</calculatedColumnFormula>
    </tableColumn>
    <tableColumn id="8" xr3:uid="{00000000-0010-0000-0200-000008000000}" name="White" dataDxfId="144"/>
    <tableColumn id="9" xr3:uid="{00000000-0010-0000-0200-000009000000}" name="Black" dataDxfId="143"/>
    <tableColumn id="10" xr3:uid="{00000000-0010-0000-0200-00000A000000}" name="Hispanic" dataDxfId="142"/>
    <tableColumn id="11" xr3:uid="{00000000-0010-0000-0200-00000B000000}" name="Asian" dataDxfId="141"/>
    <tableColumn id="12" xr3:uid="{00000000-0010-0000-0200-00000C000000}" name="Nat. Am." dataDxfId="140"/>
    <tableColumn id="13" xr3:uid="{00000000-0010-0000-0200-00000D000000}" name="IEP" dataDxfId="139"/>
    <tableColumn id="14" xr3:uid="{00000000-0010-0000-0200-00000E000000}" name="ELL" dataDxfId="138"/>
    <tableColumn id="15" xr3:uid="{00000000-0010-0000-0200-00000F000000}" name="At-Risk" dataDxfId="137"/>
    <tableColumn id="16" xr3:uid="{00000000-0010-0000-0200-000010000000}" name="Charter %" dataDxfId="136"/>
    <tableColumn id="17" xr3:uid="{00000000-0010-0000-0200-000011000000}" name="Ratio" dataDxfId="13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336" displayName="Table336" ref="A2:T53" totalsRowShown="0" headerRowDxfId="134" dataDxfId="132" headerRowBorderDxfId="133" tableBorderDxfId="131">
  <autoFilter ref="A2:T53" xr:uid="{00000000-0009-0000-0100-000005000000}"/>
  <sortState ref="A3:T53">
    <sortCondition ref="A2:A53"/>
  </sortState>
  <tableColumns count="20">
    <tableColumn id="1" xr3:uid="{00000000-0010-0000-0300-000001000000}" name="2015" dataDxfId="130"/>
    <tableColumn id="2" xr3:uid="{00000000-0010-0000-0300-000002000000}" name="4th Math" dataDxfId="129"/>
    <tableColumn id="3" xr3:uid="{00000000-0010-0000-0300-000003000000}" name="8th Math" dataDxfId="128"/>
    <tableColumn id="4" xr3:uid="{00000000-0010-0000-0300-000004000000}" name="4th Reading" dataDxfId="127"/>
    <tableColumn id="5" xr3:uid="{00000000-0010-0000-0300-000005000000}" name="8th Reading" dataDxfId="126"/>
    <tableColumn id="6" xr3:uid="{00000000-0010-0000-0300-000006000000}" name="Total" dataDxfId="125">
      <calculatedColumnFormula>SUM(B3:E3)</calculatedColumnFormula>
    </tableColumn>
    <tableColumn id="18" xr3:uid="{00000000-0010-0000-0300-000012000000}" name="Score Rank" dataDxfId="124">
      <calculatedColumnFormula>RANK(F3,F$3:F$53)</calculatedColumnFormula>
    </tableColumn>
    <tableColumn id="7" xr3:uid="{00000000-0010-0000-0300-000007000000}" name="PPF" dataDxfId="123"/>
    <tableColumn id="20" xr3:uid="{00000000-0010-0000-0300-000014000000}" name="PPF Rank" dataDxfId="122">
      <calculatedColumnFormula>RANK(H3,H$3:H$53)</calculatedColumnFormula>
    </tableColumn>
    <tableColumn id="19" xr3:uid="{00000000-0010-0000-0300-000013000000}" name="$ per point" dataDxfId="121">
      <calculatedColumnFormula>Table336[[#This Row],[PPF]]/Table336[[#This Row],[Total]]</calculatedColumnFormula>
    </tableColumn>
    <tableColumn id="8" xr3:uid="{00000000-0010-0000-0300-000008000000}" name="White" dataDxfId="120"/>
    <tableColumn id="9" xr3:uid="{00000000-0010-0000-0300-000009000000}" name="Black" dataDxfId="119"/>
    <tableColumn id="10" xr3:uid="{00000000-0010-0000-0300-00000A000000}" name="Hispanic" dataDxfId="118"/>
    <tableColumn id="11" xr3:uid="{00000000-0010-0000-0300-00000B000000}" name="Asian" dataDxfId="117"/>
    <tableColumn id="12" xr3:uid="{00000000-0010-0000-0300-00000C000000}" name="Nat. Am." dataDxfId="116"/>
    <tableColumn id="13" xr3:uid="{00000000-0010-0000-0300-00000D000000}" name="IEP" dataDxfId="115"/>
    <tableColumn id="14" xr3:uid="{00000000-0010-0000-0300-00000E000000}" name="ELL" dataDxfId="114"/>
    <tableColumn id="15" xr3:uid="{00000000-0010-0000-0300-00000F000000}" name="At-Risk" dataDxfId="113"/>
    <tableColumn id="16" xr3:uid="{00000000-0010-0000-0300-000010000000}" name="Charter %" dataDxfId="112"/>
    <tableColumn id="17" xr3:uid="{00000000-0010-0000-0300-000011000000}" name="Ratio" dataDxfId="11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3369" displayName="Table3369" ref="A2:T53" totalsRowShown="0" headerRowDxfId="110" dataDxfId="108" headerRowBorderDxfId="109" tableBorderDxfId="107">
  <autoFilter ref="A2:T53" xr:uid="{00000000-0009-0000-0100-000008000000}"/>
  <sortState ref="A3:T53">
    <sortCondition ref="A2:A53"/>
  </sortState>
  <tableColumns count="20">
    <tableColumn id="1" xr3:uid="{00000000-0010-0000-0400-000001000000}" name="2017" dataDxfId="106"/>
    <tableColumn id="2" xr3:uid="{00000000-0010-0000-0400-000002000000}" name="4th Math" dataDxfId="105"/>
    <tableColumn id="3" xr3:uid="{00000000-0010-0000-0400-000003000000}" name="8th Math" dataDxfId="104"/>
    <tableColumn id="4" xr3:uid="{00000000-0010-0000-0400-000004000000}" name="4th Reading" dataDxfId="103"/>
    <tableColumn id="5" xr3:uid="{00000000-0010-0000-0400-000005000000}" name="8th Reading" dataDxfId="102"/>
    <tableColumn id="6" xr3:uid="{00000000-0010-0000-0400-000006000000}" name="Total" dataDxfId="101">
      <calculatedColumnFormula>SUM(B3:E3)</calculatedColumnFormula>
    </tableColumn>
    <tableColumn id="18" xr3:uid="{00000000-0010-0000-0400-000012000000}" name="Score Rank" dataDxfId="100">
      <calculatedColumnFormula>RANK(F3,F$3:F$53)</calculatedColumnFormula>
    </tableColumn>
    <tableColumn id="7" xr3:uid="{00000000-0010-0000-0400-000007000000}" name="PPF" dataDxfId="99"/>
    <tableColumn id="20" xr3:uid="{00000000-0010-0000-0400-000014000000}" name="PPF Rank" dataDxfId="98">
      <calculatedColumnFormula>RANK(H3,H$3:H$53)</calculatedColumnFormula>
    </tableColumn>
    <tableColumn id="19" xr3:uid="{00000000-0010-0000-0400-000013000000}" name="$ per point" dataDxfId="97">
      <calculatedColumnFormula>Table3369[[#This Row],[PPF]]/Table3369[[#This Row],[Total]]</calculatedColumnFormula>
    </tableColumn>
    <tableColumn id="8" xr3:uid="{00000000-0010-0000-0400-000008000000}" name="White" dataDxfId="96"/>
    <tableColumn id="9" xr3:uid="{00000000-0010-0000-0400-000009000000}" name="Black" dataDxfId="95"/>
    <tableColumn id="10" xr3:uid="{00000000-0010-0000-0400-00000A000000}" name="Hispanic" dataDxfId="94"/>
    <tableColumn id="11" xr3:uid="{00000000-0010-0000-0400-00000B000000}" name="Asian" dataDxfId="93"/>
    <tableColumn id="12" xr3:uid="{00000000-0010-0000-0400-00000C000000}" name="Nat. Am." dataDxfId="92"/>
    <tableColumn id="13" xr3:uid="{00000000-0010-0000-0400-00000D000000}" name="IEP" dataDxfId="91"/>
    <tableColumn id="14" xr3:uid="{00000000-0010-0000-0400-00000E000000}" name="ELL" dataDxfId="90"/>
    <tableColumn id="15" xr3:uid="{00000000-0010-0000-0400-00000F000000}" name="At-Risk" dataDxfId="89"/>
    <tableColumn id="16" xr3:uid="{00000000-0010-0000-0400-000010000000}" name="Charter %" dataDxfId="88"/>
    <tableColumn id="17" xr3:uid="{00000000-0010-0000-0400-000011000000}" name="Ratio" dataDxfId="8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9:M60" totalsRowShown="0" headerRowDxfId="86" dataDxfId="84" headerRowBorderDxfId="85" tableBorderDxfId="83">
  <autoFilter ref="A9:M60" xr:uid="{00000000-0009-0000-0100-000006000000}"/>
  <sortState ref="A10:M60">
    <sortCondition ref="A9:A60"/>
  </sortState>
  <tableColumns count="13">
    <tableColumn id="1" xr3:uid="{00000000-0010-0000-0500-000001000000}" name="State" dataDxfId="82"/>
    <tableColumn id="8" xr3:uid="{00000000-0010-0000-0500-000008000000}" name="Score Rank" dataDxfId="81">
      <calculatedColumnFormula>RANK(H10,H$10:H$60)</calculatedColumnFormula>
    </tableColumn>
    <tableColumn id="9" xr3:uid="{00000000-0010-0000-0500-000009000000}" name="Score Rank2" dataDxfId="80">
      <calculatedColumnFormula>RANK(I10,I$10:I$60)</calculatedColumnFormula>
    </tableColumn>
    <tableColumn id="10" xr3:uid="{00000000-0010-0000-0500-00000A000000}" name="Score Change" dataDxfId="79">
      <calculatedColumnFormula>RANK(J10,J$10:J$60)</calculatedColumnFormula>
    </tableColumn>
    <tableColumn id="11" xr3:uid="{00000000-0010-0000-0500-00000B000000}" name="PPF Rank" dataDxfId="78">
      <calculatedColumnFormula>RANK(K10,K$10:K$60)</calculatedColumnFormula>
    </tableColumn>
    <tableColumn id="12" xr3:uid="{00000000-0010-0000-0500-00000C000000}" name="PPF Rank3" dataDxfId="77">
      <calculatedColumnFormula>RANK(L10,L$10:L$60)</calculatedColumnFormula>
    </tableColumn>
    <tableColumn id="13" xr3:uid="{00000000-0010-0000-0500-00000D000000}" name="PPF Change" dataDxfId="76">
      <calculatedColumnFormula>RANK(M10,M$10:M$60)</calculatedColumnFormula>
    </tableColumn>
    <tableColumn id="2" xr3:uid="{00000000-0010-0000-0500-000002000000}" name="2009 Score Total" dataDxfId="75"/>
    <tableColumn id="3" xr3:uid="{00000000-0010-0000-0500-000003000000}" name="2011 Score Total" dataDxfId="74"/>
    <tableColumn id="4" xr3:uid="{00000000-0010-0000-0500-000004000000}" name="Score Change4" dataDxfId="73">
      <calculatedColumnFormula>I10-H10</calculatedColumnFormula>
    </tableColumn>
    <tableColumn id="5" xr3:uid="{00000000-0010-0000-0500-000005000000}" name="2009 Total PPF" dataDxfId="72"/>
    <tableColumn id="6" xr3:uid="{00000000-0010-0000-0500-000006000000}" name="2011 Total PPF" dataDxfId="71"/>
    <tableColumn id="7" xr3:uid="{00000000-0010-0000-0500-000007000000}" name="PPF Change5" dataDxfId="70" dataCellStyle="Currency">
      <calculatedColumnFormula>L10-K10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Table65" displayName="Table65" ref="A9:M60" totalsRowShown="0" headerRowDxfId="69" dataDxfId="67" headerRowBorderDxfId="68" tableBorderDxfId="66">
  <autoFilter ref="A9:M60" xr:uid="{00000000-0009-0000-0100-000004000000}"/>
  <sortState ref="A10:M60">
    <sortCondition ref="A9:A60"/>
  </sortState>
  <tableColumns count="13">
    <tableColumn id="1" xr3:uid="{00000000-0010-0000-0600-000001000000}" name="State" dataDxfId="65"/>
    <tableColumn id="8" xr3:uid="{00000000-0010-0000-0600-000008000000}" name="Score Rank" dataDxfId="64">
      <calculatedColumnFormula>RANK(H10,H$10:H$60)</calculatedColumnFormula>
    </tableColumn>
    <tableColumn id="9" xr3:uid="{00000000-0010-0000-0600-000009000000}" name="Score Rank2" dataDxfId="63">
      <calculatedColumnFormula>RANK(I10,I$10:I$60)</calculatedColumnFormula>
    </tableColumn>
    <tableColumn id="10" xr3:uid="{00000000-0010-0000-0600-00000A000000}" name="Score Change" dataDxfId="62">
      <calculatedColumnFormula>RANK(J10,J$10:J$60)</calculatedColumnFormula>
    </tableColumn>
    <tableColumn id="11" xr3:uid="{00000000-0010-0000-0600-00000B000000}" name="PPF Rank" dataDxfId="61">
      <calculatedColumnFormula>RANK(K10,K$10:K$60)</calculatedColumnFormula>
    </tableColumn>
    <tableColumn id="12" xr3:uid="{00000000-0010-0000-0600-00000C000000}" name="PPF Rank3" dataDxfId="60">
      <calculatedColumnFormula>RANK(L10,L$10:L$60)</calculatedColumnFormula>
    </tableColumn>
    <tableColumn id="13" xr3:uid="{00000000-0010-0000-0600-00000D000000}" name="PPF Change" dataDxfId="59">
      <calculatedColumnFormula>RANK(M10,M$10:M$60)</calculatedColumnFormula>
    </tableColumn>
    <tableColumn id="2" xr3:uid="{00000000-0010-0000-0600-000002000000}" name="2011 Score Total" dataDxfId="58"/>
    <tableColumn id="3" xr3:uid="{00000000-0010-0000-0600-000003000000}" name="2013 Score Total" dataDxfId="57"/>
    <tableColumn id="4" xr3:uid="{00000000-0010-0000-0600-000004000000}" name="Score Change2" dataDxfId="56">
      <calculatedColumnFormula>I10-H10</calculatedColumnFormula>
    </tableColumn>
    <tableColumn id="5" xr3:uid="{00000000-0010-0000-0600-000005000000}" name="2011 Total PPF" dataDxfId="55"/>
    <tableColumn id="6" xr3:uid="{00000000-0010-0000-0600-000006000000}" name="2013 Total PPF" dataDxfId="54"/>
    <tableColumn id="7" xr3:uid="{00000000-0010-0000-0600-000007000000}" name="PPF Change3" dataDxfId="53" dataCellStyle="Currency">
      <calculatedColumnFormula>L10-K10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658" displayName="Table658" ref="A9:M60" totalsRowShown="0" headerRowDxfId="52" dataDxfId="50" headerRowBorderDxfId="51" tableBorderDxfId="49">
  <autoFilter ref="A9:M60" xr:uid="{00000000-0009-0000-0100-000007000000}"/>
  <sortState ref="A10:M60">
    <sortCondition ref="A9:A60"/>
  </sortState>
  <tableColumns count="13">
    <tableColumn id="1" xr3:uid="{00000000-0010-0000-0700-000001000000}" name="State" dataDxfId="48"/>
    <tableColumn id="8" xr3:uid="{00000000-0010-0000-0700-000008000000}" name="Score Rank" dataDxfId="47">
      <calculatedColumnFormula>RANK(H10,H$10:H$60)</calculatedColumnFormula>
    </tableColumn>
    <tableColumn id="9" xr3:uid="{00000000-0010-0000-0700-000009000000}" name="Score Rank2" dataDxfId="46">
      <calculatedColumnFormula>RANK(I10,I$10:I$60)</calculatedColumnFormula>
    </tableColumn>
    <tableColumn id="10" xr3:uid="{00000000-0010-0000-0700-00000A000000}" name="Score Change" dataDxfId="45">
      <calculatedColumnFormula>RANK(J10,J$10:J$60)</calculatedColumnFormula>
    </tableColumn>
    <tableColumn id="11" xr3:uid="{00000000-0010-0000-0700-00000B000000}" name="PPF Rank" dataDxfId="44">
      <calculatedColumnFormula>RANK(K10,K$10:K$60)</calculatedColumnFormula>
    </tableColumn>
    <tableColumn id="12" xr3:uid="{00000000-0010-0000-0700-00000C000000}" name="PPF Rank3" dataDxfId="43">
      <calculatedColumnFormula>RANK(L10,L$10:L$60)</calculatedColumnFormula>
    </tableColumn>
    <tableColumn id="13" xr3:uid="{00000000-0010-0000-0700-00000D000000}" name="PPF Change" dataDxfId="42">
      <calculatedColumnFormula>RANK(M10,M$10:M$60)</calculatedColumnFormula>
    </tableColumn>
    <tableColumn id="2" xr3:uid="{00000000-0010-0000-0700-000002000000}" name="2013 Score Total" dataDxfId="41"/>
    <tableColumn id="3" xr3:uid="{00000000-0010-0000-0700-000003000000}" name="2015 Score Total2" dataDxfId="40"/>
    <tableColumn id="4" xr3:uid="{00000000-0010-0000-0700-000004000000}" name="Score Change2" dataDxfId="39">
      <calculatedColumnFormula>I10-H10</calculatedColumnFormula>
    </tableColumn>
    <tableColumn id="5" xr3:uid="{00000000-0010-0000-0700-000005000000}" name="2013 Total PPF" dataDxfId="38"/>
    <tableColumn id="6" xr3:uid="{00000000-0010-0000-0700-000006000000}" name="2015 Total PPF2" dataDxfId="37"/>
    <tableColumn id="7" xr3:uid="{00000000-0010-0000-0700-000007000000}" name="PPF Change3" dataDxfId="36" dataCellStyle="Currency">
      <calculatedColumnFormula>L10-K10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65810" displayName="Table65810" ref="A9:M60" totalsRowShown="0" headerRowDxfId="35" dataDxfId="33" headerRowBorderDxfId="34" tableBorderDxfId="32">
  <autoFilter ref="A9:M60" xr:uid="{00000000-0009-0000-0100-000009000000}"/>
  <sortState ref="A10:M60">
    <sortCondition ref="A9:A60"/>
  </sortState>
  <tableColumns count="13">
    <tableColumn id="1" xr3:uid="{00000000-0010-0000-0800-000001000000}" name="State" dataDxfId="31"/>
    <tableColumn id="8" xr3:uid="{00000000-0010-0000-0800-000008000000}" name="Score Rank" dataDxfId="30">
      <calculatedColumnFormula>RANK(H10,H$10:H$60)</calculatedColumnFormula>
    </tableColumn>
    <tableColumn id="9" xr3:uid="{00000000-0010-0000-0800-000009000000}" name="Score Rank2" dataDxfId="29">
      <calculatedColumnFormula>RANK(I10,I$10:I$60)</calculatedColumnFormula>
    </tableColumn>
    <tableColumn id="10" xr3:uid="{00000000-0010-0000-0800-00000A000000}" name="Score Change" dataDxfId="28">
      <calculatedColumnFormula>RANK(J10,J$10:J$60)</calculatedColumnFormula>
    </tableColumn>
    <tableColumn id="11" xr3:uid="{00000000-0010-0000-0800-00000B000000}" name="PPF Rank" dataDxfId="27">
      <calculatedColumnFormula>RANK(K10,K$10:K$60)</calculatedColumnFormula>
    </tableColumn>
    <tableColumn id="12" xr3:uid="{00000000-0010-0000-0800-00000C000000}" name="PPF Rank3" dataDxfId="26">
      <calculatedColumnFormula>RANK(L10,L$10:L$60)</calculatedColumnFormula>
    </tableColumn>
    <tableColumn id="13" xr3:uid="{00000000-0010-0000-0800-00000D000000}" name="PPF Change" dataDxfId="25">
      <calculatedColumnFormula>RANK(M10,M$10:M$60)</calculatedColumnFormula>
    </tableColumn>
    <tableColumn id="2" xr3:uid="{00000000-0010-0000-0800-000002000000}" name="2015 Score Total" dataDxfId="24"/>
    <tableColumn id="3" xr3:uid="{00000000-0010-0000-0800-000003000000}" name="2017 Score Total2" dataDxfId="23"/>
    <tableColumn id="4" xr3:uid="{00000000-0010-0000-0800-000004000000}" name="Score Change2" dataDxfId="22">
      <calculatedColumnFormula>I10-H10</calculatedColumnFormula>
    </tableColumn>
    <tableColumn id="5" xr3:uid="{00000000-0010-0000-0800-000005000000}" name="2015 Total PPF" dataDxfId="21"/>
    <tableColumn id="6" xr3:uid="{00000000-0010-0000-0800-000006000000}" name="2017 Total PPF2" dataDxfId="20"/>
    <tableColumn id="7" xr3:uid="{00000000-0010-0000-0800-000007000000}" name="PPF Change3" dataDxfId="19" dataCellStyle="Currency">
      <calculatedColumnFormula>L10-K10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csl.org/research/education/voucher-law-comparison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showGridLines="0" workbookViewId="0"/>
  </sheetViews>
  <sheetFormatPr defaultColWidth="10.83203125" defaultRowHeight="12.5" x14ac:dyDescent="0.25"/>
  <cols>
    <col min="1" max="1" width="23" style="14" customWidth="1"/>
    <col min="2" max="2" width="15.6640625" style="14" bestFit="1" customWidth="1"/>
    <col min="3" max="3" width="11" style="14" bestFit="1" customWidth="1"/>
    <col min="4" max="4" width="13.33203125" style="14" bestFit="1" customWidth="1"/>
    <col min="5" max="5" width="8.33203125" style="14" customWidth="1"/>
    <col min="6" max="6" width="11.6640625" style="14" bestFit="1" customWidth="1"/>
    <col min="7" max="7" width="11.1640625" style="14" bestFit="1" customWidth="1"/>
    <col min="8" max="16384" width="10.83203125" style="14"/>
  </cols>
  <sheetData>
    <row r="1" spans="1:7" x14ac:dyDescent="0.25">
      <c r="A1" s="75"/>
      <c r="B1" s="76"/>
      <c r="C1" s="76"/>
      <c r="D1" s="76"/>
      <c r="E1" s="76"/>
      <c r="F1" s="76"/>
      <c r="G1" s="77"/>
    </row>
    <row r="2" spans="1:7" ht="15.5" x14ac:dyDescent="0.35">
      <c r="A2" s="78" t="s">
        <v>69</v>
      </c>
      <c r="B2" s="79"/>
      <c r="C2" s="79"/>
      <c r="D2" s="79"/>
      <c r="E2" s="79"/>
      <c r="F2" s="79"/>
      <c r="G2" s="80"/>
    </row>
    <row r="3" spans="1:7" x14ac:dyDescent="0.25">
      <c r="A3" s="81"/>
      <c r="B3" s="79"/>
      <c r="C3" s="79"/>
      <c r="D3" s="79"/>
      <c r="E3" s="79"/>
      <c r="F3" s="79"/>
      <c r="G3" s="80"/>
    </row>
    <row r="4" spans="1:7" x14ac:dyDescent="0.25">
      <c r="A4" s="81"/>
      <c r="B4" s="82" t="s">
        <v>70</v>
      </c>
      <c r="C4" s="83">
        <v>2.2273941819353146E-2</v>
      </c>
      <c r="D4" s="84" t="s">
        <v>73</v>
      </c>
      <c r="E4" s="85">
        <v>51</v>
      </c>
      <c r="F4" s="79"/>
      <c r="G4" s="80"/>
    </row>
    <row r="5" spans="1:7" x14ac:dyDescent="0.25">
      <c r="A5" s="81"/>
      <c r="B5" s="82" t="s">
        <v>71</v>
      </c>
      <c r="C5" s="83">
        <v>0.1492445704853384</v>
      </c>
      <c r="D5" s="84" t="s">
        <v>74</v>
      </c>
      <c r="E5" s="85">
        <v>1</v>
      </c>
      <c r="F5" s="79"/>
      <c r="G5" s="80"/>
    </row>
    <row r="6" spans="1:7" ht="13" x14ac:dyDescent="0.3">
      <c r="A6" s="81"/>
      <c r="B6" s="82" t="s">
        <v>72</v>
      </c>
      <c r="C6" s="83">
        <v>2589.4195782124934</v>
      </c>
      <c r="D6" s="84" t="s">
        <v>75</v>
      </c>
      <c r="E6" s="86" t="s">
        <v>5</v>
      </c>
      <c r="F6" s="79"/>
      <c r="G6" s="80"/>
    </row>
    <row r="7" spans="1:7" x14ac:dyDescent="0.25">
      <c r="A7" s="81"/>
      <c r="B7" s="79"/>
      <c r="C7" s="79"/>
      <c r="D7" s="79"/>
      <c r="E7" s="79"/>
      <c r="F7" s="79"/>
      <c r="G7" s="80"/>
    </row>
    <row r="8" spans="1:7" x14ac:dyDescent="0.25">
      <c r="A8" s="81" t="s">
        <v>86</v>
      </c>
      <c r="B8" s="79"/>
      <c r="C8" s="79"/>
      <c r="D8" s="79"/>
      <c r="E8" s="79"/>
      <c r="F8" s="79"/>
      <c r="G8" s="80"/>
    </row>
    <row r="9" spans="1:7" ht="13" x14ac:dyDescent="0.3">
      <c r="A9" s="87" t="s">
        <v>87</v>
      </c>
      <c r="B9" s="17" t="s">
        <v>88</v>
      </c>
      <c r="C9" s="21" t="s">
        <v>89</v>
      </c>
      <c r="D9" s="17" t="s">
        <v>90</v>
      </c>
      <c r="E9" s="17" t="s">
        <v>91</v>
      </c>
      <c r="F9" s="17" t="s">
        <v>81</v>
      </c>
      <c r="G9" s="80"/>
    </row>
    <row r="10" spans="1:7" x14ac:dyDescent="0.25">
      <c r="A10" s="88" t="s">
        <v>92</v>
      </c>
      <c r="B10" s="89">
        <v>7484810.7779728174</v>
      </c>
      <c r="C10" s="90">
        <v>1</v>
      </c>
      <c r="D10" s="36">
        <v>7484810.7779728174</v>
      </c>
      <c r="E10" s="91">
        <v>1.1162872667822978</v>
      </c>
      <c r="F10" s="38">
        <v>0.29590067586920543</v>
      </c>
      <c r="G10" s="80"/>
    </row>
    <row r="11" spans="1:7" x14ac:dyDescent="0.25">
      <c r="A11" s="88" t="s">
        <v>93</v>
      </c>
      <c r="B11" s="89">
        <v>328549593.84947819</v>
      </c>
      <c r="C11" s="90">
        <v>49</v>
      </c>
      <c r="D11" s="36">
        <v>6705093.7520301668</v>
      </c>
      <c r="E11" s="79"/>
      <c r="F11" s="79"/>
      <c r="G11" s="80"/>
    </row>
    <row r="12" spans="1:7" x14ac:dyDescent="0.25">
      <c r="A12" s="93" t="s">
        <v>4</v>
      </c>
      <c r="B12" s="20">
        <v>336034404.627451</v>
      </c>
      <c r="C12" s="22">
        <v>50</v>
      </c>
      <c r="D12" s="19"/>
      <c r="E12" s="19"/>
      <c r="F12" s="19"/>
      <c r="G12" s="80"/>
    </row>
    <row r="13" spans="1:7" x14ac:dyDescent="0.25">
      <c r="A13" s="81"/>
      <c r="B13" s="79"/>
      <c r="C13" s="79"/>
      <c r="D13" s="79"/>
      <c r="E13" s="79"/>
      <c r="F13" s="79"/>
      <c r="G13" s="80"/>
    </row>
    <row r="14" spans="1:7" x14ac:dyDescent="0.25">
      <c r="A14" s="81"/>
      <c r="B14" s="79"/>
      <c r="C14" s="79"/>
      <c r="D14" s="79"/>
      <c r="E14" s="79"/>
      <c r="F14" s="79"/>
      <c r="G14" s="80"/>
    </row>
    <row r="15" spans="1:7" ht="13" x14ac:dyDescent="0.3">
      <c r="A15" s="81" t="s">
        <v>76</v>
      </c>
      <c r="B15" s="79"/>
      <c r="C15" s="79"/>
      <c r="D15" s="37"/>
      <c r="E15" s="79"/>
      <c r="F15" s="94" t="s">
        <v>85</v>
      </c>
      <c r="G15" s="95"/>
    </row>
    <row r="16" spans="1:7" ht="13" x14ac:dyDescent="0.3">
      <c r="A16" s="87" t="s">
        <v>77</v>
      </c>
      <c r="B16" s="17" t="s">
        <v>78</v>
      </c>
      <c r="C16" s="17" t="s">
        <v>79</v>
      </c>
      <c r="D16" s="18" t="s">
        <v>80</v>
      </c>
      <c r="E16" s="17" t="s">
        <v>81</v>
      </c>
      <c r="F16" s="17" t="s">
        <v>82</v>
      </c>
      <c r="G16" s="96" t="s">
        <v>83</v>
      </c>
    </row>
    <row r="17" spans="1:7" x14ac:dyDescent="0.25">
      <c r="A17" s="107" t="s">
        <v>84</v>
      </c>
      <c r="B17" s="35">
        <v>-3714.2666213232569</v>
      </c>
      <c r="C17" s="36">
        <v>13495.117444583768</v>
      </c>
      <c r="D17" s="37">
        <v>-0.27523040363120133</v>
      </c>
      <c r="E17" s="38">
        <v>0.78429651894894947</v>
      </c>
      <c r="F17" s="35">
        <v>-30833.720460109609</v>
      </c>
      <c r="G17" s="98">
        <v>23405.187217463099</v>
      </c>
    </row>
    <row r="18" spans="1:7" ht="13" thickBot="1" x14ac:dyDescent="0.3">
      <c r="A18" s="108" t="s">
        <v>4</v>
      </c>
      <c r="B18" s="100">
        <v>14.175779041450252</v>
      </c>
      <c r="C18" s="101">
        <v>13.417109055892325</v>
      </c>
      <c r="D18" s="102">
        <v>1.0565449667583007</v>
      </c>
      <c r="E18" s="109">
        <v>0.29590067586920543</v>
      </c>
      <c r="F18" s="100">
        <v>-12.786911071133424</v>
      </c>
      <c r="G18" s="104">
        <v>41.138469154033928</v>
      </c>
    </row>
    <row r="23" spans="1:7" x14ac:dyDescent="0.25">
      <c r="F23" s="14" t="s">
        <v>68</v>
      </c>
    </row>
    <row r="24" spans="1:7" x14ac:dyDescent="0.25">
      <c r="A24" s="24"/>
      <c r="B24" s="24"/>
      <c r="C24" s="24"/>
      <c r="D24" s="24"/>
      <c r="E24" s="24"/>
      <c r="F24" s="24"/>
      <c r="G24" s="24"/>
    </row>
    <row r="25" spans="1:7" x14ac:dyDescent="0.25">
      <c r="A25" s="15"/>
      <c r="B25" s="15"/>
      <c r="C25" s="24"/>
      <c r="F25" s="24"/>
      <c r="G25" s="24"/>
    </row>
    <row r="26" spans="1:7" ht="15.5" x14ac:dyDescent="0.35">
      <c r="A26" s="13" t="s">
        <v>128</v>
      </c>
      <c r="C26" s="24"/>
      <c r="F26" s="24"/>
      <c r="G26" s="24"/>
    </row>
    <row r="27" spans="1:7" x14ac:dyDescent="0.25">
      <c r="C27" s="25"/>
      <c r="F27" s="24"/>
      <c r="G27" s="24"/>
    </row>
    <row r="28" spans="1:7" ht="13" x14ac:dyDescent="0.3">
      <c r="A28" s="17"/>
      <c r="B28" s="17" t="s">
        <v>158</v>
      </c>
      <c r="C28" s="25"/>
      <c r="F28" s="24"/>
      <c r="G28" s="24"/>
    </row>
    <row r="29" spans="1:7" x14ac:dyDescent="0.25">
      <c r="A29" s="14" t="s">
        <v>129</v>
      </c>
      <c r="B29" s="42">
        <v>51</v>
      </c>
      <c r="C29" s="25"/>
      <c r="F29" s="24"/>
      <c r="G29" s="24"/>
    </row>
    <row r="30" spans="1:7" x14ac:dyDescent="0.25">
      <c r="A30" s="14" t="s">
        <v>130</v>
      </c>
      <c r="B30" s="55">
        <v>1005.4509803921569</v>
      </c>
      <c r="C30" s="24"/>
      <c r="F30" s="24"/>
      <c r="G30" s="24"/>
    </row>
    <row r="31" spans="1:7" x14ac:dyDescent="0.25">
      <c r="A31" s="14" t="s">
        <v>131</v>
      </c>
      <c r="B31" s="55">
        <v>744.93254901960779</v>
      </c>
      <c r="C31" s="24"/>
      <c r="F31" s="24"/>
      <c r="G31" s="24"/>
    </row>
    <row r="32" spans="1:7" ht="13" x14ac:dyDescent="0.3">
      <c r="A32" s="14" t="s">
        <v>132</v>
      </c>
      <c r="B32" s="55">
        <v>27.293452493585487</v>
      </c>
      <c r="C32" s="28"/>
      <c r="F32" s="27"/>
      <c r="G32" s="24"/>
    </row>
    <row r="33" spans="1:9" x14ac:dyDescent="0.25">
      <c r="A33" s="14" t="s">
        <v>133</v>
      </c>
      <c r="B33" s="56">
        <v>917</v>
      </c>
      <c r="C33" s="29"/>
      <c r="F33" s="31"/>
      <c r="G33" s="24"/>
    </row>
    <row r="34" spans="1:9" x14ac:dyDescent="0.25">
      <c r="A34" s="14" t="s">
        <v>134</v>
      </c>
      <c r="B34" s="56">
        <v>1059</v>
      </c>
      <c r="C34" s="29"/>
      <c r="F34" s="24"/>
      <c r="G34" s="24"/>
    </row>
    <row r="35" spans="1:9" x14ac:dyDescent="0.25">
      <c r="A35" s="14" t="s">
        <v>135</v>
      </c>
      <c r="B35" s="56">
        <v>142</v>
      </c>
      <c r="C35" s="29"/>
      <c r="F35" s="24"/>
      <c r="G35" s="24"/>
    </row>
    <row r="36" spans="1:9" x14ac:dyDescent="0.25">
      <c r="C36" s="24"/>
      <c r="F36" s="24"/>
      <c r="G36" s="24"/>
    </row>
    <row r="37" spans="1:9" x14ac:dyDescent="0.25">
      <c r="A37" s="14" t="s">
        <v>136</v>
      </c>
      <c r="C37" s="24"/>
      <c r="F37" s="24"/>
      <c r="G37" s="24"/>
    </row>
    <row r="38" spans="1:9" ht="13" x14ac:dyDescent="0.3">
      <c r="A38" s="58" t="s">
        <v>137</v>
      </c>
      <c r="B38" s="55">
        <v>978.1575278985714</v>
      </c>
      <c r="C38" s="24"/>
      <c r="F38" s="32"/>
      <c r="G38" s="33"/>
      <c r="H38" s="16"/>
      <c r="I38" s="16"/>
    </row>
    <row r="39" spans="1:9" ht="13" x14ac:dyDescent="0.3">
      <c r="A39" s="58" t="s">
        <v>138</v>
      </c>
      <c r="B39" s="55">
        <v>1032.7444328857423</v>
      </c>
      <c r="C39" s="27"/>
      <c r="F39" s="27"/>
      <c r="G39" s="27"/>
      <c r="H39" s="16"/>
      <c r="I39" s="16"/>
    </row>
    <row r="40" spans="1:9" x14ac:dyDescent="0.25">
      <c r="A40" s="14" t="s">
        <v>139</v>
      </c>
      <c r="B40" s="57">
        <v>0.66666666666666663</v>
      </c>
      <c r="C40" s="30"/>
      <c r="F40" s="34"/>
      <c r="G40" s="34"/>
      <c r="H40" s="16"/>
      <c r="I40" s="16"/>
    </row>
    <row r="41" spans="1:9" x14ac:dyDescent="0.25">
      <c r="A41" s="58" t="s">
        <v>140</v>
      </c>
      <c r="B41" s="55">
        <v>950.8640754049859</v>
      </c>
      <c r="C41" s="30"/>
      <c r="F41" s="34"/>
      <c r="G41" s="34"/>
      <c r="H41" s="16"/>
      <c r="I41" s="16"/>
    </row>
    <row r="42" spans="1:9" x14ac:dyDescent="0.25">
      <c r="A42" s="58" t="s">
        <v>141</v>
      </c>
      <c r="B42" s="55">
        <v>1060.0378853793279</v>
      </c>
      <c r="C42" s="24"/>
      <c r="F42" s="24"/>
      <c r="G42" s="24"/>
    </row>
    <row r="43" spans="1:9" x14ac:dyDescent="0.25">
      <c r="A43" s="14" t="s">
        <v>142</v>
      </c>
      <c r="B43" s="57">
        <v>0.98039215686274506</v>
      </c>
    </row>
    <row r="44" spans="1:9" x14ac:dyDescent="0.25">
      <c r="A44" s="58" t="s">
        <v>143</v>
      </c>
      <c r="B44" s="55">
        <v>923.57062291140051</v>
      </c>
    </row>
    <row r="45" spans="1:9" x14ac:dyDescent="0.25">
      <c r="A45" s="58" t="s">
        <v>144</v>
      </c>
      <c r="B45" s="55">
        <v>1087.3313378729133</v>
      </c>
    </row>
    <row r="46" spans="1:9" x14ac:dyDescent="0.25">
      <c r="A46" s="14" t="s">
        <v>145</v>
      </c>
      <c r="B46" s="57">
        <v>0.98039215686274506</v>
      </c>
    </row>
    <row r="48" spans="1:9" x14ac:dyDescent="0.25">
      <c r="A48" s="14" t="s">
        <v>146</v>
      </c>
      <c r="B48" s="55">
        <v>-0.82293784669654957</v>
      </c>
    </row>
    <row r="49" spans="1:2" x14ac:dyDescent="0.25">
      <c r="A49" s="14" t="s">
        <v>147</v>
      </c>
      <c r="B49" s="55">
        <v>0.96176532200561526</v>
      </c>
    </row>
    <row r="50" spans="1:2" x14ac:dyDescent="0.25">
      <c r="A50" s="14" t="s">
        <v>148</v>
      </c>
      <c r="B50" s="59">
        <v>2.714548299802761E-2</v>
      </c>
    </row>
    <row r="52" spans="1:2" x14ac:dyDescent="0.25">
      <c r="A52" s="14" t="s">
        <v>149</v>
      </c>
      <c r="B52" s="55">
        <v>989</v>
      </c>
    </row>
    <row r="53" spans="1:2" x14ac:dyDescent="0.25">
      <c r="A53" s="14" t="s">
        <v>150</v>
      </c>
      <c r="B53" s="55">
        <v>1012</v>
      </c>
    </row>
    <row r="54" spans="1:2" x14ac:dyDescent="0.25">
      <c r="A54" s="14" t="s">
        <v>151</v>
      </c>
      <c r="B54" s="55">
        <v>1023</v>
      </c>
    </row>
    <row r="55" spans="1:2" x14ac:dyDescent="0.25">
      <c r="A55" s="14" t="s">
        <v>152</v>
      </c>
      <c r="B55" s="55">
        <v>34</v>
      </c>
    </row>
    <row r="56" spans="1:2" x14ac:dyDescent="0.25">
      <c r="A56" s="14" t="s">
        <v>153</v>
      </c>
      <c r="B56" s="55">
        <v>1022</v>
      </c>
    </row>
    <row r="58" spans="1:2" x14ac:dyDescent="0.25">
      <c r="A58" s="14" t="s">
        <v>154</v>
      </c>
      <c r="B58" s="42">
        <v>0</v>
      </c>
    </row>
    <row r="59" spans="1:2" x14ac:dyDescent="0.25">
      <c r="A59" s="14" t="s">
        <v>155</v>
      </c>
      <c r="B59" s="42">
        <v>1</v>
      </c>
    </row>
    <row r="60" spans="1:2" x14ac:dyDescent="0.25">
      <c r="A60" s="14" t="s">
        <v>156</v>
      </c>
      <c r="B60" s="42">
        <v>0</v>
      </c>
    </row>
    <row r="61" spans="1:2" x14ac:dyDescent="0.25">
      <c r="A61" s="14" t="s">
        <v>157</v>
      </c>
      <c r="B61" s="42">
        <v>0</v>
      </c>
    </row>
    <row r="64" spans="1:2" x14ac:dyDescent="0.25">
      <c r="A64" s="15"/>
      <c r="B64" s="15"/>
    </row>
    <row r="65" spans="1:2" ht="15.5" x14ac:dyDescent="0.35">
      <c r="A65" s="13" t="s">
        <v>128</v>
      </c>
    </row>
    <row r="67" spans="1:2" ht="13" x14ac:dyDescent="0.3">
      <c r="A67" s="17"/>
      <c r="B67" s="17" t="s">
        <v>159</v>
      </c>
    </row>
    <row r="68" spans="1:2" x14ac:dyDescent="0.25">
      <c r="A68" s="14" t="s">
        <v>129</v>
      </c>
      <c r="B68" s="42">
        <v>51</v>
      </c>
    </row>
    <row r="69" spans="1:2" x14ac:dyDescent="0.25">
      <c r="A69" s="14" t="s">
        <v>130</v>
      </c>
      <c r="B69" s="55">
        <v>10538.784313725489</v>
      </c>
    </row>
    <row r="70" spans="1:2" x14ac:dyDescent="0.25">
      <c r="A70" s="14" t="s">
        <v>131</v>
      </c>
      <c r="B70" s="55">
        <v>6720688.0925490214</v>
      </c>
    </row>
    <row r="71" spans="1:2" x14ac:dyDescent="0.25">
      <c r="A71" s="14" t="s">
        <v>132</v>
      </c>
      <c r="B71" s="55">
        <v>2592.428994697641</v>
      </c>
    </row>
    <row r="72" spans="1:2" x14ac:dyDescent="0.25">
      <c r="A72" s="14" t="s">
        <v>133</v>
      </c>
      <c r="B72" s="56">
        <v>6579</v>
      </c>
    </row>
    <row r="73" spans="1:2" x14ac:dyDescent="0.25">
      <c r="A73" s="14" t="s">
        <v>134</v>
      </c>
      <c r="B73" s="56">
        <v>17603</v>
      </c>
    </row>
    <row r="74" spans="1:2" x14ac:dyDescent="0.25">
      <c r="A74" s="14" t="s">
        <v>135</v>
      </c>
      <c r="B74" s="56">
        <v>11024</v>
      </c>
    </row>
    <row r="76" spans="1:2" x14ac:dyDescent="0.25">
      <c r="A76" s="14" t="s">
        <v>136</v>
      </c>
    </row>
    <row r="77" spans="1:2" x14ac:dyDescent="0.25">
      <c r="A77" s="58" t="s">
        <v>137</v>
      </c>
      <c r="B77" s="55">
        <v>7946.355319027849</v>
      </c>
    </row>
    <row r="78" spans="1:2" x14ac:dyDescent="0.25">
      <c r="A78" s="58" t="s">
        <v>138</v>
      </c>
      <c r="B78" s="55">
        <v>13131.21330842313</v>
      </c>
    </row>
    <row r="79" spans="1:2" x14ac:dyDescent="0.25">
      <c r="A79" s="14" t="s">
        <v>139</v>
      </c>
      <c r="B79" s="57">
        <v>0.68627450980392157</v>
      </c>
    </row>
    <row r="80" spans="1:2" x14ac:dyDescent="0.25">
      <c r="A80" s="58" t="s">
        <v>140</v>
      </c>
      <c r="B80" s="55">
        <v>5353.9263243302075</v>
      </c>
    </row>
    <row r="81" spans="1:2" x14ac:dyDescent="0.25">
      <c r="A81" s="58" t="s">
        <v>141</v>
      </c>
      <c r="B81" s="55">
        <v>15723.642303120771</v>
      </c>
    </row>
    <row r="82" spans="1:2" x14ac:dyDescent="0.25">
      <c r="A82" s="14" t="s">
        <v>142</v>
      </c>
      <c r="B82" s="57">
        <v>0.94117647058823528</v>
      </c>
    </row>
    <row r="83" spans="1:2" x14ac:dyDescent="0.25">
      <c r="A83" s="58" t="s">
        <v>143</v>
      </c>
      <c r="B83" s="55">
        <v>2761.4973296325661</v>
      </c>
    </row>
    <row r="84" spans="1:2" x14ac:dyDescent="0.25">
      <c r="A84" s="58" t="s">
        <v>144</v>
      </c>
      <c r="B84" s="55">
        <v>18316.071297818413</v>
      </c>
    </row>
    <row r="85" spans="1:2" x14ac:dyDescent="0.25">
      <c r="A85" s="14" t="s">
        <v>145</v>
      </c>
      <c r="B85" s="57">
        <v>1</v>
      </c>
    </row>
    <row r="87" spans="1:2" x14ac:dyDescent="0.25">
      <c r="A87" s="14" t="s">
        <v>146</v>
      </c>
      <c r="B87" s="55">
        <v>1.1407149058379216</v>
      </c>
    </row>
    <row r="88" spans="1:2" x14ac:dyDescent="0.25">
      <c r="A88" s="14" t="s">
        <v>147</v>
      </c>
      <c r="B88" s="55">
        <v>0.84592710067157162</v>
      </c>
    </row>
    <row r="89" spans="1:2" x14ac:dyDescent="0.25">
      <c r="A89" s="14" t="s">
        <v>148</v>
      </c>
      <c r="B89" s="59">
        <v>0.24598937766676907</v>
      </c>
    </row>
    <row r="91" spans="1:2" x14ac:dyDescent="0.25">
      <c r="A91" s="14" t="s">
        <v>149</v>
      </c>
      <c r="B91" s="55">
        <v>8970.5</v>
      </c>
    </row>
    <row r="92" spans="1:2" x14ac:dyDescent="0.25">
      <c r="A92" s="14" t="s">
        <v>150</v>
      </c>
      <c r="B92" s="55">
        <v>9839</v>
      </c>
    </row>
    <row r="93" spans="1:2" x14ac:dyDescent="0.25">
      <c r="A93" s="14" t="s">
        <v>151</v>
      </c>
      <c r="B93" s="55">
        <v>11766</v>
      </c>
    </row>
    <row r="94" spans="1:2" x14ac:dyDescent="0.25">
      <c r="A94" s="14" t="s">
        <v>152</v>
      </c>
      <c r="B94" s="55">
        <v>2795.5</v>
      </c>
    </row>
    <row r="95" spans="1:2" x14ac:dyDescent="0.25">
      <c r="A95" s="14" t="s">
        <v>153</v>
      </c>
      <c r="B95" s="55" t="e">
        <v>#N/A</v>
      </c>
    </row>
    <row r="97" spans="1:2" x14ac:dyDescent="0.25">
      <c r="A97" s="14" t="s">
        <v>154</v>
      </c>
      <c r="B97" s="42">
        <v>0</v>
      </c>
    </row>
    <row r="98" spans="1:2" x14ac:dyDescent="0.25">
      <c r="A98" s="14" t="s">
        <v>155</v>
      </c>
      <c r="B98" s="42">
        <v>0</v>
      </c>
    </row>
    <row r="99" spans="1:2" x14ac:dyDescent="0.25">
      <c r="A99" s="14" t="s">
        <v>156</v>
      </c>
      <c r="B99" s="42">
        <v>3</v>
      </c>
    </row>
    <row r="100" spans="1:2" x14ac:dyDescent="0.25">
      <c r="A100" s="14" t="s">
        <v>157</v>
      </c>
      <c r="B100" s="42">
        <v>0</v>
      </c>
    </row>
  </sheetData>
  <phoneticPr fontId="12" type="noConversion"/>
  <pageMargins left="0.75" right="0.75" top="1" bottom="1" header="0.5" footer="0.5"/>
  <pageSetup scale="89" orientation="portrait" horizontalDpi="4294967292" verticalDpi="4294967292"/>
  <colBreaks count="1" manualBreakCount="1">
    <brk id="7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3"/>
  <sheetViews>
    <sheetView workbookViewId="0"/>
  </sheetViews>
  <sheetFormatPr defaultColWidth="10.6640625" defaultRowHeight="15.5" x14ac:dyDescent="0.35"/>
  <cols>
    <col min="1" max="1" width="18" style="2" customWidth="1"/>
    <col min="2" max="7" width="12.33203125" style="4" customWidth="1"/>
    <col min="8" max="9" width="17.33203125" style="4" customWidth="1"/>
    <col min="10" max="10" width="15" style="4" customWidth="1"/>
    <col min="11" max="12" width="15.83203125" style="4" customWidth="1"/>
    <col min="13" max="13" width="15" style="4" customWidth="1"/>
  </cols>
  <sheetData>
    <row r="1" spans="1:13" x14ac:dyDescent="0.35">
      <c r="A1" s="2" t="s">
        <v>225</v>
      </c>
      <c r="B1" s="2" t="s">
        <v>226</v>
      </c>
    </row>
    <row r="2" spans="1:13" x14ac:dyDescent="0.35">
      <c r="B2" s="2" t="s">
        <v>227</v>
      </c>
    </row>
    <row r="3" spans="1:13" x14ac:dyDescent="0.35">
      <c r="B3" s="2" t="s">
        <v>249</v>
      </c>
    </row>
    <row r="4" spans="1:13" x14ac:dyDescent="0.35">
      <c r="B4" s="2" t="s">
        <v>228</v>
      </c>
    </row>
    <row r="5" spans="1:13" x14ac:dyDescent="0.35">
      <c r="B5" s="2" t="s">
        <v>242</v>
      </c>
    </row>
    <row r="6" spans="1:13" x14ac:dyDescent="0.35">
      <c r="B6" s="2" t="s">
        <v>243</v>
      </c>
    </row>
    <row r="8" spans="1:13" x14ac:dyDescent="0.35">
      <c r="B8" s="4">
        <v>2013</v>
      </c>
      <c r="C8" s="4">
        <v>2015</v>
      </c>
      <c r="D8" s="138" t="s">
        <v>202</v>
      </c>
      <c r="E8" s="4">
        <v>2013</v>
      </c>
      <c r="F8" s="4">
        <v>2015</v>
      </c>
      <c r="G8" s="138" t="s">
        <v>202</v>
      </c>
    </row>
    <row r="9" spans="1:13" ht="16" thickBot="1" x14ac:dyDescent="0.4">
      <c r="A9" s="1" t="s">
        <v>164</v>
      </c>
      <c r="B9" s="3" t="s">
        <v>175</v>
      </c>
      <c r="C9" s="3" t="s">
        <v>177</v>
      </c>
      <c r="D9" s="3" t="s">
        <v>169</v>
      </c>
      <c r="E9" s="3" t="s">
        <v>174</v>
      </c>
      <c r="F9" s="3" t="s">
        <v>178</v>
      </c>
      <c r="G9" s="3" t="s">
        <v>170</v>
      </c>
      <c r="H9" s="6" t="s">
        <v>172</v>
      </c>
      <c r="I9" s="6" t="s">
        <v>203</v>
      </c>
      <c r="J9" s="3" t="s">
        <v>181</v>
      </c>
      <c r="K9" s="3" t="s">
        <v>173</v>
      </c>
      <c r="L9" s="3" t="s">
        <v>204</v>
      </c>
      <c r="M9" s="3" t="s">
        <v>182</v>
      </c>
    </row>
    <row r="10" spans="1:13" x14ac:dyDescent="0.35">
      <c r="A10" s="2" t="s">
        <v>17</v>
      </c>
      <c r="B10" s="8">
        <f t="shared" ref="B10:B41" si="0">RANK(H10,H$10:H$60)</f>
        <v>47</v>
      </c>
      <c r="C10" s="8">
        <f t="shared" ref="C10:C41" si="1">RANK(I10,I$10:I$60)</f>
        <v>47</v>
      </c>
      <c r="D10" s="8">
        <f t="shared" ref="D10:D41" si="2">RANK(J10,J$10:J$60)</f>
        <v>23</v>
      </c>
      <c r="E10" s="8">
        <f t="shared" ref="E10:E41" si="3">RANK(K10,K$10:K$60)</f>
        <v>41</v>
      </c>
      <c r="F10" s="8">
        <f t="shared" ref="F10:F41" si="4">RANK(L10,L$10:L$60)</f>
        <v>43</v>
      </c>
      <c r="G10" s="8">
        <f t="shared" ref="G10:G41" si="5">RANK(M10,M$10:M$60)</f>
        <v>37</v>
      </c>
      <c r="H10" s="8">
        <v>978</v>
      </c>
      <c r="I10" s="8">
        <v>974</v>
      </c>
      <c r="J10" s="159">
        <f t="shared" ref="J10:J41" si="6">I10-H10</f>
        <v>-4</v>
      </c>
      <c r="K10" s="9">
        <v>8945</v>
      </c>
      <c r="L10" s="9">
        <v>8803</v>
      </c>
      <c r="M10" s="134">
        <f t="shared" ref="M10:M41" si="7">L10-K10</f>
        <v>-142</v>
      </c>
    </row>
    <row r="11" spans="1:13" x14ac:dyDescent="0.35">
      <c r="A11" s="2" t="s">
        <v>18</v>
      </c>
      <c r="B11" s="8">
        <f t="shared" si="0"/>
        <v>44</v>
      </c>
      <c r="C11" s="8">
        <f t="shared" si="1"/>
        <v>41</v>
      </c>
      <c r="D11" s="8">
        <f t="shared" si="2"/>
        <v>9</v>
      </c>
      <c r="E11" s="8">
        <f t="shared" si="3"/>
        <v>4</v>
      </c>
      <c r="F11" s="8">
        <f t="shared" si="4"/>
        <v>4</v>
      </c>
      <c r="G11" s="8">
        <f t="shared" si="5"/>
        <v>1</v>
      </c>
      <c r="H11" s="8">
        <v>988</v>
      </c>
      <c r="I11" s="8">
        <v>989</v>
      </c>
      <c r="J11" s="159">
        <f t="shared" si="6"/>
        <v>1</v>
      </c>
      <c r="K11" s="9">
        <v>15949</v>
      </c>
      <c r="L11" s="9">
        <v>16719</v>
      </c>
      <c r="M11" s="134">
        <f t="shared" si="7"/>
        <v>770</v>
      </c>
    </row>
    <row r="12" spans="1:13" x14ac:dyDescent="0.35">
      <c r="A12" s="2" t="s">
        <v>19</v>
      </c>
      <c r="B12" s="8">
        <f t="shared" si="0"/>
        <v>41</v>
      </c>
      <c r="C12" s="8">
        <f t="shared" si="1"/>
        <v>37</v>
      </c>
      <c r="D12" s="8">
        <f t="shared" si="2"/>
        <v>2</v>
      </c>
      <c r="E12" s="8">
        <f t="shared" si="3"/>
        <v>49</v>
      </c>
      <c r="F12" s="8">
        <f t="shared" si="4"/>
        <v>48</v>
      </c>
      <c r="G12" s="8">
        <f t="shared" si="5"/>
        <v>38</v>
      </c>
      <c r="H12" s="8">
        <v>993</v>
      </c>
      <c r="I12" s="8">
        <v>999</v>
      </c>
      <c r="J12" s="159">
        <f t="shared" si="6"/>
        <v>6</v>
      </c>
      <c r="K12" s="9">
        <v>7894</v>
      </c>
      <c r="L12" s="9">
        <v>7737</v>
      </c>
      <c r="M12" s="134">
        <f t="shared" si="7"/>
        <v>-157</v>
      </c>
    </row>
    <row r="13" spans="1:13" x14ac:dyDescent="0.35">
      <c r="A13" s="2" t="s">
        <v>20</v>
      </c>
      <c r="B13" s="8">
        <f t="shared" si="0"/>
        <v>38</v>
      </c>
      <c r="C13" s="8">
        <f t="shared" si="1"/>
        <v>43</v>
      </c>
      <c r="D13" s="8">
        <f t="shared" si="2"/>
        <v>48</v>
      </c>
      <c r="E13" s="8">
        <f t="shared" si="3"/>
        <v>35</v>
      </c>
      <c r="F13" s="8">
        <f t="shared" si="4"/>
        <v>30</v>
      </c>
      <c r="G13" s="8">
        <f t="shared" si="5"/>
        <v>17</v>
      </c>
      <c r="H13" s="8">
        <v>999</v>
      </c>
      <c r="I13" s="8">
        <v>987</v>
      </c>
      <c r="J13" s="159">
        <f t="shared" si="6"/>
        <v>-12</v>
      </c>
      <c r="K13" s="9">
        <v>9311</v>
      </c>
      <c r="L13" s="9">
        <v>9526</v>
      </c>
      <c r="M13" s="134">
        <f t="shared" si="7"/>
        <v>215</v>
      </c>
    </row>
    <row r="14" spans="1:13" x14ac:dyDescent="0.35">
      <c r="A14" s="2" t="s">
        <v>21</v>
      </c>
      <c r="B14" s="8">
        <f t="shared" si="0"/>
        <v>45</v>
      </c>
      <c r="C14" s="8">
        <f t="shared" si="1"/>
        <v>46</v>
      </c>
      <c r="D14" s="8">
        <f t="shared" si="2"/>
        <v>28</v>
      </c>
      <c r="E14" s="8">
        <f t="shared" si="3"/>
        <v>36</v>
      </c>
      <c r="F14" s="8">
        <f t="shared" si="4"/>
        <v>36</v>
      </c>
      <c r="G14" s="8">
        <f t="shared" si="5"/>
        <v>31</v>
      </c>
      <c r="H14" s="8">
        <v>985</v>
      </c>
      <c r="I14" s="8">
        <v>979</v>
      </c>
      <c r="J14" s="159">
        <f t="shared" si="6"/>
        <v>-6</v>
      </c>
      <c r="K14" s="9">
        <v>9212</v>
      </c>
      <c r="L14" s="9">
        <v>9184</v>
      </c>
      <c r="M14" s="134">
        <f t="shared" si="7"/>
        <v>-28</v>
      </c>
    </row>
    <row r="15" spans="1:13" x14ac:dyDescent="0.35">
      <c r="A15" s="2" t="s">
        <v>22</v>
      </c>
      <c r="B15" s="8">
        <f t="shared" si="0"/>
        <v>7</v>
      </c>
      <c r="C15" s="8">
        <f t="shared" si="1"/>
        <v>18</v>
      </c>
      <c r="D15" s="8">
        <f t="shared" si="2"/>
        <v>50</v>
      </c>
      <c r="E15" s="8">
        <f t="shared" si="3"/>
        <v>39</v>
      </c>
      <c r="F15" s="8">
        <f t="shared" si="4"/>
        <v>41</v>
      </c>
      <c r="G15" s="8">
        <f t="shared" si="5"/>
        <v>39</v>
      </c>
      <c r="H15" s="8">
        <v>1035</v>
      </c>
      <c r="I15" s="8">
        <v>1020</v>
      </c>
      <c r="J15" s="159">
        <f t="shared" si="6"/>
        <v>-15</v>
      </c>
      <c r="K15" s="9">
        <v>9077</v>
      </c>
      <c r="L15" s="9">
        <v>8901</v>
      </c>
      <c r="M15" s="134">
        <f t="shared" si="7"/>
        <v>-176</v>
      </c>
    </row>
    <row r="16" spans="1:13" x14ac:dyDescent="0.35">
      <c r="A16" s="2" t="s">
        <v>23</v>
      </c>
      <c r="B16" s="8">
        <f t="shared" si="0"/>
        <v>9</v>
      </c>
      <c r="C16" s="8">
        <f t="shared" si="1"/>
        <v>9</v>
      </c>
      <c r="D16" s="8">
        <f t="shared" si="2"/>
        <v>28</v>
      </c>
      <c r="E16" s="8">
        <f t="shared" si="3"/>
        <v>6</v>
      </c>
      <c r="F16" s="8">
        <f t="shared" si="4"/>
        <v>5</v>
      </c>
      <c r="G16" s="8">
        <f t="shared" si="5"/>
        <v>3</v>
      </c>
      <c r="H16" s="8">
        <v>1032</v>
      </c>
      <c r="I16" s="8">
        <v>1026</v>
      </c>
      <c r="J16" s="159">
        <f t="shared" si="6"/>
        <v>-6</v>
      </c>
      <c r="K16" s="9">
        <v>15608</v>
      </c>
      <c r="L16" s="9">
        <v>16125</v>
      </c>
      <c r="M16" s="134">
        <f t="shared" si="7"/>
        <v>517</v>
      </c>
    </row>
    <row r="17" spans="1:13" x14ac:dyDescent="0.35">
      <c r="A17" s="61" t="s">
        <v>25</v>
      </c>
      <c r="B17" s="8">
        <f t="shared" si="0"/>
        <v>51</v>
      </c>
      <c r="C17" s="8">
        <f t="shared" si="1"/>
        <v>51</v>
      </c>
      <c r="D17" s="8">
        <f t="shared" si="2"/>
        <v>2</v>
      </c>
      <c r="E17" s="8">
        <f t="shared" si="3"/>
        <v>1</v>
      </c>
      <c r="F17" s="8">
        <f t="shared" si="4"/>
        <v>1</v>
      </c>
      <c r="G17" s="8">
        <f t="shared" si="5"/>
        <v>18</v>
      </c>
      <c r="H17" s="8">
        <v>948</v>
      </c>
      <c r="I17" s="8">
        <v>954</v>
      </c>
      <c r="J17" s="159">
        <f t="shared" si="6"/>
        <v>6</v>
      </c>
      <c r="K17" s="63">
        <v>21139</v>
      </c>
      <c r="L17" s="63">
        <v>21347</v>
      </c>
      <c r="M17" s="134">
        <f t="shared" si="7"/>
        <v>208</v>
      </c>
    </row>
    <row r="18" spans="1:13" x14ac:dyDescent="0.35">
      <c r="A18" s="2" t="s">
        <v>24</v>
      </c>
      <c r="B18" s="8">
        <f t="shared" si="0"/>
        <v>24</v>
      </c>
      <c r="C18" s="8">
        <f t="shared" si="1"/>
        <v>33</v>
      </c>
      <c r="D18" s="8">
        <f t="shared" si="2"/>
        <v>47</v>
      </c>
      <c r="E18" s="8">
        <f t="shared" si="3"/>
        <v>13</v>
      </c>
      <c r="F18" s="8">
        <f t="shared" si="4"/>
        <v>13</v>
      </c>
      <c r="G18" s="8">
        <f t="shared" si="5"/>
        <v>8</v>
      </c>
      <c r="H18" s="8">
        <v>1017</v>
      </c>
      <c r="I18" s="8">
        <v>1006</v>
      </c>
      <c r="J18" s="159">
        <f t="shared" si="6"/>
        <v>-11</v>
      </c>
      <c r="K18" s="9">
        <v>12355</v>
      </c>
      <c r="L18" s="9">
        <v>12723</v>
      </c>
      <c r="M18" s="134">
        <f t="shared" si="7"/>
        <v>368</v>
      </c>
    </row>
    <row r="19" spans="1:13" x14ac:dyDescent="0.35">
      <c r="A19" s="2" t="s">
        <v>26</v>
      </c>
      <c r="B19" s="8">
        <f t="shared" si="0"/>
        <v>25</v>
      </c>
      <c r="C19" s="8">
        <f t="shared" si="1"/>
        <v>30</v>
      </c>
      <c r="D19" s="8">
        <f t="shared" si="2"/>
        <v>36</v>
      </c>
      <c r="E19" s="8">
        <f t="shared" si="3"/>
        <v>42</v>
      </c>
      <c r="F19" s="8">
        <f t="shared" si="4"/>
        <v>39</v>
      </c>
      <c r="G19" s="8">
        <f t="shared" si="5"/>
        <v>19</v>
      </c>
      <c r="H19" s="8">
        <v>1016</v>
      </c>
      <c r="I19" s="8">
        <v>1008</v>
      </c>
      <c r="J19" s="159">
        <f t="shared" si="6"/>
        <v>-8</v>
      </c>
      <c r="K19" s="9">
        <v>8874</v>
      </c>
      <c r="L19" s="9">
        <v>9060</v>
      </c>
      <c r="M19" s="134">
        <f t="shared" si="7"/>
        <v>186</v>
      </c>
    </row>
    <row r="20" spans="1:13" x14ac:dyDescent="0.35">
      <c r="A20" s="2" t="s">
        <v>27</v>
      </c>
      <c r="B20" s="8">
        <f t="shared" si="0"/>
        <v>35</v>
      </c>
      <c r="C20" s="8">
        <f t="shared" si="1"/>
        <v>37</v>
      </c>
      <c r="D20" s="8">
        <f t="shared" si="2"/>
        <v>35</v>
      </c>
      <c r="E20" s="8">
        <f t="shared" si="3"/>
        <v>31</v>
      </c>
      <c r="F20" s="8">
        <f t="shared" si="4"/>
        <v>34</v>
      </c>
      <c r="G20" s="8">
        <f t="shared" si="5"/>
        <v>40</v>
      </c>
      <c r="H20" s="8">
        <v>1006</v>
      </c>
      <c r="I20" s="8">
        <v>999</v>
      </c>
      <c r="J20" s="159">
        <f t="shared" si="6"/>
        <v>-7</v>
      </c>
      <c r="K20" s="9">
        <v>9500</v>
      </c>
      <c r="L20" s="9">
        <v>9311</v>
      </c>
      <c r="M20" s="134">
        <f t="shared" si="7"/>
        <v>-189</v>
      </c>
    </row>
    <row r="21" spans="1:13" x14ac:dyDescent="0.35">
      <c r="A21" s="61" t="s">
        <v>28</v>
      </c>
      <c r="B21" s="8">
        <f t="shared" si="0"/>
        <v>38</v>
      </c>
      <c r="C21" s="8">
        <f t="shared" si="1"/>
        <v>41</v>
      </c>
      <c r="D21" s="8">
        <f t="shared" si="2"/>
        <v>44</v>
      </c>
      <c r="E21" s="8">
        <f t="shared" si="3"/>
        <v>15</v>
      </c>
      <c r="F21" s="8">
        <f t="shared" si="4"/>
        <v>17</v>
      </c>
      <c r="G21" s="8">
        <f t="shared" si="5"/>
        <v>21</v>
      </c>
      <c r="H21" s="8">
        <v>999</v>
      </c>
      <c r="I21" s="8">
        <v>989</v>
      </c>
      <c r="J21" s="159">
        <f t="shared" si="6"/>
        <v>-10</v>
      </c>
      <c r="K21" s="9">
        <v>11761</v>
      </c>
      <c r="L21" s="9">
        <v>11884</v>
      </c>
      <c r="M21" s="134">
        <f t="shared" si="7"/>
        <v>123</v>
      </c>
    </row>
    <row r="22" spans="1:13" x14ac:dyDescent="0.35">
      <c r="A22" s="2" t="s">
        <v>29</v>
      </c>
      <c r="B22" s="8">
        <f t="shared" si="0"/>
        <v>25</v>
      </c>
      <c r="C22" s="8">
        <f t="shared" si="1"/>
        <v>22</v>
      </c>
      <c r="D22" s="8">
        <f t="shared" si="2"/>
        <v>17</v>
      </c>
      <c r="E22" s="8">
        <f t="shared" si="3"/>
        <v>50</v>
      </c>
      <c r="F22" s="8">
        <f t="shared" si="4"/>
        <v>50</v>
      </c>
      <c r="G22" s="8">
        <f t="shared" si="5"/>
        <v>47</v>
      </c>
      <c r="H22" s="8">
        <v>1016</v>
      </c>
      <c r="I22" s="8">
        <v>1014</v>
      </c>
      <c r="J22" s="159">
        <f t="shared" si="6"/>
        <v>-2</v>
      </c>
      <c r="K22" s="9">
        <v>7132</v>
      </c>
      <c r="L22" s="9">
        <v>6810</v>
      </c>
      <c r="M22" s="134">
        <f t="shared" si="7"/>
        <v>-322</v>
      </c>
    </row>
    <row r="23" spans="1:13" x14ac:dyDescent="0.35">
      <c r="A23" s="2" t="s">
        <v>31</v>
      </c>
      <c r="B23" s="8">
        <f t="shared" si="0"/>
        <v>34</v>
      </c>
      <c r="C23" s="8">
        <f t="shared" si="1"/>
        <v>30</v>
      </c>
      <c r="D23" s="8">
        <f t="shared" si="2"/>
        <v>17</v>
      </c>
      <c r="E23" s="8">
        <f t="shared" si="3"/>
        <v>17</v>
      </c>
      <c r="F23" s="8">
        <f t="shared" si="4"/>
        <v>18</v>
      </c>
      <c r="G23" s="8">
        <f t="shared" si="5"/>
        <v>30</v>
      </c>
      <c r="H23" s="8">
        <v>1010</v>
      </c>
      <c r="I23" s="8">
        <v>1008</v>
      </c>
      <c r="J23" s="159">
        <f t="shared" si="6"/>
        <v>-2</v>
      </c>
      <c r="K23" s="9">
        <v>11663</v>
      </c>
      <c r="L23" s="9">
        <v>11671</v>
      </c>
      <c r="M23" s="134">
        <f t="shared" si="7"/>
        <v>8</v>
      </c>
    </row>
    <row r="24" spans="1:13" x14ac:dyDescent="0.35">
      <c r="A24" s="2" t="s">
        <v>30</v>
      </c>
      <c r="B24" s="8">
        <f t="shared" si="0"/>
        <v>13</v>
      </c>
      <c r="C24" s="8">
        <f t="shared" si="1"/>
        <v>8</v>
      </c>
      <c r="D24" s="8">
        <f t="shared" si="2"/>
        <v>9</v>
      </c>
      <c r="E24" s="8">
        <f t="shared" si="3"/>
        <v>32</v>
      </c>
      <c r="F24" s="8">
        <f t="shared" si="4"/>
        <v>35</v>
      </c>
      <c r="G24" s="8">
        <f t="shared" si="5"/>
        <v>44</v>
      </c>
      <c r="H24" s="8">
        <v>1029</v>
      </c>
      <c r="I24" s="8">
        <v>1030</v>
      </c>
      <c r="J24" s="159">
        <f t="shared" si="6"/>
        <v>1</v>
      </c>
      <c r="K24" s="9">
        <v>9483</v>
      </c>
      <c r="L24" s="9">
        <v>9256</v>
      </c>
      <c r="M24" s="134">
        <f t="shared" si="7"/>
        <v>-227</v>
      </c>
    </row>
    <row r="25" spans="1:13" x14ac:dyDescent="0.35">
      <c r="A25" s="2" t="s">
        <v>32</v>
      </c>
      <c r="B25" s="8">
        <f t="shared" si="0"/>
        <v>19</v>
      </c>
      <c r="C25" s="8">
        <f t="shared" si="1"/>
        <v>17</v>
      </c>
      <c r="D25" s="8">
        <f t="shared" si="2"/>
        <v>22</v>
      </c>
      <c r="E25" s="8">
        <f t="shared" si="3"/>
        <v>28</v>
      </c>
      <c r="F25" s="8">
        <f t="shared" si="4"/>
        <v>28</v>
      </c>
      <c r="G25" s="8">
        <f t="shared" si="5"/>
        <v>28</v>
      </c>
      <c r="H25" s="8">
        <v>1024</v>
      </c>
      <c r="I25" s="8">
        <v>1021</v>
      </c>
      <c r="J25" s="159">
        <f t="shared" si="6"/>
        <v>-3</v>
      </c>
      <c r="K25" s="9">
        <v>9833</v>
      </c>
      <c r="L25" s="9">
        <v>9872</v>
      </c>
      <c r="M25" s="134">
        <f t="shared" si="7"/>
        <v>39</v>
      </c>
    </row>
    <row r="26" spans="1:13" x14ac:dyDescent="0.35">
      <c r="A26" s="2" t="s">
        <v>33</v>
      </c>
      <c r="B26" s="8">
        <f t="shared" si="0"/>
        <v>18</v>
      </c>
      <c r="C26" s="8">
        <f t="shared" si="1"/>
        <v>23</v>
      </c>
      <c r="D26" s="8">
        <f t="shared" si="2"/>
        <v>49</v>
      </c>
      <c r="E26" s="8">
        <f t="shared" si="3"/>
        <v>27</v>
      </c>
      <c r="F26" s="8">
        <f t="shared" si="4"/>
        <v>27</v>
      </c>
      <c r="G26" s="8">
        <f t="shared" si="5"/>
        <v>33</v>
      </c>
      <c r="H26" s="8">
        <v>1026</v>
      </c>
      <c r="I26" s="8">
        <v>1013</v>
      </c>
      <c r="J26" s="159">
        <f t="shared" si="6"/>
        <v>-13</v>
      </c>
      <c r="K26" s="9">
        <v>10044</v>
      </c>
      <c r="L26" s="9">
        <v>9992</v>
      </c>
      <c r="M26" s="134">
        <f t="shared" si="7"/>
        <v>-52</v>
      </c>
    </row>
    <row r="27" spans="1:13" x14ac:dyDescent="0.35">
      <c r="A27" s="2" t="s">
        <v>34</v>
      </c>
      <c r="B27" s="8">
        <f t="shared" si="0"/>
        <v>25</v>
      </c>
      <c r="C27" s="8">
        <f t="shared" si="1"/>
        <v>21</v>
      </c>
      <c r="D27" s="8">
        <f t="shared" si="2"/>
        <v>11</v>
      </c>
      <c r="E27" s="8">
        <f t="shared" si="3"/>
        <v>38</v>
      </c>
      <c r="F27" s="8">
        <f t="shared" si="4"/>
        <v>37</v>
      </c>
      <c r="G27" s="8">
        <f t="shared" si="5"/>
        <v>27</v>
      </c>
      <c r="H27" s="8">
        <v>1016</v>
      </c>
      <c r="I27" s="8">
        <v>1016</v>
      </c>
      <c r="J27" s="159">
        <f t="shared" si="6"/>
        <v>0</v>
      </c>
      <c r="K27" s="9">
        <v>9091</v>
      </c>
      <c r="L27" s="9">
        <v>9133</v>
      </c>
      <c r="M27" s="134">
        <f t="shared" si="7"/>
        <v>42</v>
      </c>
    </row>
    <row r="28" spans="1:13" x14ac:dyDescent="0.35">
      <c r="A28" s="2" t="s">
        <v>35</v>
      </c>
      <c r="B28" s="8">
        <f t="shared" si="0"/>
        <v>48</v>
      </c>
      <c r="C28" s="8">
        <f t="shared" si="1"/>
        <v>48</v>
      </c>
      <c r="D28" s="8">
        <f t="shared" si="2"/>
        <v>7</v>
      </c>
      <c r="E28" s="8">
        <f t="shared" si="3"/>
        <v>21</v>
      </c>
      <c r="F28" s="8">
        <f t="shared" si="4"/>
        <v>22</v>
      </c>
      <c r="G28" s="8">
        <f t="shared" si="5"/>
        <v>26</v>
      </c>
      <c r="H28" s="8">
        <v>971</v>
      </c>
      <c r="I28" s="8">
        <v>973</v>
      </c>
      <c r="J28" s="159">
        <f t="shared" si="6"/>
        <v>2</v>
      </c>
      <c r="K28" s="9">
        <v>10795</v>
      </c>
      <c r="L28" s="9">
        <v>10887</v>
      </c>
      <c r="M28" s="134">
        <f t="shared" si="7"/>
        <v>92</v>
      </c>
    </row>
    <row r="29" spans="1:13" x14ac:dyDescent="0.35">
      <c r="A29" s="2" t="s">
        <v>36</v>
      </c>
      <c r="B29" s="8">
        <f t="shared" si="0"/>
        <v>13</v>
      </c>
      <c r="C29" s="8">
        <f t="shared" si="1"/>
        <v>20</v>
      </c>
      <c r="D29" s="8">
        <f t="shared" si="2"/>
        <v>44</v>
      </c>
      <c r="E29" s="8">
        <f t="shared" si="3"/>
        <v>14</v>
      </c>
      <c r="F29" s="8">
        <f t="shared" si="4"/>
        <v>14</v>
      </c>
      <c r="G29" s="8">
        <f t="shared" si="5"/>
        <v>10</v>
      </c>
      <c r="H29" s="8">
        <v>1029</v>
      </c>
      <c r="I29" s="8">
        <v>1019</v>
      </c>
      <c r="J29" s="159">
        <f t="shared" si="6"/>
        <v>-10</v>
      </c>
      <c r="K29" s="9">
        <v>12212</v>
      </c>
      <c r="L29" s="9">
        <v>12566</v>
      </c>
      <c r="M29" s="134">
        <f t="shared" si="7"/>
        <v>354</v>
      </c>
    </row>
    <row r="30" spans="1:13" x14ac:dyDescent="0.35">
      <c r="A30" s="2" t="s">
        <v>37</v>
      </c>
      <c r="B30" s="8">
        <f t="shared" si="0"/>
        <v>6</v>
      </c>
      <c r="C30" s="8">
        <f t="shared" si="1"/>
        <v>23</v>
      </c>
      <c r="D30" s="8">
        <f t="shared" si="2"/>
        <v>51</v>
      </c>
      <c r="E30" s="8">
        <f t="shared" si="3"/>
        <v>10</v>
      </c>
      <c r="F30" s="8">
        <f t="shared" si="4"/>
        <v>10</v>
      </c>
      <c r="G30" s="8">
        <f t="shared" si="5"/>
        <v>24</v>
      </c>
      <c r="H30" s="8">
        <v>1038</v>
      </c>
      <c r="I30" s="8">
        <v>1013</v>
      </c>
      <c r="J30" s="159">
        <f t="shared" si="6"/>
        <v>-25</v>
      </c>
      <c r="K30" s="9">
        <v>14082</v>
      </c>
      <c r="L30" s="9">
        <v>14186</v>
      </c>
      <c r="M30" s="134">
        <f t="shared" si="7"/>
        <v>104</v>
      </c>
    </row>
    <row r="31" spans="1:13" x14ac:dyDescent="0.35">
      <c r="A31" s="61" t="s">
        <v>38</v>
      </c>
      <c r="B31" s="8">
        <f t="shared" si="0"/>
        <v>1</v>
      </c>
      <c r="C31" s="8">
        <f t="shared" si="1"/>
        <v>1</v>
      </c>
      <c r="D31" s="8">
        <f t="shared" si="2"/>
        <v>28</v>
      </c>
      <c r="E31" s="8">
        <f t="shared" si="3"/>
        <v>9</v>
      </c>
      <c r="F31" s="8">
        <f t="shared" si="4"/>
        <v>9</v>
      </c>
      <c r="G31" s="8">
        <f t="shared" si="5"/>
        <v>50</v>
      </c>
      <c r="H31" s="8">
        <v>1063</v>
      </c>
      <c r="I31" s="8">
        <v>1057</v>
      </c>
      <c r="J31" s="159">
        <f t="shared" si="6"/>
        <v>-6</v>
      </c>
      <c r="K31" s="63">
        <v>14670</v>
      </c>
      <c r="L31" s="9">
        <v>14262</v>
      </c>
      <c r="M31" s="134">
        <f t="shared" si="7"/>
        <v>-408</v>
      </c>
    </row>
    <row r="32" spans="1:13" x14ac:dyDescent="0.35">
      <c r="A32" s="2" t="s">
        <v>39</v>
      </c>
      <c r="B32" s="8">
        <f t="shared" si="0"/>
        <v>37</v>
      </c>
      <c r="C32" s="8">
        <f t="shared" si="1"/>
        <v>39</v>
      </c>
      <c r="D32" s="8">
        <f t="shared" si="2"/>
        <v>28</v>
      </c>
      <c r="E32" s="8">
        <f t="shared" si="3"/>
        <v>26</v>
      </c>
      <c r="F32" s="8">
        <f t="shared" si="4"/>
        <v>26</v>
      </c>
      <c r="G32" s="8">
        <f t="shared" si="5"/>
        <v>41</v>
      </c>
      <c r="H32" s="8">
        <v>1000</v>
      </c>
      <c r="I32" s="8">
        <v>994</v>
      </c>
      <c r="J32" s="159">
        <f t="shared" si="6"/>
        <v>-6</v>
      </c>
      <c r="K32" s="9">
        <v>10378</v>
      </c>
      <c r="L32" s="9">
        <v>10179</v>
      </c>
      <c r="M32" s="134">
        <f t="shared" si="7"/>
        <v>-199</v>
      </c>
    </row>
    <row r="33" spans="1:13" x14ac:dyDescent="0.35">
      <c r="A33" s="61" t="s">
        <v>40</v>
      </c>
      <c r="B33" s="8">
        <f t="shared" si="0"/>
        <v>4</v>
      </c>
      <c r="C33" s="8">
        <f t="shared" si="1"/>
        <v>4</v>
      </c>
      <c r="D33" s="8">
        <f t="shared" si="2"/>
        <v>40</v>
      </c>
      <c r="E33" s="8">
        <f t="shared" si="3"/>
        <v>22</v>
      </c>
      <c r="F33" s="8">
        <f t="shared" si="4"/>
        <v>24</v>
      </c>
      <c r="G33" s="8">
        <f t="shared" si="5"/>
        <v>29</v>
      </c>
      <c r="H33" s="8">
        <v>1046</v>
      </c>
      <c r="I33" s="8">
        <v>1037</v>
      </c>
      <c r="J33" s="158">
        <f t="shared" si="6"/>
        <v>-9</v>
      </c>
      <c r="K33" s="63">
        <v>10677</v>
      </c>
      <c r="L33" s="63">
        <v>10686</v>
      </c>
      <c r="M33" s="135">
        <f t="shared" si="7"/>
        <v>9</v>
      </c>
    </row>
    <row r="34" spans="1:13" x14ac:dyDescent="0.35">
      <c r="A34" s="2" t="s">
        <v>41</v>
      </c>
      <c r="B34" s="8">
        <f t="shared" si="0"/>
        <v>50</v>
      </c>
      <c r="C34" s="8">
        <f t="shared" si="1"/>
        <v>49</v>
      </c>
      <c r="D34" s="8">
        <f t="shared" si="2"/>
        <v>1</v>
      </c>
      <c r="E34" s="8">
        <f t="shared" si="3"/>
        <v>47</v>
      </c>
      <c r="F34" s="8">
        <f t="shared" si="4"/>
        <v>47</v>
      </c>
      <c r="G34" s="8">
        <f t="shared" si="5"/>
        <v>43</v>
      </c>
      <c r="H34" s="8">
        <v>964</v>
      </c>
      <c r="I34" s="8">
        <v>971</v>
      </c>
      <c r="J34" s="159">
        <f t="shared" si="6"/>
        <v>7</v>
      </c>
      <c r="K34" s="9">
        <v>8112</v>
      </c>
      <c r="L34" s="9">
        <v>7894</v>
      </c>
      <c r="M34" s="134">
        <f t="shared" si="7"/>
        <v>-218</v>
      </c>
    </row>
    <row r="35" spans="1:13" x14ac:dyDescent="0.35">
      <c r="A35" s="2" t="s">
        <v>42</v>
      </c>
      <c r="B35" s="8">
        <f t="shared" si="0"/>
        <v>30</v>
      </c>
      <c r="C35" s="8">
        <f t="shared" si="1"/>
        <v>27</v>
      </c>
      <c r="D35" s="8">
        <f t="shared" si="2"/>
        <v>17</v>
      </c>
      <c r="E35" s="8">
        <f t="shared" si="3"/>
        <v>30</v>
      </c>
      <c r="F35" s="8">
        <f t="shared" si="4"/>
        <v>31</v>
      </c>
      <c r="G35" s="8">
        <f t="shared" si="5"/>
        <v>45</v>
      </c>
      <c r="H35" s="8">
        <v>1012</v>
      </c>
      <c r="I35" s="8">
        <v>1010</v>
      </c>
      <c r="J35" s="159">
        <f t="shared" si="6"/>
        <v>-2</v>
      </c>
      <c r="K35" s="9">
        <v>9721</v>
      </c>
      <c r="L35" s="9">
        <v>9468</v>
      </c>
      <c r="M35" s="134">
        <f t="shared" si="7"/>
        <v>-253</v>
      </c>
    </row>
    <row r="36" spans="1:13" x14ac:dyDescent="0.35">
      <c r="A36" s="2" t="s">
        <v>43</v>
      </c>
      <c r="B36" s="8">
        <f t="shared" si="0"/>
        <v>17</v>
      </c>
      <c r="C36" s="8">
        <f t="shared" si="1"/>
        <v>15</v>
      </c>
      <c r="D36" s="8">
        <f t="shared" si="2"/>
        <v>26</v>
      </c>
      <c r="E36" s="8">
        <f t="shared" si="3"/>
        <v>24</v>
      </c>
      <c r="F36" s="8">
        <f t="shared" si="4"/>
        <v>23</v>
      </c>
      <c r="G36" s="8">
        <f t="shared" si="5"/>
        <v>20</v>
      </c>
      <c r="H36" s="8">
        <v>1028</v>
      </c>
      <c r="I36" s="8">
        <v>1023</v>
      </c>
      <c r="J36" s="159">
        <f t="shared" si="6"/>
        <v>-5</v>
      </c>
      <c r="K36" s="9">
        <v>10558</v>
      </c>
      <c r="L36" s="9">
        <v>10710</v>
      </c>
      <c r="M36" s="134">
        <f t="shared" si="7"/>
        <v>152</v>
      </c>
    </row>
    <row r="37" spans="1:13" x14ac:dyDescent="0.35">
      <c r="A37" s="2" t="s">
        <v>44</v>
      </c>
      <c r="B37" s="8">
        <f t="shared" si="0"/>
        <v>21</v>
      </c>
      <c r="C37" s="8">
        <f t="shared" si="1"/>
        <v>9</v>
      </c>
      <c r="D37" s="8">
        <f t="shared" si="2"/>
        <v>2</v>
      </c>
      <c r="E37" s="8">
        <f t="shared" si="3"/>
        <v>18</v>
      </c>
      <c r="F37" s="8">
        <f t="shared" si="4"/>
        <v>19</v>
      </c>
      <c r="G37" s="8">
        <f t="shared" si="5"/>
        <v>25</v>
      </c>
      <c r="H37" s="8">
        <v>1020</v>
      </c>
      <c r="I37" s="8">
        <v>1026</v>
      </c>
      <c r="J37" s="159">
        <f t="shared" si="6"/>
        <v>6</v>
      </c>
      <c r="K37" s="9">
        <v>11536</v>
      </c>
      <c r="L37" s="9">
        <v>11638</v>
      </c>
      <c r="M37" s="134">
        <f t="shared" si="7"/>
        <v>102</v>
      </c>
    </row>
    <row r="38" spans="1:13" x14ac:dyDescent="0.35">
      <c r="A38" s="2" t="s">
        <v>45</v>
      </c>
      <c r="B38" s="8">
        <f t="shared" si="0"/>
        <v>43</v>
      </c>
      <c r="C38" s="8">
        <f t="shared" si="1"/>
        <v>44</v>
      </c>
      <c r="D38" s="8">
        <f t="shared" si="2"/>
        <v>36</v>
      </c>
      <c r="E38" s="8">
        <f t="shared" si="3"/>
        <v>44</v>
      </c>
      <c r="F38" s="8">
        <f t="shared" si="4"/>
        <v>45</v>
      </c>
      <c r="G38" s="8">
        <f t="shared" si="5"/>
        <v>13</v>
      </c>
      <c r="H38" s="8">
        <v>990</v>
      </c>
      <c r="I38" s="8">
        <v>982</v>
      </c>
      <c r="J38" s="159">
        <f t="shared" si="6"/>
        <v>-8</v>
      </c>
      <c r="K38" s="9">
        <v>8290</v>
      </c>
      <c r="L38" s="9">
        <v>8572</v>
      </c>
      <c r="M38" s="134">
        <f t="shared" si="7"/>
        <v>282</v>
      </c>
    </row>
    <row r="39" spans="1:13" x14ac:dyDescent="0.35">
      <c r="A39" s="2" t="s">
        <v>46</v>
      </c>
      <c r="B39" s="8">
        <f t="shared" si="0"/>
        <v>2</v>
      </c>
      <c r="C39" s="8">
        <f t="shared" si="1"/>
        <v>2</v>
      </c>
      <c r="D39" s="8">
        <f t="shared" si="2"/>
        <v>26</v>
      </c>
      <c r="E39" s="8">
        <f t="shared" si="3"/>
        <v>11</v>
      </c>
      <c r="F39" s="8">
        <f t="shared" si="4"/>
        <v>11</v>
      </c>
      <c r="G39" s="8">
        <f t="shared" si="5"/>
        <v>9</v>
      </c>
      <c r="H39" s="8">
        <v>1055</v>
      </c>
      <c r="I39" s="8">
        <v>1050</v>
      </c>
      <c r="J39" s="159">
        <f t="shared" si="6"/>
        <v>-5</v>
      </c>
      <c r="K39" s="9">
        <v>13019</v>
      </c>
      <c r="L39" s="9">
        <v>13380</v>
      </c>
      <c r="M39" s="134">
        <f t="shared" si="7"/>
        <v>361</v>
      </c>
    </row>
    <row r="40" spans="1:13" x14ac:dyDescent="0.35">
      <c r="A40" s="2" t="s">
        <v>47</v>
      </c>
      <c r="B40" s="8">
        <f t="shared" si="0"/>
        <v>3</v>
      </c>
      <c r="C40" s="8">
        <f t="shared" si="1"/>
        <v>3</v>
      </c>
      <c r="D40" s="8">
        <f t="shared" si="2"/>
        <v>44</v>
      </c>
      <c r="E40" s="8">
        <f t="shared" si="3"/>
        <v>3</v>
      </c>
      <c r="F40" s="8">
        <f t="shared" si="4"/>
        <v>3</v>
      </c>
      <c r="G40" s="8">
        <f t="shared" si="5"/>
        <v>51</v>
      </c>
      <c r="H40" s="8">
        <v>1048</v>
      </c>
      <c r="I40" s="8">
        <v>1038</v>
      </c>
      <c r="J40" s="159">
        <f t="shared" si="6"/>
        <v>-10</v>
      </c>
      <c r="K40" s="9">
        <v>17562</v>
      </c>
      <c r="L40" s="9">
        <v>16933</v>
      </c>
      <c r="M40" s="134">
        <f t="shared" si="7"/>
        <v>-629</v>
      </c>
    </row>
    <row r="41" spans="1:13" x14ac:dyDescent="0.35">
      <c r="A41" s="2" t="s">
        <v>48</v>
      </c>
      <c r="B41" s="8">
        <f t="shared" si="0"/>
        <v>49</v>
      </c>
      <c r="C41" s="8">
        <f t="shared" si="1"/>
        <v>50</v>
      </c>
      <c r="D41" s="8">
        <f t="shared" si="2"/>
        <v>28</v>
      </c>
      <c r="E41" s="8">
        <f t="shared" si="3"/>
        <v>29</v>
      </c>
      <c r="F41" s="8">
        <f t="shared" si="4"/>
        <v>32</v>
      </c>
      <c r="G41" s="8">
        <f t="shared" si="5"/>
        <v>49</v>
      </c>
      <c r="H41" s="8">
        <v>968</v>
      </c>
      <c r="I41" s="8">
        <v>962</v>
      </c>
      <c r="J41" s="159">
        <f t="shared" si="6"/>
        <v>-6</v>
      </c>
      <c r="K41" s="9">
        <v>9742</v>
      </c>
      <c r="L41" s="9">
        <v>9351</v>
      </c>
      <c r="M41" s="134">
        <f t="shared" si="7"/>
        <v>-391</v>
      </c>
    </row>
    <row r="42" spans="1:13" x14ac:dyDescent="0.35">
      <c r="A42" s="61" t="s">
        <v>49</v>
      </c>
      <c r="B42" s="8">
        <f t="shared" ref="B42:B60" si="8">RANK(H42,H$10:H$60)</f>
        <v>30</v>
      </c>
      <c r="C42" s="8">
        <f t="shared" ref="C42:C60" si="9">RANK(I42,I$10:I$60)</f>
        <v>34</v>
      </c>
      <c r="D42" s="8">
        <f t="shared" ref="D42:D60" si="10">RANK(J42,J$10:J$60)</f>
        <v>40</v>
      </c>
      <c r="E42" s="8">
        <f t="shared" ref="E42:E60" si="11">RANK(K42,K$10:K$60)</f>
        <v>2</v>
      </c>
      <c r="F42" s="8">
        <f t="shared" ref="F42:F60" si="12">RANK(L42,L$10:L$60)</f>
        <v>2</v>
      </c>
      <c r="G42" s="8">
        <f t="shared" ref="G42:G60" si="13">RANK(M42,M$10:M$60)</f>
        <v>12</v>
      </c>
      <c r="H42" s="8">
        <v>1012</v>
      </c>
      <c r="I42" s="8">
        <v>1003</v>
      </c>
      <c r="J42" s="158">
        <f t="shared" ref="J42:J60" si="14">I42-H42</f>
        <v>-9</v>
      </c>
      <c r="K42" s="63">
        <v>18335</v>
      </c>
      <c r="L42" s="63">
        <v>18621</v>
      </c>
      <c r="M42" s="135">
        <f t="shared" ref="M42:M60" si="15">L42-K42</f>
        <v>286</v>
      </c>
    </row>
    <row r="43" spans="1:13" x14ac:dyDescent="0.35">
      <c r="A43" s="2" t="s">
        <v>50</v>
      </c>
      <c r="B43" s="8">
        <f t="shared" si="8"/>
        <v>23</v>
      </c>
      <c r="C43" s="8">
        <f t="shared" si="9"/>
        <v>25</v>
      </c>
      <c r="D43" s="8">
        <f t="shared" si="10"/>
        <v>28</v>
      </c>
      <c r="E43" s="8">
        <f t="shared" si="11"/>
        <v>45</v>
      </c>
      <c r="F43" s="8">
        <f t="shared" si="12"/>
        <v>46</v>
      </c>
      <c r="G43" s="8">
        <f t="shared" si="13"/>
        <v>22</v>
      </c>
      <c r="H43" s="8">
        <v>1018</v>
      </c>
      <c r="I43" s="8">
        <v>1012</v>
      </c>
      <c r="J43" s="159">
        <f t="shared" si="14"/>
        <v>-6</v>
      </c>
      <c r="K43" s="9">
        <v>8195</v>
      </c>
      <c r="L43" s="9">
        <v>8306</v>
      </c>
      <c r="M43" s="134">
        <f t="shared" si="15"/>
        <v>111</v>
      </c>
    </row>
    <row r="44" spans="1:13" x14ac:dyDescent="0.35">
      <c r="A44" s="2" t="s">
        <v>51</v>
      </c>
      <c r="B44" s="8">
        <f t="shared" si="8"/>
        <v>13</v>
      </c>
      <c r="C44" s="8">
        <f t="shared" si="9"/>
        <v>11</v>
      </c>
      <c r="D44" s="8">
        <f t="shared" si="10"/>
        <v>23</v>
      </c>
      <c r="E44" s="8">
        <f t="shared" si="11"/>
        <v>25</v>
      </c>
      <c r="F44" s="8">
        <f t="shared" si="12"/>
        <v>21</v>
      </c>
      <c r="G44" s="8">
        <f t="shared" si="13"/>
        <v>6</v>
      </c>
      <c r="H44" s="8">
        <v>1029</v>
      </c>
      <c r="I44" s="8">
        <v>1025</v>
      </c>
      <c r="J44" s="159">
        <f t="shared" si="14"/>
        <v>-4</v>
      </c>
      <c r="K44" s="9">
        <v>10557</v>
      </c>
      <c r="L44" s="9">
        <v>11041</v>
      </c>
      <c r="M44" s="134">
        <f t="shared" si="15"/>
        <v>484</v>
      </c>
    </row>
    <row r="45" spans="1:13" x14ac:dyDescent="0.35">
      <c r="A45" s="2" t="s">
        <v>52</v>
      </c>
      <c r="B45" s="8">
        <f t="shared" si="8"/>
        <v>13</v>
      </c>
      <c r="C45" s="8">
        <f t="shared" si="9"/>
        <v>18</v>
      </c>
      <c r="D45" s="8">
        <f t="shared" si="10"/>
        <v>40</v>
      </c>
      <c r="E45" s="8">
        <f t="shared" si="11"/>
        <v>20</v>
      </c>
      <c r="F45" s="8">
        <f t="shared" si="12"/>
        <v>20</v>
      </c>
      <c r="G45" s="8">
        <f t="shared" si="13"/>
        <v>7</v>
      </c>
      <c r="H45" s="8">
        <v>1029</v>
      </c>
      <c r="I45" s="8">
        <v>1020</v>
      </c>
      <c r="J45" s="159">
        <f t="shared" si="14"/>
        <v>-9</v>
      </c>
      <c r="K45" s="9">
        <v>10879</v>
      </c>
      <c r="L45" s="9">
        <v>11329</v>
      </c>
      <c r="M45" s="134">
        <f t="shared" si="15"/>
        <v>450</v>
      </c>
    </row>
    <row r="46" spans="1:13" x14ac:dyDescent="0.35">
      <c r="A46" s="61" t="s">
        <v>53</v>
      </c>
      <c r="B46" s="8">
        <f t="shared" si="8"/>
        <v>40</v>
      </c>
      <c r="C46" s="8">
        <f t="shared" si="9"/>
        <v>36</v>
      </c>
      <c r="D46" s="8">
        <f t="shared" si="10"/>
        <v>2</v>
      </c>
      <c r="E46" s="8">
        <f t="shared" si="11"/>
        <v>48</v>
      </c>
      <c r="F46" s="8">
        <f t="shared" si="12"/>
        <v>49</v>
      </c>
      <c r="G46" s="8">
        <f t="shared" si="13"/>
        <v>48</v>
      </c>
      <c r="H46" s="8">
        <v>994</v>
      </c>
      <c r="I46" s="8">
        <v>1000</v>
      </c>
      <c r="J46" s="159">
        <f t="shared" si="14"/>
        <v>6</v>
      </c>
      <c r="K46" s="63">
        <v>8048</v>
      </c>
      <c r="L46" s="63">
        <v>7690</v>
      </c>
      <c r="M46" s="134">
        <f t="shared" si="15"/>
        <v>-358</v>
      </c>
    </row>
    <row r="47" spans="1:13" x14ac:dyDescent="0.35">
      <c r="A47" s="61" t="s">
        <v>54</v>
      </c>
      <c r="B47" s="8">
        <f t="shared" si="8"/>
        <v>32</v>
      </c>
      <c r="C47" s="8">
        <f t="shared" si="9"/>
        <v>28</v>
      </c>
      <c r="D47" s="8">
        <f t="shared" si="10"/>
        <v>17</v>
      </c>
      <c r="E47" s="8">
        <f t="shared" si="11"/>
        <v>34</v>
      </c>
      <c r="F47" s="8">
        <f t="shared" si="12"/>
        <v>33</v>
      </c>
      <c r="G47" s="8">
        <f t="shared" si="13"/>
        <v>35</v>
      </c>
      <c r="H47" s="8">
        <v>1011</v>
      </c>
      <c r="I47" s="8">
        <v>1009</v>
      </c>
      <c r="J47" s="159">
        <f t="shared" si="14"/>
        <v>-2</v>
      </c>
      <c r="K47" s="9">
        <v>9387</v>
      </c>
      <c r="L47" s="9">
        <v>9317</v>
      </c>
      <c r="M47" s="134">
        <f t="shared" si="15"/>
        <v>-70</v>
      </c>
    </row>
    <row r="48" spans="1:13" x14ac:dyDescent="0.35">
      <c r="A48" s="2" t="s">
        <v>55</v>
      </c>
      <c r="B48" s="8">
        <f t="shared" si="8"/>
        <v>9</v>
      </c>
      <c r="C48" s="8">
        <f t="shared" si="9"/>
        <v>15</v>
      </c>
      <c r="D48" s="8">
        <f t="shared" si="10"/>
        <v>40</v>
      </c>
      <c r="E48" s="8">
        <f t="shared" si="11"/>
        <v>12</v>
      </c>
      <c r="F48" s="8">
        <f t="shared" si="12"/>
        <v>12</v>
      </c>
      <c r="G48" s="8">
        <f t="shared" si="13"/>
        <v>11</v>
      </c>
      <c r="H48" s="8">
        <v>1032</v>
      </c>
      <c r="I48" s="8">
        <v>1023</v>
      </c>
      <c r="J48" s="159">
        <f t="shared" si="14"/>
        <v>-9</v>
      </c>
      <c r="K48" s="9">
        <v>12807</v>
      </c>
      <c r="L48" s="9">
        <v>13149</v>
      </c>
      <c r="M48" s="134">
        <f t="shared" si="15"/>
        <v>342</v>
      </c>
    </row>
    <row r="49" spans="1:13" x14ac:dyDescent="0.35">
      <c r="A49" s="61" t="s">
        <v>56</v>
      </c>
      <c r="B49" s="8">
        <f t="shared" si="8"/>
        <v>28</v>
      </c>
      <c r="C49" s="8">
        <f t="shared" si="9"/>
        <v>28</v>
      </c>
      <c r="D49" s="8">
        <f t="shared" si="10"/>
        <v>28</v>
      </c>
      <c r="E49" s="8">
        <f t="shared" si="11"/>
        <v>8</v>
      </c>
      <c r="F49" s="8">
        <f t="shared" si="12"/>
        <v>8</v>
      </c>
      <c r="G49" s="8">
        <f t="shared" si="13"/>
        <v>22</v>
      </c>
      <c r="H49" s="8">
        <v>1015</v>
      </c>
      <c r="I49" s="8">
        <v>1009</v>
      </c>
      <c r="J49" s="158">
        <f t="shared" si="14"/>
        <v>-6</v>
      </c>
      <c r="K49" s="63">
        <v>14700</v>
      </c>
      <c r="L49" s="63">
        <v>14811</v>
      </c>
      <c r="M49" s="135">
        <f t="shared" si="15"/>
        <v>111</v>
      </c>
    </row>
    <row r="50" spans="1:13" x14ac:dyDescent="0.35">
      <c r="A50" s="2" t="s">
        <v>57</v>
      </c>
      <c r="B50" s="8">
        <f t="shared" si="8"/>
        <v>42</v>
      </c>
      <c r="C50" s="8">
        <f t="shared" si="9"/>
        <v>40</v>
      </c>
      <c r="D50" s="8">
        <f t="shared" si="10"/>
        <v>14</v>
      </c>
      <c r="E50" s="8">
        <f t="shared" si="11"/>
        <v>37</v>
      </c>
      <c r="F50" s="8">
        <f t="shared" si="12"/>
        <v>40</v>
      </c>
      <c r="G50" s="8">
        <f t="shared" si="13"/>
        <v>42</v>
      </c>
      <c r="H50" s="8">
        <v>992</v>
      </c>
      <c r="I50" s="8">
        <v>991</v>
      </c>
      <c r="J50" s="159">
        <f t="shared" si="14"/>
        <v>-1</v>
      </c>
      <c r="K50" s="9">
        <v>9143</v>
      </c>
      <c r="L50" s="9">
        <v>8935</v>
      </c>
      <c r="M50" s="134">
        <f t="shared" si="15"/>
        <v>-208</v>
      </c>
    </row>
    <row r="51" spans="1:13" x14ac:dyDescent="0.35">
      <c r="A51" s="2" t="s">
        <v>58</v>
      </c>
      <c r="B51" s="8">
        <f t="shared" si="8"/>
        <v>29</v>
      </c>
      <c r="C51" s="8">
        <f t="shared" si="9"/>
        <v>25</v>
      </c>
      <c r="D51" s="8">
        <f t="shared" si="10"/>
        <v>17</v>
      </c>
      <c r="E51" s="8">
        <f t="shared" si="11"/>
        <v>43</v>
      </c>
      <c r="F51" s="8">
        <f t="shared" si="12"/>
        <v>38</v>
      </c>
      <c r="G51" s="8">
        <f t="shared" si="13"/>
        <v>14</v>
      </c>
      <c r="H51" s="8">
        <v>1014</v>
      </c>
      <c r="I51" s="8">
        <v>1012</v>
      </c>
      <c r="J51" s="159">
        <f t="shared" si="14"/>
        <v>-2</v>
      </c>
      <c r="K51" s="9">
        <v>8825</v>
      </c>
      <c r="L51" s="9">
        <v>9105</v>
      </c>
      <c r="M51" s="134">
        <f t="shared" si="15"/>
        <v>280</v>
      </c>
    </row>
    <row r="52" spans="1:13" x14ac:dyDescent="0.35">
      <c r="A52" s="2" t="s">
        <v>59</v>
      </c>
      <c r="B52" s="8">
        <f t="shared" si="8"/>
        <v>36</v>
      </c>
      <c r="C52" s="8">
        <f t="shared" si="9"/>
        <v>34</v>
      </c>
      <c r="D52" s="8">
        <f t="shared" si="10"/>
        <v>11</v>
      </c>
      <c r="E52" s="8">
        <f t="shared" si="11"/>
        <v>46</v>
      </c>
      <c r="F52" s="8">
        <f t="shared" si="12"/>
        <v>44</v>
      </c>
      <c r="G52" s="8">
        <f t="shared" si="13"/>
        <v>4</v>
      </c>
      <c r="H52" s="8">
        <v>1003</v>
      </c>
      <c r="I52" s="8">
        <v>1003</v>
      </c>
      <c r="J52" s="159">
        <f t="shared" si="14"/>
        <v>0</v>
      </c>
      <c r="K52" s="9">
        <v>8122</v>
      </c>
      <c r="L52" s="9">
        <v>8614</v>
      </c>
      <c r="M52" s="134">
        <f t="shared" si="15"/>
        <v>492</v>
      </c>
    </row>
    <row r="53" spans="1:13" x14ac:dyDescent="0.35">
      <c r="A53" s="2" t="s">
        <v>60</v>
      </c>
      <c r="B53" s="8">
        <f t="shared" si="8"/>
        <v>32</v>
      </c>
      <c r="C53" s="8">
        <f t="shared" si="9"/>
        <v>32</v>
      </c>
      <c r="D53" s="8">
        <f t="shared" si="10"/>
        <v>23</v>
      </c>
      <c r="E53" s="8">
        <f t="shared" si="11"/>
        <v>40</v>
      </c>
      <c r="F53" s="8">
        <f t="shared" si="12"/>
        <v>42</v>
      </c>
      <c r="G53" s="8">
        <f t="shared" si="13"/>
        <v>36</v>
      </c>
      <c r="H53" s="8">
        <v>1011</v>
      </c>
      <c r="I53" s="8">
        <v>1007</v>
      </c>
      <c r="J53" s="159">
        <f t="shared" si="14"/>
        <v>-4</v>
      </c>
      <c r="K53" s="9">
        <v>8968</v>
      </c>
      <c r="L53" s="9">
        <v>8837</v>
      </c>
      <c r="M53" s="134">
        <f t="shared" si="15"/>
        <v>-131</v>
      </c>
    </row>
    <row r="54" spans="1:13" x14ac:dyDescent="0.35">
      <c r="A54" s="61" t="s">
        <v>61</v>
      </c>
      <c r="B54" s="8">
        <f t="shared" si="8"/>
        <v>21</v>
      </c>
      <c r="C54" s="8">
        <f t="shared" si="9"/>
        <v>14</v>
      </c>
      <c r="D54" s="8">
        <f t="shared" si="10"/>
        <v>6</v>
      </c>
      <c r="E54" s="8">
        <f t="shared" si="11"/>
        <v>51</v>
      </c>
      <c r="F54" s="8">
        <f t="shared" si="12"/>
        <v>51</v>
      </c>
      <c r="G54" s="8">
        <f t="shared" si="13"/>
        <v>32</v>
      </c>
      <c r="H54" s="8">
        <v>1020</v>
      </c>
      <c r="I54" s="8">
        <v>1024</v>
      </c>
      <c r="J54" s="159">
        <f t="shared" si="14"/>
        <v>4</v>
      </c>
      <c r="K54" s="63">
        <v>6605</v>
      </c>
      <c r="L54" s="63">
        <v>6575</v>
      </c>
      <c r="M54" s="134">
        <f t="shared" si="15"/>
        <v>-30</v>
      </c>
    </row>
    <row r="55" spans="1:13" x14ac:dyDescent="0.35">
      <c r="A55" s="2" t="s">
        <v>62</v>
      </c>
      <c r="B55" s="8">
        <f t="shared" si="8"/>
        <v>5</v>
      </c>
      <c r="C55" s="8">
        <f t="shared" si="9"/>
        <v>4</v>
      </c>
      <c r="D55" s="8">
        <f t="shared" si="10"/>
        <v>36</v>
      </c>
      <c r="E55" s="8">
        <f t="shared" si="11"/>
        <v>5</v>
      </c>
      <c r="F55" s="8">
        <f t="shared" si="12"/>
        <v>7</v>
      </c>
      <c r="G55" s="8">
        <f t="shared" si="13"/>
        <v>34</v>
      </c>
      <c r="H55" s="8">
        <v>1045</v>
      </c>
      <c r="I55" s="8">
        <v>1037</v>
      </c>
      <c r="J55" s="159">
        <f t="shared" si="14"/>
        <v>-8</v>
      </c>
      <c r="K55" s="9">
        <v>15634</v>
      </c>
      <c r="L55" s="9">
        <v>15576</v>
      </c>
      <c r="M55" s="134">
        <f t="shared" si="15"/>
        <v>-58</v>
      </c>
    </row>
    <row r="56" spans="1:13" x14ac:dyDescent="0.35">
      <c r="A56" s="2" t="s">
        <v>63</v>
      </c>
      <c r="B56" s="8">
        <f t="shared" si="8"/>
        <v>12</v>
      </c>
      <c r="C56" s="8">
        <f t="shared" si="9"/>
        <v>6</v>
      </c>
      <c r="D56" s="8">
        <f t="shared" si="10"/>
        <v>11</v>
      </c>
      <c r="E56" s="8">
        <f t="shared" si="11"/>
        <v>23</v>
      </c>
      <c r="F56" s="8">
        <f t="shared" si="12"/>
        <v>25</v>
      </c>
      <c r="G56" s="8">
        <f t="shared" si="13"/>
        <v>46</v>
      </c>
      <c r="H56" s="8">
        <v>1031</v>
      </c>
      <c r="I56" s="8">
        <v>1031</v>
      </c>
      <c r="J56" s="159">
        <f t="shared" si="14"/>
        <v>0</v>
      </c>
      <c r="K56" s="9">
        <v>10676</v>
      </c>
      <c r="L56" s="9">
        <v>10413</v>
      </c>
      <c r="M56" s="134">
        <f t="shared" si="15"/>
        <v>-263</v>
      </c>
    </row>
    <row r="57" spans="1:13" x14ac:dyDescent="0.35">
      <c r="A57" s="2" t="s">
        <v>64</v>
      </c>
      <c r="B57" s="8">
        <f t="shared" si="8"/>
        <v>8</v>
      </c>
      <c r="C57" s="8">
        <f t="shared" si="9"/>
        <v>11</v>
      </c>
      <c r="D57" s="8">
        <f t="shared" si="10"/>
        <v>36</v>
      </c>
      <c r="E57" s="8">
        <f t="shared" si="11"/>
        <v>33</v>
      </c>
      <c r="F57" s="8">
        <f t="shared" si="12"/>
        <v>29</v>
      </c>
      <c r="G57" s="8">
        <f t="shared" si="13"/>
        <v>16</v>
      </c>
      <c r="H57" s="8">
        <v>1033</v>
      </c>
      <c r="I57" s="8">
        <v>1025</v>
      </c>
      <c r="J57" s="159">
        <f t="shared" si="14"/>
        <v>-8</v>
      </c>
      <c r="K57" s="9">
        <v>9481</v>
      </c>
      <c r="L57" s="9">
        <v>9697</v>
      </c>
      <c r="M57" s="134">
        <f t="shared" si="15"/>
        <v>216</v>
      </c>
    </row>
    <row r="58" spans="1:13" x14ac:dyDescent="0.35">
      <c r="A58" s="61" t="s">
        <v>65</v>
      </c>
      <c r="B58" s="8">
        <f t="shared" si="8"/>
        <v>46</v>
      </c>
      <c r="C58" s="8">
        <f t="shared" si="9"/>
        <v>44</v>
      </c>
      <c r="D58" s="8">
        <f t="shared" si="10"/>
        <v>14</v>
      </c>
      <c r="E58" s="8">
        <f t="shared" si="11"/>
        <v>16</v>
      </c>
      <c r="F58" s="8">
        <f t="shared" si="12"/>
        <v>15</v>
      </c>
      <c r="G58" s="8">
        <f t="shared" si="13"/>
        <v>15</v>
      </c>
      <c r="H58" s="8">
        <v>983</v>
      </c>
      <c r="I58" s="8">
        <v>982</v>
      </c>
      <c r="J58" s="158">
        <f t="shared" si="14"/>
        <v>-1</v>
      </c>
      <c r="K58" s="63">
        <v>11727</v>
      </c>
      <c r="L58" s="63">
        <v>11987</v>
      </c>
      <c r="M58" s="135">
        <f t="shared" si="15"/>
        <v>260</v>
      </c>
    </row>
    <row r="59" spans="1:13" x14ac:dyDescent="0.35">
      <c r="A59" s="61" t="s">
        <v>66</v>
      </c>
      <c r="B59" s="8">
        <f t="shared" si="8"/>
        <v>20</v>
      </c>
      <c r="C59" s="8">
        <f t="shared" si="9"/>
        <v>11</v>
      </c>
      <c r="D59" s="8">
        <f t="shared" si="10"/>
        <v>7</v>
      </c>
      <c r="E59" s="8">
        <f t="shared" si="11"/>
        <v>19</v>
      </c>
      <c r="F59" s="8">
        <f t="shared" si="12"/>
        <v>16</v>
      </c>
      <c r="G59" s="8">
        <f t="shared" si="13"/>
        <v>5</v>
      </c>
      <c r="H59" s="8">
        <v>1023</v>
      </c>
      <c r="I59" s="8">
        <v>1025</v>
      </c>
      <c r="J59" s="159">
        <f t="shared" si="14"/>
        <v>2</v>
      </c>
      <c r="K59" s="9">
        <v>11439</v>
      </c>
      <c r="L59" s="9">
        <v>11930</v>
      </c>
      <c r="M59" s="134">
        <f t="shared" si="15"/>
        <v>491</v>
      </c>
    </row>
    <row r="60" spans="1:13" x14ac:dyDescent="0.35">
      <c r="A60" s="61" t="s">
        <v>67</v>
      </c>
      <c r="B60" s="8">
        <f t="shared" si="8"/>
        <v>9</v>
      </c>
      <c r="C60" s="8">
        <f t="shared" si="9"/>
        <v>6</v>
      </c>
      <c r="D60" s="8">
        <f t="shared" si="10"/>
        <v>14</v>
      </c>
      <c r="E60" s="8">
        <f t="shared" si="11"/>
        <v>7</v>
      </c>
      <c r="F60" s="8">
        <f t="shared" si="12"/>
        <v>6</v>
      </c>
      <c r="G60" s="8">
        <f t="shared" si="13"/>
        <v>2</v>
      </c>
      <c r="H60" s="8">
        <v>1032</v>
      </c>
      <c r="I60" s="8">
        <v>1031</v>
      </c>
      <c r="J60" s="158">
        <f t="shared" si="14"/>
        <v>-1</v>
      </c>
      <c r="K60" s="63">
        <v>15392</v>
      </c>
      <c r="L60" s="63">
        <v>15960</v>
      </c>
      <c r="M60" s="135">
        <f t="shared" si="15"/>
        <v>568</v>
      </c>
    </row>
    <row r="61" spans="1:13" x14ac:dyDescent="0.35">
      <c r="A61" s="61" t="s">
        <v>125</v>
      </c>
      <c r="H61" s="62">
        <f t="shared" ref="H61:M61" si="16">AVERAGE(H10:H60)</f>
        <v>1013.2549019607843</v>
      </c>
      <c r="I61" s="62">
        <f t="shared" si="16"/>
        <v>1008.9411764705883</v>
      </c>
      <c r="J61" s="62">
        <f t="shared" si="16"/>
        <v>-4.3137254901960782</v>
      </c>
      <c r="K61" s="126">
        <f t="shared" si="16"/>
        <v>11120.490196078432</v>
      </c>
      <c r="L61" s="48">
        <f t="shared" si="16"/>
        <v>11189.392156862745</v>
      </c>
      <c r="M61" s="136">
        <f t="shared" si="16"/>
        <v>68.901960784313729</v>
      </c>
    </row>
    <row r="62" spans="1:13" x14ac:dyDescent="0.35">
      <c r="A62" s="2" t="s">
        <v>126</v>
      </c>
      <c r="H62" s="62">
        <f t="shared" ref="H62:M62" si="17">MAX(H10:H60)-MIN(H10:H60)</f>
        <v>115</v>
      </c>
      <c r="I62" s="62">
        <f t="shared" si="17"/>
        <v>103</v>
      </c>
      <c r="J62" s="62">
        <f t="shared" si="17"/>
        <v>32</v>
      </c>
      <c r="K62" s="48">
        <f t="shared" si="17"/>
        <v>14534</v>
      </c>
      <c r="L62" s="48">
        <f t="shared" si="17"/>
        <v>14772</v>
      </c>
      <c r="M62" s="136">
        <f t="shared" si="17"/>
        <v>1399</v>
      </c>
    </row>
    <row r="63" spans="1:13" x14ac:dyDescent="0.35">
      <c r="A63" s="61" t="s">
        <v>127</v>
      </c>
      <c r="H63" s="70">
        <f t="shared" ref="H63:M63" si="18">_xlfn.STDEV.P(H10:H60)</f>
        <v>23.736166776160008</v>
      </c>
      <c r="I63" s="70">
        <f t="shared" si="18"/>
        <v>21.753892385272909</v>
      </c>
      <c r="J63" s="70">
        <f t="shared" si="18"/>
        <v>6.0471681788642107</v>
      </c>
      <c r="K63" s="71">
        <f t="shared" si="18"/>
        <v>3034.6328871393662</v>
      </c>
      <c r="L63" s="71">
        <f t="shared" si="18"/>
        <v>3125.9324574542452</v>
      </c>
      <c r="M63" s="136">
        <f t="shared" si="18"/>
        <v>291.91458963747283</v>
      </c>
    </row>
  </sheetData>
  <pageMargins left="0.75" right="0.75" top="1" bottom="1" header="0.5" footer="0.5"/>
  <pageSetup scale="73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3"/>
  <sheetViews>
    <sheetView workbookViewId="0">
      <selection activeCell="A5" sqref="A5"/>
    </sheetView>
  </sheetViews>
  <sheetFormatPr defaultColWidth="10.6640625" defaultRowHeight="15.5" x14ac:dyDescent="0.35"/>
  <cols>
    <col min="1" max="1" width="18" style="2" customWidth="1"/>
    <col min="2" max="7" width="12.33203125" style="4" customWidth="1"/>
    <col min="8" max="9" width="17.33203125" style="4" customWidth="1"/>
    <col min="10" max="10" width="15" style="4" customWidth="1"/>
    <col min="11" max="12" width="15.83203125" style="4" customWidth="1"/>
    <col min="13" max="13" width="15" style="4" customWidth="1"/>
  </cols>
  <sheetData>
    <row r="1" spans="1:13" x14ac:dyDescent="0.35">
      <c r="A1" s="2" t="s">
        <v>225</v>
      </c>
      <c r="B1" s="2" t="s">
        <v>232</v>
      </c>
    </row>
    <row r="2" spans="1:13" x14ac:dyDescent="0.35">
      <c r="B2" s="2" t="s">
        <v>233</v>
      </c>
    </row>
    <row r="3" spans="1:13" x14ac:dyDescent="0.35">
      <c r="B3" s="2" t="s">
        <v>234</v>
      </c>
    </row>
    <row r="4" spans="1:13" x14ac:dyDescent="0.35">
      <c r="B4" s="2" t="s">
        <v>244</v>
      </c>
    </row>
    <row r="5" spans="1:13" x14ac:dyDescent="0.35">
      <c r="B5" s="2"/>
    </row>
    <row r="6" spans="1:13" x14ac:dyDescent="0.35">
      <c r="B6" s="2"/>
    </row>
    <row r="8" spans="1:13" x14ac:dyDescent="0.35">
      <c r="B8" s="4">
        <v>2015</v>
      </c>
      <c r="C8" s="4">
        <v>2017</v>
      </c>
      <c r="D8" s="138" t="s">
        <v>207</v>
      </c>
      <c r="E8" s="4">
        <v>2015</v>
      </c>
      <c r="F8" s="4">
        <v>2017</v>
      </c>
      <c r="G8" s="138" t="s">
        <v>207</v>
      </c>
    </row>
    <row r="9" spans="1:13" ht="16" thickBot="1" x14ac:dyDescent="0.4">
      <c r="A9" s="1" t="s">
        <v>164</v>
      </c>
      <c r="B9" s="3" t="s">
        <v>175</v>
      </c>
      <c r="C9" s="3" t="s">
        <v>177</v>
      </c>
      <c r="D9" s="3" t="s">
        <v>169</v>
      </c>
      <c r="E9" s="3" t="s">
        <v>174</v>
      </c>
      <c r="F9" s="3" t="s">
        <v>178</v>
      </c>
      <c r="G9" s="3" t="s">
        <v>170</v>
      </c>
      <c r="H9" s="6" t="s">
        <v>208</v>
      </c>
      <c r="I9" s="6" t="s">
        <v>209</v>
      </c>
      <c r="J9" s="3" t="s">
        <v>181</v>
      </c>
      <c r="K9" s="3" t="s">
        <v>210</v>
      </c>
      <c r="L9" s="3" t="s">
        <v>211</v>
      </c>
      <c r="M9" s="3" t="s">
        <v>182</v>
      </c>
    </row>
    <row r="10" spans="1:13" x14ac:dyDescent="0.35">
      <c r="A10" s="2" t="s">
        <v>17</v>
      </c>
      <c r="B10" s="8">
        <f t="shared" ref="B10:B41" si="0">RANK(H10,H$10:H$60)</f>
        <v>47</v>
      </c>
      <c r="C10" s="8">
        <f t="shared" ref="C10:C41" si="1">RANK(I10,I$10:I$60)</f>
        <v>47</v>
      </c>
      <c r="D10" s="8">
        <f t="shared" ref="D10:D41" si="2">RANK(J10,J$10:J$60)</f>
        <v>24</v>
      </c>
      <c r="E10" s="8">
        <f t="shared" ref="E10:E41" si="3">RANK(K10,K$10:K$60)</f>
        <v>43</v>
      </c>
      <c r="F10" s="8">
        <f t="shared" ref="F10:F41" si="4">RANK(L10,L$10:L$60)</f>
        <v>40</v>
      </c>
      <c r="G10" s="8">
        <f t="shared" ref="G10:G41" si="5">RANK(M10,M$10:M$60)</f>
        <v>32</v>
      </c>
      <c r="H10" s="8">
        <v>974</v>
      </c>
      <c r="I10" s="8">
        <v>974</v>
      </c>
      <c r="J10" s="159">
        <f t="shared" ref="J10:J41" si="6">I10-H10</f>
        <v>0</v>
      </c>
      <c r="K10" s="9">
        <v>8803</v>
      </c>
      <c r="L10" s="9">
        <v>9146</v>
      </c>
      <c r="M10" s="134">
        <f t="shared" ref="M10:M41" si="7">L10-K10</f>
        <v>343</v>
      </c>
    </row>
    <row r="11" spans="1:13" x14ac:dyDescent="0.35">
      <c r="A11" s="2" t="s">
        <v>18</v>
      </c>
      <c r="B11" s="8">
        <f t="shared" si="0"/>
        <v>41</v>
      </c>
      <c r="C11" s="8">
        <f t="shared" si="1"/>
        <v>48</v>
      </c>
      <c r="D11" s="8">
        <f t="shared" si="2"/>
        <v>51</v>
      </c>
      <c r="E11" s="8">
        <f t="shared" si="3"/>
        <v>4</v>
      </c>
      <c r="F11" s="8">
        <f t="shared" si="4"/>
        <v>3</v>
      </c>
      <c r="G11" s="8">
        <f t="shared" si="5"/>
        <v>1</v>
      </c>
      <c r="H11" s="8">
        <v>989</v>
      </c>
      <c r="I11" s="8">
        <v>972</v>
      </c>
      <c r="J11" s="159">
        <f t="shared" si="6"/>
        <v>-17</v>
      </c>
      <c r="K11" s="9">
        <v>16719</v>
      </c>
      <c r="L11" s="9">
        <v>20191</v>
      </c>
      <c r="M11" s="134">
        <f t="shared" si="7"/>
        <v>3472</v>
      </c>
    </row>
    <row r="12" spans="1:13" x14ac:dyDescent="0.35">
      <c r="A12" s="2" t="s">
        <v>19</v>
      </c>
      <c r="B12" s="8">
        <f t="shared" si="0"/>
        <v>37</v>
      </c>
      <c r="C12" s="8">
        <f t="shared" si="1"/>
        <v>38</v>
      </c>
      <c r="D12" s="8">
        <f t="shared" si="2"/>
        <v>35</v>
      </c>
      <c r="E12" s="8">
        <f t="shared" si="3"/>
        <v>48</v>
      </c>
      <c r="F12" s="8">
        <f t="shared" si="4"/>
        <v>49</v>
      </c>
      <c r="G12" s="8">
        <f t="shared" si="5"/>
        <v>48</v>
      </c>
      <c r="H12" s="8">
        <v>999</v>
      </c>
      <c r="I12" s="8">
        <v>994</v>
      </c>
      <c r="J12" s="159">
        <f t="shared" si="6"/>
        <v>-5</v>
      </c>
      <c r="K12" s="9">
        <v>7737</v>
      </c>
      <c r="L12" s="9">
        <v>7590</v>
      </c>
      <c r="M12" s="134">
        <f t="shared" si="7"/>
        <v>-147</v>
      </c>
    </row>
    <row r="13" spans="1:13" x14ac:dyDescent="0.35">
      <c r="A13" s="2" t="s">
        <v>20</v>
      </c>
      <c r="B13" s="8">
        <f t="shared" si="0"/>
        <v>43</v>
      </c>
      <c r="C13" s="8">
        <f t="shared" si="1"/>
        <v>43</v>
      </c>
      <c r="D13" s="8">
        <f t="shared" si="2"/>
        <v>34</v>
      </c>
      <c r="E13" s="8">
        <f t="shared" si="3"/>
        <v>30</v>
      </c>
      <c r="F13" s="8">
        <f t="shared" si="4"/>
        <v>34</v>
      </c>
      <c r="G13" s="8">
        <f t="shared" si="5"/>
        <v>34</v>
      </c>
      <c r="H13" s="8">
        <v>987</v>
      </c>
      <c r="I13" s="8">
        <v>984</v>
      </c>
      <c r="J13" s="159">
        <f t="shared" si="6"/>
        <v>-3</v>
      </c>
      <c r="K13" s="9">
        <v>9526</v>
      </c>
      <c r="L13" s="9">
        <v>9805</v>
      </c>
      <c r="M13" s="134">
        <f t="shared" si="7"/>
        <v>279</v>
      </c>
    </row>
    <row r="14" spans="1:13" x14ac:dyDescent="0.35">
      <c r="A14" s="2" t="s">
        <v>21</v>
      </c>
      <c r="B14" s="8">
        <f t="shared" si="0"/>
        <v>46</v>
      </c>
      <c r="C14" s="8">
        <f t="shared" si="1"/>
        <v>41</v>
      </c>
      <c r="D14" s="8">
        <f t="shared" si="2"/>
        <v>3</v>
      </c>
      <c r="E14" s="8">
        <f t="shared" si="3"/>
        <v>36</v>
      </c>
      <c r="F14" s="8">
        <f t="shared" si="4"/>
        <v>30</v>
      </c>
      <c r="G14" s="8">
        <f t="shared" si="5"/>
        <v>11</v>
      </c>
      <c r="H14" s="8">
        <v>979</v>
      </c>
      <c r="I14" s="8">
        <v>987</v>
      </c>
      <c r="J14" s="159">
        <f t="shared" si="6"/>
        <v>8</v>
      </c>
      <c r="K14" s="9">
        <v>9184</v>
      </c>
      <c r="L14" s="9">
        <v>10449</v>
      </c>
      <c r="M14" s="134">
        <f t="shared" si="7"/>
        <v>1265</v>
      </c>
    </row>
    <row r="15" spans="1:13" x14ac:dyDescent="0.35">
      <c r="A15" s="2" t="s">
        <v>22</v>
      </c>
      <c r="B15" s="8">
        <f t="shared" si="0"/>
        <v>18</v>
      </c>
      <c r="C15" s="8">
        <f t="shared" si="1"/>
        <v>14</v>
      </c>
      <c r="D15" s="8">
        <f t="shared" si="2"/>
        <v>16</v>
      </c>
      <c r="E15" s="8">
        <f t="shared" si="3"/>
        <v>41</v>
      </c>
      <c r="F15" s="8">
        <f t="shared" si="4"/>
        <v>39</v>
      </c>
      <c r="G15" s="8">
        <f t="shared" si="5"/>
        <v>28</v>
      </c>
      <c r="H15" s="8">
        <v>1020</v>
      </c>
      <c r="I15" s="8">
        <v>1022</v>
      </c>
      <c r="J15" s="159">
        <f t="shared" si="6"/>
        <v>2</v>
      </c>
      <c r="K15" s="9">
        <v>8901</v>
      </c>
      <c r="L15" s="9">
        <v>9292</v>
      </c>
      <c r="M15" s="134">
        <f t="shared" si="7"/>
        <v>391</v>
      </c>
    </row>
    <row r="16" spans="1:13" x14ac:dyDescent="0.35">
      <c r="A16" s="2" t="s">
        <v>23</v>
      </c>
      <c r="B16" s="8">
        <f t="shared" si="0"/>
        <v>9</v>
      </c>
      <c r="C16" s="8">
        <f t="shared" si="1"/>
        <v>11</v>
      </c>
      <c r="D16" s="8">
        <f t="shared" si="2"/>
        <v>31</v>
      </c>
      <c r="E16" s="8">
        <f t="shared" si="3"/>
        <v>5</v>
      </c>
      <c r="F16" s="8">
        <f t="shared" si="4"/>
        <v>4</v>
      </c>
      <c r="G16" s="8">
        <f t="shared" si="5"/>
        <v>3</v>
      </c>
      <c r="H16" s="8">
        <v>1026</v>
      </c>
      <c r="I16" s="8">
        <v>1024</v>
      </c>
      <c r="J16" s="159">
        <f t="shared" si="6"/>
        <v>-2</v>
      </c>
      <c r="K16" s="9">
        <v>16125</v>
      </c>
      <c r="L16" s="9">
        <v>19020</v>
      </c>
      <c r="M16" s="134">
        <f t="shared" si="7"/>
        <v>2895</v>
      </c>
    </row>
    <row r="17" spans="1:13" x14ac:dyDescent="0.35">
      <c r="A17" s="61" t="s">
        <v>25</v>
      </c>
      <c r="B17" s="8">
        <f t="shared" si="0"/>
        <v>51</v>
      </c>
      <c r="C17" s="8">
        <f t="shared" si="1"/>
        <v>51</v>
      </c>
      <c r="D17" s="8">
        <f t="shared" si="2"/>
        <v>8</v>
      </c>
      <c r="E17" s="8">
        <f t="shared" si="3"/>
        <v>1</v>
      </c>
      <c r="F17" s="8">
        <f t="shared" si="4"/>
        <v>2</v>
      </c>
      <c r="G17" s="8">
        <f t="shared" si="5"/>
        <v>51</v>
      </c>
      <c r="H17" s="8">
        <v>954</v>
      </c>
      <c r="I17" s="8">
        <v>957</v>
      </c>
      <c r="J17" s="159">
        <f t="shared" si="6"/>
        <v>3</v>
      </c>
      <c r="K17" s="63">
        <v>21347</v>
      </c>
      <c r="L17" s="63">
        <v>20610</v>
      </c>
      <c r="M17" s="134">
        <f t="shared" si="7"/>
        <v>-737</v>
      </c>
    </row>
    <row r="18" spans="1:13" x14ac:dyDescent="0.35">
      <c r="A18" s="2" t="s">
        <v>24</v>
      </c>
      <c r="B18" s="8">
        <f t="shared" si="0"/>
        <v>33</v>
      </c>
      <c r="C18" s="8">
        <f t="shared" si="1"/>
        <v>35</v>
      </c>
      <c r="D18" s="8">
        <f t="shared" si="2"/>
        <v>41</v>
      </c>
      <c r="E18" s="8">
        <f t="shared" si="3"/>
        <v>13</v>
      </c>
      <c r="F18" s="8">
        <f t="shared" si="4"/>
        <v>15</v>
      </c>
      <c r="G18" s="8">
        <f t="shared" si="5"/>
        <v>14</v>
      </c>
      <c r="H18" s="8">
        <v>1006</v>
      </c>
      <c r="I18" s="8">
        <v>998</v>
      </c>
      <c r="J18" s="159">
        <f t="shared" si="6"/>
        <v>-8</v>
      </c>
      <c r="K18" s="9">
        <v>12723</v>
      </c>
      <c r="L18" s="9">
        <v>13882</v>
      </c>
      <c r="M18" s="134">
        <f t="shared" si="7"/>
        <v>1159</v>
      </c>
    </row>
    <row r="19" spans="1:13" x14ac:dyDescent="0.35">
      <c r="A19" s="2" t="s">
        <v>26</v>
      </c>
      <c r="B19" s="8">
        <f t="shared" si="0"/>
        <v>30</v>
      </c>
      <c r="C19" s="8">
        <f t="shared" si="1"/>
        <v>16</v>
      </c>
      <c r="D19" s="8">
        <f t="shared" si="2"/>
        <v>1</v>
      </c>
      <c r="E19" s="8">
        <f t="shared" si="3"/>
        <v>39</v>
      </c>
      <c r="F19" s="8">
        <f t="shared" si="4"/>
        <v>41</v>
      </c>
      <c r="G19" s="8">
        <f t="shared" si="5"/>
        <v>45</v>
      </c>
      <c r="H19" s="8">
        <v>1008</v>
      </c>
      <c r="I19" s="8">
        <v>1020</v>
      </c>
      <c r="J19" s="159">
        <f t="shared" si="6"/>
        <v>12</v>
      </c>
      <c r="K19" s="9">
        <v>9060</v>
      </c>
      <c r="L19" s="9">
        <v>9113</v>
      </c>
      <c r="M19" s="134">
        <f t="shared" si="7"/>
        <v>53</v>
      </c>
    </row>
    <row r="20" spans="1:13" x14ac:dyDescent="0.35">
      <c r="A20" s="2" t="s">
        <v>27</v>
      </c>
      <c r="B20" s="8">
        <f t="shared" si="0"/>
        <v>37</v>
      </c>
      <c r="C20" s="8">
        <f t="shared" si="1"/>
        <v>32</v>
      </c>
      <c r="D20" s="8">
        <f t="shared" si="2"/>
        <v>7</v>
      </c>
      <c r="E20" s="8">
        <f t="shared" si="3"/>
        <v>34</v>
      </c>
      <c r="F20" s="8">
        <f t="shared" si="4"/>
        <v>38</v>
      </c>
      <c r="G20" s="8">
        <f t="shared" si="5"/>
        <v>41</v>
      </c>
      <c r="H20" s="8">
        <v>999</v>
      </c>
      <c r="I20" s="8">
        <v>1003</v>
      </c>
      <c r="J20" s="159">
        <f t="shared" si="6"/>
        <v>4</v>
      </c>
      <c r="K20" s="9">
        <v>9311</v>
      </c>
      <c r="L20" s="9">
        <v>9476</v>
      </c>
      <c r="M20" s="134">
        <f t="shared" si="7"/>
        <v>165</v>
      </c>
    </row>
    <row r="21" spans="1:13" x14ac:dyDescent="0.35">
      <c r="A21" s="61" t="s">
        <v>28</v>
      </c>
      <c r="B21" s="8">
        <f t="shared" si="0"/>
        <v>41</v>
      </c>
      <c r="C21" s="8">
        <f t="shared" si="1"/>
        <v>39</v>
      </c>
      <c r="D21" s="8">
        <f t="shared" si="2"/>
        <v>8</v>
      </c>
      <c r="E21" s="8">
        <f t="shared" si="3"/>
        <v>17</v>
      </c>
      <c r="F21" s="8">
        <f t="shared" si="4"/>
        <v>17</v>
      </c>
      <c r="G21" s="8">
        <f t="shared" si="5"/>
        <v>19</v>
      </c>
      <c r="H21" s="8">
        <v>989</v>
      </c>
      <c r="I21" s="8">
        <v>992</v>
      </c>
      <c r="J21" s="159">
        <f t="shared" si="6"/>
        <v>3</v>
      </c>
      <c r="K21" s="9">
        <v>11884</v>
      </c>
      <c r="L21" s="9">
        <v>12855</v>
      </c>
      <c r="M21" s="134">
        <f t="shared" si="7"/>
        <v>971</v>
      </c>
    </row>
    <row r="22" spans="1:13" x14ac:dyDescent="0.35">
      <c r="A22" s="2" t="s">
        <v>29</v>
      </c>
      <c r="B22" s="8">
        <f t="shared" si="0"/>
        <v>22</v>
      </c>
      <c r="C22" s="8">
        <f t="shared" si="1"/>
        <v>19</v>
      </c>
      <c r="D22" s="8">
        <f t="shared" si="2"/>
        <v>8</v>
      </c>
      <c r="E22" s="8">
        <f t="shared" si="3"/>
        <v>50</v>
      </c>
      <c r="F22" s="8">
        <f t="shared" si="4"/>
        <v>50</v>
      </c>
      <c r="G22" s="8">
        <f t="shared" si="5"/>
        <v>43</v>
      </c>
      <c r="H22" s="8">
        <v>1014</v>
      </c>
      <c r="I22" s="8">
        <v>1017</v>
      </c>
      <c r="J22" s="159">
        <f t="shared" si="6"/>
        <v>3</v>
      </c>
      <c r="K22" s="9">
        <v>6810</v>
      </c>
      <c r="L22" s="9">
        <v>6899</v>
      </c>
      <c r="M22" s="134">
        <f t="shared" si="7"/>
        <v>89</v>
      </c>
    </row>
    <row r="23" spans="1:13" x14ac:dyDescent="0.35">
      <c r="A23" s="2" t="s">
        <v>31</v>
      </c>
      <c r="B23" s="8">
        <f t="shared" si="0"/>
        <v>30</v>
      </c>
      <c r="C23" s="8">
        <f t="shared" si="1"/>
        <v>28</v>
      </c>
      <c r="D23" s="8">
        <f t="shared" si="2"/>
        <v>29</v>
      </c>
      <c r="E23" s="8">
        <f t="shared" si="3"/>
        <v>18</v>
      </c>
      <c r="F23" s="8">
        <f t="shared" si="4"/>
        <v>14</v>
      </c>
      <c r="G23" s="8">
        <f t="shared" si="5"/>
        <v>5</v>
      </c>
      <c r="H23" s="8">
        <v>1008</v>
      </c>
      <c r="I23" s="8">
        <v>1007</v>
      </c>
      <c r="J23" s="159">
        <f t="shared" si="6"/>
        <v>-1</v>
      </c>
      <c r="K23" s="9">
        <v>11671</v>
      </c>
      <c r="L23" s="9">
        <v>13935</v>
      </c>
      <c r="M23" s="134">
        <f t="shared" si="7"/>
        <v>2264</v>
      </c>
    </row>
    <row r="24" spans="1:13" x14ac:dyDescent="0.35">
      <c r="A24" s="2" t="s">
        <v>30</v>
      </c>
      <c r="B24" s="8">
        <f t="shared" si="0"/>
        <v>8</v>
      </c>
      <c r="C24" s="8">
        <f t="shared" si="1"/>
        <v>6</v>
      </c>
      <c r="D24" s="8">
        <f t="shared" si="2"/>
        <v>8</v>
      </c>
      <c r="E24" s="8">
        <f t="shared" si="3"/>
        <v>35</v>
      </c>
      <c r="F24" s="8">
        <f t="shared" si="4"/>
        <v>37</v>
      </c>
      <c r="G24" s="8">
        <f t="shared" si="5"/>
        <v>35</v>
      </c>
      <c r="H24" s="8">
        <v>1030</v>
      </c>
      <c r="I24" s="8">
        <v>1033</v>
      </c>
      <c r="J24" s="159">
        <f t="shared" si="6"/>
        <v>3</v>
      </c>
      <c r="K24" s="9">
        <v>9256</v>
      </c>
      <c r="L24" s="9">
        <v>9529</v>
      </c>
      <c r="M24" s="134">
        <f t="shared" si="7"/>
        <v>273</v>
      </c>
    </row>
    <row r="25" spans="1:13" x14ac:dyDescent="0.35">
      <c r="A25" s="2" t="s">
        <v>32</v>
      </c>
      <c r="B25" s="8">
        <f t="shared" si="0"/>
        <v>17</v>
      </c>
      <c r="C25" s="8">
        <f t="shared" si="1"/>
        <v>17</v>
      </c>
      <c r="D25" s="8">
        <f t="shared" si="2"/>
        <v>31</v>
      </c>
      <c r="E25" s="8">
        <f t="shared" si="3"/>
        <v>28</v>
      </c>
      <c r="F25" s="8">
        <f t="shared" si="4"/>
        <v>27</v>
      </c>
      <c r="G25" s="8">
        <f t="shared" si="5"/>
        <v>16</v>
      </c>
      <c r="H25" s="8">
        <v>1021</v>
      </c>
      <c r="I25" s="8">
        <v>1019</v>
      </c>
      <c r="J25" s="159">
        <f t="shared" si="6"/>
        <v>-2</v>
      </c>
      <c r="K25" s="9">
        <v>9872</v>
      </c>
      <c r="L25" s="9">
        <v>10938</v>
      </c>
      <c r="M25" s="134">
        <f t="shared" si="7"/>
        <v>1066</v>
      </c>
    </row>
    <row r="26" spans="1:13" x14ac:dyDescent="0.35">
      <c r="A26" s="2" t="s">
        <v>33</v>
      </c>
      <c r="B26" s="8">
        <f t="shared" si="0"/>
        <v>23</v>
      </c>
      <c r="C26" s="8">
        <f t="shared" si="1"/>
        <v>22</v>
      </c>
      <c r="D26" s="8">
        <f t="shared" si="2"/>
        <v>8</v>
      </c>
      <c r="E26" s="8">
        <f t="shared" si="3"/>
        <v>27</v>
      </c>
      <c r="F26" s="8">
        <f t="shared" si="4"/>
        <v>31</v>
      </c>
      <c r="G26" s="8">
        <f t="shared" si="5"/>
        <v>33</v>
      </c>
      <c r="H26" s="8">
        <v>1013</v>
      </c>
      <c r="I26" s="8">
        <v>1016</v>
      </c>
      <c r="J26" s="159">
        <f t="shared" si="6"/>
        <v>3</v>
      </c>
      <c r="K26" s="9">
        <v>9992</v>
      </c>
      <c r="L26" s="9">
        <v>10329</v>
      </c>
      <c r="M26" s="134">
        <f t="shared" si="7"/>
        <v>337</v>
      </c>
    </row>
    <row r="27" spans="1:13" x14ac:dyDescent="0.35">
      <c r="A27" s="2" t="s">
        <v>34</v>
      </c>
      <c r="B27" s="8">
        <f t="shared" si="0"/>
        <v>21</v>
      </c>
      <c r="C27" s="8">
        <f t="shared" si="1"/>
        <v>29</v>
      </c>
      <c r="D27" s="8">
        <f t="shared" si="2"/>
        <v>48</v>
      </c>
      <c r="E27" s="8">
        <f t="shared" si="3"/>
        <v>37</v>
      </c>
      <c r="F27" s="8">
        <f t="shared" si="4"/>
        <v>36</v>
      </c>
      <c r="G27" s="8">
        <f t="shared" si="5"/>
        <v>26</v>
      </c>
      <c r="H27" s="8">
        <v>1016</v>
      </c>
      <c r="I27" s="8">
        <v>1006</v>
      </c>
      <c r="J27" s="159">
        <f t="shared" si="6"/>
        <v>-10</v>
      </c>
      <c r="K27" s="9">
        <v>9133</v>
      </c>
      <c r="L27" s="9">
        <v>9560</v>
      </c>
      <c r="M27" s="134">
        <f t="shared" si="7"/>
        <v>427</v>
      </c>
    </row>
    <row r="28" spans="1:13" x14ac:dyDescent="0.35">
      <c r="A28" s="2" t="s">
        <v>35</v>
      </c>
      <c r="B28" s="8">
        <f t="shared" si="0"/>
        <v>48</v>
      </c>
      <c r="C28" s="8">
        <f t="shared" si="1"/>
        <v>49</v>
      </c>
      <c r="D28" s="8">
        <f t="shared" si="2"/>
        <v>41</v>
      </c>
      <c r="E28" s="8">
        <f t="shared" si="3"/>
        <v>22</v>
      </c>
      <c r="F28" s="8">
        <f t="shared" si="4"/>
        <v>24</v>
      </c>
      <c r="G28" s="8">
        <f t="shared" si="5"/>
        <v>39</v>
      </c>
      <c r="H28" s="8">
        <v>973</v>
      </c>
      <c r="I28" s="8">
        <v>965</v>
      </c>
      <c r="J28" s="159">
        <f t="shared" si="6"/>
        <v>-8</v>
      </c>
      <c r="K28" s="9">
        <v>10887</v>
      </c>
      <c r="L28" s="9">
        <v>11106</v>
      </c>
      <c r="M28" s="134">
        <f t="shared" si="7"/>
        <v>219</v>
      </c>
    </row>
    <row r="29" spans="1:13" x14ac:dyDescent="0.35">
      <c r="A29" s="2" t="s">
        <v>36</v>
      </c>
      <c r="B29" s="8">
        <f t="shared" si="0"/>
        <v>20</v>
      </c>
      <c r="C29" s="8">
        <f t="shared" si="1"/>
        <v>24</v>
      </c>
      <c r="D29" s="8">
        <f t="shared" si="2"/>
        <v>35</v>
      </c>
      <c r="E29" s="8">
        <f t="shared" si="3"/>
        <v>14</v>
      </c>
      <c r="F29" s="8">
        <f t="shared" si="4"/>
        <v>13</v>
      </c>
      <c r="G29" s="8">
        <f t="shared" si="5"/>
        <v>10</v>
      </c>
      <c r="H29" s="8">
        <v>1019</v>
      </c>
      <c r="I29" s="8">
        <v>1014</v>
      </c>
      <c r="J29" s="159">
        <f t="shared" si="6"/>
        <v>-5</v>
      </c>
      <c r="K29" s="9">
        <v>12566</v>
      </c>
      <c r="L29" s="9">
        <v>13976</v>
      </c>
      <c r="M29" s="134">
        <f t="shared" si="7"/>
        <v>1410</v>
      </c>
    </row>
    <row r="30" spans="1:13" x14ac:dyDescent="0.35">
      <c r="A30" s="2" t="s">
        <v>37</v>
      </c>
      <c r="B30" s="8">
        <f t="shared" si="0"/>
        <v>23</v>
      </c>
      <c r="C30" s="8">
        <f t="shared" si="1"/>
        <v>24</v>
      </c>
      <c r="D30" s="8">
        <f t="shared" si="2"/>
        <v>19</v>
      </c>
      <c r="E30" s="8">
        <f t="shared" si="3"/>
        <v>10</v>
      </c>
      <c r="F30" s="8">
        <f t="shared" si="4"/>
        <v>11</v>
      </c>
      <c r="G30" s="8">
        <f t="shared" si="5"/>
        <v>36</v>
      </c>
      <c r="H30" s="8">
        <v>1013</v>
      </c>
      <c r="I30" s="8">
        <v>1014</v>
      </c>
      <c r="J30" s="159">
        <f t="shared" si="6"/>
        <v>1</v>
      </c>
      <c r="K30" s="9">
        <v>14186</v>
      </c>
      <c r="L30" s="9">
        <v>14431</v>
      </c>
      <c r="M30" s="134">
        <f t="shared" si="7"/>
        <v>245</v>
      </c>
    </row>
    <row r="31" spans="1:13" x14ac:dyDescent="0.35">
      <c r="A31" s="61" t="s">
        <v>38</v>
      </c>
      <c r="B31" s="8">
        <f t="shared" si="0"/>
        <v>1</v>
      </c>
      <c r="C31" s="8">
        <f t="shared" si="1"/>
        <v>1</v>
      </c>
      <c r="D31" s="8">
        <f t="shared" si="2"/>
        <v>8</v>
      </c>
      <c r="E31" s="8">
        <f t="shared" si="3"/>
        <v>9</v>
      </c>
      <c r="F31" s="8">
        <f t="shared" si="4"/>
        <v>7</v>
      </c>
      <c r="G31" s="8">
        <f t="shared" si="5"/>
        <v>4</v>
      </c>
      <c r="H31" s="8">
        <v>1057</v>
      </c>
      <c r="I31" s="8">
        <v>1060</v>
      </c>
      <c r="J31" s="159">
        <f t="shared" si="6"/>
        <v>3</v>
      </c>
      <c r="K31" s="9">
        <v>14262</v>
      </c>
      <c r="L31" s="9">
        <v>16566</v>
      </c>
      <c r="M31" s="134">
        <f t="shared" si="7"/>
        <v>2304</v>
      </c>
    </row>
    <row r="32" spans="1:13" x14ac:dyDescent="0.35">
      <c r="A32" s="2" t="s">
        <v>39</v>
      </c>
      <c r="B32" s="8">
        <f t="shared" si="0"/>
        <v>39</v>
      </c>
      <c r="C32" s="8">
        <f t="shared" si="1"/>
        <v>33</v>
      </c>
      <c r="D32" s="8">
        <f t="shared" si="2"/>
        <v>5</v>
      </c>
      <c r="E32" s="8">
        <f t="shared" si="3"/>
        <v>26</v>
      </c>
      <c r="F32" s="8">
        <f t="shared" si="4"/>
        <v>26</v>
      </c>
      <c r="G32" s="8">
        <f t="shared" si="5"/>
        <v>22</v>
      </c>
      <c r="H32" s="8">
        <v>994</v>
      </c>
      <c r="I32" s="8">
        <v>999</v>
      </c>
      <c r="J32" s="159">
        <f t="shared" si="6"/>
        <v>5</v>
      </c>
      <c r="K32" s="9">
        <v>10179</v>
      </c>
      <c r="L32" s="9">
        <v>10956</v>
      </c>
      <c r="M32" s="134">
        <f t="shared" si="7"/>
        <v>777</v>
      </c>
    </row>
    <row r="33" spans="1:13" x14ac:dyDescent="0.35">
      <c r="A33" s="61" t="s">
        <v>40</v>
      </c>
      <c r="B33" s="8">
        <f t="shared" si="0"/>
        <v>4</v>
      </c>
      <c r="C33" s="8">
        <f t="shared" si="1"/>
        <v>4</v>
      </c>
      <c r="D33" s="8">
        <f t="shared" si="2"/>
        <v>24</v>
      </c>
      <c r="E33" s="8">
        <f t="shared" si="3"/>
        <v>24</v>
      </c>
      <c r="F33" s="8">
        <f t="shared" si="4"/>
        <v>19</v>
      </c>
      <c r="G33" s="8">
        <f t="shared" si="5"/>
        <v>13</v>
      </c>
      <c r="H33" s="8">
        <v>1037</v>
      </c>
      <c r="I33" s="8">
        <v>1037</v>
      </c>
      <c r="J33" s="158">
        <f t="shared" si="6"/>
        <v>0</v>
      </c>
      <c r="K33" s="63">
        <v>10686</v>
      </c>
      <c r="L33" s="63">
        <v>11924</v>
      </c>
      <c r="M33" s="135">
        <f t="shared" si="7"/>
        <v>1238</v>
      </c>
    </row>
    <row r="34" spans="1:13" x14ac:dyDescent="0.35">
      <c r="A34" s="2" t="s">
        <v>41</v>
      </c>
      <c r="B34" s="8">
        <f t="shared" si="0"/>
        <v>49</v>
      </c>
      <c r="C34" s="8">
        <f t="shared" si="1"/>
        <v>46</v>
      </c>
      <c r="D34" s="8">
        <f t="shared" si="2"/>
        <v>4</v>
      </c>
      <c r="E34" s="8">
        <f t="shared" si="3"/>
        <v>47</v>
      </c>
      <c r="F34" s="8">
        <f t="shared" si="4"/>
        <v>47</v>
      </c>
      <c r="G34" s="8">
        <f t="shared" si="5"/>
        <v>24</v>
      </c>
      <c r="H34" s="8">
        <v>971</v>
      </c>
      <c r="I34" s="8">
        <v>977</v>
      </c>
      <c r="J34" s="159">
        <f t="shared" si="6"/>
        <v>6</v>
      </c>
      <c r="K34" s="9">
        <v>7894</v>
      </c>
      <c r="L34" s="9">
        <v>8445</v>
      </c>
      <c r="M34" s="134">
        <f t="shared" si="7"/>
        <v>551</v>
      </c>
    </row>
    <row r="35" spans="1:13" x14ac:dyDescent="0.35">
      <c r="A35" s="2" t="s">
        <v>42</v>
      </c>
      <c r="B35" s="8">
        <f t="shared" si="0"/>
        <v>27</v>
      </c>
      <c r="C35" s="8">
        <f t="shared" si="1"/>
        <v>26</v>
      </c>
      <c r="D35" s="8">
        <f t="shared" si="2"/>
        <v>24</v>
      </c>
      <c r="E35" s="8">
        <f t="shared" si="3"/>
        <v>31</v>
      </c>
      <c r="F35" s="8">
        <f t="shared" si="4"/>
        <v>32</v>
      </c>
      <c r="G35" s="8">
        <f t="shared" si="5"/>
        <v>23</v>
      </c>
      <c r="H35" s="8">
        <v>1010</v>
      </c>
      <c r="I35" s="8">
        <v>1010</v>
      </c>
      <c r="J35" s="159">
        <f t="shared" si="6"/>
        <v>0</v>
      </c>
      <c r="K35" s="9">
        <v>9468</v>
      </c>
      <c r="L35" s="9">
        <v>10231</v>
      </c>
      <c r="M35" s="134">
        <f t="shared" si="7"/>
        <v>763</v>
      </c>
    </row>
    <row r="36" spans="1:13" x14ac:dyDescent="0.35">
      <c r="A36" s="2" t="s">
        <v>43</v>
      </c>
      <c r="B36" s="8">
        <f t="shared" si="0"/>
        <v>15</v>
      </c>
      <c r="C36" s="8">
        <f t="shared" si="1"/>
        <v>22</v>
      </c>
      <c r="D36" s="8">
        <f t="shared" si="2"/>
        <v>40</v>
      </c>
      <c r="E36" s="8">
        <f t="shared" si="3"/>
        <v>23</v>
      </c>
      <c r="F36" s="8">
        <f t="shared" si="4"/>
        <v>25</v>
      </c>
      <c r="G36" s="8">
        <f t="shared" si="5"/>
        <v>31</v>
      </c>
      <c r="H36" s="8">
        <v>1023</v>
      </c>
      <c r="I36" s="8">
        <v>1016</v>
      </c>
      <c r="J36" s="159">
        <f t="shared" si="6"/>
        <v>-7</v>
      </c>
      <c r="K36" s="9">
        <v>10710</v>
      </c>
      <c r="L36" s="9">
        <v>11078</v>
      </c>
      <c r="M36" s="134">
        <f t="shared" si="7"/>
        <v>368</v>
      </c>
    </row>
    <row r="37" spans="1:13" x14ac:dyDescent="0.35">
      <c r="A37" s="2" t="s">
        <v>44</v>
      </c>
      <c r="B37" s="8">
        <f t="shared" si="0"/>
        <v>9</v>
      </c>
      <c r="C37" s="8">
        <f t="shared" si="1"/>
        <v>9</v>
      </c>
      <c r="D37" s="8">
        <f t="shared" si="2"/>
        <v>19</v>
      </c>
      <c r="E37" s="8">
        <f t="shared" si="3"/>
        <v>19</v>
      </c>
      <c r="F37" s="8">
        <f t="shared" si="4"/>
        <v>18</v>
      </c>
      <c r="G37" s="8">
        <f t="shared" si="5"/>
        <v>25</v>
      </c>
      <c r="H37" s="8">
        <v>1026</v>
      </c>
      <c r="I37" s="8">
        <v>1027</v>
      </c>
      <c r="J37" s="159">
        <f t="shared" si="6"/>
        <v>1</v>
      </c>
      <c r="K37" s="9">
        <v>11638</v>
      </c>
      <c r="L37" s="9">
        <v>12174</v>
      </c>
      <c r="M37" s="134">
        <f t="shared" si="7"/>
        <v>536</v>
      </c>
    </row>
    <row r="38" spans="1:13" x14ac:dyDescent="0.35">
      <c r="A38" s="2" t="s">
        <v>45</v>
      </c>
      <c r="B38" s="8">
        <f t="shared" si="0"/>
        <v>44</v>
      </c>
      <c r="C38" s="8">
        <f t="shared" si="1"/>
        <v>44</v>
      </c>
      <c r="D38" s="8">
        <f t="shared" si="2"/>
        <v>24</v>
      </c>
      <c r="E38" s="8">
        <f t="shared" si="3"/>
        <v>45</v>
      </c>
      <c r="F38" s="8">
        <f t="shared" si="4"/>
        <v>46</v>
      </c>
      <c r="G38" s="8">
        <f t="shared" si="5"/>
        <v>47</v>
      </c>
      <c r="H38" s="8">
        <v>982</v>
      </c>
      <c r="I38" s="8">
        <v>982</v>
      </c>
      <c r="J38" s="159">
        <f t="shared" si="6"/>
        <v>0</v>
      </c>
      <c r="K38" s="9">
        <v>8572</v>
      </c>
      <c r="L38" s="9">
        <v>8451</v>
      </c>
      <c r="M38" s="134">
        <f t="shared" si="7"/>
        <v>-121</v>
      </c>
    </row>
    <row r="39" spans="1:13" x14ac:dyDescent="0.35">
      <c r="A39" s="2" t="s">
        <v>46</v>
      </c>
      <c r="B39" s="8">
        <f t="shared" si="0"/>
        <v>2</v>
      </c>
      <c r="C39" s="8">
        <f t="shared" si="1"/>
        <v>3</v>
      </c>
      <c r="D39" s="8">
        <f t="shared" si="2"/>
        <v>41</v>
      </c>
      <c r="E39" s="8">
        <f t="shared" si="3"/>
        <v>11</v>
      </c>
      <c r="F39" s="8">
        <f t="shared" si="4"/>
        <v>10</v>
      </c>
      <c r="G39" s="8">
        <f t="shared" si="5"/>
        <v>9</v>
      </c>
      <c r="H39" s="8">
        <v>1050</v>
      </c>
      <c r="I39" s="8">
        <v>1042</v>
      </c>
      <c r="J39" s="159">
        <f t="shared" si="6"/>
        <v>-8</v>
      </c>
      <c r="K39" s="9">
        <v>13380</v>
      </c>
      <c r="L39" s="9">
        <v>14969</v>
      </c>
      <c r="M39" s="134">
        <f t="shared" si="7"/>
        <v>1589</v>
      </c>
    </row>
    <row r="40" spans="1:13" x14ac:dyDescent="0.35">
      <c r="A40" s="2" t="s">
        <v>47</v>
      </c>
      <c r="B40" s="8">
        <f t="shared" si="0"/>
        <v>3</v>
      </c>
      <c r="C40" s="8">
        <f t="shared" si="1"/>
        <v>2</v>
      </c>
      <c r="D40" s="8">
        <f t="shared" si="2"/>
        <v>2</v>
      </c>
      <c r="E40" s="8">
        <f t="shared" si="3"/>
        <v>3</v>
      </c>
      <c r="F40" s="8">
        <f t="shared" si="4"/>
        <v>5</v>
      </c>
      <c r="G40" s="8">
        <f t="shared" si="5"/>
        <v>7</v>
      </c>
      <c r="H40" s="8">
        <v>1038</v>
      </c>
      <c r="I40" s="8">
        <v>1048</v>
      </c>
      <c r="J40" s="159">
        <f t="shared" si="6"/>
        <v>10</v>
      </c>
      <c r="K40" s="9">
        <v>16933</v>
      </c>
      <c r="L40" s="9">
        <v>18838</v>
      </c>
      <c r="M40" s="134">
        <f t="shared" si="7"/>
        <v>1905</v>
      </c>
    </row>
    <row r="41" spans="1:13" x14ac:dyDescent="0.35">
      <c r="A41" s="2" t="s">
        <v>48</v>
      </c>
      <c r="B41" s="8">
        <f t="shared" si="0"/>
        <v>50</v>
      </c>
      <c r="C41" s="8">
        <f t="shared" si="1"/>
        <v>50</v>
      </c>
      <c r="D41" s="8">
        <f t="shared" si="2"/>
        <v>19</v>
      </c>
      <c r="E41" s="8">
        <f t="shared" si="3"/>
        <v>32</v>
      </c>
      <c r="F41" s="8">
        <f t="shared" si="4"/>
        <v>35</v>
      </c>
      <c r="G41" s="8">
        <f t="shared" si="5"/>
        <v>30</v>
      </c>
      <c r="H41" s="8">
        <v>962</v>
      </c>
      <c r="I41" s="8">
        <v>963</v>
      </c>
      <c r="J41" s="159">
        <f t="shared" si="6"/>
        <v>1</v>
      </c>
      <c r="K41" s="9">
        <v>9351</v>
      </c>
      <c r="L41" s="9">
        <v>9724</v>
      </c>
      <c r="M41" s="134">
        <f t="shared" si="7"/>
        <v>373</v>
      </c>
    </row>
    <row r="42" spans="1:13" x14ac:dyDescent="0.35">
      <c r="A42" s="61" t="s">
        <v>49</v>
      </c>
      <c r="B42" s="8">
        <f t="shared" ref="B42:B60" si="8">RANK(H42,H$10:H$60)</f>
        <v>34</v>
      </c>
      <c r="C42" s="8">
        <f t="shared" ref="C42:C60" si="9">RANK(I42,I$10:I$60)</f>
        <v>30</v>
      </c>
      <c r="D42" s="8">
        <f t="shared" ref="D42:D60" si="10">RANK(J42,J$10:J$60)</f>
        <v>19</v>
      </c>
      <c r="E42" s="8">
        <f t="shared" ref="E42:E60" si="11">RANK(K42,K$10:K$60)</f>
        <v>2</v>
      </c>
      <c r="F42" s="8">
        <f t="shared" ref="F42:F60" si="12">RANK(L42,L$10:L$60)</f>
        <v>1</v>
      </c>
      <c r="G42" s="8">
        <f t="shared" ref="G42:G60" si="13">RANK(M42,M$10:M$60)</f>
        <v>6</v>
      </c>
      <c r="H42" s="8">
        <v>1003</v>
      </c>
      <c r="I42" s="8">
        <v>1004</v>
      </c>
      <c r="J42" s="158">
        <f t="shared" ref="J42:J60" si="14">I42-H42</f>
        <v>1</v>
      </c>
      <c r="K42" s="63">
        <v>18621</v>
      </c>
      <c r="L42" s="63">
        <v>20744</v>
      </c>
      <c r="M42" s="135">
        <f t="shared" ref="M42:M60" si="15">L42-K42</f>
        <v>2123</v>
      </c>
    </row>
    <row r="43" spans="1:13" x14ac:dyDescent="0.35">
      <c r="A43" s="2" t="s">
        <v>50</v>
      </c>
      <c r="B43" s="8">
        <f t="shared" si="8"/>
        <v>25</v>
      </c>
      <c r="C43" s="8">
        <f t="shared" si="9"/>
        <v>26</v>
      </c>
      <c r="D43" s="8">
        <f t="shared" si="10"/>
        <v>31</v>
      </c>
      <c r="E43" s="8">
        <f t="shared" si="11"/>
        <v>46</v>
      </c>
      <c r="F43" s="8">
        <f t="shared" si="12"/>
        <v>45</v>
      </c>
      <c r="G43" s="8">
        <f t="shared" si="13"/>
        <v>38</v>
      </c>
      <c r="H43" s="8">
        <v>1012</v>
      </c>
      <c r="I43" s="8">
        <v>1010</v>
      </c>
      <c r="J43" s="159">
        <f t="shared" si="14"/>
        <v>-2</v>
      </c>
      <c r="K43" s="9">
        <v>8306</v>
      </c>
      <c r="L43" s="9">
        <v>8529</v>
      </c>
      <c r="M43" s="134">
        <f t="shared" si="15"/>
        <v>223</v>
      </c>
    </row>
    <row r="44" spans="1:13" x14ac:dyDescent="0.35">
      <c r="A44" s="2" t="s">
        <v>51</v>
      </c>
      <c r="B44" s="8">
        <f t="shared" si="8"/>
        <v>11</v>
      </c>
      <c r="C44" s="8">
        <f t="shared" si="9"/>
        <v>17</v>
      </c>
      <c r="D44" s="8">
        <f t="shared" si="10"/>
        <v>38</v>
      </c>
      <c r="E44" s="8">
        <f t="shared" si="11"/>
        <v>21</v>
      </c>
      <c r="F44" s="8">
        <f t="shared" si="12"/>
        <v>16</v>
      </c>
      <c r="G44" s="8">
        <f t="shared" si="13"/>
        <v>8</v>
      </c>
      <c r="H44" s="8">
        <v>1025</v>
      </c>
      <c r="I44" s="8">
        <v>1019</v>
      </c>
      <c r="J44" s="159">
        <f t="shared" si="14"/>
        <v>-6</v>
      </c>
      <c r="K44" s="9">
        <v>11041</v>
      </c>
      <c r="L44" s="9">
        <v>12909</v>
      </c>
      <c r="M44" s="134">
        <f t="shared" si="15"/>
        <v>1868</v>
      </c>
    </row>
    <row r="45" spans="1:13" x14ac:dyDescent="0.35">
      <c r="A45" s="2" t="s">
        <v>52</v>
      </c>
      <c r="B45" s="8">
        <f t="shared" si="8"/>
        <v>18</v>
      </c>
      <c r="C45" s="8">
        <f t="shared" si="9"/>
        <v>14</v>
      </c>
      <c r="D45" s="8">
        <f t="shared" si="10"/>
        <v>16</v>
      </c>
      <c r="E45" s="8">
        <f t="shared" si="11"/>
        <v>20</v>
      </c>
      <c r="F45" s="8">
        <f t="shared" si="12"/>
        <v>20</v>
      </c>
      <c r="G45" s="8">
        <f t="shared" si="13"/>
        <v>27</v>
      </c>
      <c r="H45" s="8">
        <v>1020</v>
      </c>
      <c r="I45" s="8">
        <v>1022</v>
      </c>
      <c r="J45" s="159">
        <f t="shared" si="14"/>
        <v>2</v>
      </c>
      <c r="K45" s="9">
        <v>11329</v>
      </c>
      <c r="L45" s="9">
        <v>11730</v>
      </c>
      <c r="M45" s="134">
        <f t="shared" si="15"/>
        <v>401</v>
      </c>
    </row>
    <row r="46" spans="1:13" x14ac:dyDescent="0.35">
      <c r="A46" s="61" t="s">
        <v>53</v>
      </c>
      <c r="B46" s="8">
        <f t="shared" si="8"/>
        <v>36</v>
      </c>
      <c r="C46" s="8">
        <f t="shared" si="9"/>
        <v>40</v>
      </c>
      <c r="D46" s="8">
        <f t="shared" si="10"/>
        <v>48</v>
      </c>
      <c r="E46" s="8">
        <f t="shared" si="11"/>
        <v>49</v>
      </c>
      <c r="F46" s="8">
        <f t="shared" si="12"/>
        <v>48</v>
      </c>
      <c r="G46" s="8">
        <f t="shared" si="13"/>
        <v>29</v>
      </c>
      <c r="H46" s="8">
        <v>1000</v>
      </c>
      <c r="I46" s="8">
        <v>990</v>
      </c>
      <c r="J46" s="159">
        <f t="shared" si="14"/>
        <v>-10</v>
      </c>
      <c r="K46" s="63">
        <v>7690</v>
      </c>
      <c r="L46" s="63">
        <v>8075</v>
      </c>
      <c r="M46" s="134">
        <f t="shared" si="15"/>
        <v>385</v>
      </c>
    </row>
    <row r="47" spans="1:13" x14ac:dyDescent="0.35">
      <c r="A47" s="61" t="s">
        <v>54</v>
      </c>
      <c r="B47" s="8">
        <f t="shared" si="8"/>
        <v>28</v>
      </c>
      <c r="C47" s="8">
        <f t="shared" si="9"/>
        <v>33</v>
      </c>
      <c r="D47" s="8">
        <f t="shared" si="10"/>
        <v>48</v>
      </c>
      <c r="E47" s="8">
        <f t="shared" si="11"/>
        <v>33</v>
      </c>
      <c r="F47" s="8">
        <f t="shared" si="12"/>
        <v>29</v>
      </c>
      <c r="G47" s="8">
        <f t="shared" si="13"/>
        <v>15</v>
      </c>
      <c r="H47" s="8">
        <v>1009</v>
      </c>
      <c r="I47" s="8">
        <v>999</v>
      </c>
      <c r="J47" s="159">
        <f t="shared" si="14"/>
        <v>-10</v>
      </c>
      <c r="K47" s="9">
        <v>9317</v>
      </c>
      <c r="L47" s="9">
        <v>10457</v>
      </c>
      <c r="M47" s="134">
        <f t="shared" si="15"/>
        <v>1140</v>
      </c>
    </row>
    <row r="48" spans="1:13" x14ac:dyDescent="0.35">
      <c r="A48" s="2" t="s">
        <v>55</v>
      </c>
      <c r="B48" s="8">
        <f t="shared" si="8"/>
        <v>15</v>
      </c>
      <c r="C48" s="8">
        <f t="shared" si="9"/>
        <v>12</v>
      </c>
      <c r="D48" s="8">
        <f t="shared" si="10"/>
        <v>24</v>
      </c>
      <c r="E48" s="8">
        <f t="shared" si="11"/>
        <v>12</v>
      </c>
      <c r="F48" s="8">
        <f t="shared" si="12"/>
        <v>12</v>
      </c>
      <c r="G48" s="8">
        <f t="shared" si="13"/>
        <v>12</v>
      </c>
      <c r="H48" s="8">
        <v>1023</v>
      </c>
      <c r="I48" s="8">
        <v>1023</v>
      </c>
      <c r="J48" s="159">
        <f t="shared" si="14"/>
        <v>0</v>
      </c>
      <c r="K48" s="9">
        <v>13149</v>
      </c>
      <c r="L48" s="9">
        <v>14405</v>
      </c>
      <c r="M48" s="134">
        <f t="shared" si="15"/>
        <v>1256</v>
      </c>
    </row>
    <row r="49" spans="1:13" x14ac:dyDescent="0.35">
      <c r="A49" s="61" t="s">
        <v>56</v>
      </c>
      <c r="B49" s="8">
        <f t="shared" si="8"/>
        <v>28</v>
      </c>
      <c r="C49" s="8">
        <f t="shared" si="9"/>
        <v>30</v>
      </c>
      <c r="D49" s="8">
        <f t="shared" si="10"/>
        <v>35</v>
      </c>
      <c r="E49" s="8">
        <f t="shared" si="11"/>
        <v>8</v>
      </c>
      <c r="F49" s="8">
        <f t="shared" si="12"/>
        <v>9</v>
      </c>
      <c r="G49" s="8">
        <f t="shared" si="13"/>
        <v>18</v>
      </c>
      <c r="H49" s="8">
        <v>1009</v>
      </c>
      <c r="I49" s="8">
        <v>1004</v>
      </c>
      <c r="J49" s="158">
        <f t="shared" si="14"/>
        <v>-5</v>
      </c>
      <c r="K49" s="63">
        <v>14811</v>
      </c>
      <c r="L49" s="63">
        <v>15797</v>
      </c>
      <c r="M49" s="135">
        <f t="shared" si="15"/>
        <v>986</v>
      </c>
    </row>
    <row r="50" spans="1:13" x14ac:dyDescent="0.35">
      <c r="A50" s="2" t="s">
        <v>57</v>
      </c>
      <c r="B50" s="8">
        <f t="shared" si="8"/>
        <v>40</v>
      </c>
      <c r="C50" s="8">
        <f t="shared" si="9"/>
        <v>44</v>
      </c>
      <c r="D50" s="8">
        <f t="shared" si="10"/>
        <v>45</v>
      </c>
      <c r="E50" s="8">
        <f t="shared" si="11"/>
        <v>40</v>
      </c>
      <c r="F50" s="8">
        <f t="shared" si="12"/>
        <v>33</v>
      </c>
      <c r="G50" s="8">
        <f t="shared" si="13"/>
        <v>20</v>
      </c>
      <c r="H50" s="8">
        <v>991</v>
      </c>
      <c r="I50" s="8">
        <v>982</v>
      </c>
      <c r="J50" s="159">
        <f t="shared" si="14"/>
        <v>-9</v>
      </c>
      <c r="K50" s="9">
        <v>8935</v>
      </c>
      <c r="L50" s="9">
        <v>9831</v>
      </c>
      <c r="M50" s="134">
        <f t="shared" si="15"/>
        <v>896</v>
      </c>
    </row>
    <row r="51" spans="1:13" x14ac:dyDescent="0.35">
      <c r="A51" s="2" t="s">
        <v>58</v>
      </c>
      <c r="B51" s="8">
        <f t="shared" si="8"/>
        <v>25</v>
      </c>
      <c r="C51" s="8">
        <f t="shared" si="9"/>
        <v>19</v>
      </c>
      <c r="D51" s="8">
        <f t="shared" si="10"/>
        <v>5</v>
      </c>
      <c r="E51" s="8">
        <f t="shared" si="11"/>
        <v>38</v>
      </c>
      <c r="F51" s="8">
        <f t="shared" si="12"/>
        <v>42</v>
      </c>
      <c r="G51" s="8">
        <f t="shared" si="13"/>
        <v>46</v>
      </c>
      <c r="H51" s="8">
        <v>1012</v>
      </c>
      <c r="I51" s="8">
        <v>1017</v>
      </c>
      <c r="J51" s="159">
        <f t="shared" si="14"/>
        <v>5</v>
      </c>
      <c r="K51" s="9">
        <v>9105</v>
      </c>
      <c r="L51" s="9">
        <v>9103</v>
      </c>
      <c r="M51" s="134">
        <f t="shared" si="15"/>
        <v>-2</v>
      </c>
    </row>
    <row r="52" spans="1:13" x14ac:dyDescent="0.35">
      <c r="A52" s="2" t="s">
        <v>59</v>
      </c>
      <c r="B52" s="8">
        <f t="shared" si="8"/>
        <v>34</v>
      </c>
      <c r="C52" s="8">
        <f t="shared" si="9"/>
        <v>37</v>
      </c>
      <c r="D52" s="8">
        <f t="shared" si="10"/>
        <v>38</v>
      </c>
      <c r="E52" s="8">
        <f t="shared" si="11"/>
        <v>44</v>
      </c>
      <c r="F52" s="8">
        <f t="shared" si="12"/>
        <v>44</v>
      </c>
      <c r="G52" s="8">
        <f t="shared" si="13"/>
        <v>42</v>
      </c>
      <c r="H52" s="8">
        <v>1003</v>
      </c>
      <c r="I52" s="8">
        <v>997</v>
      </c>
      <c r="J52" s="159">
        <f t="shared" si="14"/>
        <v>-6</v>
      </c>
      <c r="K52" s="9">
        <v>8614</v>
      </c>
      <c r="L52" s="9">
        <v>8759</v>
      </c>
      <c r="M52" s="134">
        <f t="shared" si="15"/>
        <v>145</v>
      </c>
    </row>
    <row r="53" spans="1:13" x14ac:dyDescent="0.35">
      <c r="A53" s="2" t="s">
        <v>60</v>
      </c>
      <c r="B53" s="8">
        <f t="shared" si="8"/>
        <v>32</v>
      </c>
      <c r="C53" s="8">
        <f t="shared" si="9"/>
        <v>35</v>
      </c>
      <c r="D53" s="8">
        <f t="shared" si="10"/>
        <v>45</v>
      </c>
      <c r="E53" s="8">
        <f t="shared" si="11"/>
        <v>42</v>
      </c>
      <c r="F53" s="8">
        <f t="shared" si="12"/>
        <v>43</v>
      </c>
      <c r="G53" s="8">
        <f t="shared" si="13"/>
        <v>37</v>
      </c>
      <c r="H53" s="8">
        <v>1007</v>
      </c>
      <c r="I53" s="8">
        <v>998</v>
      </c>
      <c r="J53" s="159">
        <f t="shared" si="14"/>
        <v>-9</v>
      </c>
      <c r="K53" s="9">
        <v>8837</v>
      </c>
      <c r="L53" s="9">
        <v>9081</v>
      </c>
      <c r="M53" s="134">
        <f t="shared" si="15"/>
        <v>244</v>
      </c>
    </row>
    <row r="54" spans="1:13" x14ac:dyDescent="0.35">
      <c r="A54" s="61" t="s">
        <v>61</v>
      </c>
      <c r="B54" s="8">
        <f t="shared" si="8"/>
        <v>14</v>
      </c>
      <c r="C54" s="8">
        <f t="shared" si="9"/>
        <v>12</v>
      </c>
      <c r="D54" s="8">
        <f t="shared" si="10"/>
        <v>29</v>
      </c>
      <c r="E54" s="8">
        <f t="shared" si="11"/>
        <v>51</v>
      </c>
      <c r="F54" s="8">
        <f t="shared" si="12"/>
        <v>51</v>
      </c>
      <c r="G54" s="8">
        <f t="shared" si="13"/>
        <v>40</v>
      </c>
      <c r="H54" s="8">
        <v>1024</v>
      </c>
      <c r="I54" s="8">
        <v>1023</v>
      </c>
      <c r="J54" s="159">
        <f t="shared" si="14"/>
        <v>-1</v>
      </c>
      <c r="K54" s="63">
        <v>6575</v>
      </c>
      <c r="L54" s="63">
        <v>6751</v>
      </c>
      <c r="M54" s="134">
        <f t="shared" si="15"/>
        <v>176</v>
      </c>
    </row>
    <row r="55" spans="1:13" x14ac:dyDescent="0.35">
      <c r="A55" s="2" t="s">
        <v>62</v>
      </c>
      <c r="B55" s="8">
        <f t="shared" si="8"/>
        <v>4</v>
      </c>
      <c r="C55" s="8">
        <f t="shared" si="9"/>
        <v>8</v>
      </c>
      <c r="D55" s="8">
        <f t="shared" si="10"/>
        <v>45</v>
      </c>
      <c r="E55" s="8">
        <f t="shared" si="11"/>
        <v>7</v>
      </c>
      <c r="F55" s="8">
        <f t="shared" si="12"/>
        <v>6</v>
      </c>
      <c r="G55" s="8">
        <f t="shared" si="13"/>
        <v>2</v>
      </c>
      <c r="H55" s="8">
        <v>1037</v>
      </c>
      <c r="I55" s="8">
        <v>1028</v>
      </c>
      <c r="J55" s="159">
        <f t="shared" si="14"/>
        <v>-9</v>
      </c>
      <c r="K55" s="9">
        <v>15576</v>
      </c>
      <c r="L55" s="9">
        <v>18769</v>
      </c>
      <c r="M55" s="134">
        <f t="shared" si="15"/>
        <v>3193</v>
      </c>
    </row>
    <row r="56" spans="1:13" x14ac:dyDescent="0.35">
      <c r="A56" s="2" t="s">
        <v>63</v>
      </c>
      <c r="B56" s="8">
        <f t="shared" si="8"/>
        <v>6</v>
      </c>
      <c r="C56" s="8">
        <f t="shared" si="9"/>
        <v>5</v>
      </c>
      <c r="D56" s="8">
        <f t="shared" si="10"/>
        <v>8</v>
      </c>
      <c r="E56" s="8">
        <f t="shared" si="11"/>
        <v>25</v>
      </c>
      <c r="F56" s="8">
        <f t="shared" si="12"/>
        <v>23</v>
      </c>
      <c r="G56" s="8">
        <f t="shared" si="13"/>
        <v>21</v>
      </c>
      <c r="H56" s="8">
        <v>1031</v>
      </c>
      <c r="I56" s="8">
        <v>1034</v>
      </c>
      <c r="J56" s="159">
        <f t="shared" si="14"/>
        <v>3</v>
      </c>
      <c r="K56" s="9">
        <v>10413</v>
      </c>
      <c r="L56" s="9">
        <v>11235</v>
      </c>
      <c r="M56" s="134">
        <f t="shared" si="15"/>
        <v>822</v>
      </c>
    </row>
    <row r="57" spans="1:13" x14ac:dyDescent="0.35">
      <c r="A57" s="2" t="s">
        <v>64</v>
      </c>
      <c r="B57" s="8">
        <f t="shared" si="8"/>
        <v>11</v>
      </c>
      <c r="C57" s="8">
        <f t="shared" si="9"/>
        <v>10</v>
      </c>
      <c r="D57" s="8">
        <f t="shared" si="10"/>
        <v>19</v>
      </c>
      <c r="E57" s="8">
        <f t="shared" si="11"/>
        <v>29</v>
      </c>
      <c r="F57" s="8">
        <f t="shared" si="12"/>
        <v>28</v>
      </c>
      <c r="G57" s="8">
        <f t="shared" si="13"/>
        <v>17</v>
      </c>
      <c r="H57" s="8">
        <v>1025</v>
      </c>
      <c r="I57" s="8">
        <v>1026</v>
      </c>
      <c r="J57" s="159">
        <f t="shared" si="14"/>
        <v>1</v>
      </c>
      <c r="K57" s="9">
        <v>9697</v>
      </c>
      <c r="L57" s="9">
        <v>10684</v>
      </c>
      <c r="M57" s="134">
        <f t="shared" si="15"/>
        <v>987</v>
      </c>
    </row>
    <row r="58" spans="1:13" x14ac:dyDescent="0.35">
      <c r="A58" s="61" t="s">
        <v>65</v>
      </c>
      <c r="B58" s="8">
        <f t="shared" si="8"/>
        <v>44</v>
      </c>
      <c r="C58" s="8">
        <f t="shared" si="9"/>
        <v>42</v>
      </c>
      <c r="D58" s="8">
        <f t="shared" si="10"/>
        <v>8</v>
      </c>
      <c r="E58" s="8">
        <f t="shared" si="11"/>
        <v>15</v>
      </c>
      <c r="F58" s="8">
        <f t="shared" si="12"/>
        <v>22</v>
      </c>
      <c r="G58" s="8">
        <f t="shared" si="13"/>
        <v>50</v>
      </c>
      <c r="H58" s="8">
        <v>982</v>
      </c>
      <c r="I58" s="8">
        <v>985</v>
      </c>
      <c r="J58" s="158">
        <f t="shared" si="14"/>
        <v>3</v>
      </c>
      <c r="K58" s="63">
        <v>11987</v>
      </c>
      <c r="L58" s="63">
        <v>11512</v>
      </c>
      <c r="M58" s="135">
        <f t="shared" si="15"/>
        <v>-475</v>
      </c>
    </row>
    <row r="59" spans="1:13" x14ac:dyDescent="0.35">
      <c r="A59" s="61" t="s">
        <v>66</v>
      </c>
      <c r="B59" s="8">
        <f t="shared" si="8"/>
        <v>11</v>
      </c>
      <c r="C59" s="8">
        <f t="shared" si="9"/>
        <v>19</v>
      </c>
      <c r="D59" s="8">
        <f t="shared" si="10"/>
        <v>41</v>
      </c>
      <c r="E59" s="8">
        <f t="shared" si="11"/>
        <v>16</v>
      </c>
      <c r="F59" s="8">
        <f t="shared" si="12"/>
        <v>21</v>
      </c>
      <c r="G59" s="8">
        <f t="shared" si="13"/>
        <v>49</v>
      </c>
      <c r="H59" s="8">
        <v>1025</v>
      </c>
      <c r="I59" s="8">
        <v>1017</v>
      </c>
      <c r="J59" s="159">
        <f t="shared" si="14"/>
        <v>-8</v>
      </c>
      <c r="K59" s="9">
        <v>11930</v>
      </c>
      <c r="L59" s="9">
        <v>11538</v>
      </c>
      <c r="M59" s="134">
        <f t="shared" si="15"/>
        <v>-392</v>
      </c>
    </row>
    <row r="60" spans="1:13" x14ac:dyDescent="0.35">
      <c r="A60" s="61" t="s">
        <v>67</v>
      </c>
      <c r="B60" s="8">
        <f t="shared" si="8"/>
        <v>6</v>
      </c>
      <c r="C60" s="8">
        <f t="shared" si="9"/>
        <v>6</v>
      </c>
      <c r="D60" s="8">
        <f t="shared" si="10"/>
        <v>16</v>
      </c>
      <c r="E60" s="8">
        <f t="shared" si="11"/>
        <v>6</v>
      </c>
      <c r="F60" s="8">
        <f t="shared" si="12"/>
        <v>8</v>
      </c>
      <c r="G60" s="8">
        <f t="shared" si="13"/>
        <v>44</v>
      </c>
      <c r="H60" s="8">
        <v>1031</v>
      </c>
      <c r="I60" s="8">
        <v>1033</v>
      </c>
      <c r="J60" s="158">
        <f t="shared" si="14"/>
        <v>2</v>
      </c>
      <c r="K60" s="63">
        <v>15960</v>
      </c>
      <c r="L60" s="63">
        <v>16047</v>
      </c>
      <c r="M60" s="135">
        <f t="shared" si="15"/>
        <v>87</v>
      </c>
    </row>
    <row r="61" spans="1:13" x14ac:dyDescent="0.35">
      <c r="A61" s="61" t="s">
        <v>125</v>
      </c>
      <c r="H61" s="62">
        <f t="shared" ref="H61:M61" si="16">AVERAGE(H10:H60)</f>
        <v>1008.9411764705883</v>
      </c>
      <c r="I61" s="62">
        <f t="shared" si="16"/>
        <v>1007.6470588235294</v>
      </c>
      <c r="J61" s="62">
        <f t="shared" si="16"/>
        <v>-1.2941176470588236</v>
      </c>
      <c r="K61" s="126">
        <f t="shared" si="16"/>
        <v>11189.392156862745</v>
      </c>
      <c r="L61" s="48">
        <f t="shared" si="16"/>
        <v>11989.098039215687</v>
      </c>
      <c r="M61" s="136">
        <f t="shared" si="16"/>
        <v>799.70588235294122</v>
      </c>
    </row>
    <row r="62" spans="1:13" x14ac:dyDescent="0.35">
      <c r="A62" s="2" t="s">
        <v>126</v>
      </c>
      <c r="H62" s="62">
        <f t="shared" ref="H62:M62" si="17">MAX(H10:H60)-MIN(H10:H60)</f>
        <v>103</v>
      </c>
      <c r="I62" s="62">
        <f t="shared" si="17"/>
        <v>103</v>
      </c>
      <c r="J62" s="62">
        <f t="shared" si="17"/>
        <v>29</v>
      </c>
      <c r="K62" s="48">
        <f t="shared" si="17"/>
        <v>14772</v>
      </c>
      <c r="L62" s="48">
        <f t="shared" si="17"/>
        <v>13993</v>
      </c>
      <c r="M62" s="136">
        <f t="shared" si="17"/>
        <v>4209</v>
      </c>
    </row>
    <row r="63" spans="1:13" x14ac:dyDescent="0.35">
      <c r="A63" s="61" t="s">
        <v>127</v>
      </c>
      <c r="H63" s="70">
        <f t="shared" ref="H63:M63" si="18">_xlfn.STDEV.P(H10:H60)</f>
        <v>21.753892385272909</v>
      </c>
      <c r="I63" s="70">
        <f t="shared" si="18"/>
        <v>22.293781362252396</v>
      </c>
      <c r="J63" s="70">
        <f t="shared" si="18"/>
        <v>5.8083581347445588</v>
      </c>
      <c r="K63" s="71">
        <f t="shared" si="18"/>
        <v>3125.9324574542452</v>
      </c>
      <c r="L63" s="71">
        <f t="shared" si="18"/>
        <v>3629.8273024057594</v>
      </c>
      <c r="M63" s="136">
        <f t="shared" si="18"/>
        <v>905.29783408377295</v>
      </c>
    </row>
  </sheetData>
  <pageMargins left="0.75" right="0.75" top="1" bottom="1" header="0.5" footer="0.5"/>
  <pageSetup scale="73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3"/>
  <sheetViews>
    <sheetView workbookViewId="0"/>
  </sheetViews>
  <sheetFormatPr defaultColWidth="10.6640625" defaultRowHeight="15.5" x14ac:dyDescent="0.35"/>
  <cols>
    <col min="1" max="1" width="18" style="2" customWidth="1"/>
    <col min="2" max="6" width="17.33203125" style="4" customWidth="1"/>
    <col min="7" max="7" width="17.33203125" customWidth="1"/>
    <col min="8" max="9" width="17.33203125" style="4" customWidth="1"/>
    <col min="10" max="12" width="15" style="4" customWidth="1"/>
    <col min="13" max="14" width="15.83203125" style="4" customWidth="1"/>
    <col min="15" max="16" width="15" style="4" customWidth="1"/>
  </cols>
  <sheetData>
    <row r="1" spans="1:16" x14ac:dyDescent="0.35">
      <c r="A1" s="157" t="s">
        <v>225</v>
      </c>
      <c r="B1" s="157" t="s">
        <v>245</v>
      </c>
    </row>
    <row r="2" spans="1:16" x14ac:dyDescent="0.35">
      <c r="A2" s="157"/>
      <c r="B2" s="157" t="s">
        <v>246</v>
      </c>
    </row>
    <row r="3" spans="1:16" x14ac:dyDescent="0.35">
      <c r="A3" s="157"/>
      <c r="B3" s="157" t="s">
        <v>248</v>
      </c>
    </row>
    <row r="4" spans="1:16" x14ac:dyDescent="0.35">
      <c r="B4" s="2" t="s">
        <v>247</v>
      </c>
    </row>
    <row r="5" spans="1:16" x14ac:dyDescent="0.35">
      <c r="B5" s="2"/>
    </row>
    <row r="6" spans="1:16" x14ac:dyDescent="0.35">
      <c r="B6" s="2"/>
    </row>
    <row r="8" spans="1:16" x14ac:dyDescent="0.35">
      <c r="B8" s="154" t="s">
        <v>161</v>
      </c>
      <c r="C8" s="154" t="s">
        <v>171</v>
      </c>
      <c r="D8" s="154" t="s">
        <v>183</v>
      </c>
      <c r="E8" s="155" t="s">
        <v>201</v>
      </c>
      <c r="F8" s="155" t="s">
        <v>206</v>
      </c>
      <c r="G8" s="155" t="s">
        <v>221</v>
      </c>
      <c r="H8" s="155" t="s">
        <v>221</v>
      </c>
      <c r="I8" s="155" t="s">
        <v>161</v>
      </c>
      <c r="J8" s="155" t="s">
        <v>171</v>
      </c>
      <c r="K8" s="155" t="s">
        <v>183</v>
      </c>
      <c r="L8" s="155" t="s">
        <v>201</v>
      </c>
      <c r="M8" s="155" t="s">
        <v>206</v>
      </c>
      <c r="N8" s="155" t="s">
        <v>221</v>
      </c>
      <c r="O8" s="155" t="s">
        <v>221</v>
      </c>
      <c r="P8"/>
    </row>
    <row r="9" spans="1:16" ht="16" thickBot="1" x14ac:dyDescent="0.4">
      <c r="A9" s="1" t="s">
        <v>164</v>
      </c>
      <c r="B9" s="3" t="s">
        <v>216</v>
      </c>
      <c r="C9" s="3" t="s">
        <v>215</v>
      </c>
      <c r="D9" s="3" t="s">
        <v>214</v>
      </c>
      <c r="E9" s="156" t="s">
        <v>212</v>
      </c>
      <c r="F9" s="6" t="s">
        <v>213</v>
      </c>
      <c r="G9" s="3" t="s">
        <v>169</v>
      </c>
      <c r="H9" s="3" t="s">
        <v>223</v>
      </c>
      <c r="I9" s="3" t="s">
        <v>217</v>
      </c>
      <c r="J9" s="3" t="s">
        <v>218</v>
      </c>
      <c r="K9" s="3" t="s">
        <v>219</v>
      </c>
      <c r="L9" s="3" t="s">
        <v>220</v>
      </c>
      <c r="M9" s="3" t="s">
        <v>222</v>
      </c>
      <c r="N9" s="3" t="s">
        <v>170</v>
      </c>
      <c r="O9" s="3" t="s">
        <v>224</v>
      </c>
      <c r="P9"/>
    </row>
    <row r="10" spans="1:16" x14ac:dyDescent="0.35">
      <c r="A10" s="2" t="s">
        <v>17</v>
      </c>
      <c r="B10" s="8">
        <v>968</v>
      </c>
      <c r="C10" s="8">
        <v>978</v>
      </c>
      <c r="D10" s="8">
        <v>978</v>
      </c>
      <c r="E10" s="8">
        <v>974</v>
      </c>
      <c r="F10" s="8">
        <v>974</v>
      </c>
      <c r="G10" s="158">
        <f>Table6581011[[#This Row],[17 Score Total]]-Table6581011[[#This Row],[09 Score Total]]</f>
        <v>6</v>
      </c>
      <c r="H10" s="62">
        <f t="shared" ref="H10:H41" si="0">SUM(B10:F10)/5</f>
        <v>974.4</v>
      </c>
      <c r="I10" s="9">
        <v>9187</v>
      </c>
      <c r="J10" s="9">
        <v>8996</v>
      </c>
      <c r="K10" s="9">
        <v>8945</v>
      </c>
      <c r="L10" s="9">
        <v>8803</v>
      </c>
      <c r="M10" s="9">
        <v>9146</v>
      </c>
      <c r="N10" s="134">
        <f t="shared" ref="N10:N41" si="1">M10-I10</f>
        <v>-41</v>
      </c>
      <c r="O10" s="134">
        <f>SUM(Table6581011[[#This Row],[09 Total PPF]:[PPF Change]])/5</f>
        <v>9007.2000000000007</v>
      </c>
      <c r="P10"/>
    </row>
    <row r="11" spans="1:16" x14ac:dyDescent="0.35">
      <c r="A11" s="2" t="s">
        <v>18</v>
      </c>
      <c r="B11" s="8">
        <v>990</v>
      </c>
      <c r="C11" s="8">
        <v>988</v>
      </c>
      <c r="D11" s="8">
        <v>988</v>
      </c>
      <c r="E11" s="8">
        <v>989</v>
      </c>
      <c r="F11" s="8">
        <v>972</v>
      </c>
      <c r="G11" s="158">
        <f>Table6581011[[#This Row],[17 Score Total]]-Table6581011[[#This Row],[09 Score Total]]</f>
        <v>-18</v>
      </c>
      <c r="H11" s="62">
        <f t="shared" si="0"/>
        <v>985.4</v>
      </c>
      <c r="I11" s="9">
        <v>14466</v>
      </c>
      <c r="J11" s="9">
        <v>15310</v>
      </c>
      <c r="K11" s="9">
        <v>15949</v>
      </c>
      <c r="L11" s="9">
        <v>16719</v>
      </c>
      <c r="M11" s="9">
        <v>20191</v>
      </c>
      <c r="N11" s="134">
        <f t="shared" si="1"/>
        <v>5725</v>
      </c>
      <c r="O11" s="134">
        <f>SUM(Table6581011[[#This Row],[09 Total PPF]:[PPF Change]])/5</f>
        <v>17672</v>
      </c>
      <c r="P11"/>
    </row>
    <row r="12" spans="1:16" x14ac:dyDescent="0.35">
      <c r="A12" s="2" t="s">
        <v>19</v>
      </c>
      <c r="B12" s="8">
        <v>975</v>
      </c>
      <c r="C12" s="8">
        <v>986</v>
      </c>
      <c r="D12" s="8">
        <v>993</v>
      </c>
      <c r="E12" s="8">
        <v>999</v>
      </c>
      <c r="F12" s="8">
        <v>994</v>
      </c>
      <c r="G12" s="158">
        <f>Table6581011[[#This Row],[17 Score Total]]-Table6581011[[#This Row],[09 Score Total]]</f>
        <v>19</v>
      </c>
      <c r="H12" s="62">
        <f t="shared" si="0"/>
        <v>989.4</v>
      </c>
      <c r="I12" s="9">
        <v>7889</v>
      </c>
      <c r="J12" s="9">
        <v>7931</v>
      </c>
      <c r="K12" s="9">
        <v>7894</v>
      </c>
      <c r="L12" s="9">
        <v>7737</v>
      </c>
      <c r="M12" s="9">
        <v>7590</v>
      </c>
      <c r="N12" s="134">
        <f t="shared" si="1"/>
        <v>-299</v>
      </c>
      <c r="O12" s="134">
        <f>SUM(Table6581011[[#This Row],[09 Total PPF]:[PPF Change]])/5</f>
        <v>7748.4</v>
      </c>
      <c r="P12"/>
    </row>
    <row r="13" spans="1:16" x14ac:dyDescent="0.35">
      <c r="A13" s="2" t="s">
        <v>20</v>
      </c>
      <c r="B13" s="8">
        <v>988</v>
      </c>
      <c r="C13" s="8">
        <v>993</v>
      </c>
      <c r="D13" s="8">
        <v>999</v>
      </c>
      <c r="E13" s="8">
        <v>987</v>
      </c>
      <c r="F13" s="8">
        <v>984</v>
      </c>
      <c r="G13" s="158">
        <f>Table6581011[[#This Row],[17 Score Total]]-Table6581011[[#This Row],[09 Score Total]]</f>
        <v>-4</v>
      </c>
      <c r="H13" s="62">
        <f t="shared" si="0"/>
        <v>990.2</v>
      </c>
      <c r="I13" s="9">
        <v>8724</v>
      </c>
      <c r="J13" s="9">
        <v>8853</v>
      </c>
      <c r="K13" s="9">
        <v>9311</v>
      </c>
      <c r="L13" s="9">
        <v>9526</v>
      </c>
      <c r="M13" s="9">
        <v>9805</v>
      </c>
      <c r="N13" s="134">
        <f t="shared" si="1"/>
        <v>1081</v>
      </c>
      <c r="O13" s="134">
        <f>SUM(Table6581011[[#This Row],[09 Total PPF]:[PPF Change]])/5</f>
        <v>9460</v>
      </c>
      <c r="P13"/>
    </row>
    <row r="14" spans="1:16" x14ac:dyDescent="0.35">
      <c r="A14" s="2" t="s">
        <v>21</v>
      </c>
      <c r="B14" s="8">
        <v>965</v>
      </c>
      <c r="C14" s="8">
        <v>973</v>
      </c>
      <c r="D14" s="8">
        <v>985</v>
      </c>
      <c r="E14" s="8">
        <v>979</v>
      </c>
      <c r="F14" s="8">
        <v>987</v>
      </c>
      <c r="G14" s="158">
        <f>Table6581011[[#This Row],[17 Score Total]]-Table6581011[[#This Row],[09 Score Total]]</f>
        <v>22</v>
      </c>
      <c r="H14" s="62">
        <f t="shared" si="0"/>
        <v>977.8</v>
      </c>
      <c r="I14" s="9">
        <v>9610</v>
      </c>
      <c r="J14" s="9">
        <v>9471</v>
      </c>
      <c r="K14" s="9">
        <v>9212</v>
      </c>
      <c r="L14" s="9">
        <v>9184</v>
      </c>
      <c r="M14" s="9">
        <v>10449</v>
      </c>
      <c r="N14" s="134">
        <f t="shared" si="1"/>
        <v>839</v>
      </c>
      <c r="O14" s="134">
        <f>SUM(Table6581011[[#This Row],[09 Total PPF]:[PPF Change]])/5</f>
        <v>9753</v>
      </c>
      <c r="P14"/>
    </row>
    <row r="15" spans="1:16" x14ac:dyDescent="0.35">
      <c r="A15" s="2" t="s">
        <v>22</v>
      </c>
      <c r="B15" s="8">
        <v>1022</v>
      </c>
      <c r="C15" s="8">
        <v>1030</v>
      </c>
      <c r="D15" s="8">
        <v>1035</v>
      </c>
      <c r="E15" s="8">
        <v>1020</v>
      </c>
      <c r="F15" s="8">
        <v>1022</v>
      </c>
      <c r="G15" s="158">
        <f>Table6581011[[#This Row],[17 Score Total]]-Table6581011[[#This Row],[09 Score Total]]</f>
        <v>0</v>
      </c>
      <c r="H15" s="62">
        <f t="shared" si="0"/>
        <v>1025.8</v>
      </c>
      <c r="I15" s="9">
        <v>9242</v>
      </c>
      <c r="J15" s="9">
        <v>8963</v>
      </c>
      <c r="K15" s="9">
        <v>9077</v>
      </c>
      <c r="L15" s="9">
        <v>8901</v>
      </c>
      <c r="M15" s="9">
        <v>9292</v>
      </c>
      <c r="N15" s="134">
        <f t="shared" si="1"/>
        <v>50</v>
      </c>
      <c r="O15" s="134">
        <f>SUM(Table6581011[[#This Row],[09 Total PPF]:[PPF Change]])/5</f>
        <v>9105</v>
      </c>
      <c r="P15"/>
    </row>
    <row r="16" spans="1:16" x14ac:dyDescent="0.35">
      <c r="A16" s="2" t="s">
        <v>23</v>
      </c>
      <c r="B16" s="8">
        <v>1035</v>
      </c>
      <c r="C16" s="8">
        <v>1031</v>
      </c>
      <c r="D16" s="8">
        <v>1032</v>
      </c>
      <c r="E16" s="8">
        <v>1026</v>
      </c>
      <c r="F16" s="8">
        <v>1024</v>
      </c>
      <c r="G16" s="158">
        <f>Table6581011[[#This Row],[17 Score Total]]-Table6581011[[#This Row],[09 Score Total]]</f>
        <v>-11</v>
      </c>
      <c r="H16" s="62">
        <f t="shared" si="0"/>
        <v>1029.5999999999999</v>
      </c>
      <c r="I16" s="9">
        <v>14496</v>
      </c>
      <c r="J16" s="9">
        <v>15260</v>
      </c>
      <c r="K16" s="9">
        <v>15608</v>
      </c>
      <c r="L16" s="9">
        <v>16125</v>
      </c>
      <c r="M16" s="9">
        <v>19020</v>
      </c>
      <c r="N16" s="134">
        <f t="shared" si="1"/>
        <v>4524</v>
      </c>
      <c r="O16" s="134">
        <f>SUM(Table6581011[[#This Row],[09 Total PPF]:[PPF Change]])/5</f>
        <v>17006.599999999999</v>
      </c>
      <c r="P16"/>
    </row>
    <row r="17" spans="1:16" x14ac:dyDescent="0.35">
      <c r="A17" s="61" t="s">
        <v>25</v>
      </c>
      <c r="B17" s="8">
        <v>917</v>
      </c>
      <c r="C17" s="8">
        <v>925</v>
      </c>
      <c r="D17" s="8">
        <v>948</v>
      </c>
      <c r="E17" s="8">
        <v>954</v>
      </c>
      <c r="F17" s="8">
        <v>957</v>
      </c>
      <c r="G17" s="158">
        <f>Table6581011[[#This Row],[17 Score Total]]-Table6581011[[#This Row],[09 Score Total]]</f>
        <v>40</v>
      </c>
      <c r="H17" s="62">
        <f t="shared" si="0"/>
        <v>940.2</v>
      </c>
      <c r="I17" s="9">
        <v>17603</v>
      </c>
      <c r="J17" s="9">
        <v>17251</v>
      </c>
      <c r="K17" s="9">
        <v>21139</v>
      </c>
      <c r="L17" s="63">
        <v>21347</v>
      </c>
      <c r="M17" s="63">
        <v>20610</v>
      </c>
      <c r="N17" s="134">
        <f t="shared" si="1"/>
        <v>3007</v>
      </c>
      <c r="O17" s="134">
        <f>SUM(Table6581011[[#This Row],[09 Total PPF]:[PPF Change]])/5</f>
        <v>20191.400000000001</v>
      </c>
      <c r="P17"/>
    </row>
    <row r="18" spans="1:16" x14ac:dyDescent="0.35">
      <c r="A18" s="2" t="s">
        <v>24</v>
      </c>
      <c r="B18" s="8">
        <v>1014</v>
      </c>
      <c r="C18" s="8">
        <v>1014</v>
      </c>
      <c r="D18" s="8">
        <v>1017</v>
      </c>
      <c r="E18" s="8">
        <v>1006</v>
      </c>
      <c r="F18" s="8">
        <v>998</v>
      </c>
      <c r="G18" s="158">
        <f>Table6581011[[#This Row],[17 Score Total]]-Table6581011[[#This Row],[09 Score Total]]</f>
        <v>-16</v>
      </c>
      <c r="H18" s="62">
        <f t="shared" si="0"/>
        <v>1009.8</v>
      </c>
      <c r="I18" s="9">
        <v>12184</v>
      </c>
      <c r="J18" s="9">
        <v>12390</v>
      </c>
      <c r="K18" s="9">
        <v>12355</v>
      </c>
      <c r="L18" s="9">
        <v>12723</v>
      </c>
      <c r="M18" s="9">
        <v>13882</v>
      </c>
      <c r="N18" s="134">
        <f t="shared" si="1"/>
        <v>1698</v>
      </c>
      <c r="O18" s="134">
        <f>SUM(Table6581011[[#This Row],[09 Total PPF]:[PPF Change]])/5</f>
        <v>13046.4</v>
      </c>
      <c r="P18"/>
    </row>
    <row r="19" spans="1:16" x14ac:dyDescent="0.35">
      <c r="A19" s="2" t="s">
        <v>26</v>
      </c>
      <c r="B19" s="8">
        <v>1011</v>
      </c>
      <c r="C19" s="8">
        <v>1005</v>
      </c>
      <c r="D19" s="8">
        <v>1016</v>
      </c>
      <c r="E19" s="8">
        <v>1008</v>
      </c>
      <c r="F19" s="8">
        <v>1020</v>
      </c>
      <c r="G19" s="158">
        <f>Table6581011[[#This Row],[17 Score Total]]-Table6581011[[#This Row],[09 Score Total]]</f>
        <v>9</v>
      </c>
      <c r="H19" s="62">
        <f t="shared" si="0"/>
        <v>1012</v>
      </c>
      <c r="I19" s="9">
        <v>9067</v>
      </c>
      <c r="J19" s="9">
        <v>8747</v>
      </c>
      <c r="K19" s="9">
        <v>8874</v>
      </c>
      <c r="L19" s="9">
        <v>9060</v>
      </c>
      <c r="M19" s="9">
        <v>9113</v>
      </c>
      <c r="N19" s="134">
        <f t="shared" si="1"/>
        <v>46</v>
      </c>
      <c r="O19" s="134">
        <f>SUM(Table6581011[[#This Row],[09 Total PPF]:[PPF Change]])/5</f>
        <v>8981.4</v>
      </c>
      <c r="P19"/>
    </row>
    <row r="20" spans="1:16" x14ac:dyDescent="0.35">
      <c r="A20" s="2" t="s">
        <v>27</v>
      </c>
      <c r="B20" s="8">
        <v>992</v>
      </c>
      <c r="C20" s="8">
        <v>999</v>
      </c>
      <c r="D20" s="8">
        <v>1006</v>
      </c>
      <c r="E20" s="8">
        <v>999</v>
      </c>
      <c r="F20" s="8">
        <v>1003</v>
      </c>
      <c r="G20" s="158">
        <f>Table6581011[[#This Row],[17 Score Total]]-Table6581011[[#This Row],[09 Score Total]]</f>
        <v>11</v>
      </c>
      <c r="H20" s="62">
        <f t="shared" si="0"/>
        <v>999.8</v>
      </c>
      <c r="I20" s="9">
        <v>9839</v>
      </c>
      <c r="J20" s="9">
        <v>9685</v>
      </c>
      <c r="K20" s="9">
        <v>9500</v>
      </c>
      <c r="L20" s="9">
        <v>9311</v>
      </c>
      <c r="M20" s="9">
        <v>9476</v>
      </c>
      <c r="N20" s="134">
        <f t="shared" si="1"/>
        <v>-363</v>
      </c>
      <c r="O20" s="134">
        <f>SUM(Table6581011[[#This Row],[09 Total PPF]:[PPF Change]])/5</f>
        <v>9489.6</v>
      </c>
      <c r="P20"/>
    </row>
    <row r="21" spans="1:16" x14ac:dyDescent="0.35">
      <c r="A21" s="61" t="s">
        <v>28</v>
      </c>
      <c r="B21" s="8">
        <v>976</v>
      </c>
      <c r="C21" s="8">
        <v>988</v>
      </c>
      <c r="D21" s="8">
        <v>999</v>
      </c>
      <c r="E21" s="8">
        <v>989</v>
      </c>
      <c r="F21" s="8">
        <v>992</v>
      </c>
      <c r="G21" s="158">
        <f>Table6581011[[#This Row],[17 Score Total]]-Table6581011[[#This Row],[09 Score Total]]</f>
        <v>16</v>
      </c>
      <c r="H21" s="62">
        <f t="shared" si="0"/>
        <v>988.8</v>
      </c>
      <c r="I21" s="9">
        <v>11745</v>
      </c>
      <c r="J21" s="9">
        <v>12370</v>
      </c>
      <c r="K21" s="9">
        <v>11761</v>
      </c>
      <c r="L21" s="9">
        <v>11884</v>
      </c>
      <c r="M21" s="9">
        <v>12855</v>
      </c>
      <c r="N21" s="134">
        <f t="shared" si="1"/>
        <v>1110</v>
      </c>
      <c r="O21" s="134">
        <f>SUM(Table6581011[[#This Row],[09 Total PPF]:[PPF Change]])/5</f>
        <v>12345</v>
      </c>
      <c r="P21"/>
    </row>
    <row r="22" spans="1:16" x14ac:dyDescent="0.35">
      <c r="A22" s="2" t="s">
        <v>29</v>
      </c>
      <c r="B22" s="8">
        <v>1014</v>
      </c>
      <c r="C22" s="8">
        <v>1016</v>
      </c>
      <c r="D22" s="8">
        <v>1016</v>
      </c>
      <c r="E22" s="8">
        <v>1014</v>
      </c>
      <c r="F22" s="8">
        <v>1017</v>
      </c>
      <c r="G22" s="158">
        <f>Table6581011[[#This Row],[17 Score Total]]-Table6581011[[#This Row],[09 Score Total]]</f>
        <v>3</v>
      </c>
      <c r="H22" s="62">
        <f t="shared" si="0"/>
        <v>1015.4</v>
      </c>
      <c r="I22" s="9">
        <v>7074</v>
      </c>
      <c r="J22" s="9">
        <v>7194</v>
      </c>
      <c r="K22" s="9">
        <v>7132</v>
      </c>
      <c r="L22" s="9">
        <v>6810</v>
      </c>
      <c r="M22" s="9">
        <v>6899</v>
      </c>
      <c r="N22" s="134">
        <f t="shared" si="1"/>
        <v>-175</v>
      </c>
      <c r="O22" s="134">
        <f>SUM(Table6581011[[#This Row],[09 Total PPF]:[PPF Change]])/5</f>
        <v>6986.8</v>
      </c>
      <c r="P22"/>
    </row>
    <row r="23" spans="1:16" x14ac:dyDescent="0.35">
      <c r="A23" s="2" t="s">
        <v>31</v>
      </c>
      <c r="B23" s="8">
        <v>1004</v>
      </c>
      <c r="C23" s="8">
        <v>1007</v>
      </c>
      <c r="D23" s="8">
        <v>1010</v>
      </c>
      <c r="E23" s="8">
        <v>1008</v>
      </c>
      <c r="F23" s="8">
        <v>1007</v>
      </c>
      <c r="G23" s="158">
        <f>Table6581011[[#This Row],[17 Score Total]]-Table6581011[[#This Row],[09 Score Total]]</f>
        <v>3</v>
      </c>
      <c r="H23" s="62">
        <f t="shared" si="0"/>
        <v>1007.2</v>
      </c>
      <c r="I23" s="9">
        <v>10326</v>
      </c>
      <c r="J23" s="9">
        <v>11120</v>
      </c>
      <c r="K23" s="9">
        <v>11663</v>
      </c>
      <c r="L23" s="9">
        <v>11671</v>
      </c>
      <c r="M23" s="9">
        <v>13935</v>
      </c>
      <c r="N23" s="134">
        <f t="shared" si="1"/>
        <v>3609</v>
      </c>
      <c r="O23" s="134">
        <f>SUM(Table6581011[[#This Row],[09 Total PPF]:[PPF Change]])/5</f>
        <v>12464.8</v>
      </c>
      <c r="P23"/>
    </row>
    <row r="24" spans="1:16" x14ac:dyDescent="0.35">
      <c r="A24" s="2" t="s">
        <v>30</v>
      </c>
      <c r="B24" s="8">
        <v>1019</v>
      </c>
      <c r="C24" s="8">
        <v>1015</v>
      </c>
      <c r="D24" s="8">
        <v>1029</v>
      </c>
      <c r="E24" s="8">
        <v>1030</v>
      </c>
      <c r="F24" s="8">
        <v>1033</v>
      </c>
      <c r="G24" s="158">
        <f>Table6581011[[#This Row],[17 Score Total]]-Table6581011[[#This Row],[09 Score Total]]</f>
        <v>14</v>
      </c>
      <c r="H24" s="62">
        <f t="shared" si="0"/>
        <v>1025.2</v>
      </c>
      <c r="I24" s="9">
        <v>8874</v>
      </c>
      <c r="J24" s="9">
        <v>9248</v>
      </c>
      <c r="K24" s="9">
        <v>9483</v>
      </c>
      <c r="L24" s="9">
        <v>9256</v>
      </c>
      <c r="M24" s="9">
        <v>9529</v>
      </c>
      <c r="N24" s="134">
        <f t="shared" si="1"/>
        <v>655</v>
      </c>
      <c r="O24" s="134">
        <f>SUM(Table6581011[[#This Row],[09 Total PPF]:[PPF Change]])/5</f>
        <v>9409</v>
      </c>
      <c r="P24"/>
    </row>
    <row r="25" spans="1:16" x14ac:dyDescent="0.35">
      <c r="A25" s="2" t="s">
        <v>32</v>
      </c>
      <c r="B25" s="8">
        <v>1013</v>
      </c>
      <c r="C25" s="8">
        <v>1014</v>
      </c>
      <c r="D25" s="8">
        <v>1024</v>
      </c>
      <c r="E25" s="8">
        <v>1021</v>
      </c>
      <c r="F25" s="8">
        <v>1019</v>
      </c>
      <c r="G25" s="158">
        <f>Table6581011[[#This Row],[17 Score Total]]-Table6581011[[#This Row],[09 Score Total]]</f>
        <v>6</v>
      </c>
      <c r="H25" s="62">
        <f t="shared" si="0"/>
        <v>1018.2</v>
      </c>
      <c r="I25" s="9">
        <v>9346</v>
      </c>
      <c r="J25" s="9">
        <v>10010</v>
      </c>
      <c r="K25" s="9">
        <v>9833</v>
      </c>
      <c r="L25" s="9">
        <v>9872</v>
      </c>
      <c r="M25" s="9">
        <v>10938</v>
      </c>
      <c r="N25" s="134">
        <f t="shared" si="1"/>
        <v>1592</v>
      </c>
      <c r="O25" s="134">
        <f>SUM(Table6581011[[#This Row],[09 Total PPF]:[PPF Change]])/5</f>
        <v>10318.200000000001</v>
      </c>
      <c r="P25"/>
    </row>
    <row r="26" spans="1:16" x14ac:dyDescent="0.35">
      <c r="A26" s="2" t="s">
        <v>33</v>
      </c>
      <c r="B26" s="8">
        <v>1025</v>
      </c>
      <c r="C26" s="8">
        <v>1027</v>
      </c>
      <c r="D26" s="8">
        <v>1026</v>
      </c>
      <c r="E26" s="8">
        <v>1013</v>
      </c>
      <c r="F26" s="8">
        <v>1016</v>
      </c>
      <c r="G26" s="158">
        <f>Table6581011[[#This Row],[17 Score Total]]-Table6581011[[#This Row],[09 Score Total]]</f>
        <v>-9</v>
      </c>
      <c r="H26" s="62">
        <f t="shared" si="0"/>
        <v>1021.4</v>
      </c>
      <c r="I26" s="9">
        <v>9857</v>
      </c>
      <c r="J26" s="9">
        <v>10261</v>
      </c>
      <c r="K26" s="9">
        <v>10044</v>
      </c>
      <c r="L26" s="9">
        <v>9992</v>
      </c>
      <c r="M26" s="9">
        <v>10329</v>
      </c>
      <c r="N26" s="134">
        <f t="shared" si="1"/>
        <v>472</v>
      </c>
      <c r="O26" s="134">
        <f>SUM(Table6581011[[#This Row],[09 Total PPF]:[PPF Change]])/5</f>
        <v>10191</v>
      </c>
      <c r="P26"/>
    </row>
    <row r="27" spans="1:16" x14ac:dyDescent="0.35">
      <c r="A27" s="2" t="s">
        <v>34</v>
      </c>
      <c r="B27" s="8">
        <v>1011</v>
      </c>
      <c r="C27" s="8">
        <v>1017</v>
      </c>
      <c r="D27" s="8">
        <v>1016</v>
      </c>
      <c r="E27" s="8">
        <v>1016</v>
      </c>
      <c r="F27" s="8">
        <v>1006</v>
      </c>
      <c r="G27" s="158">
        <f>Table6581011[[#This Row],[17 Score Total]]-Table6581011[[#This Row],[09 Score Total]]</f>
        <v>-5</v>
      </c>
      <c r="H27" s="62">
        <f t="shared" si="0"/>
        <v>1013.2</v>
      </c>
      <c r="I27" s="9">
        <v>8522</v>
      </c>
      <c r="J27" s="9">
        <v>8836</v>
      </c>
      <c r="K27" s="9">
        <v>9091</v>
      </c>
      <c r="L27" s="9">
        <v>9133</v>
      </c>
      <c r="M27" s="9">
        <v>9560</v>
      </c>
      <c r="N27" s="134">
        <f t="shared" si="1"/>
        <v>1038</v>
      </c>
      <c r="O27" s="134">
        <f>SUM(Table6581011[[#This Row],[09 Total PPF]:[PPF Change]])/5</f>
        <v>9236</v>
      </c>
      <c r="P27"/>
    </row>
    <row r="28" spans="1:16" x14ac:dyDescent="0.35">
      <c r="A28" s="2" t="s">
        <v>35</v>
      </c>
      <c r="B28" s="8">
        <v>961</v>
      </c>
      <c r="C28" s="8">
        <v>969</v>
      </c>
      <c r="D28" s="8">
        <v>971</v>
      </c>
      <c r="E28" s="8">
        <v>973</v>
      </c>
      <c r="F28" s="8">
        <v>965</v>
      </c>
      <c r="G28" s="158">
        <f>Table6581011[[#This Row],[17 Score Total]]-Table6581011[[#This Row],[09 Score Total]]</f>
        <v>4</v>
      </c>
      <c r="H28" s="62">
        <f t="shared" si="0"/>
        <v>967.8</v>
      </c>
      <c r="I28" s="9">
        <v>10082</v>
      </c>
      <c r="J28" s="9">
        <v>10684</v>
      </c>
      <c r="K28" s="9">
        <v>10795</v>
      </c>
      <c r="L28" s="9">
        <v>10887</v>
      </c>
      <c r="M28" s="9">
        <v>11106</v>
      </c>
      <c r="N28" s="134">
        <f t="shared" si="1"/>
        <v>1024</v>
      </c>
      <c r="O28" s="134">
        <f>SUM(Table6581011[[#This Row],[09 Total PPF]:[PPF Change]])/5</f>
        <v>10915.6</v>
      </c>
      <c r="P28"/>
    </row>
    <row r="29" spans="1:16" x14ac:dyDescent="0.35">
      <c r="A29" s="2" t="s">
        <v>36</v>
      </c>
      <c r="B29" s="8">
        <v>1022</v>
      </c>
      <c r="C29" s="8">
        <v>1025</v>
      </c>
      <c r="D29" s="8">
        <v>1029</v>
      </c>
      <c r="E29" s="8">
        <v>1019</v>
      </c>
      <c r="F29" s="8">
        <v>1014</v>
      </c>
      <c r="G29" s="158">
        <f>Table6581011[[#This Row],[17 Score Total]]-Table6581011[[#This Row],[09 Score Total]]</f>
        <v>-8</v>
      </c>
      <c r="H29" s="62">
        <f t="shared" si="0"/>
        <v>1021.8</v>
      </c>
      <c r="I29" s="9">
        <v>11898</v>
      </c>
      <c r="J29" s="9">
        <v>11977</v>
      </c>
      <c r="K29" s="9">
        <v>12212</v>
      </c>
      <c r="L29" s="9">
        <v>12566</v>
      </c>
      <c r="M29" s="9">
        <v>13976</v>
      </c>
      <c r="N29" s="134">
        <f t="shared" si="1"/>
        <v>2078</v>
      </c>
      <c r="O29" s="134">
        <f>SUM(Table6581011[[#This Row],[09 Total PPF]:[PPF Change]])/5</f>
        <v>12941.4</v>
      </c>
      <c r="P29"/>
    </row>
    <row r="30" spans="1:16" x14ac:dyDescent="0.35">
      <c r="A30" s="2" t="s">
        <v>37</v>
      </c>
      <c r="B30" s="8">
        <v>1025</v>
      </c>
      <c r="C30" s="8">
        <v>1037</v>
      </c>
      <c r="D30" s="8">
        <v>1038</v>
      </c>
      <c r="E30" s="8">
        <v>1013</v>
      </c>
      <c r="F30" s="8">
        <v>1014</v>
      </c>
      <c r="G30" s="158">
        <f>Table6581011[[#This Row],[17 Score Total]]-Table6581011[[#This Row],[09 Score Total]]</f>
        <v>-11</v>
      </c>
      <c r="H30" s="62">
        <f t="shared" si="0"/>
        <v>1025.4000000000001</v>
      </c>
      <c r="I30" s="9">
        <v>13142</v>
      </c>
      <c r="J30" s="9">
        <v>13706</v>
      </c>
      <c r="K30" s="9">
        <v>14082</v>
      </c>
      <c r="L30" s="9">
        <v>14186</v>
      </c>
      <c r="M30" s="9">
        <v>14431</v>
      </c>
      <c r="N30" s="134">
        <f t="shared" si="1"/>
        <v>1289</v>
      </c>
      <c r="O30" s="134">
        <f>SUM(Table6581011[[#This Row],[09 Total PPF]:[PPF Change]])/5</f>
        <v>14167.2</v>
      </c>
      <c r="P30"/>
    </row>
    <row r="31" spans="1:16" x14ac:dyDescent="0.35">
      <c r="A31" s="61" t="s">
        <v>38</v>
      </c>
      <c r="B31" s="8">
        <v>1059</v>
      </c>
      <c r="C31" s="8">
        <v>1064</v>
      </c>
      <c r="D31" s="8">
        <v>1063</v>
      </c>
      <c r="E31" s="8">
        <v>1057</v>
      </c>
      <c r="F31" s="8">
        <v>1060</v>
      </c>
      <c r="G31" s="158">
        <f>Table6581011[[#This Row],[17 Score Total]]-Table6581011[[#This Row],[09 Score Total]]</f>
        <v>1</v>
      </c>
      <c r="H31" s="62">
        <f t="shared" si="0"/>
        <v>1060.5999999999999</v>
      </c>
      <c r="I31" s="9">
        <v>13586</v>
      </c>
      <c r="J31" s="9">
        <v>14478</v>
      </c>
      <c r="K31" s="9">
        <v>14670</v>
      </c>
      <c r="L31" s="9">
        <v>14262</v>
      </c>
      <c r="M31" s="9">
        <v>16566</v>
      </c>
      <c r="N31" s="134">
        <f t="shared" si="1"/>
        <v>2980</v>
      </c>
      <c r="O31" s="134">
        <f>SUM(Table6581011[[#This Row],[09 Total PPF]:[PPF Change]])/5</f>
        <v>15308.4</v>
      </c>
      <c r="P31"/>
    </row>
    <row r="32" spans="1:16" x14ac:dyDescent="0.35">
      <c r="A32" s="2" t="s">
        <v>39</v>
      </c>
      <c r="B32" s="8">
        <v>994</v>
      </c>
      <c r="C32" s="8">
        <v>1000</v>
      </c>
      <c r="D32" s="8">
        <v>1000</v>
      </c>
      <c r="E32" s="8">
        <v>994</v>
      </c>
      <c r="F32" s="8">
        <v>999</v>
      </c>
      <c r="G32" s="158">
        <f>Table6581011[[#This Row],[17 Score Total]]-Table6581011[[#This Row],[09 Score Total]]</f>
        <v>5</v>
      </c>
      <c r="H32" s="62">
        <f t="shared" si="0"/>
        <v>997.4</v>
      </c>
      <c r="I32" s="9">
        <v>9945</v>
      </c>
      <c r="J32" s="9">
        <v>10171</v>
      </c>
      <c r="K32" s="9">
        <v>10378</v>
      </c>
      <c r="L32" s="9">
        <v>10179</v>
      </c>
      <c r="M32" s="9">
        <v>10956</v>
      </c>
      <c r="N32" s="134">
        <f t="shared" si="1"/>
        <v>1011</v>
      </c>
      <c r="O32" s="134">
        <f>SUM(Table6581011[[#This Row],[09 Total PPF]:[PPF Change]])/5</f>
        <v>10528</v>
      </c>
      <c r="P32"/>
    </row>
    <row r="33" spans="1:16" x14ac:dyDescent="0.35">
      <c r="A33" s="61" t="s">
        <v>40</v>
      </c>
      <c r="B33" s="8">
        <v>1036</v>
      </c>
      <c r="C33" s="8">
        <v>1036</v>
      </c>
      <c r="D33" s="8">
        <v>1046</v>
      </c>
      <c r="E33" s="8">
        <v>1037</v>
      </c>
      <c r="F33" s="8">
        <v>1037</v>
      </c>
      <c r="G33" s="158">
        <f>Table6581011[[#This Row],[17 Score Total]]-Table6581011[[#This Row],[09 Score Total]]</f>
        <v>1</v>
      </c>
      <c r="H33" s="62">
        <f t="shared" si="0"/>
        <v>1038.4000000000001</v>
      </c>
      <c r="I33" s="63">
        <v>10012</v>
      </c>
      <c r="J33" s="63">
        <v>11067</v>
      </c>
      <c r="K33" s="63">
        <v>10677</v>
      </c>
      <c r="L33" s="63">
        <v>10686</v>
      </c>
      <c r="M33" s="63">
        <v>11924</v>
      </c>
      <c r="N33" s="135">
        <f t="shared" si="1"/>
        <v>1912</v>
      </c>
      <c r="O33" s="135">
        <f>SUM(Table6581011[[#This Row],[09 Total PPF]:[PPF Change]])/5</f>
        <v>11255.6</v>
      </c>
      <c r="P33"/>
    </row>
    <row r="34" spans="1:16" x14ac:dyDescent="0.35">
      <c r="A34" s="2" t="s">
        <v>41</v>
      </c>
      <c r="B34" s="8">
        <v>954</v>
      </c>
      <c r="C34" s="8">
        <v>962</v>
      </c>
      <c r="D34" s="8">
        <v>964</v>
      </c>
      <c r="E34" s="8">
        <v>971</v>
      </c>
      <c r="F34" s="8">
        <v>977</v>
      </c>
      <c r="G34" s="158">
        <f>Table6581011[[#This Row],[17 Score Total]]-Table6581011[[#This Row],[09 Score Total]]</f>
        <v>23</v>
      </c>
      <c r="H34" s="62">
        <f t="shared" si="0"/>
        <v>965.6</v>
      </c>
      <c r="I34" s="9">
        <v>7875</v>
      </c>
      <c r="J34" s="9">
        <v>8028</v>
      </c>
      <c r="K34" s="9">
        <v>8112</v>
      </c>
      <c r="L34" s="9">
        <v>7894</v>
      </c>
      <c r="M34" s="9">
        <v>8445</v>
      </c>
      <c r="N34" s="134">
        <f t="shared" si="1"/>
        <v>570</v>
      </c>
      <c r="O34" s="134">
        <f>SUM(Table6581011[[#This Row],[09 Total PPF]:[PPF Change]])/5</f>
        <v>8184.8</v>
      </c>
      <c r="P34"/>
    </row>
    <row r="35" spans="1:16" x14ac:dyDescent="0.35">
      <c r="A35" s="2" t="s">
        <v>42</v>
      </c>
      <c r="B35" s="8">
        <v>1018</v>
      </c>
      <c r="C35" s="8">
        <v>1009</v>
      </c>
      <c r="D35" s="8">
        <v>1012</v>
      </c>
      <c r="E35" s="8">
        <v>1010</v>
      </c>
      <c r="F35" s="8">
        <v>1010</v>
      </c>
      <c r="G35" s="158">
        <f>Table6581011[[#This Row],[17 Score Total]]-Table6581011[[#This Row],[09 Score Total]]</f>
        <v>-8</v>
      </c>
      <c r="H35" s="62">
        <f t="shared" si="0"/>
        <v>1011.8</v>
      </c>
      <c r="I35" s="9">
        <v>9480</v>
      </c>
      <c r="J35" s="9">
        <v>9868</v>
      </c>
      <c r="K35" s="9">
        <v>9721</v>
      </c>
      <c r="L35" s="9">
        <v>9468</v>
      </c>
      <c r="M35" s="9">
        <v>10231</v>
      </c>
      <c r="N35" s="134">
        <f t="shared" si="1"/>
        <v>751</v>
      </c>
      <c r="O35" s="134">
        <f>SUM(Table6581011[[#This Row],[09 Total PPF]:[PPF Change]])/5</f>
        <v>9903.7999999999993</v>
      </c>
      <c r="P35"/>
    </row>
    <row r="36" spans="1:16" x14ac:dyDescent="0.35">
      <c r="A36" s="2" t="s">
        <v>43</v>
      </c>
      <c r="B36" s="8">
        <v>1031</v>
      </c>
      <c r="C36" s="8">
        <v>1035</v>
      </c>
      <c r="D36" s="8">
        <v>1028</v>
      </c>
      <c r="E36" s="8">
        <v>1023</v>
      </c>
      <c r="F36" s="8">
        <v>1016</v>
      </c>
      <c r="G36" s="158">
        <f>Table6581011[[#This Row],[17 Score Total]]-Table6581011[[#This Row],[09 Score Total]]</f>
        <v>-15</v>
      </c>
      <c r="H36" s="62">
        <f t="shared" si="0"/>
        <v>1026.5999999999999</v>
      </c>
      <c r="I36" s="9">
        <v>9695</v>
      </c>
      <c r="J36" s="9">
        <v>10092</v>
      </c>
      <c r="K36" s="9">
        <v>10558</v>
      </c>
      <c r="L36" s="9">
        <v>10710</v>
      </c>
      <c r="M36" s="9">
        <v>11078</v>
      </c>
      <c r="N36" s="134">
        <f t="shared" si="1"/>
        <v>1383</v>
      </c>
      <c r="O36" s="134">
        <f>SUM(Table6581011[[#This Row],[09 Total PPF]:[PPF Change]])/5</f>
        <v>10703.2</v>
      </c>
      <c r="P36"/>
    </row>
    <row r="37" spans="1:16" x14ac:dyDescent="0.35">
      <c r="A37" s="2" t="s">
        <v>44</v>
      </c>
      <c r="B37" s="8">
        <v>1013</v>
      </c>
      <c r="C37" s="8">
        <v>1014</v>
      </c>
      <c r="D37" s="8">
        <v>1020</v>
      </c>
      <c r="E37" s="8">
        <v>1026</v>
      </c>
      <c r="F37" s="8">
        <v>1027</v>
      </c>
      <c r="G37" s="158">
        <f>Table6581011[[#This Row],[17 Score Total]]-Table6581011[[#This Row],[09 Score Total]]</f>
        <v>14</v>
      </c>
      <c r="H37" s="62">
        <f t="shared" si="0"/>
        <v>1020</v>
      </c>
      <c r="I37" s="9">
        <v>10583</v>
      </c>
      <c r="J37" s="9">
        <v>10860</v>
      </c>
      <c r="K37" s="9">
        <v>11536</v>
      </c>
      <c r="L37" s="9">
        <v>11638</v>
      </c>
      <c r="M37" s="9">
        <v>12174</v>
      </c>
      <c r="N37" s="134">
        <f t="shared" si="1"/>
        <v>1591</v>
      </c>
      <c r="O37" s="134">
        <f>SUM(Table6581011[[#This Row],[09 Total PPF]:[PPF Change]])/5</f>
        <v>11676.4</v>
      </c>
      <c r="P37"/>
    </row>
    <row r="38" spans="1:16" x14ac:dyDescent="0.35">
      <c r="A38" s="2" t="s">
        <v>45</v>
      </c>
      <c r="B38" s="8">
        <v>974</v>
      </c>
      <c r="C38" s="8">
        <v>986</v>
      </c>
      <c r="D38" s="8">
        <v>990</v>
      </c>
      <c r="E38" s="8">
        <v>982</v>
      </c>
      <c r="F38" s="8">
        <v>982</v>
      </c>
      <c r="G38" s="158">
        <f>Table6581011[[#This Row],[17 Score Total]]-Table6581011[[#This Row],[09 Score Total]]</f>
        <v>8</v>
      </c>
      <c r="H38" s="62">
        <f t="shared" si="0"/>
        <v>982.8</v>
      </c>
      <c r="I38" s="9">
        <v>8285</v>
      </c>
      <c r="J38" s="9">
        <v>8398</v>
      </c>
      <c r="K38" s="9">
        <v>8290</v>
      </c>
      <c r="L38" s="9">
        <v>8572</v>
      </c>
      <c r="M38" s="9">
        <v>8451</v>
      </c>
      <c r="N38" s="134">
        <f t="shared" si="1"/>
        <v>166</v>
      </c>
      <c r="O38" s="134">
        <f>SUM(Table6581011[[#This Row],[09 Total PPF]:[PPF Change]])/5</f>
        <v>8432.4</v>
      </c>
      <c r="P38"/>
    </row>
    <row r="39" spans="1:16" x14ac:dyDescent="0.35">
      <c r="A39" s="2" t="s">
        <v>46</v>
      </c>
      <c r="B39" s="8">
        <v>1043</v>
      </c>
      <c r="C39" s="8">
        <v>1046</v>
      </c>
      <c r="D39" s="8">
        <v>1055</v>
      </c>
      <c r="E39" s="8">
        <v>1050</v>
      </c>
      <c r="F39" s="8">
        <v>1042</v>
      </c>
      <c r="G39" s="158">
        <f>Table6581011[[#This Row],[17 Score Total]]-Table6581011[[#This Row],[09 Score Total]]</f>
        <v>-1</v>
      </c>
      <c r="H39" s="62">
        <f t="shared" si="0"/>
        <v>1047.2</v>
      </c>
      <c r="I39" s="9">
        <v>11787</v>
      </c>
      <c r="J39" s="9">
        <v>12405</v>
      </c>
      <c r="K39" s="9">
        <v>13019</v>
      </c>
      <c r="L39" s="9">
        <v>13380</v>
      </c>
      <c r="M39" s="9">
        <v>14969</v>
      </c>
      <c r="N39" s="134">
        <f t="shared" si="1"/>
        <v>3182</v>
      </c>
      <c r="O39" s="134">
        <f>SUM(Table6581011[[#This Row],[09 Total PPF]:[PPF Change]])/5</f>
        <v>13748.4</v>
      </c>
      <c r="P39"/>
    </row>
    <row r="40" spans="1:16" x14ac:dyDescent="0.35">
      <c r="A40" s="2" t="s">
        <v>47</v>
      </c>
      <c r="B40" s="8">
        <v>1042</v>
      </c>
      <c r="C40" s="8">
        <v>1048</v>
      </c>
      <c r="D40" s="8">
        <v>1048</v>
      </c>
      <c r="E40" s="8">
        <v>1038</v>
      </c>
      <c r="F40" s="8">
        <v>1048</v>
      </c>
      <c r="G40" s="158">
        <f>Table6581011[[#This Row],[17 Score Total]]-Table6581011[[#This Row],[09 Score Total]]</f>
        <v>6</v>
      </c>
      <c r="H40" s="62">
        <f t="shared" si="0"/>
        <v>1044.8</v>
      </c>
      <c r="I40" s="9">
        <v>17537</v>
      </c>
      <c r="J40" s="9">
        <v>17064</v>
      </c>
      <c r="K40" s="9">
        <v>17562</v>
      </c>
      <c r="L40" s="9">
        <v>16933</v>
      </c>
      <c r="M40" s="9">
        <v>18838</v>
      </c>
      <c r="N40" s="134">
        <f t="shared" si="1"/>
        <v>1301</v>
      </c>
      <c r="O40" s="134">
        <f>SUM(Table6581011[[#This Row],[09 Total PPF]:[PPF Change]])/5</f>
        <v>17847</v>
      </c>
      <c r="P40"/>
    </row>
    <row r="41" spans="1:16" x14ac:dyDescent="0.35">
      <c r="A41" s="2" t="s">
        <v>48</v>
      </c>
      <c r="B41" s="8">
        <v>962</v>
      </c>
      <c r="C41" s="8">
        <v>971</v>
      </c>
      <c r="D41" s="8">
        <v>968</v>
      </c>
      <c r="E41" s="8">
        <v>962</v>
      </c>
      <c r="F41" s="8">
        <v>963</v>
      </c>
      <c r="G41" s="158">
        <f>Table6581011[[#This Row],[17 Score Total]]-Table6581011[[#This Row],[09 Score Total]]</f>
        <v>1</v>
      </c>
      <c r="H41" s="62">
        <f t="shared" si="0"/>
        <v>965.2</v>
      </c>
      <c r="I41" s="9">
        <v>9314</v>
      </c>
      <c r="J41" s="9">
        <v>9683</v>
      </c>
      <c r="K41" s="9">
        <v>9742</v>
      </c>
      <c r="L41" s="9">
        <v>9351</v>
      </c>
      <c r="M41" s="9">
        <v>9724</v>
      </c>
      <c r="N41" s="134">
        <f t="shared" si="1"/>
        <v>410</v>
      </c>
      <c r="O41" s="134">
        <f>SUM(Table6581011[[#This Row],[09 Total PPF]:[PPF Change]])/5</f>
        <v>9644.7999999999993</v>
      </c>
      <c r="P41"/>
    </row>
    <row r="42" spans="1:16" x14ac:dyDescent="0.35">
      <c r="A42" s="61" t="s">
        <v>49</v>
      </c>
      <c r="B42" s="8">
        <v>1012</v>
      </c>
      <c r="C42" s="8">
        <v>1006</v>
      </c>
      <c r="D42" s="8">
        <v>1012</v>
      </c>
      <c r="E42" s="8">
        <v>1003</v>
      </c>
      <c r="F42" s="8">
        <v>1004</v>
      </c>
      <c r="G42" s="158">
        <f>Table6581011[[#This Row],[17 Score Total]]-Table6581011[[#This Row],[09 Score Total]]</f>
        <v>-8</v>
      </c>
      <c r="H42" s="62">
        <f t="shared" ref="H42:H60" si="2">SUM(B42:F42)/5</f>
        <v>1007.4</v>
      </c>
      <c r="I42" s="63">
        <v>16529</v>
      </c>
      <c r="J42" s="63">
        <v>17586</v>
      </c>
      <c r="K42" s="63">
        <v>18335</v>
      </c>
      <c r="L42" s="63">
        <v>18621</v>
      </c>
      <c r="M42" s="63">
        <v>20744</v>
      </c>
      <c r="N42" s="135">
        <f t="shared" ref="N42:N60" si="3">M42-I42</f>
        <v>4215</v>
      </c>
      <c r="O42" s="135">
        <f>SUM(Table6581011[[#This Row],[09 Total PPF]:[PPF Change]])/5</f>
        <v>19206</v>
      </c>
      <c r="P42"/>
    </row>
    <row r="43" spans="1:16" x14ac:dyDescent="0.35">
      <c r="A43" s="2" t="s">
        <v>50</v>
      </c>
      <c r="B43" s="8">
        <v>1007</v>
      </c>
      <c r="C43" s="8">
        <v>1015</v>
      </c>
      <c r="D43" s="8">
        <v>1018</v>
      </c>
      <c r="E43" s="8">
        <v>1012</v>
      </c>
      <c r="F43" s="8">
        <v>1010</v>
      </c>
      <c r="G43" s="158">
        <f>Table6581011[[#This Row],[17 Score Total]]-Table6581011[[#This Row],[09 Score Total]]</f>
        <v>3</v>
      </c>
      <c r="H43" s="62">
        <f t="shared" si="2"/>
        <v>1012.4</v>
      </c>
      <c r="I43" s="9">
        <v>8041</v>
      </c>
      <c r="J43" s="9">
        <v>8468</v>
      </c>
      <c r="K43" s="9">
        <v>8195</v>
      </c>
      <c r="L43" s="9">
        <v>8306</v>
      </c>
      <c r="M43" s="9">
        <v>8529</v>
      </c>
      <c r="N43" s="134">
        <f t="shared" si="3"/>
        <v>488</v>
      </c>
      <c r="O43" s="134">
        <f>SUM(Table6581011[[#This Row],[09 Total PPF]:[PPF Change]])/5</f>
        <v>8405.4</v>
      </c>
      <c r="P43"/>
    </row>
    <row r="44" spans="1:16" x14ac:dyDescent="0.35">
      <c r="A44" s="2" t="s">
        <v>51</v>
      </c>
      <c r="B44" s="8">
        <v>1033</v>
      </c>
      <c r="C44" s="8">
        <v>1032</v>
      </c>
      <c r="D44" s="8">
        <v>1029</v>
      </c>
      <c r="E44" s="8">
        <v>1025</v>
      </c>
      <c r="F44" s="8">
        <v>1019</v>
      </c>
      <c r="G44" s="158">
        <f>Table6581011[[#This Row],[17 Score Total]]-Table6581011[[#This Row],[09 Score Total]]</f>
        <v>-14</v>
      </c>
      <c r="H44" s="62">
        <f t="shared" si="2"/>
        <v>1027.5999999999999</v>
      </c>
      <c r="I44" s="9">
        <v>9168</v>
      </c>
      <c r="J44" s="9">
        <v>9767</v>
      </c>
      <c r="K44" s="9">
        <v>10557</v>
      </c>
      <c r="L44" s="9">
        <v>11041</v>
      </c>
      <c r="M44" s="9">
        <v>12909</v>
      </c>
      <c r="N44" s="134">
        <f t="shared" si="3"/>
        <v>3741</v>
      </c>
      <c r="O44" s="134">
        <f>SUM(Table6581011[[#This Row],[09 Total PPF]:[PPF Change]])/5</f>
        <v>11436.6</v>
      </c>
      <c r="P44"/>
    </row>
    <row r="45" spans="1:16" x14ac:dyDescent="0.35">
      <c r="A45" s="2" t="s">
        <v>52</v>
      </c>
      <c r="B45" s="8">
        <v>1024</v>
      </c>
      <c r="C45" s="8">
        <v>1025</v>
      </c>
      <c r="D45" s="8">
        <v>1029</v>
      </c>
      <c r="E45" s="8">
        <v>1020</v>
      </c>
      <c r="F45" s="8">
        <v>1022</v>
      </c>
      <c r="G45" s="158">
        <f>Table6581011[[#This Row],[17 Score Total]]-Table6581011[[#This Row],[09 Score Total]]</f>
        <v>-2</v>
      </c>
      <c r="H45" s="62">
        <f t="shared" si="2"/>
        <v>1024</v>
      </c>
      <c r="I45" s="9">
        <v>10289</v>
      </c>
      <c r="J45" s="9">
        <v>10616</v>
      </c>
      <c r="K45" s="9">
        <v>10879</v>
      </c>
      <c r="L45" s="9">
        <v>11329</v>
      </c>
      <c r="M45" s="9">
        <v>11730</v>
      </c>
      <c r="N45" s="134">
        <f t="shared" si="3"/>
        <v>1441</v>
      </c>
      <c r="O45" s="134">
        <f>SUM(Table6581011[[#This Row],[09 Total PPF]:[PPF Change]])/5</f>
        <v>11256.8</v>
      </c>
      <c r="P45"/>
    </row>
    <row r="46" spans="1:16" x14ac:dyDescent="0.35">
      <c r="A46" s="61" t="s">
        <v>53</v>
      </c>
      <c r="B46" s="8">
        <v>989</v>
      </c>
      <c r="C46" s="8">
        <v>991</v>
      </c>
      <c r="D46" s="8">
        <v>994</v>
      </c>
      <c r="E46" s="8">
        <v>1000</v>
      </c>
      <c r="F46" s="8">
        <v>990</v>
      </c>
      <c r="G46" s="158">
        <f>Table6581011[[#This Row],[17 Score Total]]-Table6581011[[#This Row],[09 Score Total]]</f>
        <v>1</v>
      </c>
      <c r="H46" s="62">
        <f t="shared" si="2"/>
        <v>992.8</v>
      </c>
      <c r="I46" s="9">
        <v>7715</v>
      </c>
      <c r="J46" s="9">
        <v>7915</v>
      </c>
      <c r="K46" s="9">
        <v>8048</v>
      </c>
      <c r="L46" s="63">
        <v>7690</v>
      </c>
      <c r="M46" s="63">
        <v>8075</v>
      </c>
      <c r="N46" s="134">
        <f t="shared" si="3"/>
        <v>360</v>
      </c>
      <c r="O46" s="134">
        <f>SUM(Table6581011[[#This Row],[09 Total PPF]:[PPF Change]])/5</f>
        <v>7960.6</v>
      </c>
      <c r="P46"/>
    </row>
    <row r="47" spans="1:16" x14ac:dyDescent="0.35">
      <c r="A47" s="61" t="s">
        <v>54</v>
      </c>
      <c r="B47" s="8">
        <v>1006</v>
      </c>
      <c r="C47" s="8">
        <v>1000</v>
      </c>
      <c r="D47" s="8">
        <v>1011</v>
      </c>
      <c r="E47" s="8">
        <v>1009</v>
      </c>
      <c r="F47" s="8">
        <v>999</v>
      </c>
      <c r="G47" s="158">
        <f>Table6581011[[#This Row],[17 Score Total]]-Table6581011[[#This Row],[09 Score Total]]</f>
        <v>-7</v>
      </c>
      <c r="H47" s="62">
        <f t="shared" si="2"/>
        <v>1005</v>
      </c>
      <c r="I47" s="9">
        <v>9615</v>
      </c>
      <c r="J47" s="9">
        <v>9777</v>
      </c>
      <c r="K47" s="9">
        <v>9387</v>
      </c>
      <c r="L47" s="9">
        <v>9317</v>
      </c>
      <c r="M47" s="9">
        <v>10457</v>
      </c>
      <c r="N47" s="134">
        <f t="shared" si="3"/>
        <v>842</v>
      </c>
      <c r="O47" s="134">
        <f>SUM(Table6581011[[#This Row],[09 Total PPF]:[PPF Change]])/5</f>
        <v>9879</v>
      </c>
      <c r="P47"/>
    </row>
    <row r="48" spans="1:16" x14ac:dyDescent="0.35">
      <c r="A48" s="2" t="s">
        <v>55</v>
      </c>
      <c r="B48" s="8">
        <v>1027</v>
      </c>
      <c r="C48" s="8">
        <v>1027</v>
      </c>
      <c r="D48" s="8">
        <v>1032</v>
      </c>
      <c r="E48" s="8">
        <v>1023</v>
      </c>
      <c r="F48" s="8">
        <v>1023</v>
      </c>
      <c r="G48" s="158">
        <f>Table6581011[[#This Row],[17 Score Total]]-Table6581011[[#This Row],[09 Score Total]]</f>
        <v>-4</v>
      </c>
      <c r="H48" s="62">
        <f t="shared" si="2"/>
        <v>1026.4000000000001</v>
      </c>
      <c r="I48" s="9">
        <v>11307</v>
      </c>
      <c r="J48" s="9">
        <v>12115</v>
      </c>
      <c r="K48" s="9">
        <v>12807</v>
      </c>
      <c r="L48" s="9">
        <v>13149</v>
      </c>
      <c r="M48" s="9">
        <v>14405</v>
      </c>
      <c r="N48" s="134">
        <f t="shared" si="3"/>
        <v>3098</v>
      </c>
      <c r="O48" s="134">
        <f>SUM(Table6581011[[#This Row],[09 Total PPF]:[PPF Change]])/5</f>
        <v>13376.2</v>
      </c>
      <c r="P48"/>
    </row>
    <row r="49" spans="1:16" x14ac:dyDescent="0.35">
      <c r="A49" s="61" t="s">
        <v>56</v>
      </c>
      <c r="B49" s="8">
        <v>1000</v>
      </c>
      <c r="C49" s="8">
        <v>1012</v>
      </c>
      <c r="D49" s="8">
        <v>1015</v>
      </c>
      <c r="E49" s="8">
        <v>1009</v>
      </c>
      <c r="F49" s="8">
        <v>1004</v>
      </c>
      <c r="G49" s="158">
        <f>Table6581011[[#This Row],[17 Score Total]]-Table6581011[[#This Row],[09 Score Total]]</f>
        <v>4</v>
      </c>
      <c r="H49" s="62">
        <f t="shared" si="2"/>
        <v>1008</v>
      </c>
      <c r="I49" s="63">
        <v>14079</v>
      </c>
      <c r="J49" s="63">
        <v>14491</v>
      </c>
      <c r="K49" s="63">
        <v>14700</v>
      </c>
      <c r="L49" s="63">
        <v>14811</v>
      </c>
      <c r="M49" s="63">
        <v>15797</v>
      </c>
      <c r="N49" s="135">
        <f t="shared" si="3"/>
        <v>1718</v>
      </c>
      <c r="O49" s="135">
        <f>SUM(Table6581011[[#This Row],[09 Total PPF]:[PPF Change]])/5</f>
        <v>15119.2</v>
      </c>
      <c r="P49"/>
    </row>
    <row r="50" spans="1:16" x14ac:dyDescent="0.35">
      <c r="A50" s="2" t="s">
        <v>57</v>
      </c>
      <c r="B50" s="8">
        <v>989</v>
      </c>
      <c r="C50" s="8">
        <v>993</v>
      </c>
      <c r="D50" s="8">
        <v>992</v>
      </c>
      <c r="E50" s="8">
        <v>991</v>
      </c>
      <c r="F50" s="8">
        <v>982</v>
      </c>
      <c r="G50" s="158">
        <f>Table6581011[[#This Row],[17 Score Total]]-Table6581011[[#This Row],[09 Score Total]]</f>
        <v>-7</v>
      </c>
      <c r="H50" s="62">
        <f t="shared" si="2"/>
        <v>989.4</v>
      </c>
      <c r="I50" s="9">
        <v>9178</v>
      </c>
      <c r="J50" s="9">
        <v>9303</v>
      </c>
      <c r="K50" s="9">
        <v>9143</v>
      </c>
      <c r="L50" s="9">
        <v>8935</v>
      </c>
      <c r="M50" s="9">
        <v>9831</v>
      </c>
      <c r="N50" s="134">
        <f t="shared" si="3"/>
        <v>653</v>
      </c>
      <c r="O50" s="134">
        <f>SUM(Table6581011[[#This Row],[09 Total PPF]:[PPF Change]])/5</f>
        <v>9408.6</v>
      </c>
      <c r="P50"/>
    </row>
    <row r="51" spans="1:16" x14ac:dyDescent="0.35">
      <c r="A51" s="2" t="s">
        <v>58</v>
      </c>
      <c r="B51" s="8">
        <v>1025</v>
      </c>
      <c r="C51" s="8">
        <v>1021</v>
      </c>
      <c r="D51" s="8">
        <v>1014</v>
      </c>
      <c r="E51" s="8">
        <v>1012</v>
      </c>
      <c r="F51" s="8">
        <v>1017</v>
      </c>
      <c r="G51" s="158">
        <f>Table6581011[[#This Row],[17 Score Total]]-Table6581011[[#This Row],[09 Score Total]]</f>
        <v>-8</v>
      </c>
      <c r="H51" s="62">
        <f t="shared" si="2"/>
        <v>1017.8</v>
      </c>
      <c r="I51" s="9">
        <v>8566</v>
      </c>
      <c r="J51" s="9">
        <v>8881</v>
      </c>
      <c r="K51" s="9">
        <v>8825</v>
      </c>
      <c r="L51" s="9">
        <v>9105</v>
      </c>
      <c r="M51" s="9">
        <v>9103</v>
      </c>
      <c r="N51" s="134">
        <f t="shared" si="3"/>
        <v>537</v>
      </c>
      <c r="O51" s="134">
        <f>SUM(Table6581011[[#This Row],[09 Total PPF]:[PPF Change]])/5</f>
        <v>9003.4</v>
      </c>
      <c r="P51"/>
    </row>
    <row r="52" spans="1:16" x14ac:dyDescent="0.35">
      <c r="A52" s="2" t="s">
        <v>59</v>
      </c>
      <c r="B52" s="8">
        <v>985</v>
      </c>
      <c r="C52" s="8">
        <v>981</v>
      </c>
      <c r="D52" s="8">
        <v>1003</v>
      </c>
      <c r="E52" s="8">
        <v>1003</v>
      </c>
      <c r="F52" s="8">
        <v>997</v>
      </c>
      <c r="G52" s="158">
        <f>Table6581011[[#This Row],[17 Score Total]]-Table6581011[[#This Row],[09 Score Total]]</f>
        <v>12</v>
      </c>
      <c r="H52" s="62">
        <f t="shared" si="2"/>
        <v>993.8</v>
      </c>
      <c r="I52" s="9">
        <v>7707</v>
      </c>
      <c r="J52" s="9">
        <v>8055</v>
      </c>
      <c r="K52" s="9">
        <v>8122</v>
      </c>
      <c r="L52" s="9">
        <v>8614</v>
      </c>
      <c r="M52" s="9">
        <v>8759</v>
      </c>
      <c r="N52" s="134">
        <f t="shared" si="3"/>
        <v>1052</v>
      </c>
      <c r="O52" s="134">
        <f>SUM(Table6581011[[#This Row],[09 Total PPF]:[PPF Change]])/5</f>
        <v>8461.7999999999993</v>
      </c>
      <c r="P52"/>
    </row>
    <row r="53" spans="1:16" x14ac:dyDescent="0.35">
      <c r="A53" s="2" t="s">
        <v>60</v>
      </c>
      <c r="B53" s="8">
        <v>1006</v>
      </c>
      <c r="C53" s="8">
        <v>1010</v>
      </c>
      <c r="D53" s="8">
        <v>1011</v>
      </c>
      <c r="E53" s="8">
        <v>1007</v>
      </c>
      <c r="F53" s="8">
        <v>998</v>
      </c>
      <c r="G53" s="158">
        <f>Table6581011[[#This Row],[17 Score Total]]-Table6581011[[#This Row],[09 Score Total]]</f>
        <v>-8</v>
      </c>
      <c r="H53" s="62">
        <f t="shared" si="2"/>
        <v>1006.4</v>
      </c>
      <c r="I53" s="9">
        <v>8486</v>
      </c>
      <c r="J53" s="9">
        <v>8703</v>
      </c>
      <c r="K53" s="9">
        <v>8968</v>
      </c>
      <c r="L53" s="9">
        <v>8837</v>
      </c>
      <c r="M53" s="9">
        <v>9081</v>
      </c>
      <c r="N53" s="134">
        <f t="shared" si="3"/>
        <v>595</v>
      </c>
      <c r="O53" s="134">
        <f>SUM(Table6581011[[#This Row],[09 Total PPF]:[PPF Change]])/5</f>
        <v>8934</v>
      </c>
      <c r="P53"/>
    </row>
    <row r="54" spans="1:16" x14ac:dyDescent="0.35">
      <c r="A54" s="61" t="s">
        <v>61</v>
      </c>
      <c r="B54" s="8">
        <v>1009</v>
      </c>
      <c r="C54" s="8">
        <v>1013</v>
      </c>
      <c r="D54" s="8">
        <v>1020</v>
      </c>
      <c r="E54" s="8">
        <v>1024</v>
      </c>
      <c r="F54" s="8">
        <v>1023</v>
      </c>
      <c r="G54" s="158">
        <f>Table6581011[[#This Row],[17 Score Total]]-Table6581011[[#This Row],[09 Score Total]]</f>
        <v>14</v>
      </c>
      <c r="H54" s="62">
        <f t="shared" si="2"/>
        <v>1017.8</v>
      </c>
      <c r="I54" s="9">
        <v>6579</v>
      </c>
      <c r="J54" s="9">
        <v>6314</v>
      </c>
      <c r="K54" s="9">
        <v>6605</v>
      </c>
      <c r="L54" s="63">
        <v>6575</v>
      </c>
      <c r="M54" s="63">
        <v>6751</v>
      </c>
      <c r="N54" s="134">
        <f t="shared" si="3"/>
        <v>172</v>
      </c>
      <c r="O54" s="134">
        <f>SUM(Table6581011[[#This Row],[09 Total PPF]:[PPF Change]])/5</f>
        <v>6599.2</v>
      </c>
      <c r="P54"/>
    </row>
    <row r="55" spans="1:16" x14ac:dyDescent="0.35">
      <c r="A55" s="2" t="s">
        <v>62</v>
      </c>
      <c r="B55" s="8">
        <v>1042</v>
      </c>
      <c r="C55" s="8">
        <v>1042</v>
      </c>
      <c r="D55" s="8">
        <v>1045</v>
      </c>
      <c r="E55" s="8">
        <v>1037</v>
      </c>
      <c r="F55" s="8">
        <v>1028</v>
      </c>
      <c r="G55" s="158">
        <f>Table6581011[[#This Row],[17 Score Total]]-Table6581011[[#This Row],[09 Score Total]]</f>
        <v>-14</v>
      </c>
      <c r="H55" s="62">
        <f t="shared" si="2"/>
        <v>1038.8</v>
      </c>
      <c r="I55" s="9">
        <v>14215</v>
      </c>
      <c r="J55" s="9">
        <v>15029</v>
      </c>
      <c r="K55" s="9">
        <v>15634</v>
      </c>
      <c r="L55" s="9">
        <v>15576</v>
      </c>
      <c r="M55" s="9">
        <v>18769</v>
      </c>
      <c r="N55" s="134">
        <f t="shared" si="3"/>
        <v>4554</v>
      </c>
      <c r="O55" s="134">
        <f>SUM(Table6581011[[#This Row],[09 Total PPF]:[PPF Change]])/5</f>
        <v>16755.400000000001</v>
      </c>
      <c r="P55"/>
    </row>
    <row r="56" spans="1:16" x14ac:dyDescent="0.35">
      <c r="A56" s="2" t="s">
        <v>63</v>
      </c>
      <c r="B56" s="8">
        <v>1022</v>
      </c>
      <c r="C56" s="8">
        <v>1027</v>
      </c>
      <c r="D56" s="8">
        <v>1031</v>
      </c>
      <c r="E56" s="8">
        <v>1031</v>
      </c>
      <c r="F56" s="8">
        <v>1034</v>
      </c>
      <c r="G56" s="158">
        <f>Table6581011[[#This Row],[17 Score Total]]-Table6581011[[#This Row],[09 Score Total]]</f>
        <v>12</v>
      </c>
      <c r="H56" s="62">
        <f t="shared" si="2"/>
        <v>1029</v>
      </c>
      <c r="I56" s="9">
        <v>10754</v>
      </c>
      <c r="J56" s="9">
        <v>10972</v>
      </c>
      <c r="K56" s="9">
        <v>10676</v>
      </c>
      <c r="L56" s="9">
        <v>10413</v>
      </c>
      <c r="M56" s="9">
        <v>11235</v>
      </c>
      <c r="N56" s="134">
        <f t="shared" si="3"/>
        <v>481</v>
      </c>
      <c r="O56" s="134">
        <f>SUM(Table6581011[[#This Row],[09 Total PPF]:[PPF Change]])/5</f>
        <v>10906.2</v>
      </c>
      <c r="P56"/>
    </row>
    <row r="57" spans="1:16" x14ac:dyDescent="0.35">
      <c r="A57" s="2" t="s">
        <v>64</v>
      </c>
      <c r="B57" s="8">
        <v>1019</v>
      </c>
      <c r="C57" s="8">
        <v>1020</v>
      </c>
      <c r="D57" s="8">
        <v>1033</v>
      </c>
      <c r="E57" s="8">
        <v>1025</v>
      </c>
      <c r="F57" s="8">
        <v>1026</v>
      </c>
      <c r="G57" s="158">
        <f>Table6581011[[#This Row],[17 Score Total]]-Table6581011[[#This Row],[09 Score Total]]</f>
        <v>7</v>
      </c>
      <c r="H57" s="62">
        <f t="shared" si="2"/>
        <v>1024.5999999999999</v>
      </c>
      <c r="I57" s="9">
        <v>9088</v>
      </c>
      <c r="J57" s="9">
        <v>9648</v>
      </c>
      <c r="K57" s="9">
        <v>9481</v>
      </c>
      <c r="L57" s="9">
        <v>9697</v>
      </c>
      <c r="M57" s="9">
        <v>10684</v>
      </c>
      <c r="N57" s="134">
        <f t="shared" si="3"/>
        <v>1596</v>
      </c>
      <c r="O57" s="134">
        <f>SUM(Table6581011[[#This Row],[09 Total PPF]:[PPF Change]])/5</f>
        <v>10038.799999999999</v>
      </c>
      <c r="P57"/>
    </row>
    <row r="58" spans="1:16" x14ac:dyDescent="0.35">
      <c r="A58" s="61" t="s">
        <v>65</v>
      </c>
      <c r="B58" s="8">
        <v>973</v>
      </c>
      <c r="C58" s="8">
        <v>978</v>
      </c>
      <c r="D58" s="8">
        <v>983</v>
      </c>
      <c r="E58" s="8">
        <v>982</v>
      </c>
      <c r="F58" s="8">
        <v>985</v>
      </c>
      <c r="G58" s="158">
        <f>Table6581011[[#This Row],[17 Score Total]]-Table6581011[[#This Row],[09 Score Total]]</f>
        <v>12</v>
      </c>
      <c r="H58" s="62">
        <f t="shared" si="2"/>
        <v>980.2</v>
      </c>
      <c r="I58" s="63">
        <v>10080</v>
      </c>
      <c r="J58" s="63">
        <v>10828</v>
      </c>
      <c r="K58" s="63">
        <v>11727</v>
      </c>
      <c r="L58" s="63">
        <v>11987</v>
      </c>
      <c r="M58" s="63">
        <v>11512</v>
      </c>
      <c r="N58" s="135">
        <f t="shared" si="3"/>
        <v>1432</v>
      </c>
      <c r="O58" s="135">
        <f>SUM(Table6581011[[#This Row],[09 Total PPF]:[PPF Change]])/5</f>
        <v>11513.2</v>
      </c>
      <c r="P58"/>
    </row>
    <row r="59" spans="1:16" x14ac:dyDescent="0.35">
      <c r="A59" s="61" t="s">
        <v>66</v>
      </c>
      <c r="B59" s="8">
        <v>1018</v>
      </c>
      <c r="C59" s="8">
        <v>1022</v>
      </c>
      <c r="D59" s="8">
        <v>1023</v>
      </c>
      <c r="E59" s="8">
        <v>1025</v>
      </c>
      <c r="F59" s="8">
        <v>1017</v>
      </c>
      <c r="G59" s="158">
        <f>Table6581011[[#This Row],[17 Score Total]]-Table6581011[[#This Row],[09 Score Total]]</f>
        <v>-1</v>
      </c>
      <c r="H59" s="62">
        <f t="shared" si="2"/>
        <v>1021</v>
      </c>
      <c r="I59" s="9">
        <v>10752</v>
      </c>
      <c r="J59" s="9">
        <v>11171</v>
      </c>
      <c r="K59" s="9">
        <v>11439</v>
      </c>
      <c r="L59" s="9">
        <v>11930</v>
      </c>
      <c r="M59" s="9">
        <v>11538</v>
      </c>
      <c r="N59" s="134">
        <f t="shared" si="3"/>
        <v>786</v>
      </c>
      <c r="O59" s="134">
        <f>SUM(Table6581011[[#This Row],[09 Total PPF]:[PPF Change]])/5</f>
        <v>11523.2</v>
      </c>
      <c r="P59"/>
    </row>
    <row r="60" spans="1:16" x14ac:dyDescent="0.35">
      <c r="A60" s="61" t="s">
        <v>67</v>
      </c>
      <c r="B60" s="8">
        <v>1019</v>
      </c>
      <c r="C60" s="8">
        <v>1026</v>
      </c>
      <c r="D60" s="8">
        <v>1032</v>
      </c>
      <c r="E60" s="8">
        <v>1031</v>
      </c>
      <c r="F60" s="8">
        <v>1033</v>
      </c>
      <c r="G60" s="158">
        <f>Table6581011[[#This Row],[17 Score Total]]-Table6581011[[#This Row],[09 Score Total]]</f>
        <v>14</v>
      </c>
      <c r="H60" s="62">
        <f t="shared" si="2"/>
        <v>1028.2</v>
      </c>
      <c r="I60" s="63">
        <v>14058</v>
      </c>
      <c r="J60" s="63">
        <v>14747</v>
      </c>
      <c r="K60" s="63">
        <v>15392</v>
      </c>
      <c r="L60" s="63">
        <v>15960</v>
      </c>
      <c r="M60" s="63">
        <v>16047</v>
      </c>
      <c r="N60" s="135">
        <f t="shared" si="3"/>
        <v>1989</v>
      </c>
      <c r="O60" s="135">
        <f>SUM(Table6581011[[#This Row],[09 Total PPF]:[PPF Change]])/5</f>
        <v>15638.6</v>
      </c>
      <c r="P60"/>
    </row>
    <row r="61" spans="1:16" x14ac:dyDescent="0.35">
      <c r="A61" s="61" t="s">
        <v>125</v>
      </c>
      <c r="B61" s="62">
        <f t="shared" ref="B61:D61" si="4">AVERAGE(B10:B60)</f>
        <v>1005.4509803921569</v>
      </c>
      <c r="C61" s="62">
        <f t="shared" si="4"/>
        <v>1008.8039215686274</v>
      </c>
      <c r="D61" s="62">
        <f t="shared" si="4"/>
        <v>1013.2549019607843</v>
      </c>
      <c r="E61" s="62">
        <f>AVERAGE(E10:E60)</f>
        <v>1008.9411764705883</v>
      </c>
      <c r="F61" s="62">
        <f>AVERAGE(F10:F60)</f>
        <v>1007.6470588235294</v>
      </c>
      <c r="G61" s="62">
        <f t="shared" ref="G61:H61" si="5">AVERAGE(G10:G60)</f>
        <v>2.1960784313725492</v>
      </c>
      <c r="H61" s="62">
        <f t="shared" si="5"/>
        <v>1008.8196078431374</v>
      </c>
      <c r="I61" s="126">
        <f>AVERAGE(I10:I60)</f>
        <v>10538.784313725489</v>
      </c>
      <c r="J61" s="126">
        <f t="shared" ref="J61:M61" si="6">AVERAGE(J10:J60)</f>
        <v>10877.705882352941</v>
      </c>
      <c r="K61" s="126">
        <f t="shared" si="6"/>
        <v>11120.490196078432</v>
      </c>
      <c r="L61" s="126">
        <f t="shared" si="6"/>
        <v>11189.392156862745</v>
      </c>
      <c r="M61" s="126">
        <f t="shared" si="6"/>
        <v>11989.098039215687</v>
      </c>
      <c r="N61" s="126">
        <f t="shared" ref="N61" si="7">AVERAGE(N10:N60)</f>
        <v>1450.313725490196</v>
      </c>
      <c r="O61" s="126">
        <f t="shared" ref="O61" si="8">AVERAGE(O10:O60)</f>
        <v>11433.156862745098</v>
      </c>
      <c r="P61" s="136"/>
    </row>
    <row r="62" spans="1:16" x14ac:dyDescent="0.35">
      <c r="A62" s="2" t="s">
        <v>126</v>
      </c>
      <c r="B62" s="62">
        <f t="shared" ref="B62:D62" si="9">MAX(B10:B60)-MIN(B10:B60)</f>
        <v>142</v>
      </c>
      <c r="C62" s="62">
        <f t="shared" si="9"/>
        <v>139</v>
      </c>
      <c r="D62" s="62">
        <f t="shared" si="9"/>
        <v>115</v>
      </c>
      <c r="E62" s="62">
        <f>MAX(E10:E60)-MIN(E10:E60)</f>
        <v>103</v>
      </c>
      <c r="F62" s="62">
        <f>MAX(F10:F60)-MIN(F10:F60)</f>
        <v>103</v>
      </c>
      <c r="G62" s="62">
        <f t="shared" ref="G62:H62" si="10">MAX(G10:G60)-MIN(G10:G60)</f>
        <v>58</v>
      </c>
      <c r="H62" s="62">
        <f t="shared" si="10"/>
        <v>120.39999999999986</v>
      </c>
      <c r="I62" s="48">
        <f t="shared" ref="I62" si="11">MAX(H10:H60)-MIN(H10:H60)</f>
        <v>120.39999999999986</v>
      </c>
      <c r="J62" s="48">
        <f t="shared" ref="J62:M62" si="12">MAX(I10:I60)-MIN(I10:I60)</f>
        <v>11024</v>
      </c>
      <c r="K62" s="48">
        <f t="shared" si="12"/>
        <v>11272</v>
      </c>
      <c r="L62" s="48">
        <f t="shared" si="12"/>
        <v>14534</v>
      </c>
      <c r="M62" s="48">
        <f t="shared" si="12"/>
        <v>14772</v>
      </c>
      <c r="N62" s="48">
        <f t="shared" ref="N62:O62" si="13">MAX(M10:M60)-MIN(M10:M60)</f>
        <v>13993</v>
      </c>
      <c r="O62" s="48">
        <f t="shared" si="13"/>
        <v>6088</v>
      </c>
      <c r="P62" s="136"/>
    </row>
    <row r="63" spans="1:16" x14ac:dyDescent="0.35">
      <c r="A63" s="61" t="s">
        <v>127</v>
      </c>
      <c r="B63" s="70">
        <f t="shared" ref="B63:D63" si="14">_xlfn.STDEV.P(B10:B60)</f>
        <v>27.024544925874252</v>
      </c>
      <c r="C63" s="70">
        <f t="shared" si="14"/>
        <v>25.250136561729828</v>
      </c>
      <c r="D63" s="70">
        <f t="shared" si="14"/>
        <v>23.736166776160008</v>
      </c>
      <c r="E63" s="70">
        <f>_xlfn.STDEV.P(E10:E60)</f>
        <v>21.753892385272909</v>
      </c>
      <c r="F63" s="70">
        <f>_xlfn.STDEV.P(F10:F60)</f>
        <v>22.293781362252396</v>
      </c>
      <c r="G63" s="70">
        <f t="shared" ref="G63:H63" si="15">_xlfn.STDEV.P(G10:G60)</f>
        <v>11.472079675119062</v>
      </c>
      <c r="H63" s="70">
        <f t="shared" si="15"/>
        <v>23.533780640151335</v>
      </c>
      <c r="I63" s="71">
        <f t="shared" ref="I63" si="16">_xlfn.STDEV.P(H10:H60)</f>
        <v>23.533780640151335</v>
      </c>
      <c r="J63" s="71">
        <f t="shared" ref="J63:M63" si="17">_xlfn.STDEV.P(I10:I60)</f>
        <v>2566.8871994413589</v>
      </c>
      <c r="K63" s="71">
        <f t="shared" si="17"/>
        <v>2674.0229976434725</v>
      </c>
      <c r="L63" s="71">
        <f t="shared" si="17"/>
        <v>3034.6328871393662</v>
      </c>
      <c r="M63" s="71">
        <f t="shared" si="17"/>
        <v>3125.9324574542452</v>
      </c>
      <c r="N63" s="71">
        <f t="shared" ref="N63:O63" si="18">_xlfn.STDEV.P(M10:M60)</f>
        <v>3629.8273024057594</v>
      </c>
      <c r="O63" s="71">
        <f t="shared" si="18"/>
        <v>1374.0470279104898</v>
      </c>
      <c r="P63" s="136"/>
    </row>
  </sheetData>
  <pageMargins left="0.75" right="0.75" top="1" bottom="1" header="0.5" footer="0.5"/>
  <pageSetup scale="73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57"/>
  <sheetViews>
    <sheetView tabSelected="1" topLeftCell="A19" workbookViewId="0">
      <selection activeCell="G7" sqref="G7"/>
    </sheetView>
  </sheetViews>
  <sheetFormatPr defaultColWidth="10.6640625" defaultRowHeight="15.5" x14ac:dyDescent="0.35"/>
  <cols>
    <col min="1" max="1" width="18" style="2" customWidth="1"/>
    <col min="2" max="4" width="17.33203125" style="4" customWidth="1"/>
    <col min="5" max="6" width="14.33203125" style="4" customWidth="1"/>
  </cols>
  <sheetData>
    <row r="1" spans="1:17" x14ac:dyDescent="0.35">
      <c r="A1" s="152" t="s">
        <v>198</v>
      </c>
      <c r="B1" s="153"/>
      <c r="C1" s="153"/>
      <c r="D1" s="153"/>
      <c r="F1" s="151"/>
      <c r="G1" s="149" t="s">
        <v>199</v>
      </c>
    </row>
    <row r="2" spans="1:17" x14ac:dyDescent="0.35">
      <c r="F2" s="151"/>
      <c r="G2" s="149" t="s">
        <v>191</v>
      </c>
    </row>
    <row r="3" spans="1:17" ht="16" thickBot="1" x14ac:dyDescent="0.4">
      <c r="A3" s="1" t="s">
        <v>164</v>
      </c>
      <c r="B3" s="6" t="s">
        <v>165</v>
      </c>
      <c r="C3" s="6" t="s">
        <v>166</v>
      </c>
      <c r="D3" s="144" t="s">
        <v>172</v>
      </c>
      <c r="E3" s="144" t="s">
        <v>185</v>
      </c>
      <c r="F3" s="141" t="s">
        <v>186</v>
      </c>
      <c r="G3" s="150" t="s">
        <v>187</v>
      </c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x14ac:dyDescent="0.35">
      <c r="A4" s="2" t="s">
        <v>17</v>
      </c>
      <c r="B4" s="8">
        <v>968</v>
      </c>
      <c r="C4" s="8">
        <v>978</v>
      </c>
      <c r="D4" s="145">
        <v>978</v>
      </c>
      <c r="E4" s="145">
        <f>D4-C4</f>
        <v>0</v>
      </c>
      <c r="F4" s="51">
        <f>D4-B4</f>
        <v>10</v>
      </c>
    </row>
    <row r="5" spans="1:17" x14ac:dyDescent="0.35">
      <c r="A5" s="2" t="s">
        <v>18</v>
      </c>
      <c r="B5" s="8">
        <v>990</v>
      </c>
      <c r="C5" s="8">
        <v>988</v>
      </c>
      <c r="D5" s="145">
        <v>988</v>
      </c>
      <c r="E5" s="145">
        <f t="shared" ref="E5:E54" si="0">D5-C5</f>
        <v>0</v>
      </c>
      <c r="F5" s="51">
        <f t="shared" ref="F5:F10" si="1">D5-B5</f>
        <v>-2</v>
      </c>
    </row>
    <row r="6" spans="1:17" x14ac:dyDescent="0.35">
      <c r="A6" s="2" t="s">
        <v>19</v>
      </c>
      <c r="B6" s="8">
        <v>975</v>
      </c>
      <c r="C6" s="8">
        <v>986</v>
      </c>
      <c r="D6" s="145">
        <v>993</v>
      </c>
      <c r="E6" s="147">
        <f t="shared" si="0"/>
        <v>7</v>
      </c>
      <c r="F6" s="51">
        <f t="shared" si="1"/>
        <v>18</v>
      </c>
      <c r="G6" t="s">
        <v>200</v>
      </c>
    </row>
    <row r="7" spans="1:17" x14ac:dyDescent="0.35">
      <c r="A7" s="2" t="s">
        <v>20</v>
      </c>
      <c r="B7" s="8">
        <v>988</v>
      </c>
      <c r="C7" s="8">
        <v>993</v>
      </c>
      <c r="D7" s="145">
        <v>999</v>
      </c>
      <c r="E7" s="145">
        <f t="shared" si="0"/>
        <v>6</v>
      </c>
      <c r="F7" s="51">
        <f t="shared" si="1"/>
        <v>11</v>
      </c>
    </row>
    <row r="8" spans="1:17" x14ac:dyDescent="0.35">
      <c r="A8" s="2" t="s">
        <v>21</v>
      </c>
      <c r="B8" s="8">
        <v>965</v>
      </c>
      <c r="C8" s="8">
        <v>973</v>
      </c>
      <c r="D8" s="145">
        <v>985</v>
      </c>
      <c r="E8" s="145">
        <f t="shared" si="0"/>
        <v>12</v>
      </c>
      <c r="F8" s="51">
        <f t="shared" si="1"/>
        <v>20</v>
      </c>
    </row>
    <row r="9" spans="1:17" x14ac:dyDescent="0.35">
      <c r="A9" s="2" t="s">
        <v>22</v>
      </c>
      <c r="B9" s="8">
        <v>1022</v>
      </c>
      <c r="C9" s="8">
        <v>1030</v>
      </c>
      <c r="D9" s="145">
        <v>1035</v>
      </c>
      <c r="E9" s="145">
        <f t="shared" si="0"/>
        <v>5</v>
      </c>
      <c r="F9" s="51">
        <f t="shared" si="1"/>
        <v>13</v>
      </c>
    </row>
    <row r="10" spans="1:17" x14ac:dyDescent="0.35">
      <c r="A10" s="2" t="s">
        <v>23</v>
      </c>
      <c r="B10" s="8">
        <v>1035</v>
      </c>
      <c r="C10" s="8">
        <v>1031</v>
      </c>
      <c r="D10" s="145">
        <v>1032</v>
      </c>
      <c r="E10" s="145">
        <f t="shared" si="0"/>
        <v>1</v>
      </c>
      <c r="F10" s="51">
        <f t="shared" si="1"/>
        <v>-3</v>
      </c>
    </row>
    <row r="11" spans="1:17" x14ac:dyDescent="0.35">
      <c r="A11" s="61" t="s">
        <v>25</v>
      </c>
      <c r="B11" s="8">
        <v>917</v>
      </c>
      <c r="C11" s="8">
        <v>925</v>
      </c>
      <c r="D11" s="145">
        <v>948</v>
      </c>
      <c r="E11" s="145">
        <f t="shared" si="0"/>
        <v>23</v>
      </c>
      <c r="F11" s="142">
        <f>D11-B11</f>
        <v>31</v>
      </c>
      <c r="G11" t="s">
        <v>192</v>
      </c>
    </row>
    <row r="12" spans="1:17" x14ac:dyDescent="0.35">
      <c r="A12" s="2" t="s">
        <v>24</v>
      </c>
      <c r="B12" s="8">
        <v>1014</v>
      </c>
      <c r="C12" s="8">
        <v>1014</v>
      </c>
      <c r="D12" s="145">
        <v>1017</v>
      </c>
      <c r="E12" s="145">
        <f t="shared" si="0"/>
        <v>3</v>
      </c>
      <c r="F12" s="51">
        <f>D12-B12</f>
        <v>3</v>
      </c>
    </row>
    <row r="13" spans="1:17" x14ac:dyDescent="0.35">
      <c r="A13" s="2" t="s">
        <v>26</v>
      </c>
      <c r="B13" s="8">
        <v>1011</v>
      </c>
      <c r="C13" s="8">
        <v>1005</v>
      </c>
      <c r="D13" s="145">
        <v>1016</v>
      </c>
      <c r="E13" s="145">
        <f t="shared" si="0"/>
        <v>11</v>
      </c>
      <c r="F13" s="142">
        <f>D13-B13</f>
        <v>5</v>
      </c>
      <c r="G13" t="s">
        <v>196</v>
      </c>
    </row>
    <row r="14" spans="1:17" x14ac:dyDescent="0.35">
      <c r="A14" s="2" t="s">
        <v>27</v>
      </c>
      <c r="B14" s="8">
        <v>992</v>
      </c>
      <c r="C14" s="8">
        <v>999</v>
      </c>
      <c r="D14" s="145">
        <v>1006</v>
      </c>
      <c r="E14" s="145">
        <f t="shared" si="0"/>
        <v>7</v>
      </c>
      <c r="F14" s="142">
        <f>D14-B14</f>
        <v>14</v>
      </c>
      <c r="G14" t="s">
        <v>195</v>
      </c>
    </row>
    <row r="15" spans="1:17" x14ac:dyDescent="0.35">
      <c r="A15" s="61" t="s">
        <v>28</v>
      </c>
      <c r="B15" s="8">
        <v>976</v>
      </c>
      <c r="C15" s="8">
        <v>988</v>
      </c>
      <c r="D15" s="145">
        <v>999</v>
      </c>
      <c r="E15" s="145">
        <f t="shared" si="0"/>
        <v>11</v>
      </c>
      <c r="F15" s="51">
        <f t="shared" ref="F15:F21" si="2">D15-B15</f>
        <v>23</v>
      </c>
    </row>
    <row r="16" spans="1:17" x14ac:dyDescent="0.35">
      <c r="A16" s="2" t="s">
        <v>29</v>
      </c>
      <c r="B16" s="8">
        <v>1014</v>
      </c>
      <c r="C16" s="8">
        <v>1016</v>
      </c>
      <c r="D16" s="145">
        <v>1016</v>
      </c>
      <c r="E16" s="145">
        <f t="shared" si="0"/>
        <v>0</v>
      </c>
      <c r="F16" s="51">
        <f t="shared" si="2"/>
        <v>2</v>
      </c>
    </row>
    <row r="17" spans="1:7" x14ac:dyDescent="0.35">
      <c r="A17" s="2" t="s">
        <v>31</v>
      </c>
      <c r="B17" s="8">
        <v>1004</v>
      </c>
      <c r="C17" s="8">
        <v>1007</v>
      </c>
      <c r="D17" s="145">
        <v>1010</v>
      </c>
      <c r="E17" s="145">
        <f t="shared" si="0"/>
        <v>3</v>
      </c>
      <c r="F17" s="51">
        <f t="shared" si="2"/>
        <v>6</v>
      </c>
    </row>
    <row r="18" spans="1:7" x14ac:dyDescent="0.35">
      <c r="A18" s="2" t="s">
        <v>30</v>
      </c>
      <c r="B18" s="8">
        <v>1019</v>
      </c>
      <c r="C18" s="8">
        <v>1015</v>
      </c>
      <c r="D18" s="145">
        <v>1029</v>
      </c>
      <c r="E18" s="147">
        <f t="shared" si="0"/>
        <v>14</v>
      </c>
      <c r="F18" s="51">
        <f t="shared" si="2"/>
        <v>10</v>
      </c>
      <c r="G18" t="s">
        <v>189</v>
      </c>
    </row>
    <row r="19" spans="1:7" x14ac:dyDescent="0.35">
      <c r="A19" s="2" t="s">
        <v>32</v>
      </c>
      <c r="B19" s="8">
        <v>1013</v>
      </c>
      <c r="C19" s="8">
        <v>1014</v>
      </c>
      <c r="D19" s="145">
        <v>1024</v>
      </c>
      <c r="E19" s="145">
        <f t="shared" si="0"/>
        <v>10</v>
      </c>
      <c r="F19" s="51">
        <f t="shared" si="2"/>
        <v>11</v>
      </c>
    </row>
    <row r="20" spans="1:7" x14ac:dyDescent="0.35">
      <c r="A20" s="2" t="s">
        <v>33</v>
      </c>
      <c r="B20" s="8">
        <v>1025</v>
      </c>
      <c r="C20" s="8">
        <v>1027</v>
      </c>
      <c r="D20" s="145">
        <v>1026</v>
      </c>
      <c r="E20" s="145">
        <f t="shared" si="0"/>
        <v>-1</v>
      </c>
      <c r="F20" s="51">
        <f t="shared" si="2"/>
        <v>1</v>
      </c>
    </row>
    <row r="21" spans="1:7" x14ac:dyDescent="0.35">
      <c r="A21" s="2" t="s">
        <v>34</v>
      </c>
      <c r="B21" s="8">
        <v>1011</v>
      </c>
      <c r="C21" s="8">
        <v>1017</v>
      </c>
      <c r="D21" s="145">
        <v>1016</v>
      </c>
      <c r="E21" s="145">
        <f t="shared" si="0"/>
        <v>-1</v>
      </c>
      <c r="F21" s="51">
        <f t="shared" si="2"/>
        <v>5</v>
      </c>
    </row>
    <row r="22" spans="1:7" x14ac:dyDescent="0.35">
      <c r="A22" s="2" t="s">
        <v>35</v>
      </c>
      <c r="B22" s="8">
        <v>961</v>
      </c>
      <c r="C22" s="8">
        <v>969</v>
      </c>
      <c r="D22" s="145">
        <v>971</v>
      </c>
      <c r="E22" s="145">
        <f t="shared" si="0"/>
        <v>2</v>
      </c>
      <c r="F22" s="142">
        <f>D22-B22</f>
        <v>10</v>
      </c>
      <c r="G22" t="s">
        <v>188</v>
      </c>
    </row>
    <row r="23" spans="1:7" x14ac:dyDescent="0.35">
      <c r="A23" s="2" t="s">
        <v>36</v>
      </c>
      <c r="B23" s="8">
        <v>1022</v>
      </c>
      <c r="C23" s="8">
        <v>1025</v>
      </c>
      <c r="D23" s="145">
        <v>1029</v>
      </c>
      <c r="E23" s="145">
        <f t="shared" si="0"/>
        <v>4</v>
      </c>
      <c r="F23" s="51">
        <f t="shared" ref="F23:F54" si="3">D23-B23</f>
        <v>7</v>
      </c>
      <c r="G23" t="s">
        <v>193</v>
      </c>
    </row>
    <row r="24" spans="1:7" x14ac:dyDescent="0.35">
      <c r="A24" s="2" t="s">
        <v>37</v>
      </c>
      <c r="B24" s="8">
        <v>1025</v>
      </c>
      <c r="C24" s="8">
        <v>1037</v>
      </c>
      <c r="D24" s="145">
        <v>1038</v>
      </c>
      <c r="E24" s="145">
        <f t="shared" si="0"/>
        <v>1</v>
      </c>
      <c r="F24" s="51">
        <f t="shared" si="3"/>
        <v>13</v>
      </c>
    </row>
    <row r="25" spans="1:7" x14ac:dyDescent="0.35">
      <c r="A25" s="61" t="s">
        <v>38</v>
      </c>
      <c r="B25" s="8">
        <v>1059</v>
      </c>
      <c r="C25" s="8">
        <v>1064</v>
      </c>
      <c r="D25" s="145">
        <v>1063</v>
      </c>
      <c r="E25" s="145">
        <f t="shared" si="0"/>
        <v>-1</v>
      </c>
      <c r="F25" s="51">
        <f t="shared" si="3"/>
        <v>4</v>
      </c>
    </row>
    <row r="26" spans="1:7" x14ac:dyDescent="0.35">
      <c r="A26" s="2" t="s">
        <v>39</v>
      </c>
      <c r="B26" s="8">
        <v>994</v>
      </c>
      <c r="C26" s="8">
        <v>1000</v>
      </c>
      <c r="D26" s="145">
        <v>1000</v>
      </c>
      <c r="E26" s="145">
        <f t="shared" si="0"/>
        <v>0</v>
      </c>
      <c r="F26" s="51">
        <f t="shared" si="3"/>
        <v>6</v>
      </c>
    </row>
    <row r="27" spans="1:7" x14ac:dyDescent="0.35">
      <c r="A27" s="61" t="s">
        <v>40</v>
      </c>
      <c r="B27" s="8">
        <v>1036</v>
      </c>
      <c r="C27" s="8">
        <v>1036</v>
      </c>
      <c r="D27" s="145">
        <v>1046</v>
      </c>
      <c r="E27" s="145">
        <f t="shared" si="0"/>
        <v>10</v>
      </c>
      <c r="F27" s="51">
        <f t="shared" si="3"/>
        <v>10</v>
      </c>
    </row>
    <row r="28" spans="1:7" x14ac:dyDescent="0.35">
      <c r="A28" s="2" t="s">
        <v>41</v>
      </c>
      <c r="B28" s="8">
        <v>954</v>
      </c>
      <c r="C28" s="8">
        <v>962</v>
      </c>
      <c r="D28" s="145">
        <v>964</v>
      </c>
      <c r="E28" s="145">
        <f t="shared" si="0"/>
        <v>2</v>
      </c>
      <c r="F28" s="51">
        <f t="shared" si="3"/>
        <v>10</v>
      </c>
      <c r="G28" t="s">
        <v>197</v>
      </c>
    </row>
    <row r="29" spans="1:7" x14ac:dyDescent="0.35">
      <c r="A29" s="2" t="s">
        <v>42</v>
      </c>
      <c r="B29" s="8">
        <v>1018</v>
      </c>
      <c r="C29" s="8">
        <v>1009</v>
      </c>
      <c r="D29" s="145">
        <v>1012</v>
      </c>
      <c r="E29" s="145">
        <f t="shared" si="0"/>
        <v>3</v>
      </c>
      <c r="F29" s="51">
        <f t="shared" si="3"/>
        <v>-6</v>
      </c>
    </row>
    <row r="30" spans="1:7" x14ac:dyDescent="0.35">
      <c r="A30" s="2" t="s">
        <v>43</v>
      </c>
      <c r="B30" s="8">
        <v>1031</v>
      </c>
      <c r="C30" s="8">
        <v>1035</v>
      </c>
      <c r="D30" s="145">
        <v>1028</v>
      </c>
      <c r="E30" s="145">
        <f t="shared" si="0"/>
        <v>-7</v>
      </c>
      <c r="F30" s="51">
        <f t="shared" si="3"/>
        <v>-3</v>
      </c>
    </row>
    <row r="31" spans="1:7" x14ac:dyDescent="0.35">
      <c r="A31" s="2" t="s">
        <v>44</v>
      </c>
      <c r="B31" s="8">
        <v>1013</v>
      </c>
      <c r="C31" s="8">
        <v>1014</v>
      </c>
      <c r="D31" s="145">
        <v>1020</v>
      </c>
      <c r="E31" s="145">
        <f t="shared" si="0"/>
        <v>6</v>
      </c>
      <c r="F31" s="51">
        <f t="shared" si="3"/>
        <v>7</v>
      </c>
    </row>
    <row r="32" spans="1:7" x14ac:dyDescent="0.35">
      <c r="A32" s="2" t="s">
        <v>45</v>
      </c>
      <c r="B32" s="8">
        <v>974</v>
      </c>
      <c r="C32" s="8">
        <v>986</v>
      </c>
      <c r="D32" s="145">
        <v>990</v>
      </c>
      <c r="E32" s="145">
        <f t="shared" si="0"/>
        <v>4</v>
      </c>
      <c r="F32" s="51">
        <f t="shared" si="3"/>
        <v>16</v>
      </c>
    </row>
    <row r="33" spans="1:7" x14ac:dyDescent="0.35">
      <c r="A33" s="2" t="s">
        <v>46</v>
      </c>
      <c r="B33" s="8">
        <v>1043</v>
      </c>
      <c r="C33" s="8">
        <v>1046</v>
      </c>
      <c r="D33" s="145">
        <v>1055</v>
      </c>
      <c r="E33" s="145">
        <f t="shared" si="0"/>
        <v>9</v>
      </c>
      <c r="F33" s="51">
        <f t="shared" si="3"/>
        <v>12</v>
      </c>
    </row>
    <row r="34" spans="1:7" x14ac:dyDescent="0.35">
      <c r="A34" s="2" t="s">
        <v>47</v>
      </c>
      <c r="B34" s="8">
        <v>1042</v>
      </c>
      <c r="C34" s="8">
        <v>1048</v>
      </c>
      <c r="D34" s="145">
        <v>1048</v>
      </c>
      <c r="E34" s="145">
        <f t="shared" si="0"/>
        <v>0</v>
      </c>
      <c r="F34" s="51">
        <f t="shared" si="3"/>
        <v>6</v>
      </c>
    </row>
    <row r="35" spans="1:7" x14ac:dyDescent="0.35">
      <c r="A35" s="2" t="s">
        <v>48</v>
      </c>
      <c r="B35" s="8">
        <v>962</v>
      </c>
      <c r="C35" s="8">
        <v>971</v>
      </c>
      <c r="D35" s="145">
        <v>968</v>
      </c>
      <c r="E35" s="145">
        <f t="shared" si="0"/>
        <v>-3</v>
      </c>
      <c r="F35" s="51">
        <f t="shared" si="3"/>
        <v>6</v>
      </c>
    </row>
    <row r="36" spans="1:7" x14ac:dyDescent="0.35">
      <c r="A36" s="61" t="s">
        <v>49</v>
      </c>
      <c r="B36" s="8">
        <v>1012</v>
      </c>
      <c r="C36" s="8">
        <v>1006</v>
      </c>
      <c r="D36" s="145">
        <v>1012</v>
      </c>
      <c r="E36" s="145">
        <f t="shared" si="0"/>
        <v>6</v>
      </c>
      <c r="F36" s="51">
        <f t="shared" si="3"/>
        <v>0</v>
      </c>
    </row>
    <row r="37" spans="1:7" x14ac:dyDescent="0.35">
      <c r="A37" s="2" t="s">
        <v>50</v>
      </c>
      <c r="B37" s="8">
        <v>1007</v>
      </c>
      <c r="C37" s="8">
        <v>1015</v>
      </c>
      <c r="D37" s="145">
        <v>1018</v>
      </c>
      <c r="E37" s="145">
        <f t="shared" si="0"/>
        <v>3</v>
      </c>
      <c r="F37" s="51">
        <f>D37-B37</f>
        <v>11</v>
      </c>
    </row>
    <row r="38" spans="1:7" x14ac:dyDescent="0.35">
      <c r="A38" s="2" t="s">
        <v>51</v>
      </c>
      <c r="B38" s="8">
        <v>1033</v>
      </c>
      <c r="C38" s="8">
        <v>1032</v>
      </c>
      <c r="D38" s="145">
        <v>1029</v>
      </c>
      <c r="E38" s="145">
        <f t="shared" si="0"/>
        <v>-3</v>
      </c>
      <c r="F38" s="148">
        <f t="shared" si="3"/>
        <v>-4</v>
      </c>
    </row>
    <row r="39" spans="1:7" x14ac:dyDescent="0.35">
      <c r="A39" s="2" t="s">
        <v>52</v>
      </c>
      <c r="B39" s="8">
        <v>1024</v>
      </c>
      <c r="C39" s="8">
        <v>1025</v>
      </c>
      <c r="D39" s="145">
        <v>1029</v>
      </c>
      <c r="E39" s="145">
        <f t="shared" si="0"/>
        <v>4</v>
      </c>
      <c r="F39" s="142">
        <f t="shared" si="3"/>
        <v>5</v>
      </c>
      <c r="G39" t="s">
        <v>190</v>
      </c>
    </row>
    <row r="40" spans="1:7" x14ac:dyDescent="0.35">
      <c r="A40" s="61" t="s">
        <v>53</v>
      </c>
      <c r="B40" s="8">
        <v>989</v>
      </c>
      <c r="C40" s="8">
        <v>991</v>
      </c>
      <c r="D40" s="145">
        <v>994</v>
      </c>
      <c r="E40" s="147">
        <f t="shared" si="0"/>
        <v>3</v>
      </c>
      <c r="F40" s="51">
        <f t="shared" si="3"/>
        <v>5</v>
      </c>
      <c r="G40" t="s">
        <v>195</v>
      </c>
    </row>
    <row r="41" spans="1:7" x14ac:dyDescent="0.35">
      <c r="A41" s="61" t="s">
        <v>54</v>
      </c>
      <c r="B41" s="8">
        <v>1006</v>
      </c>
      <c r="C41" s="8">
        <v>1000</v>
      </c>
      <c r="D41" s="145">
        <v>1011</v>
      </c>
      <c r="E41" s="145">
        <f t="shared" si="0"/>
        <v>11</v>
      </c>
      <c r="F41" s="51">
        <f t="shared" si="3"/>
        <v>5</v>
      </c>
    </row>
    <row r="42" spans="1:7" x14ac:dyDescent="0.35">
      <c r="A42" s="2" t="s">
        <v>55</v>
      </c>
      <c r="B42" s="8">
        <v>1027</v>
      </c>
      <c r="C42" s="8">
        <v>1027</v>
      </c>
      <c r="D42" s="145">
        <v>1032</v>
      </c>
      <c r="E42" s="145">
        <f t="shared" si="0"/>
        <v>5</v>
      </c>
      <c r="F42" s="51">
        <f t="shared" si="3"/>
        <v>5</v>
      </c>
    </row>
    <row r="43" spans="1:7" x14ac:dyDescent="0.35">
      <c r="A43" s="61" t="s">
        <v>56</v>
      </c>
      <c r="B43" s="8">
        <v>1000</v>
      </c>
      <c r="C43" s="8">
        <v>1012</v>
      </c>
      <c r="D43" s="145">
        <v>1015</v>
      </c>
      <c r="E43" s="145">
        <f t="shared" si="0"/>
        <v>3</v>
      </c>
      <c r="F43" s="51">
        <f t="shared" si="3"/>
        <v>15</v>
      </c>
    </row>
    <row r="44" spans="1:7" x14ac:dyDescent="0.35">
      <c r="A44" s="2" t="s">
        <v>57</v>
      </c>
      <c r="B44" s="8">
        <v>989</v>
      </c>
      <c r="C44" s="8">
        <v>993</v>
      </c>
      <c r="D44" s="145">
        <v>992</v>
      </c>
      <c r="E44" s="145">
        <f t="shared" si="0"/>
        <v>-1</v>
      </c>
      <c r="F44" s="51">
        <f t="shared" si="3"/>
        <v>3</v>
      </c>
    </row>
    <row r="45" spans="1:7" x14ac:dyDescent="0.35">
      <c r="A45" s="2" t="s">
        <v>58</v>
      </c>
      <c r="B45" s="8">
        <v>1025</v>
      </c>
      <c r="C45" s="8">
        <v>1021</v>
      </c>
      <c r="D45" s="145">
        <v>1014</v>
      </c>
      <c r="E45" s="145">
        <f t="shared" si="0"/>
        <v>-7</v>
      </c>
      <c r="F45" s="51">
        <f t="shared" si="3"/>
        <v>-11</v>
      </c>
    </row>
    <row r="46" spans="1:7" x14ac:dyDescent="0.35">
      <c r="A46" s="2" t="s">
        <v>59</v>
      </c>
      <c r="B46" s="8">
        <v>985</v>
      </c>
      <c r="C46" s="8">
        <v>981</v>
      </c>
      <c r="D46" s="145">
        <v>1003</v>
      </c>
      <c r="E46" s="145">
        <f t="shared" si="0"/>
        <v>22</v>
      </c>
      <c r="F46" s="51">
        <f t="shared" si="3"/>
        <v>18</v>
      </c>
    </row>
    <row r="47" spans="1:7" x14ac:dyDescent="0.35">
      <c r="A47" s="2" t="s">
        <v>60</v>
      </c>
      <c r="B47" s="8">
        <v>1006</v>
      </c>
      <c r="C47" s="8">
        <v>1010</v>
      </c>
      <c r="D47" s="145">
        <v>1011</v>
      </c>
      <c r="E47" s="145">
        <f t="shared" si="0"/>
        <v>1</v>
      </c>
      <c r="F47" s="51">
        <f t="shared" si="3"/>
        <v>5</v>
      </c>
    </row>
    <row r="48" spans="1:7" x14ac:dyDescent="0.35">
      <c r="A48" s="61" t="s">
        <v>61</v>
      </c>
      <c r="B48" s="8">
        <v>1009</v>
      </c>
      <c r="C48" s="8">
        <v>1013</v>
      </c>
      <c r="D48" s="145">
        <v>1020</v>
      </c>
      <c r="E48" s="145">
        <f t="shared" si="0"/>
        <v>7</v>
      </c>
      <c r="F48" s="142">
        <f t="shared" si="3"/>
        <v>11</v>
      </c>
      <c r="G48" t="s">
        <v>195</v>
      </c>
    </row>
    <row r="49" spans="1:7" x14ac:dyDescent="0.35">
      <c r="A49" s="2" t="s">
        <v>62</v>
      </c>
      <c r="B49" s="8">
        <v>1042</v>
      </c>
      <c r="C49" s="8">
        <v>1042</v>
      </c>
      <c r="D49" s="145">
        <v>1045</v>
      </c>
      <c r="E49" s="145">
        <f t="shared" si="0"/>
        <v>3</v>
      </c>
      <c r="F49" s="51">
        <f t="shared" si="3"/>
        <v>3</v>
      </c>
      <c r="G49" t="s">
        <v>193</v>
      </c>
    </row>
    <row r="50" spans="1:7" x14ac:dyDescent="0.35">
      <c r="A50" s="2" t="s">
        <v>63</v>
      </c>
      <c r="B50" s="8">
        <v>1022</v>
      </c>
      <c r="C50" s="8">
        <v>1027</v>
      </c>
      <c r="D50" s="145">
        <v>1031</v>
      </c>
      <c r="E50" s="145">
        <f t="shared" si="0"/>
        <v>4</v>
      </c>
      <c r="F50" s="51">
        <f t="shared" si="3"/>
        <v>9</v>
      </c>
    </row>
    <row r="51" spans="1:7" x14ac:dyDescent="0.35">
      <c r="A51" s="2" t="s">
        <v>64</v>
      </c>
      <c r="B51" s="8">
        <v>1019</v>
      </c>
      <c r="C51" s="8">
        <v>1020</v>
      </c>
      <c r="D51" s="145">
        <v>1033</v>
      </c>
      <c r="E51" s="145">
        <f t="shared" si="0"/>
        <v>13</v>
      </c>
      <c r="F51" s="51">
        <f t="shared" si="3"/>
        <v>14</v>
      </c>
    </row>
    <row r="52" spans="1:7" x14ac:dyDescent="0.35">
      <c r="A52" s="61" t="s">
        <v>65</v>
      </c>
      <c r="B52" s="8">
        <v>973</v>
      </c>
      <c r="C52" s="8">
        <v>978</v>
      </c>
      <c r="D52" s="145">
        <v>983</v>
      </c>
      <c r="E52" s="145">
        <f t="shared" si="0"/>
        <v>5</v>
      </c>
      <c r="F52" s="51">
        <f t="shared" si="3"/>
        <v>10</v>
      </c>
    </row>
    <row r="53" spans="1:7" x14ac:dyDescent="0.35">
      <c r="A53" s="61" t="s">
        <v>66</v>
      </c>
      <c r="B53" s="8">
        <v>1018</v>
      </c>
      <c r="C53" s="8">
        <v>1022</v>
      </c>
      <c r="D53" s="145">
        <v>1023</v>
      </c>
      <c r="E53" s="145">
        <f t="shared" si="0"/>
        <v>1</v>
      </c>
      <c r="F53" s="51">
        <f t="shared" si="3"/>
        <v>5</v>
      </c>
      <c r="G53" t="s">
        <v>194</v>
      </c>
    </row>
    <row r="54" spans="1:7" x14ac:dyDescent="0.35">
      <c r="A54" s="61" t="s">
        <v>67</v>
      </c>
      <c r="B54" s="8">
        <v>1019</v>
      </c>
      <c r="C54" s="8">
        <v>1026</v>
      </c>
      <c r="D54" s="146">
        <v>1032</v>
      </c>
      <c r="E54" s="146">
        <f t="shared" si="0"/>
        <v>6</v>
      </c>
      <c r="F54" s="143">
        <f t="shared" si="3"/>
        <v>13</v>
      </c>
    </row>
    <row r="55" spans="1:7" x14ac:dyDescent="0.35">
      <c r="A55" s="139" t="s">
        <v>125</v>
      </c>
      <c r="B55" s="140">
        <f t="shared" ref="B55:D55" si="4">AVERAGE(B4:B54)</f>
        <v>1005.4509803921569</v>
      </c>
      <c r="C55" s="140">
        <f t="shared" si="4"/>
        <v>1008.8039215686274</v>
      </c>
      <c r="D55" s="140">
        <f t="shared" si="4"/>
        <v>1013.2549019607843</v>
      </c>
      <c r="E55" s="140">
        <f t="shared" ref="E55:F55" si="5">AVERAGE(E4:E54)</f>
        <v>4.4509803921568629</v>
      </c>
      <c r="F55" s="140">
        <f t="shared" si="5"/>
        <v>7.8039215686274508</v>
      </c>
    </row>
    <row r="56" spans="1:7" x14ac:dyDescent="0.35">
      <c r="A56" s="2" t="s">
        <v>126</v>
      </c>
      <c r="B56" s="62">
        <f t="shared" ref="B56:D56" si="6">MAX(B4:B54)-MIN(B4:B54)</f>
        <v>142</v>
      </c>
      <c r="C56" s="62">
        <f t="shared" si="6"/>
        <v>139</v>
      </c>
      <c r="D56" s="62">
        <f t="shared" si="6"/>
        <v>115</v>
      </c>
      <c r="E56" s="62">
        <f t="shared" ref="E56:F56" si="7">MAX(E4:E54)-MIN(E4:E54)</f>
        <v>30</v>
      </c>
      <c r="F56" s="62">
        <f t="shared" si="7"/>
        <v>42</v>
      </c>
    </row>
    <row r="57" spans="1:7" x14ac:dyDescent="0.35">
      <c r="A57" s="61" t="s">
        <v>127</v>
      </c>
      <c r="B57" s="70">
        <f t="shared" ref="B57:D57" si="8">_xlfn.STDEV.P(B4:B54)</f>
        <v>27.024544925874252</v>
      </c>
      <c r="C57" s="70">
        <f t="shared" si="8"/>
        <v>25.250136561729828</v>
      </c>
      <c r="D57" s="70">
        <f t="shared" si="8"/>
        <v>23.736166776160008</v>
      </c>
      <c r="E57" s="70">
        <f t="shared" ref="E57:F57" si="9">_xlfn.STDEV.P(E4:E54)</f>
        <v>5.9088293040765336</v>
      </c>
      <c r="F57" s="70">
        <f t="shared" si="9"/>
        <v>7.4175721619787591</v>
      </c>
    </row>
  </sheetData>
  <hyperlinks>
    <hyperlink ref="A1" r:id="rId1" xr:uid="{00000000-0004-0000-0C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7"/>
  <sheetViews>
    <sheetView showGridLines="0" workbookViewId="0"/>
  </sheetViews>
  <sheetFormatPr defaultColWidth="10.83203125" defaultRowHeight="12.5" x14ac:dyDescent="0.25"/>
  <cols>
    <col min="1" max="1" width="12.83203125" style="14" customWidth="1"/>
    <col min="2" max="2" width="17" style="14" customWidth="1"/>
    <col min="3" max="3" width="11" style="14" customWidth="1"/>
    <col min="4" max="4" width="15" style="14" customWidth="1"/>
    <col min="5" max="5" width="9" style="14" customWidth="1"/>
    <col min="6" max="6" width="11.6640625" style="14" customWidth="1"/>
    <col min="7" max="7" width="11.1640625" style="14" customWidth="1"/>
    <col min="8" max="16384" width="10.83203125" style="14"/>
  </cols>
  <sheetData>
    <row r="1" spans="1:9" x14ac:dyDescent="0.25">
      <c r="A1" s="75" t="s">
        <v>108</v>
      </c>
      <c r="B1" s="76"/>
      <c r="C1" s="76"/>
      <c r="D1" s="76"/>
      <c r="E1" s="76"/>
      <c r="F1" s="76"/>
      <c r="G1" s="77"/>
    </row>
    <row r="2" spans="1:9" ht="15.5" x14ac:dyDescent="0.35">
      <c r="A2" s="78" t="s">
        <v>69</v>
      </c>
      <c r="B2" s="79"/>
      <c r="C2" s="79"/>
      <c r="D2" s="79"/>
      <c r="E2" s="79"/>
      <c r="F2" s="79"/>
      <c r="G2" s="80"/>
    </row>
    <row r="3" spans="1:9" x14ac:dyDescent="0.25">
      <c r="A3" s="81"/>
      <c r="B3" s="79"/>
      <c r="C3" s="79"/>
      <c r="D3" s="79"/>
      <c r="E3" s="79"/>
      <c r="F3" s="79"/>
      <c r="G3" s="80"/>
    </row>
    <row r="4" spans="1:9" x14ac:dyDescent="0.25">
      <c r="A4" s="81"/>
      <c r="B4" s="82" t="s">
        <v>70</v>
      </c>
      <c r="C4" s="83">
        <v>0.42292953242365916</v>
      </c>
      <c r="D4" s="84" t="s">
        <v>73</v>
      </c>
      <c r="E4" s="85">
        <v>51</v>
      </c>
      <c r="F4" s="79"/>
      <c r="G4" s="80"/>
    </row>
    <row r="5" spans="1:9" x14ac:dyDescent="0.25">
      <c r="A5" s="81"/>
      <c r="B5" s="82" t="s">
        <v>71</v>
      </c>
      <c r="C5" s="83">
        <v>0.65033032562203275</v>
      </c>
      <c r="D5" s="84" t="s">
        <v>74</v>
      </c>
      <c r="E5" s="85">
        <v>1</v>
      </c>
      <c r="F5" s="79"/>
      <c r="G5" s="80"/>
    </row>
    <row r="6" spans="1:9" ht="13" x14ac:dyDescent="0.3">
      <c r="A6" s="81"/>
      <c r="B6" s="82" t="s">
        <v>72</v>
      </c>
      <c r="C6" s="83">
        <v>0.1518425632199415</v>
      </c>
      <c r="D6" s="84" t="s">
        <v>75</v>
      </c>
      <c r="E6" s="86" t="s">
        <v>7</v>
      </c>
      <c r="F6" s="79"/>
      <c r="G6" s="80"/>
    </row>
    <row r="7" spans="1:9" x14ac:dyDescent="0.25">
      <c r="A7" s="81"/>
      <c r="B7" s="79"/>
      <c r="C7" s="79"/>
      <c r="D7" s="79"/>
      <c r="E7" s="79"/>
      <c r="F7" s="79"/>
      <c r="G7" s="80"/>
    </row>
    <row r="8" spans="1:9" x14ac:dyDescent="0.25">
      <c r="A8" s="81" t="s">
        <v>86</v>
      </c>
      <c r="B8" s="79"/>
      <c r="C8" s="79"/>
      <c r="D8" s="79"/>
      <c r="E8" s="79"/>
      <c r="F8" s="79"/>
      <c r="G8" s="80"/>
    </row>
    <row r="9" spans="1:9" ht="13" x14ac:dyDescent="0.3">
      <c r="A9" s="87" t="s">
        <v>87</v>
      </c>
      <c r="B9" s="17" t="s">
        <v>88</v>
      </c>
      <c r="C9" s="21" t="s">
        <v>89</v>
      </c>
      <c r="D9" s="17" t="s">
        <v>90</v>
      </c>
      <c r="E9" s="17" t="s">
        <v>91</v>
      </c>
      <c r="F9" s="17" t="s">
        <v>81</v>
      </c>
      <c r="G9" s="80"/>
    </row>
    <row r="10" spans="1:9" x14ac:dyDescent="0.25">
      <c r="A10" s="88" t="s">
        <v>92</v>
      </c>
      <c r="B10" s="89">
        <v>0.8279846696274582</v>
      </c>
      <c r="C10" s="90">
        <v>1</v>
      </c>
      <c r="D10" s="36">
        <v>0.8279846696274582</v>
      </c>
      <c r="E10" s="91">
        <v>35.911640350955537</v>
      </c>
      <c r="F10" s="92">
        <v>2.4023960894031742E-7</v>
      </c>
      <c r="G10" s="80"/>
    </row>
    <row r="11" spans="1:9" x14ac:dyDescent="0.25">
      <c r="A11" s="88" t="s">
        <v>93</v>
      </c>
      <c r="B11" s="89">
        <v>1.1297520362548945</v>
      </c>
      <c r="C11" s="90">
        <v>49</v>
      </c>
      <c r="D11" s="36">
        <v>2.305616400520193E-2</v>
      </c>
      <c r="E11" s="79"/>
      <c r="F11" s="79"/>
      <c r="G11" s="80"/>
    </row>
    <row r="12" spans="1:9" x14ac:dyDescent="0.25">
      <c r="A12" s="93" t="s">
        <v>4</v>
      </c>
      <c r="B12" s="20">
        <v>1.9577367058823527</v>
      </c>
      <c r="C12" s="22">
        <v>50</v>
      </c>
      <c r="D12" s="19"/>
      <c r="E12" s="19"/>
      <c r="F12" s="19"/>
      <c r="G12" s="80"/>
    </row>
    <row r="13" spans="1:9" x14ac:dyDescent="0.25">
      <c r="A13" s="81"/>
      <c r="B13" s="79"/>
      <c r="C13" s="79"/>
      <c r="D13" s="79"/>
      <c r="E13" s="79"/>
      <c r="F13" s="79"/>
      <c r="G13" s="80"/>
    </row>
    <row r="14" spans="1:9" x14ac:dyDescent="0.25">
      <c r="A14" s="81"/>
      <c r="B14" s="79"/>
      <c r="C14" s="79"/>
      <c r="D14" s="79"/>
      <c r="E14" s="79"/>
      <c r="F14" s="79"/>
      <c r="G14" s="80"/>
    </row>
    <row r="15" spans="1:9" ht="13" x14ac:dyDescent="0.3">
      <c r="A15" s="81" t="s">
        <v>76</v>
      </c>
      <c r="B15" s="79"/>
      <c r="C15" s="79"/>
      <c r="D15" s="37"/>
      <c r="E15" s="79"/>
      <c r="F15" s="94" t="s">
        <v>85</v>
      </c>
      <c r="G15" s="95"/>
      <c r="H15" s="16"/>
      <c r="I15" s="16"/>
    </row>
    <row r="16" spans="1:9" ht="13" x14ac:dyDescent="0.3">
      <c r="A16" s="87" t="s">
        <v>77</v>
      </c>
      <c r="B16" s="17" t="s">
        <v>78</v>
      </c>
      <c r="C16" s="17" t="s">
        <v>79</v>
      </c>
      <c r="D16" s="18" t="s">
        <v>80</v>
      </c>
      <c r="E16" s="17" t="s">
        <v>81</v>
      </c>
      <c r="F16" s="17" t="s">
        <v>82</v>
      </c>
      <c r="G16" s="96" t="s">
        <v>83</v>
      </c>
      <c r="H16" s="16"/>
      <c r="I16" s="16"/>
    </row>
    <row r="17" spans="1:9" x14ac:dyDescent="0.25">
      <c r="A17" s="97" t="s">
        <v>84</v>
      </c>
      <c r="B17" s="35">
        <v>-4.1060776730410664</v>
      </c>
      <c r="C17" s="36">
        <v>0.79134847090106841</v>
      </c>
      <c r="D17" s="37">
        <v>-5.1887099350374477</v>
      </c>
      <c r="E17" s="92">
        <v>4.0373454712274611E-6</v>
      </c>
      <c r="F17" s="35">
        <v>-5.6963519641039415</v>
      </c>
      <c r="G17" s="98">
        <v>-2.5158033819781913</v>
      </c>
      <c r="H17" s="16"/>
      <c r="I17" s="16"/>
    </row>
    <row r="18" spans="1:9" ht="13" thickBot="1" x14ac:dyDescent="0.3">
      <c r="A18" s="99" t="s">
        <v>4</v>
      </c>
      <c r="B18" s="100">
        <v>4.7148477188091262E-3</v>
      </c>
      <c r="C18" s="101">
        <v>7.86774089139522E-4</v>
      </c>
      <c r="D18" s="102">
        <v>5.9926321721723887</v>
      </c>
      <c r="E18" s="103">
        <v>2.4023960894031477E-7</v>
      </c>
      <c r="F18" s="100">
        <v>3.1337659920594304E-3</v>
      </c>
      <c r="G18" s="104">
        <v>6.2959294455588221E-3</v>
      </c>
      <c r="H18" s="16"/>
      <c r="I18" s="16"/>
    </row>
    <row r="21" spans="1:9" ht="13" thickBot="1" x14ac:dyDescent="0.3"/>
    <row r="22" spans="1:9" x14ac:dyDescent="0.25">
      <c r="A22" s="75" t="s">
        <v>107</v>
      </c>
      <c r="B22" s="76"/>
      <c r="C22" s="76"/>
      <c r="D22" s="76"/>
      <c r="E22" s="76"/>
      <c r="F22" s="76"/>
      <c r="G22" s="77"/>
    </row>
    <row r="23" spans="1:9" ht="15.5" x14ac:dyDescent="0.35">
      <c r="A23" s="78" t="s">
        <v>69</v>
      </c>
      <c r="B23" s="79"/>
      <c r="C23" s="79"/>
      <c r="D23" s="79"/>
      <c r="E23" s="79"/>
      <c r="F23" s="79"/>
      <c r="G23" s="80"/>
    </row>
    <row r="24" spans="1:9" x14ac:dyDescent="0.25">
      <c r="A24" s="81"/>
      <c r="B24" s="79"/>
      <c r="C24" s="79"/>
      <c r="D24" s="79"/>
      <c r="E24" s="79"/>
      <c r="F24" s="79"/>
      <c r="G24" s="80"/>
    </row>
    <row r="25" spans="1:9" x14ac:dyDescent="0.25">
      <c r="A25" s="81"/>
      <c r="B25" s="82" t="s">
        <v>70</v>
      </c>
      <c r="C25" s="83">
        <v>0.273721144168458</v>
      </c>
      <c r="D25" s="84" t="s">
        <v>73</v>
      </c>
      <c r="E25" s="85">
        <v>51</v>
      </c>
      <c r="F25" s="79"/>
      <c r="G25" s="80"/>
    </row>
    <row r="26" spans="1:9" x14ac:dyDescent="0.25">
      <c r="A26" s="81"/>
      <c r="B26" s="82" t="s">
        <v>71</v>
      </c>
      <c r="C26" s="83">
        <v>-0.52318366198540456</v>
      </c>
      <c r="D26" s="84" t="s">
        <v>74</v>
      </c>
      <c r="E26" s="85">
        <v>1</v>
      </c>
      <c r="F26" s="79"/>
      <c r="G26" s="80"/>
    </row>
    <row r="27" spans="1:9" ht="13" x14ac:dyDescent="0.3">
      <c r="A27" s="81"/>
      <c r="B27" s="82" t="s">
        <v>72</v>
      </c>
      <c r="C27" s="83">
        <v>0.13689357761434215</v>
      </c>
      <c r="D27" s="84" t="s">
        <v>75</v>
      </c>
      <c r="E27" s="86" t="s">
        <v>8</v>
      </c>
      <c r="F27" s="79"/>
      <c r="G27" s="80"/>
    </row>
    <row r="28" spans="1:9" x14ac:dyDescent="0.25">
      <c r="A28" s="81"/>
      <c r="B28" s="79"/>
      <c r="C28" s="79"/>
      <c r="D28" s="79"/>
      <c r="E28" s="79"/>
      <c r="F28" s="79"/>
      <c r="G28" s="80"/>
    </row>
    <row r="29" spans="1:9" x14ac:dyDescent="0.25">
      <c r="A29" s="81" t="s">
        <v>86</v>
      </c>
      <c r="B29" s="79"/>
      <c r="C29" s="79"/>
      <c r="D29" s="79"/>
      <c r="E29" s="79"/>
      <c r="F29" s="79"/>
      <c r="G29" s="80"/>
    </row>
    <row r="30" spans="1:9" ht="13" x14ac:dyDescent="0.3">
      <c r="A30" s="87" t="s">
        <v>87</v>
      </c>
      <c r="B30" s="17" t="s">
        <v>88</v>
      </c>
      <c r="C30" s="21" t="s">
        <v>89</v>
      </c>
      <c r="D30" s="17" t="s">
        <v>90</v>
      </c>
      <c r="E30" s="17" t="s">
        <v>91</v>
      </c>
      <c r="F30" s="17" t="s">
        <v>81</v>
      </c>
      <c r="G30" s="80"/>
    </row>
    <row r="31" spans="1:9" x14ac:dyDescent="0.25">
      <c r="A31" s="88" t="s">
        <v>92</v>
      </c>
      <c r="B31" s="89">
        <v>0.34607256610700443</v>
      </c>
      <c r="C31" s="90">
        <v>1</v>
      </c>
      <c r="D31" s="36">
        <v>0.34607256610700443</v>
      </c>
      <c r="E31" s="91">
        <v>18.467198867986031</v>
      </c>
      <c r="F31" s="105">
        <v>8.1792111837317123E-5</v>
      </c>
      <c r="G31" s="80"/>
    </row>
    <row r="32" spans="1:9" x14ac:dyDescent="0.25">
      <c r="A32" s="88" t="s">
        <v>93</v>
      </c>
      <c r="B32" s="89">
        <v>0.91825272801064217</v>
      </c>
      <c r="C32" s="90">
        <v>49</v>
      </c>
      <c r="D32" s="36">
        <v>1.8739851592053922E-2</v>
      </c>
      <c r="E32" s="79"/>
      <c r="F32" s="79"/>
      <c r="G32" s="80"/>
    </row>
    <row r="33" spans="1:9" x14ac:dyDescent="0.25">
      <c r="A33" s="93" t="s">
        <v>4</v>
      </c>
      <c r="B33" s="20">
        <v>1.2643252941176466</v>
      </c>
      <c r="C33" s="22">
        <v>50</v>
      </c>
      <c r="D33" s="19"/>
      <c r="E33" s="19"/>
      <c r="F33" s="19"/>
      <c r="G33" s="80"/>
    </row>
    <row r="34" spans="1:9" x14ac:dyDescent="0.25">
      <c r="A34" s="81"/>
      <c r="B34" s="79"/>
      <c r="C34" s="79"/>
      <c r="D34" s="79"/>
      <c r="E34" s="79"/>
      <c r="F34" s="79"/>
      <c r="G34" s="80"/>
    </row>
    <row r="35" spans="1:9" x14ac:dyDescent="0.25">
      <c r="A35" s="81"/>
      <c r="B35" s="79"/>
      <c r="C35" s="79"/>
      <c r="D35" s="79"/>
      <c r="E35" s="79"/>
      <c r="F35" s="79"/>
      <c r="G35" s="80"/>
    </row>
    <row r="36" spans="1:9" ht="13" x14ac:dyDescent="0.3">
      <c r="A36" s="81" t="s">
        <v>76</v>
      </c>
      <c r="B36" s="79"/>
      <c r="C36" s="79"/>
      <c r="D36" s="37"/>
      <c r="E36" s="79"/>
      <c r="F36" s="94" t="s">
        <v>85</v>
      </c>
      <c r="G36" s="95"/>
      <c r="H36" s="16"/>
      <c r="I36" s="16"/>
    </row>
    <row r="37" spans="1:9" ht="13" x14ac:dyDescent="0.3">
      <c r="A37" s="87" t="s">
        <v>77</v>
      </c>
      <c r="B37" s="17" t="s">
        <v>78</v>
      </c>
      <c r="C37" s="17" t="s">
        <v>79</v>
      </c>
      <c r="D37" s="18" t="s">
        <v>80</v>
      </c>
      <c r="E37" s="17" t="s">
        <v>81</v>
      </c>
      <c r="F37" s="17" t="s">
        <v>82</v>
      </c>
      <c r="G37" s="96" t="s">
        <v>83</v>
      </c>
      <c r="H37" s="16"/>
      <c r="I37" s="16"/>
    </row>
    <row r="38" spans="1:9" x14ac:dyDescent="0.25">
      <c r="A38" s="97" t="s">
        <v>84</v>
      </c>
      <c r="B38" s="35">
        <v>3.2236743929441172</v>
      </c>
      <c r="C38" s="36">
        <v>0.7134397696143433</v>
      </c>
      <c r="D38" s="37">
        <v>4.5184955061962766</v>
      </c>
      <c r="E38" s="92">
        <v>3.9424147113385737E-5</v>
      </c>
      <c r="F38" s="35">
        <v>1.7899634987439437</v>
      </c>
      <c r="G38" s="98">
        <v>4.6573852871442902</v>
      </c>
      <c r="H38" s="16"/>
      <c r="I38" s="16"/>
    </row>
    <row r="39" spans="1:9" ht="13" thickBot="1" x14ac:dyDescent="0.3">
      <c r="A39" s="99" t="s">
        <v>4</v>
      </c>
      <c r="B39" s="100">
        <v>-3.0481764897256126E-3</v>
      </c>
      <c r="C39" s="101">
        <v>7.0931573830564597E-4</v>
      </c>
      <c r="D39" s="102">
        <v>-4.2973478877077245</v>
      </c>
      <c r="E39" s="106">
        <v>8.1792111837316906E-5</v>
      </c>
      <c r="F39" s="100">
        <v>-4.4735998327306821E-3</v>
      </c>
      <c r="G39" s="104">
        <v>-1.622753146720543E-3</v>
      </c>
      <c r="H39" s="16"/>
      <c r="I39" s="16"/>
    </row>
    <row r="42" spans="1:9" ht="13" thickBot="1" x14ac:dyDescent="0.3"/>
    <row r="43" spans="1:9" x14ac:dyDescent="0.25">
      <c r="A43" s="75" t="s">
        <v>106</v>
      </c>
      <c r="B43" s="76"/>
      <c r="C43" s="76"/>
      <c r="D43" s="76"/>
      <c r="E43" s="76"/>
      <c r="F43" s="76"/>
      <c r="G43" s="77"/>
    </row>
    <row r="44" spans="1:9" ht="15.5" x14ac:dyDescent="0.35">
      <c r="A44" s="78" t="s">
        <v>69</v>
      </c>
      <c r="B44" s="79"/>
      <c r="C44" s="79"/>
      <c r="D44" s="79"/>
      <c r="E44" s="79"/>
      <c r="F44" s="79"/>
      <c r="G44" s="80"/>
    </row>
    <row r="45" spans="1:9" x14ac:dyDescent="0.25">
      <c r="A45" s="81"/>
      <c r="B45" s="79"/>
      <c r="C45" s="79"/>
      <c r="D45" s="79"/>
      <c r="E45" s="79"/>
      <c r="F45" s="79"/>
      <c r="G45" s="80"/>
    </row>
    <row r="46" spans="1:9" x14ac:dyDescent="0.25">
      <c r="A46" s="81"/>
      <c r="B46" s="82" t="s">
        <v>70</v>
      </c>
      <c r="C46" s="83">
        <v>5.2292777255363472E-2</v>
      </c>
      <c r="D46" s="84" t="s">
        <v>73</v>
      </c>
      <c r="E46" s="85">
        <v>51</v>
      </c>
      <c r="F46" s="79"/>
      <c r="G46" s="80"/>
    </row>
    <row r="47" spans="1:9" x14ac:dyDescent="0.25">
      <c r="A47" s="81"/>
      <c r="B47" s="82" t="s">
        <v>71</v>
      </c>
      <c r="C47" s="83">
        <v>-0.22867614054676424</v>
      </c>
      <c r="D47" s="84" t="s">
        <v>74</v>
      </c>
      <c r="E47" s="85">
        <v>1</v>
      </c>
      <c r="F47" s="79"/>
      <c r="G47" s="80"/>
    </row>
    <row r="48" spans="1:9" ht="13" x14ac:dyDescent="0.3">
      <c r="A48" s="81"/>
      <c r="B48" s="82" t="s">
        <v>72</v>
      </c>
      <c r="C48" s="83">
        <v>0.12769021270794378</v>
      </c>
      <c r="D48" s="84" t="s">
        <v>75</v>
      </c>
      <c r="E48" s="86" t="s">
        <v>9</v>
      </c>
      <c r="F48" s="79"/>
      <c r="G48" s="80"/>
    </row>
    <row r="49" spans="1:9" x14ac:dyDescent="0.25">
      <c r="A49" s="81"/>
      <c r="B49" s="79"/>
      <c r="C49" s="79"/>
      <c r="D49" s="79"/>
      <c r="E49" s="79"/>
      <c r="F49" s="79"/>
      <c r="G49" s="80"/>
    </row>
    <row r="50" spans="1:9" x14ac:dyDescent="0.25">
      <c r="A50" s="81" t="s">
        <v>86</v>
      </c>
      <c r="B50" s="79"/>
      <c r="C50" s="79"/>
      <c r="D50" s="79"/>
      <c r="E50" s="79"/>
      <c r="F50" s="79"/>
      <c r="G50" s="80"/>
    </row>
    <row r="51" spans="1:9" ht="13" x14ac:dyDescent="0.3">
      <c r="A51" s="87" t="s">
        <v>87</v>
      </c>
      <c r="B51" s="17" t="s">
        <v>88</v>
      </c>
      <c r="C51" s="21" t="s">
        <v>89</v>
      </c>
      <c r="D51" s="17" t="s">
        <v>90</v>
      </c>
      <c r="E51" s="17" t="s">
        <v>91</v>
      </c>
      <c r="F51" s="17" t="s">
        <v>81</v>
      </c>
      <c r="G51" s="80"/>
    </row>
    <row r="52" spans="1:9" x14ac:dyDescent="0.25">
      <c r="A52" s="88" t="s">
        <v>92</v>
      </c>
      <c r="B52" s="89">
        <v>4.4083779155324909E-2</v>
      </c>
      <c r="C52" s="90">
        <v>1</v>
      </c>
      <c r="D52" s="36">
        <v>4.4083779155324909E-2</v>
      </c>
      <c r="E52" s="91">
        <v>2.7037317264418954</v>
      </c>
      <c r="F52" s="38">
        <v>0.10651525624692955</v>
      </c>
      <c r="G52" s="80"/>
    </row>
    <row r="53" spans="1:9" x14ac:dyDescent="0.25">
      <c r="A53" s="88" t="s">
        <v>93</v>
      </c>
      <c r="B53" s="89">
        <v>0.79893473064859644</v>
      </c>
      <c r="C53" s="90">
        <v>49</v>
      </c>
      <c r="D53" s="36">
        <v>1.6304790421399928E-2</v>
      </c>
      <c r="E53" s="79"/>
      <c r="F53" s="79"/>
      <c r="G53" s="80"/>
    </row>
    <row r="54" spans="1:9" x14ac:dyDescent="0.25">
      <c r="A54" s="93" t="s">
        <v>4</v>
      </c>
      <c r="B54" s="20">
        <v>0.84301850980392135</v>
      </c>
      <c r="C54" s="22">
        <v>50</v>
      </c>
      <c r="D54" s="19"/>
      <c r="E54" s="19"/>
      <c r="F54" s="19"/>
      <c r="G54" s="80"/>
    </row>
    <row r="55" spans="1:9" x14ac:dyDescent="0.25">
      <c r="A55" s="81"/>
      <c r="B55" s="79"/>
      <c r="C55" s="79"/>
      <c r="D55" s="79"/>
      <c r="E55" s="79"/>
      <c r="F55" s="79"/>
      <c r="G55" s="80"/>
    </row>
    <row r="56" spans="1:9" x14ac:dyDescent="0.25">
      <c r="A56" s="81"/>
      <c r="B56" s="79"/>
      <c r="C56" s="79"/>
      <c r="D56" s="79"/>
      <c r="E56" s="79"/>
      <c r="F56" s="79"/>
      <c r="G56" s="80"/>
    </row>
    <row r="57" spans="1:9" ht="13" x14ac:dyDescent="0.3">
      <c r="A57" s="81" t="s">
        <v>76</v>
      </c>
      <c r="B57" s="79"/>
      <c r="C57" s="79"/>
      <c r="D57" s="37"/>
      <c r="E57" s="79"/>
      <c r="F57" s="94" t="s">
        <v>85</v>
      </c>
      <c r="G57" s="95"/>
      <c r="H57" s="16"/>
      <c r="I57" s="16"/>
    </row>
    <row r="58" spans="1:9" ht="13" x14ac:dyDescent="0.3">
      <c r="A58" s="87" t="s">
        <v>77</v>
      </c>
      <c r="B58" s="17" t="s">
        <v>78</v>
      </c>
      <c r="C58" s="17" t="s">
        <v>79</v>
      </c>
      <c r="D58" s="18" t="s">
        <v>80</v>
      </c>
      <c r="E58" s="17" t="s">
        <v>81</v>
      </c>
      <c r="F58" s="17" t="s">
        <v>82</v>
      </c>
      <c r="G58" s="96" t="s">
        <v>83</v>
      </c>
      <c r="H58" s="16"/>
      <c r="I58" s="16"/>
    </row>
    <row r="59" spans="1:9" x14ac:dyDescent="0.25">
      <c r="A59" s="107" t="s">
        <v>84</v>
      </c>
      <c r="B59" s="35">
        <v>1.225945677408351</v>
      </c>
      <c r="C59" s="36">
        <v>0.66547516343686774</v>
      </c>
      <c r="D59" s="37">
        <v>1.8422110166770393</v>
      </c>
      <c r="E59" s="38">
        <v>7.14996940061908E-2</v>
      </c>
      <c r="F59" s="35">
        <v>-0.1113767319589114</v>
      </c>
      <c r="G59" s="98">
        <v>2.5632680867756132</v>
      </c>
      <c r="H59" s="16"/>
      <c r="I59" s="16"/>
    </row>
    <row r="60" spans="1:9" ht="13" thickBot="1" x14ac:dyDescent="0.3">
      <c r="A60" s="108" t="s">
        <v>4</v>
      </c>
      <c r="B60" s="100">
        <v>-1.087917421658916E-3</v>
      </c>
      <c r="C60" s="101">
        <v>6.6162839104477408E-4</v>
      </c>
      <c r="D60" s="102">
        <v>-1.6443028086219078</v>
      </c>
      <c r="E60" s="109">
        <v>0.10651525624692995</v>
      </c>
      <c r="F60" s="100">
        <v>-2.4175094524841543E-3</v>
      </c>
      <c r="G60" s="104">
        <v>2.4167460916632252E-4</v>
      </c>
      <c r="H60" s="16"/>
      <c r="I60" s="16"/>
    </row>
    <row r="63" spans="1:9" ht="13" thickBot="1" x14ac:dyDescent="0.3"/>
    <row r="64" spans="1:9" x14ac:dyDescent="0.25">
      <c r="A64" s="75" t="s">
        <v>104</v>
      </c>
      <c r="B64" s="76"/>
      <c r="C64" s="76"/>
      <c r="D64" s="76"/>
      <c r="E64" s="76"/>
      <c r="F64" s="76"/>
      <c r="G64" s="77"/>
    </row>
    <row r="65" spans="1:9" ht="15.5" x14ac:dyDescent="0.35">
      <c r="A65" s="78" t="s">
        <v>69</v>
      </c>
      <c r="B65" s="79"/>
      <c r="C65" s="79"/>
      <c r="D65" s="79"/>
      <c r="E65" s="79"/>
      <c r="F65" s="79"/>
      <c r="G65" s="80"/>
    </row>
    <row r="66" spans="1:9" x14ac:dyDescent="0.25">
      <c r="A66" s="81"/>
      <c r="B66" s="79"/>
      <c r="C66" s="79"/>
      <c r="D66" s="79"/>
      <c r="E66" s="79"/>
      <c r="F66" s="79"/>
      <c r="G66" s="80"/>
    </row>
    <row r="67" spans="1:9" x14ac:dyDescent="0.25">
      <c r="A67" s="81"/>
      <c r="B67" s="82" t="s">
        <v>70</v>
      </c>
      <c r="C67" s="83">
        <v>1.5272986867053341E-2</v>
      </c>
      <c r="D67" s="84" t="s">
        <v>73</v>
      </c>
      <c r="E67" s="85">
        <v>51</v>
      </c>
      <c r="F67" s="79"/>
      <c r="G67" s="80"/>
    </row>
    <row r="68" spans="1:9" x14ac:dyDescent="0.25">
      <c r="A68" s="81"/>
      <c r="B68" s="82" t="s">
        <v>71</v>
      </c>
      <c r="C68" s="83">
        <v>-0.12358392641057064</v>
      </c>
      <c r="D68" s="84" t="s">
        <v>74</v>
      </c>
      <c r="E68" s="85">
        <v>1</v>
      </c>
      <c r="F68" s="79"/>
      <c r="G68" s="80"/>
    </row>
    <row r="69" spans="1:9" ht="13" x14ac:dyDescent="0.3">
      <c r="A69" s="81"/>
      <c r="B69" s="82" t="s">
        <v>72</v>
      </c>
      <c r="C69" s="83">
        <v>0.10068803812314878</v>
      </c>
      <c r="D69" s="84" t="s">
        <v>75</v>
      </c>
      <c r="E69" s="86" t="s">
        <v>10</v>
      </c>
      <c r="F69" s="79"/>
      <c r="G69" s="80"/>
    </row>
    <row r="70" spans="1:9" x14ac:dyDescent="0.25">
      <c r="A70" s="81"/>
      <c r="B70" s="79"/>
      <c r="C70" s="79"/>
      <c r="D70" s="79"/>
      <c r="E70" s="79"/>
      <c r="F70" s="79"/>
      <c r="G70" s="80"/>
    </row>
    <row r="71" spans="1:9" x14ac:dyDescent="0.25">
      <c r="A71" s="81" t="s">
        <v>86</v>
      </c>
      <c r="B71" s="79"/>
      <c r="C71" s="79"/>
      <c r="D71" s="79"/>
      <c r="E71" s="79"/>
      <c r="F71" s="79"/>
      <c r="G71" s="80"/>
    </row>
    <row r="72" spans="1:9" ht="13" x14ac:dyDescent="0.3">
      <c r="A72" s="87" t="s">
        <v>87</v>
      </c>
      <c r="B72" s="17" t="s">
        <v>88</v>
      </c>
      <c r="C72" s="21" t="s">
        <v>89</v>
      </c>
      <c r="D72" s="17" t="s">
        <v>90</v>
      </c>
      <c r="E72" s="17" t="s">
        <v>91</v>
      </c>
      <c r="F72" s="17" t="s">
        <v>81</v>
      </c>
      <c r="G72" s="80"/>
    </row>
    <row r="73" spans="1:9" x14ac:dyDescent="0.25">
      <c r="A73" s="88" t="s">
        <v>92</v>
      </c>
      <c r="B73" s="89">
        <v>7.7047750646949686E-3</v>
      </c>
      <c r="C73" s="90">
        <v>1</v>
      </c>
      <c r="D73" s="36">
        <v>7.7047750646949686E-3</v>
      </c>
      <c r="E73" s="91">
        <v>0.75998357565578067</v>
      </c>
      <c r="F73" s="38">
        <v>0.38758524956853668</v>
      </c>
      <c r="G73" s="80"/>
    </row>
    <row r="74" spans="1:9" x14ac:dyDescent="0.25">
      <c r="A74" s="88" t="s">
        <v>93</v>
      </c>
      <c r="B74" s="89">
        <v>0.49676597003334438</v>
      </c>
      <c r="C74" s="90">
        <v>49</v>
      </c>
      <c r="D74" s="36">
        <v>1.0138081021088661E-2</v>
      </c>
      <c r="E74" s="79"/>
      <c r="F74" s="79"/>
      <c r="G74" s="80"/>
    </row>
    <row r="75" spans="1:9" x14ac:dyDescent="0.25">
      <c r="A75" s="93" t="s">
        <v>4</v>
      </c>
      <c r="B75" s="20">
        <v>0.50447074509803935</v>
      </c>
      <c r="C75" s="22">
        <v>50</v>
      </c>
      <c r="D75" s="19"/>
      <c r="E75" s="19"/>
      <c r="F75" s="19"/>
      <c r="G75" s="80"/>
    </row>
    <row r="76" spans="1:9" x14ac:dyDescent="0.25">
      <c r="A76" s="81"/>
      <c r="B76" s="79"/>
      <c r="C76" s="79"/>
      <c r="D76" s="79"/>
      <c r="E76" s="79"/>
      <c r="F76" s="79"/>
      <c r="G76" s="80"/>
    </row>
    <row r="77" spans="1:9" x14ac:dyDescent="0.25">
      <c r="A77" s="81"/>
      <c r="B77" s="79"/>
      <c r="C77" s="79"/>
      <c r="D77" s="79"/>
      <c r="E77" s="79"/>
      <c r="F77" s="79"/>
      <c r="G77" s="80"/>
    </row>
    <row r="78" spans="1:9" ht="13" x14ac:dyDescent="0.3">
      <c r="A78" s="81" t="s">
        <v>76</v>
      </c>
      <c r="B78" s="79"/>
      <c r="C78" s="79"/>
      <c r="D78" s="37"/>
      <c r="E78" s="79"/>
      <c r="F78" s="94" t="s">
        <v>85</v>
      </c>
      <c r="G78" s="95"/>
      <c r="H78" s="16"/>
      <c r="I78" s="16"/>
    </row>
    <row r="79" spans="1:9" ht="13" x14ac:dyDescent="0.3">
      <c r="A79" s="87" t="s">
        <v>77</v>
      </c>
      <c r="B79" s="17" t="s">
        <v>78</v>
      </c>
      <c r="C79" s="17" t="s">
        <v>79</v>
      </c>
      <c r="D79" s="18" t="s">
        <v>80</v>
      </c>
      <c r="E79" s="17" t="s">
        <v>81</v>
      </c>
      <c r="F79" s="17" t="s">
        <v>82</v>
      </c>
      <c r="G79" s="96" t="s">
        <v>83</v>
      </c>
      <c r="H79" s="16"/>
      <c r="I79" s="16"/>
    </row>
    <row r="80" spans="1:9" x14ac:dyDescent="0.25">
      <c r="A80" s="107" t="s">
        <v>84</v>
      </c>
      <c r="B80" s="35">
        <v>0.50413914143035998</v>
      </c>
      <c r="C80" s="36">
        <v>0.52474960457146691</v>
      </c>
      <c r="D80" s="37">
        <v>0.96072324216816074</v>
      </c>
      <c r="E80" s="38">
        <v>0.34140834120314834</v>
      </c>
      <c r="F80" s="35">
        <v>-0.55038466960982002</v>
      </c>
      <c r="G80" s="98">
        <v>1.55866295247054</v>
      </c>
      <c r="H80" s="16"/>
      <c r="I80" s="16"/>
    </row>
    <row r="81" spans="1:9" ht="13" thickBot="1" x14ac:dyDescent="0.3">
      <c r="A81" s="108" t="s">
        <v>4</v>
      </c>
      <c r="B81" s="110">
        <v>-4.548168066802207E-4</v>
      </c>
      <c r="C81" s="101">
        <v>5.2171629483650631E-4</v>
      </c>
      <c r="D81" s="102">
        <v>-0.87177036864978441</v>
      </c>
      <c r="E81" s="109">
        <v>0.38758524956853646</v>
      </c>
      <c r="F81" s="110">
        <v>-1.5032449535904808E-3</v>
      </c>
      <c r="G81" s="111">
        <v>5.9361134023003942E-4</v>
      </c>
      <c r="H81" s="16"/>
      <c r="I81" s="16"/>
    </row>
    <row r="84" spans="1:9" ht="13" thickBot="1" x14ac:dyDescent="0.3"/>
    <row r="85" spans="1:9" x14ac:dyDescent="0.25">
      <c r="A85" s="75" t="s">
        <v>105</v>
      </c>
      <c r="B85" s="76"/>
      <c r="C85" s="76"/>
      <c r="D85" s="76"/>
      <c r="E85" s="76"/>
      <c r="F85" s="76"/>
      <c r="G85" s="77"/>
    </row>
    <row r="86" spans="1:9" ht="15.5" x14ac:dyDescent="0.35">
      <c r="A86" s="78" t="s">
        <v>69</v>
      </c>
      <c r="B86" s="79"/>
      <c r="C86" s="79"/>
      <c r="D86" s="79"/>
      <c r="E86" s="79"/>
      <c r="F86" s="79"/>
      <c r="G86" s="80"/>
    </row>
    <row r="87" spans="1:9" x14ac:dyDescent="0.25">
      <c r="A87" s="81"/>
      <c r="B87" s="79"/>
      <c r="C87" s="79"/>
      <c r="D87" s="79"/>
      <c r="E87" s="79"/>
      <c r="F87" s="79"/>
      <c r="G87" s="80"/>
    </row>
    <row r="88" spans="1:9" x14ac:dyDescent="0.25">
      <c r="A88" s="81"/>
      <c r="B88" s="82" t="s">
        <v>70</v>
      </c>
      <c r="C88" s="83">
        <v>3.56969929077447E-3</v>
      </c>
      <c r="D88" s="84" t="s">
        <v>73</v>
      </c>
      <c r="E88" s="85">
        <v>51</v>
      </c>
      <c r="F88" s="79"/>
      <c r="G88" s="80"/>
    </row>
    <row r="89" spans="1:9" x14ac:dyDescent="0.25">
      <c r="A89" s="81"/>
      <c r="B89" s="82" t="s">
        <v>71</v>
      </c>
      <c r="C89" s="83">
        <v>-5.9746960514945609E-2</v>
      </c>
      <c r="D89" s="84" t="s">
        <v>74</v>
      </c>
      <c r="E89" s="85">
        <v>1</v>
      </c>
      <c r="F89" s="79"/>
      <c r="G89" s="80"/>
    </row>
    <row r="90" spans="1:9" ht="13" x14ac:dyDescent="0.3">
      <c r="A90" s="81"/>
      <c r="B90" s="82" t="s">
        <v>72</v>
      </c>
      <c r="C90" s="83">
        <v>4.8464530377067758E-2</v>
      </c>
      <c r="D90" s="84" t="s">
        <v>75</v>
      </c>
      <c r="E90" s="86" t="s">
        <v>11</v>
      </c>
      <c r="F90" s="79"/>
      <c r="G90" s="80"/>
    </row>
    <row r="91" spans="1:9" x14ac:dyDescent="0.25">
      <c r="A91" s="81"/>
      <c r="B91" s="79"/>
      <c r="C91" s="79"/>
      <c r="D91" s="79"/>
      <c r="E91" s="79"/>
      <c r="F91" s="79"/>
      <c r="G91" s="80"/>
    </row>
    <row r="92" spans="1:9" x14ac:dyDescent="0.25">
      <c r="A92" s="81" t="s">
        <v>86</v>
      </c>
      <c r="B92" s="79"/>
      <c r="C92" s="79"/>
      <c r="D92" s="79"/>
      <c r="E92" s="79"/>
      <c r="F92" s="79"/>
      <c r="G92" s="80"/>
    </row>
    <row r="93" spans="1:9" ht="13" x14ac:dyDescent="0.3">
      <c r="A93" s="87" t="s">
        <v>87</v>
      </c>
      <c r="B93" s="17" t="s">
        <v>88</v>
      </c>
      <c r="C93" s="21" t="s">
        <v>89</v>
      </c>
      <c r="D93" s="17" t="s">
        <v>90</v>
      </c>
      <c r="E93" s="17" t="s">
        <v>91</v>
      </c>
      <c r="F93" s="17" t="s">
        <v>81</v>
      </c>
      <c r="G93" s="80"/>
    </row>
    <row r="94" spans="1:9" x14ac:dyDescent="0.25">
      <c r="A94" s="88" t="s">
        <v>92</v>
      </c>
      <c r="B94" s="112">
        <v>4.1231468686982187E-4</v>
      </c>
      <c r="C94" s="90">
        <v>1</v>
      </c>
      <c r="D94" s="113">
        <v>4.1231468686982187E-4</v>
      </c>
      <c r="E94" s="91">
        <v>0.17554189703328998</v>
      </c>
      <c r="F94" s="38">
        <v>0.67706378683422597</v>
      </c>
      <c r="G94" s="80"/>
    </row>
    <row r="95" spans="1:9" x14ac:dyDescent="0.25">
      <c r="A95" s="88" t="s">
        <v>93</v>
      </c>
      <c r="B95" s="112">
        <v>0.11509172452881646</v>
      </c>
      <c r="C95" s="90">
        <v>49</v>
      </c>
      <c r="D95" s="113">
        <v>2.3488107046697234E-3</v>
      </c>
      <c r="E95" s="79"/>
      <c r="F95" s="79"/>
      <c r="G95" s="80"/>
    </row>
    <row r="96" spans="1:9" x14ac:dyDescent="0.25">
      <c r="A96" s="93" t="s">
        <v>4</v>
      </c>
      <c r="B96" s="23">
        <v>0.11550403921568628</v>
      </c>
      <c r="C96" s="22">
        <v>50</v>
      </c>
      <c r="D96" s="19"/>
      <c r="E96" s="19"/>
      <c r="F96" s="19"/>
      <c r="G96" s="80"/>
    </row>
    <row r="97" spans="1:9" x14ac:dyDescent="0.25">
      <c r="A97" s="81"/>
      <c r="B97" s="79"/>
      <c r="C97" s="79"/>
      <c r="D97" s="79"/>
      <c r="E97" s="79"/>
      <c r="F97" s="79"/>
      <c r="G97" s="80"/>
    </row>
    <row r="98" spans="1:9" x14ac:dyDescent="0.25">
      <c r="A98" s="81"/>
      <c r="B98" s="79"/>
      <c r="C98" s="79"/>
      <c r="D98" s="79"/>
      <c r="E98" s="79"/>
      <c r="F98" s="79"/>
      <c r="G98" s="80"/>
    </row>
    <row r="99" spans="1:9" ht="13" x14ac:dyDescent="0.3">
      <c r="A99" s="81" t="s">
        <v>76</v>
      </c>
      <c r="B99" s="79"/>
      <c r="C99" s="79"/>
      <c r="D99" s="37"/>
      <c r="E99" s="79"/>
      <c r="F99" s="94" t="s">
        <v>85</v>
      </c>
      <c r="G99" s="95"/>
      <c r="H99" s="16"/>
      <c r="I99" s="16"/>
    </row>
    <row r="100" spans="1:9" ht="13" x14ac:dyDescent="0.3">
      <c r="A100" s="87" t="s">
        <v>77</v>
      </c>
      <c r="B100" s="17" t="s">
        <v>78</v>
      </c>
      <c r="C100" s="17" t="s">
        <v>79</v>
      </c>
      <c r="D100" s="18" t="s">
        <v>80</v>
      </c>
      <c r="E100" s="17" t="s">
        <v>81</v>
      </c>
      <c r="F100" s="17" t="s">
        <v>82</v>
      </c>
      <c r="G100" s="96" t="s">
        <v>83</v>
      </c>
      <c r="H100" s="16"/>
      <c r="I100" s="16"/>
    </row>
    <row r="101" spans="1:9" x14ac:dyDescent="0.25">
      <c r="A101" s="107" t="s">
        <v>84</v>
      </c>
      <c r="B101" s="35">
        <v>0.13064962954930037</v>
      </c>
      <c r="C101" s="36">
        <v>0.2525795876567114</v>
      </c>
      <c r="D101" s="37">
        <v>0.51726123540462132</v>
      </c>
      <c r="E101" s="38">
        <v>0.60730106936434924</v>
      </c>
      <c r="F101" s="35">
        <v>-0.37692805520994077</v>
      </c>
      <c r="G101" s="98">
        <v>0.63822731430854152</v>
      </c>
      <c r="H101" s="16"/>
      <c r="I101" s="16"/>
    </row>
    <row r="102" spans="1:9" ht="13" thickBot="1" x14ac:dyDescent="0.3">
      <c r="A102" s="108" t="s">
        <v>4</v>
      </c>
      <c r="B102" s="110">
        <v>-1.0521336844288622E-4</v>
      </c>
      <c r="C102" s="114">
        <v>2.51119553927449E-4</v>
      </c>
      <c r="D102" s="102">
        <v>-0.41897720347688827</v>
      </c>
      <c r="E102" s="109">
        <v>0.67706378683420532</v>
      </c>
      <c r="F102" s="110">
        <v>-6.0985700557442818E-4</v>
      </c>
      <c r="G102" s="111">
        <v>3.9943026868865579E-4</v>
      </c>
      <c r="H102" s="16"/>
      <c r="I102" s="16"/>
    </row>
    <row r="105" spans="1:9" ht="13" thickBot="1" x14ac:dyDescent="0.3"/>
    <row r="106" spans="1:9" x14ac:dyDescent="0.25">
      <c r="A106" s="75" t="s">
        <v>102</v>
      </c>
      <c r="B106" s="76"/>
      <c r="C106" s="76"/>
      <c r="D106" s="76"/>
      <c r="E106" s="76"/>
      <c r="F106" s="76"/>
      <c r="G106" s="77"/>
    </row>
    <row r="107" spans="1:9" ht="15.5" x14ac:dyDescent="0.35">
      <c r="A107" s="78" t="s">
        <v>69</v>
      </c>
      <c r="B107" s="79"/>
      <c r="C107" s="79"/>
      <c r="D107" s="79"/>
      <c r="E107" s="79"/>
      <c r="F107" s="79"/>
      <c r="G107" s="80"/>
    </row>
    <row r="108" spans="1:9" x14ac:dyDescent="0.25">
      <c r="A108" s="81"/>
      <c r="B108" s="79"/>
      <c r="C108" s="79"/>
      <c r="D108" s="79"/>
      <c r="E108" s="79"/>
      <c r="F108" s="79"/>
      <c r="G108" s="80"/>
    </row>
    <row r="109" spans="1:9" x14ac:dyDescent="0.25">
      <c r="A109" s="81"/>
      <c r="B109" s="82" t="s">
        <v>96</v>
      </c>
      <c r="C109" s="83">
        <v>0.48523961823263173</v>
      </c>
      <c r="D109" s="79"/>
      <c r="E109" s="79"/>
      <c r="F109" s="79"/>
      <c r="G109" s="80"/>
    </row>
    <row r="110" spans="1:9" x14ac:dyDescent="0.25">
      <c r="A110" s="81"/>
      <c r="B110" s="82" t="s">
        <v>99</v>
      </c>
      <c r="C110" s="83">
        <v>0.42804402025847965</v>
      </c>
      <c r="D110" s="84" t="s">
        <v>73</v>
      </c>
      <c r="E110" s="85">
        <v>51</v>
      </c>
      <c r="F110" s="79"/>
      <c r="G110" s="80"/>
    </row>
    <row r="111" spans="1:9" x14ac:dyDescent="0.25">
      <c r="A111" s="81"/>
      <c r="B111" s="82" t="s">
        <v>97</v>
      </c>
      <c r="C111" s="83">
        <v>0.69659142848059197</v>
      </c>
      <c r="D111" s="84" t="s">
        <v>74</v>
      </c>
      <c r="E111" s="85">
        <v>5</v>
      </c>
      <c r="F111" s="79"/>
      <c r="G111" s="80"/>
    </row>
    <row r="112" spans="1:9" ht="13" x14ac:dyDescent="0.3">
      <c r="A112" s="81"/>
      <c r="B112" s="82" t="s">
        <v>72</v>
      </c>
      <c r="C112" s="83">
        <v>20.641429841846175</v>
      </c>
      <c r="D112" s="84" t="s">
        <v>75</v>
      </c>
      <c r="E112" s="86" t="s">
        <v>4</v>
      </c>
      <c r="F112" s="79"/>
      <c r="G112" s="80"/>
    </row>
    <row r="113" spans="1:9" x14ac:dyDescent="0.25">
      <c r="A113" s="81"/>
      <c r="B113" s="79"/>
      <c r="C113" s="79"/>
      <c r="D113" s="79"/>
      <c r="E113" s="79"/>
      <c r="F113" s="79"/>
      <c r="G113" s="80"/>
    </row>
    <row r="114" spans="1:9" x14ac:dyDescent="0.25">
      <c r="A114" s="81" t="s">
        <v>86</v>
      </c>
      <c r="B114" s="79"/>
      <c r="C114" s="79"/>
      <c r="D114" s="79"/>
      <c r="E114" s="79"/>
      <c r="F114" s="79"/>
      <c r="G114" s="80"/>
    </row>
    <row r="115" spans="1:9" ht="13" x14ac:dyDescent="0.3">
      <c r="A115" s="87" t="s">
        <v>87</v>
      </c>
      <c r="B115" s="17" t="s">
        <v>88</v>
      </c>
      <c r="C115" s="21" t="s">
        <v>89</v>
      </c>
      <c r="D115" s="17" t="s">
        <v>90</v>
      </c>
      <c r="E115" s="17" t="s">
        <v>91</v>
      </c>
      <c r="F115" s="17" t="s">
        <v>81</v>
      </c>
      <c r="G115" s="80"/>
    </row>
    <row r="116" spans="1:9" x14ac:dyDescent="0.25">
      <c r="A116" s="88" t="s">
        <v>92</v>
      </c>
      <c r="B116" s="89">
        <v>18073.539284766783</v>
      </c>
      <c r="C116" s="90">
        <v>5</v>
      </c>
      <c r="D116" s="36">
        <v>3614.7078569533564</v>
      </c>
      <c r="E116" s="91">
        <v>8.4838630142816651</v>
      </c>
      <c r="F116" s="92">
        <v>1.0206744301163231E-5</v>
      </c>
      <c r="G116" s="80"/>
    </row>
    <row r="117" spans="1:9" x14ac:dyDescent="0.25">
      <c r="A117" s="88" t="s">
        <v>93</v>
      </c>
      <c r="B117" s="89">
        <v>19173.088166213602</v>
      </c>
      <c r="C117" s="90">
        <v>45</v>
      </c>
      <c r="D117" s="36">
        <v>426.06862591585781</v>
      </c>
      <c r="E117" s="79"/>
      <c r="F117" s="79"/>
      <c r="G117" s="80"/>
    </row>
    <row r="118" spans="1:9" x14ac:dyDescent="0.25">
      <c r="A118" s="93" t="s">
        <v>4</v>
      </c>
      <c r="B118" s="20">
        <v>37246.627450980384</v>
      </c>
      <c r="C118" s="22">
        <v>50</v>
      </c>
      <c r="D118" s="19"/>
      <c r="E118" s="19"/>
      <c r="F118" s="19"/>
      <c r="G118" s="80"/>
    </row>
    <row r="119" spans="1:9" x14ac:dyDescent="0.25">
      <c r="A119" s="81"/>
      <c r="B119" s="79"/>
      <c r="C119" s="79"/>
      <c r="D119" s="79"/>
      <c r="E119" s="79"/>
      <c r="F119" s="79"/>
      <c r="G119" s="80"/>
    </row>
    <row r="120" spans="1:9" x14ac:dyDescent="0.25">
      <c r="A120" s="81"/>
      <c r="B120" s="79"/>
      <c r="C120" s="79"/>
      <c r="D120" s="79"/>
      <c r="E120" s="79"/>
      <c r="F120" s="79"/>
      <c r="G120" s="80"/>
    </row>
    <row r="121" spans="1:9" ht="13" x14ac:dyDescent="0.3">
      <c r="A121" s="81" t="s">
        <v>76</v>
      </c>
      <c r="B121" s="79"/>
      <c r="C121" s="79"/>
      <c r="D121" s="37"/>
      <c r="E121" s="79"/>
      <c r="F121" s="94" t="s">
        <v>85</v>
      </c>
      <c r="G121" s="95"/>
      <c r="H121" s="16"/>
      <c r="I121" s="16"/>
    </row>
    <row r="122" spans="1:9" ht="13" x14ac:dyDescent="0.3">
      <c r="A122" s="87" t="s">
        <v>77</v>
      </c>
      <c r="B122" s="17" t="s">
        <v>78</v>
      </c>
      <c r="C122" s="17" t="s">
        <v>79</v>
      </c>
      <c r="D122" s="18" t="s">
        <v>98</v>
      </c>
      <c r="E122" s="17" t="s">
        <v>81</v>
      </c>
      <c r="F122" s="17" t="s">
        <v>82</v>
      </c>
      <c r="G122" s="96" t="s">
        <v>83</v>
      </c>
      <c r="H122" s="16"/>
      <c r="I122" s="16"/>
    </row>
    <row r="123" spans="1:9" x14ac:dyDescent="0.25">
      <c r="A123" s="97" t="s">
        <v>84</v>
      </c>
      <c r="B123" s="35">
        <v>1051.8160013057304</v>
      </c>
      <c r="C123" s="36">
        <v>294.70225111757981</v>
      </c>
      <c r="D123" s="37">
        <v>3.5690803084027976</v>
      </c>
      <c r="E123" s="105">
        <v>8.6546590083173933E-4</v>
      </c>
      <c r="F123" s="35">
        <v>458.25519861899897</v>
      </c>
      <c r="G123" s="98">
        <v>1645.3768039924619</v>
      </c>
      <c r="H123" s="16"/>
      <c r="I123" s="16"/>
    </row>
    <row r="124" spans="1:9" x14ac:dyDescent="0.25">
      <c r="A124" s="107" t="s">
        <v>7</v>
      </c>
      <c r="B124" s="35">
        <v>-11.295727938213959</v>
      </c>
      <c r="C124" s="36">
        <v>294.34569209479764</v>
      </c>
      <c r="D124" s="37">
        <v>-3.8375720255406462E-2</v>
      </c>
      <c r="E124" s="120">
        <v>0.96955786564647828</v>
      </c>
      <c r="F124" s="121">
        <v>-604.13838388882391</v>
      </c>
      <c r="G124" s="122">
        <v>581.54692801239594</v>
      </c>
      <c r="H124" s="16"/>
      <c r="I124" s="16"/>
    </row>
    <row r="125" spans="1:9" x14ac:dyDescent="0.25">
      <c r="A125" s="107" t="s">
        <v>8</v>
      </c>
      <c r="B125" s="35">
        <v>-130.80574364765673</v>
      </c>
      <c r="C125" s="36">
        <v>294.90842289602824</v>
      </c>
      <c r="D125" s="37">
        <v>-0.44354699117486068</v>
      </c>
      <c r="E125" s="120">
        <v>0.65949549493098236</v>
      </c>
      <c r="F125" s="121">
        <v>-724.78179761205286</v>
      </c>
      <c r="G125" s="122">
        <v>463.17031031673935</v>
      </c>
      <c r="H125" s="16"/>
      <c r="I125" s="16"/>
    </row>
    <row r="126" spans="1:9" x14ac:dyDescent="0.25">
      <c r="A126" s="107" t="s">
        <v>9</v>
      </c>
      <c r="B126" s="35">
        <v>-80.161468683181056</v>
      </c>
      <c r="C126" s="36">
        <v>296.26401619188243</v>
      </c>
      <c r="D126" s="37">
        <v>-0.27057443463286668</v>
      </c>
      <c r="E126" s="120">
        <v>0.78795554270698642</v>
      </c>
      <c r="F126" s="121">
        <v>-676.86782769870126</v>
      </c>
      <c r="G126" s="122">
        <v>516.54489033233915</v>
      </c>
      <c r="H126" s="16"/>
      <c r="I126" s="16"/>
    </row>
    <row r="127" spans="1:9" x14ac:dyDescent="0.25">
      <c r="A127" s="107" t="s">
        <v>10</v>
      </c>
      <c r="B127" s="35">
        <v>-75.802785172313421</v>
      </c>
      <c r="C127" s="36">
        <v>299.27896338030769</v>
      </c>
      <c r="D127" s="37">
        <v>-0.25328470907588413</v>
      </c>
      <c r="E127" s="120">
        <v>0.80120179999318109</v>
      </c>
      <c r="F127" s="121">
        <v>-678.58155953733763</v>
      </c>
      <c r="G127" s="122">
        <v>526.97598919271081</v>
      </c>
      <c r="H127" s="16"/>
      <c r="I127" s="16"/>
    </row>
    <row r="128" spans="1:9" ht="13" thickBot="1" x14ac:dyDescent="0.3">
      <c r="A128" s="108" t="s">
        <v>11</v>
      </c>
      <c r="B128" s="100">
        <v>-171.96316474394305</v>
      </c>
      <c r="C128" s="101">
        <v>334.42955260139928</v>
      </c>
      <c r="D128" s="102">
        <v>-0.51419847141590069</v>
      </c>
      <c r="E128" s="123">
        <v>0.60962933249105999</v>
      </c>
      <c r="F128" s="124">
        <v>-845.53885998032638</v>
      </c>
      <c r="G128" s="125">
        <v>501.61253049244033</v>
      </c>
      <c r="H128" s="16"/>
      <c r="I128" s="16"/>
    </row>
    <row r="129" spans="1:9" x14ac:dyDescent="0.25">
      <c r="A129" s="26"/>
      <c r="B129" s="35"/>
      <c r="C129" s="36"/>
      <c r="D129" s="37"/>
      <c r="E129" s="38"/>
      <c r="F129" s="35"/>
      <c r="G129" s="35"/>
      <c r="H129" s="16"/>
      <c r="I129" s="16"/>
    </row>
    <row r="130" spans="1:9" x14ac:dyDescent="0.25">
      <c r="A130" s="26"/>
      <c r="B130" s="35"/>
      <c r="C130" s="36"/>
      <c r="D130" s="37"/>
      <c r="E130" s="38"/>
      <c r="F130" s="35"/>
      <c r="G130" s="35"/>
      <c r="H130" s="16"/>
      <c r="I130" s="16"/>
    </row>
    <row r="131" spans="1:9" ht="13" thickBot="1" x14ac:dyDescent="0.3"/>
    <row r="132" spans="1:9" x14ac:dyDescent="0.25">
      <c r="A132" s="75" t="s">
        <v>103</v>
      </c>
      <c r="B132" s="76"/>
      <c r="C132" s="76"/>
      <c r="D132" s="76"/>
      <c r="E132" s="76"/>
      <c r="F132" s="76"/>
      <c r="G132" s="77"/>
    </row>
    <row r="133" spans="1:9" ht="15.5" x14ac:dyDescent="0.35">
      <c r="A133" s="78" t="s">
        <v>69</v>
      </c>
      <c r="B133" s="79"/>
      <c r="C133" s="79"/>
      <c r="D133" s="79"/>
      <c r="E133" s="79"/>
      <c r="F133" s="79"/>
      <c r="G133" s="80"/>
    </row>
    <row r="134" spans="1:9" x14ac:dyDescent="0.25">
      <c r="A134" s="81"/>
      <c r="B134" s="79"/>
      <c r="C134" s="79"/>
      <c r="D134" s="79"/>
      <c r="E134" s="79"/>
      <c r="F134" s="79"/>
      <c r="G134" s="80"/>
    </row>
    <row r="135" spans="1:9" x14ac:dyDescent="0.25">
      <c r="A135" s="81"/>
      <c r="B135" s="82" t="s">
        <v>70</v>
      </c>
      <c r="C135" s="83">
        <v>0.6908432600782497</v>
      </c>
      <c r="D135" s="84" t="s">
        <v>73</v>
      </c>
      <c r="E135" s="85">
        <v>51</v>
      </c>
      <c r="F135" s="79"/>
      <c r="G135" s="80"/>
    </row>
    <row r="136" spans="1:9" x14ac:dyDescent="0.25">
      <c r="A136" s="81"/>
      <c r="B136" s="82" t="s">
        <v>71</v>
      </c>
      <c r="C136" s="83">
        <v>-0.8311698142246563</v>
      </c>
      <c r="D136" s="84" t="s">
        <v>74</v>
      </c>
      <c r="E136" s="85">
        <v>1</v>
      </c>
      <c r="F136" s="79"/>
      <c r="G136" s="80"/>
    </row>
    <row r="137" spans="1:9" ht="13" x14ac:dyDescent="0.3">
      <c r="A137" s="81"/>
      <c r="B137" s="82" t="s">
        <v>72</v>
      </c>
      <c r="C137" s="83">
        <v>5.9659607119204969E-2</v>
      </c>
      <c r="D137" s="84" t="s">
        <v>75</v>
      </c>
      <c r="E137" s="86" t="s">
        <v>13</v>
      </c>
      <c r="F137" s="79"/>
      <c r="G137" s="80"/>
    </row>
    <row r="138" spans="1:9" x14ac:dyDescent="0.25">
      <c r="A138" s="81"/>
      <c r="B138" s="79"/>
      <c r="C138" s="79"/>
      <c r="D138" s="79"/>
      <c r="E138" s="79"/>
      <c r="F138" s="79"/>
      <c r="G138" s="80"/>
    </row>
    <row r="139" spans="1:9" x14ac:dyDescent="0.25">
      <c r="A139" s="81" t="s">
        <v>86</v>
      </c>
      <c r="B139" s="79"/>
      <c r="C139" s="79"/>
      <c r="D139" s="79"/>
      <c r="E139" s="79"/>
      <c r="F139" s="79"/>
      <c r="G139" s="80"/>
    </row>
    <row r="140" spans="1:9" ht="13" x14ac:dyDescent="0.3">
      <c r="A140" s="87" t="s">
        <v>87</v>
      </c>
      <c r="B140" s="17" t="s">
        <v>88</v>
      </c>
      <c r="C140" s="21" t="s">
        <v>89</v>
      </c>
      <c r="D140" s="17" t="s">
        <v>90</v>
      </c>
      <c r="E140" s="17" t="s">
        <v>91</v>
      </c>
      <c r="F140" s="17" t="s">
        <v>81</v>
      </c>
      <c r="G140" s="80"/>
    </row>
    <row r="141" spans="1:9" x14ac:dyDescent="0.25">
      <c r="A141" s="88" t="s">
        <v>92</v>
      </c>
      <c r="B141" s="112">
        <v>0.38972446009170364</v>
      </c>
      <c r="C141" s="90">
        <v>1</v>
      </c>
      <c r="D141" s="113">
        <v>0.38972446009170364</v>
      </c>
      <c r="E141" s="91">
        <v>109.49565502729209</v>
      </c>
      <c r="F141" s="92">
        <v>4.3710045906172823E-14</v>
      </c>
      <c r="G141" s="80"/>
    </row>
    <row r="142" spans="1:9" x14ac:dyDescent="0.25">
      <c r="A142" s="88" t="s">
        <v>93</v>
      </c>
      <c r="B142" s="112">
        <v>0.17440416735927672</v>
      </c>
      <c r="C142" s="90">
        <v>49</v>
      </c>
      <c r="D142" s="113">
        <v>3.5592687216178922E-3</v>
      </c>
      <c r="E142" s="79"/>
      <c r="F142" s="79"/>
      <c r="G142" s="80"/>
    </row>
    <row r="143" spans="1:9" x14ac:dyDescent="0.25">
      <c r="A143" s="93" t="s">
        <v>4</v>
      </c>
      <c r="B143" s="23">
        <v>0.56412862745098036</v>
      </c>
      <c r="C143" s="22">
        <v>50</v>
      </c>
      <c r="D143" s="19"/>
      <c r="E143" s="19"/>
      <c r="F143" s="19"/>
      <c r="G143" s="80"/>
    </row>
    <row r="144" spans="1:9" x14ac:dyDescent="0.25">
      <c r="A144" s="81"/>
      <c r="B144" s="79"/>
      <c r="C144" s="79"/>
      <c r="D144" s="79"/>
      <c r="E144" s="79"/>
      <c r="F144" s="79"/>
      <c r="G144" s="80"/>
    </row>
    <row r="145" spans="1:9" x14ac:dyDescent="0.25">
      <c r="A145" s="81"/>
      <c r="B145" s="79"/>
      <c r="C145" s="79"/>
      <c r="D145" s="79"/>
      <c r="E145" s="79"/>
      <c r="F145" s="79"/>
      <c r="G145" s="80"/>
    </row>
    <row r="146" spans="1:9" ht="13" x14ac:dyDescent="0.3">
      <c r="A146" s="81" t="s">
        <v>76</v>
      </c>
      <c r="B146" s="79"/>
      <c r="C146" s="79"/>
      <c r="D146" s="37"/>
      <c r="E146" s="79"/>
      <c r="F146" s="94" t="s">
        <v>85</v>
      </c>
      <c r="G146" s="95"/>
      <c r="H146" s="16"/>
      <c r="I146" s="16"/>
    </row>
    <row r="147" spans="1:9" ht="13" x14ac:dyDescent="0.3">
      <c r="A147" s="87" t="s">
        <v>77</v>
      </c>
      <c r="B147" s="17" t="s">
        <v>78</v>
      </c>
      <c r="C147" s="17" t="s">
        <v>79</v>
      </c>
      <c r="D147" s="18" t="s">
        <v>80</v>
      </c>
      <c r="E147" s="17" t="s">
        <v>81</v>
      </c>
      <c r="F147" s="17" t="s">
        <v>82</v>
      </c>
      <c r="G147" s="96" t="s">
        <v>83</v>
      </c>
      <c r="H147" s="16"/>
      <c r="I147" s="16"/>
    </row>
    <row r="148" spans="1:9" x14ac:dyDescent="0.25">
      <c r="A148" s="97" t="s">
        <v>84</v>
      </c>
      <c r="B148" s="35">
        <v>3.6721266797151788</v>
      </c>
      <c r="C148" s="36">
        <v>0.31092427490147279</v>
      </c>
      <c r="D148" s="37">
        <v>11.810356978009583</v>
      </c>
      <c r="E148" s="92">
        <v>6.0618668517271173E-16</v>
      </c>
      <c r="F148" s="35">
        <v>3.0473009562508149</v>
      </c>
      <c r="G148" s="98">
        <v>4.2969524031795423</v>
      </c>
      <c r="H148" s="16"/>
      <c r="I148" s="16"/>
    </row>
    <row r="149" spans="1:9" ht="13" thickBot="1" x14ac:dyDescent="0.3">
      <c r="A149" s="99" t="s">
        <v>4</v>
      </c>
      <c r="B149" s="100">
        <v>-3.2347100250687253E-3</v>
      </c>
      <c r="C149" s="114">
        <v>3.0912698030291009E-4</v>
      </c>
      <c r="D149" s="102">
        <v>-10.464017155342018</v>
      </c>
      <c r="E149" s="103">
        <v>4.3710045906173138E-14</v>
      </c>
      <c r="F149" s="100">
        <v>-3.8559239498139912E-3</v>
      </c>
      <c r="G149" s="104">
        <v>-2.6134961003234595E-3</v>
      </c>
      <c r="H149" s="16"/>
      <c r="I149" s="16"/>
    </row>
    <row r="152" spans="1:9" ht="13" thickBot="1" x14ac:dyDescent="0.3"/>
    <row r="153" spans="1:9" x14ac:dyDescent="0.25">
      <c r="A153" s="75" t="s">
        <v>100</v>
      </c>
      <c r="B153" s="76"/>
      <c r="C153" s="76"/>
      <c r="D153" s="76"/>
      <c r="E153" s="76"/>
      <c r="F153" s="76"/>
      <c r="G153" s="77"/>
    </row>
    <row r="154" spans="1:9" ht="15.5" x14ac:dyDescent="0.35">
      <c r="A154" s="78" t="s">
        <v>69</v>
      </c>
      <c r="B154" s="79"/>
      <c r="C154" s="79"/>
      <c r="D154" s="79"/>
      <c r="E154" s="79"/>
      <c r="F154" s="79"/>
      <c r="G154" s="80"/>
    </row>
    <row r="155" spans="1:9" x14ac:dyDescent="0.25">
      <c r="A155" s="81"/>
      <c r="B155" s="79"/>
      <c r="C155" s="79"/>
      <c r="D155" s="79"/>
      <c r="E155" s="79"/>
      <c r="F155" s="79"/>
      <c r="G155" s="80"/>
    </row>
    <row r="156" spans="1:9" x14ac:dyDescent="0.25">
      <c r="A156" s="81"/>
      <c r="B156" s="82" t="s">
        <v>70</v>
      </c>
      <c r="C156" s="83">
        <v>0.22393342186075016</v>
      </c>
      <c r="D156" s="84" t="s">
        <v>73</v>
      </c>
      <c r="E156" s="85">
        <v>51</v>
      </c>
      <c r="F156" s="79"/>
      <c r="G156" s="80"/>
    </row>
    <row r="157" spans="1:9" x14ac:dyDescent="0.25">
      <c r="A157" s="81"/>
      <c r="B157" s="82" t="s">
        <v>71</v>
      </c>
      <c r="C157" s="83">
        <v>-0.47321604142373508</v>
      </c>
      <c r="D157" s="84" t="s">
        <v>74</v>
      </c>
      <c r="E157" s="85">
        <v>1</v>
      </c>
      <c r="F157" s="79"/>
      <c r="G157" s="80"/>
    </row>
    <row r="158" spans="1:9" ht="13" x14ac:dyDescent="0.3">
      <c r="A158" s="81"/>
      <c r="B158" s="82" t="s">
        <v>72</v>
      </c>
      <c r="C158" s="83">
        <v>5.3126777995377981E-2</v>
      </c>
      <c r="D158" s="84" t="s">
        <v>75</v>
      </c>
      <c r="E158" s="86" t="s">
        <v>14</v>
      </c>
      <c r="F158" s="79"/>
      <c r="G158" s="80"/>
    </row>
    <row r="159" spans="1:9" x14ac:dyDescent="0.25">
      <c r="A159" s="81"/>
      <c r="B159" s="79"/>
      <c r="C159" s="79"/>
      <c r="D159" s="79"/>
      <c r="E159" s="79"/>
      <c r="F159" s="79"/>
      <c r="G159" s="80"/>
    </row>
    <row r="160" spans="1:9" x14ac:dyDescent="0.25">
      <c r="A160" s="81" t="s">
        <v>86</v>
      </c>
      <c r="B160" s="79"/>
      <c r="C160" s="79"/>
      <c r="D160" s="79"/>
      <c r="E160" s="79"/>
      <c r="F160" s="79"/>
      <c r="G160" s="80"/>
    </row>
    <row r="161" spans="1:9" ht="13" x14ac:dyDescent="0.3">
      <c r="A161" s="87" t="s">
        <v>87</v>
      </c>
      <c r="B161" s="17" t="s">
        <v>88</v>
      </c>
      <c r="C161" s="21" t="s">
        <v>89</v>
      </c>
      <c r="D161" s="17" t="s">
        <v>90</v>
      </c>
      <c r="E161" s="17" t="s">
        <v>91</v>
      </c>
      <c r="F161" s="17" t="s">
        <v>81</v>
      </c>
      <c r="G161" s="80"/>
    </row>
    <row r="162" spans="1:9" x14ac:dyDescent="0.25">
      <c r="A162" s="88" t="s">
        <v>92</v>
      </c>
      <c r="B162" s="112">
        <v>3.9906438610415484E-2</v>
      </c>
      <c r="C162" s="90">
        <v>1</v>
      </c>
      <c r="D162" s="113">
        <v>3.9906438610415484E-2</v>
      </c>
      <c r="E162" s="91">
        <v>14.138912794680248</v>
      </c>
      <c r="F162" s="105">
        <v>4.5322501486651619E-4</v>
      </c>
      <c r="G162" s="80"/>
    </row>
    <row r="163" spans="1:9" x14ac:dyDescent="0.25">
      <c r="A163" s="88" t="s">
        <v>93</v>
      </c>
      <c r="B163" s="112">
        <v>0.13830027246833873</v>
      </c>
      <c r="C163" s="90">
        <v>49</v>
      </c>
      <c r="D163" s="113">
        <v>2.822454540170178E-3</v>
      </c>
      <c r="E163" s="79"/>
      <c r="F163" s="79"/>
      <c r="G163" s="80"/>
    </row>
    <row r="164" spans="1:9" x14ac:dyDescent="0.25">
      <c r="A164" s="93" t="s">
        <v>4</v>
      </c>
      <c r="B164" s="23">
        <v>0.17820671107875422</v>
      </c>
      <c r="C164" s="22">
        <v>50</v>
      </c>
      <c r="D164" s="19"/>
      <c r="E164" s="19"/>
      <c r="F164" s="19"/>
      <c r="G164" s="80"/>
    </row>
    <row r="165" spans="1:9" x14ac:dyDescent="0.25">
      <c r="A165" s="81"/>
      <c r="B165" s="79"/>
      <c r="C165" s="79"/>
      <c r="D165" s="79"/>
      <c r="E165" s="79"/>
      <c r="F165" s="79"/>
      <c r="G165" s="80"/>
    </row>
    <row r="166" spans="1:9" x14ac:dyDescent="0.25">
      <c r="A166" s="81"/>
      <c r="B166" s="79"/>
      <c r="C166" s="79"/>
      <c r="D166" s="79"/>
      <c r="E166" s="79"/>
      <c r="F166" s="79"/>
      <c r="G166" s="80"/>
    </row>
    <row r="167" spans="1:9" ht="13" x14ac:dyDescent="0.3">
      <c r="A167" s="81" t="s">
        <v>76</v>
      </c>
      <c r="B167" s="79"/>
      <c r="C167" s="79"/>
      <c r="D167" s="37"/>
      <c r="E167" s="79"/>
      <c r="F167" s="94" t="s">
        <v>85</v>
      </c>
      <c r="G167" s="95"/>
      <c r="H167" s="16"/>
      <c r="I167" s="16"/>
    </row>
    <row r="168" spans="1:9" ht="13" x14ac:dyDescent="0.3">
      <c r="A168" s="87" t="s">
        <v>77</v>
      </c>
      <c r="B168" s="17" t="s">
        <v>78</v>
      </c>
      <c r="C168" s="17" t="s">
        <v>79</v>
      </c>
      <c r="D168" s="18" t="s">
        <v>80</v>
      </c>
      <c r="E168" s="17" t="s">
        <v>81</v>
      </c>
      <c r="F168" s="17" t="s">
        <v>82</v>
      </c>
      <c r="G168" s="96" t="s">
        <v>83</v>
      </c>
      <c r="H168" s="16"/>
      <c r="I168" s="16"/>
    </row>
    <row r="169" spans="1:9" x14ac:dyDescent="0.25">
      <c r="A169" s="97" t="s">
        <v>84</v>
      </c>
      <c r="B169" s="35">
        <v>1.0848129859954094</v>
      </c>
      <c r="C169" s="36">
        <v>0.2768775344607825</v>
      </c>
      <c r="D169" s="37">
        <v>3.9180245811856018</v>
      </c>
      <c r="E169" s="105">
        <v>2.7674996826854408E-4</v>
      </c>
      <c r="F169" s="35">
        <v>0.52840674902562346</v>
      </c>
      <c r="G169" s="98">
        <v>1.6412192229651954</v>
      </c>
      <c r="H169" s="16"/>
      <c r="I169" s="16"/>
    </row>
    <row r="170" spans="1:9" ht="13" thickBot="1" x14ac:dyDescent="0.3">
      <c r="A170" s="99" t="s">
        <v>4</v>
      </c>
      <c r="B170" s="100">
        <v>-1.0350897506179785E-3</v>
      </c>
      <c r="C170" s="114">
        <v>2.7527704669794248E-4</v>
      </c>
      <c r="D170" s="102">
        <v>-3.7601745697081945</v>
      </c>
      <c r="E170" s="106">
        <v>4.5322501486652259E-4</v>
      </c>
      <c r="F170" s="100">
        <v>-1.5882796870122329E-3</v>
      </c>
      <c r="G170" s="104">
        <v>-4.8189981422372419E-4</v>
      </c>
      <c r="H170" s="16"/>
      <c r="I170" s="16"/>
    </row>
    <row r="173" spans="1:9" ht="13" thickBot="1" x14ac:dyDescent="0.3"/>
    <row r="174" spans="1:9" x14ac:dyDescent="0.25">
      <c r="A174" s="75" t="s">
        <v>101</v>
      </c>
      <c r="B174" s="76"/>
      <c r="C174" s="76"/>
      <c r="D174" s="76"/>
      <c r="E174" s="76"/>
      <c r="F174" s="76"/>
      <c r="G174" s="77"/>
    </row>
    <row r="175" spans="1:9" ht="15.5" x14ac:dyDescent="0.35">
      <c r="A175" s="78" t="s">
        <v>69</v>
      </c>
      <c r="B175" s="79"/>
      <c r="C175" s="79"/>
      <c r="D175" s="79"/>
      <c r="E175" s="79"/>
      <c r="F175" s="79"/>
      <c r="G175" s="80"/>
    </row>
    <row r="176" spans="1:9" x14ac:dyDescent="0.25">
      <c r="A176" s="81"/>
      <c r="B176" s="79"/>
      <c r="C176" s="79"/>
      <c r="D176" s="79"/>
      <c r="E176" s="79"/>
      <c r="F176" s="79"/>
      <c r="G176" s="80"/>
    </row>
    <row r="177" spans="1:9" x14ac:dyDescent="0.25">
      <c r="A177" s="81"/>
      <c r="B177" s="82" t="s">
        <v>70</v>
      </c>
      <c r="C177" s="83">
        <v>6.4689042288982757E-2</v>
      </c>
      <c r="D177" s="84" t="s">
        <v>73</v>
      </c>
      <c r="E177" s="85">
        <v>51</v>
      </c>
      <c r="F177" s="79"/>
      <c r="G177" s="80"/>
    </row>
    <row r="178" spans="1:9" x14ac:dyDescent="0.25">
      <c r="A178" s="81"/>
      <c r="B178" s="82" t="s">
        <v>71</v>
      </c>
      <c r="C178" s="83">
        <v>-0.25434040632385324</v>
      </c>
      <c r="D178" s="84" t="s">
        <v>74</v>
      </c>
      <c r="E178" s="85">
        <v>1</v>
      </c>
      <c r="F178" s="79"/>
      <c r="G178" s="80"/>
    </row>
    <row r="179" spans="1:9" ht="13" x14ac:dyDescent="0.3">
      <c r="A179" s="81"/>
      <c r="B179" s="82" t="s">
        <v>72</v>
      </c>
      <c r="C179" s="83">
        <v>2.5501033963350763</v>
      </c>
      <c r="D179" s="84" t="s">
        <v>75</v>
      </c>
      <c r="E179" s="86" t="s">
        <v>15</v>
      </c>
      <c r="F179" s="79"/>
      <c r="G179" s="80"/>
    </row>
    <row r="180" spans="1:9" x14ac:dyDescent="0.25">
      <c r="A180" s="81"/>
      <c r="B180" s="79"/>
      <c r="C180" s="79"/>
      <c r="D180" s="79"/>
      <c r="E180" s="79"/>
      <c r="F180" s="79"/>
      <c r="G180" s="80"/>
    </row>
    <row r="181" spans="1:9" x14ac:dyDescent="0.25">
      <c r="A181" s="81" t="s">
        <v>86</v>
      </c>
      <c r="B181" s="79"/>
      <c r="C181" s="79"/>
      <c r="D181" s="79"/>
      <c r="E181" s="79"/>
      <c r="F181" s="79"/>
      <c r="G181" s="80"/>
    </row>
    <row r="182" spans="1:9" ht="13" x14ac:dyDescent="0.3">
      <c r="A182" s="87" t="s">
        <v>87</v>
      </c>
      <c r="B182" s="17" t="s">
        <v>88</v>
      </c>
      <c r="C182" s="21" t="s">
        <v>89</v>
      </c>
      <c r="D182" s="17" t="s">
        <v>90</v>
      </c>
      <c r="E182" s="17" t="s">
        <v>91</v>
      </c>
      <c r="F182" s="17" t="s">
        <v>81</v>
      </c>
      <c r="G182" s="80"/>
    </row>
    <row r="183" spans="1:9" x14ac:dyDescent="0.25">
      <c r="A183" s="88" t="s">
        <v>92</v>
      </c>
      <c r="B183" s="89">
        <v>22.038719555544446</v>
      </c>
      <c r="C183" s="90">
        <v>1</v>
      </c>
      <c r="D183" s="36">
        <v>22.038719555544446</v>
      </c>
      <c r="E183" s="91">
        <v>3.3889938378542079</v>
      </c>
      <c r="F183" s="38">
        <v>7.1691732897164018E-2</v>
      </c>
      <c r="G183" s="80"/>
    </row>
    <row r="184" spans="1:9" x14ac:dyDescent="0.25">
      <c r="A184" s="88" t="s">
        <v>93</v>
      </c>
      <c r="B184" s="89">
        <v>318.64833926798491</v>
      </c>
      <c r="C184" s="90">
        <v>49</v>
      </c>
      <c r="D184" s="36">
        <v>6.5030273319996921</v>
      </c>
      <c r="E184" s="79"/>
      <c r="F184" s="79"/>
      <c r="G184" s="80"/>
    </row>
    <row r="185" spans="1:9" x14ac:dyDescent="0.25">
      <c r="A185" s="93" t="s">
        <v>4</v>
      </c>
      <c r="B185" s="20">
        <v>340.68705882352936</v>
      </c>
      <c r="C185" s="22">
        <v>50</v>
      </c>
      <c r="D185" s="19"/>
      <c r="E185" s="19"/>
      <c r="F185" s="19"/>
      <c r="G185" s="80"/>
    </row>
    <row r="186" spans="1:9" x14ac:dyDescent="0.25">
      <c r="A186" s="81"/>
      <c r="B186" s="79"/>
      <c r="C186" s="79"/>
      <c r="D186" s="79"/>
      <c r="E186" s="79"/>
      <c r="F186" s="79"/>
      <c r="G186" s="80"/>
    </row>
    <row r="187" spans="1:9" x14ac:dyDescent="0.25">
      <c r="A187" s="81"/>
      <c r="B187" s="79"/>
      <c r="C187" s="79"/>
      <c r="D187" s="79"/>
      <c r="E187" s="79"/>
      <c r="F187" s="79"/>
      <c r="G187" s="80"/>
    </row>
    <row r="188" spans="1:9" ht="13" x14ac:dyDescent="0.3">
      <c r="A188" s="81" t="s">
        <v>76</v>
      </c>
      <c r="B188" s="79"/>
      <c r="C188" s="79"/>
      <c r="D188" s="37"/>
      <c r="E188" s="79"/>
      <c r="F188" s="94" t="s">
        <v>85</v>
      </c>
      <c r="G188" s="95"/>
      <c r="H188" s="16"/>
      <c r="I188" s="16"/>
    </row>
    <row r="189" spans="1:9" ht="13" x14ac:dyDescent="0.3">
      <c r="A189" s="87" t="s">
        <v>77</v>
      </c>
      <c r="B189" s="17" t="s">
        <v>78</v>
      </c>
      <c r="C189" s="17" t="s">
        <v>79</v>
      </c>
      <c r="D189" s="18" t="s">
        <v>80</v>
      </c>
      <c r="E189" s="17" t="s">
        <v>81</v>
      </c>
      <c r="F189" s="17" t="s">
        <v>82</v>
      </c>
      <c r="G189" s="96" t="s">
        <v>83</v>
      </c>
      <c r="H189" s="16"/>
      <c r="I189" s="16"/>
    </row>
    <row r="190" spans="1:9" x14ac:dyDescent="0.25">
      <c r="A190" s="97" t="s">
        <v>84</v>
      </c>
      <c r="B190" s="35">
        <v>39.410359037638898</v>
      </c>
      <c r="C190" s="36">
        <v>13.290215737509081</v>
      </c>
      <c r="D190" s="37">
        <v>2.9653663880271508</v>
      </c>
      <c r="E190" s="105">
        <v>4.6604829571294517E-3</v>
      </c>
      <c r="F190" s="35">
        <v>12.702670595435343</v>
      </c>
      <c r="G190" s="98">
        <v>66.11804747984246</v>
      </c>
      <c r="H190" s="16"/>
      <c r="I190" s="16"/>
    </row>
    <row r="191" spans="1:9" ht="13" thickBot="1" x14ac:dyDescent="0.3">
      <c r="A191" s="108" t="s">
        <v>4</v>
      </c>
      <c r="B191" s="100">
        <v>-2.4324823724006076E-2</v>
      </c>
      <c r="C191" s="101">
        <v>1.3213391781044675E-2</v>
      </c>
      <c r="D191" s="102">
        <v>-1.8409220075424806</v>
      </c>
      <c r="E191" s="109">
        <v>7.1691732897162783E-2</v>
      </c>
      <c r="F191" s="100">
        <v>-5.0878128645680462E-2</v>
      </c>
      <c r="G191" s="104">
        <v>2.2284811976683097E-3</v>
      </c>
      <c r="H191" s="16"/>
      <c r="I191" s="16"/>
    </row>
    <row r="192" spans="1:9" x14ac:dyDescent="0.25">
      <c r="A192" s="26"/>
      <c r="B192" s="35"/>
      <c r="C192" s="36"/>
      <c r="D192" s="37"/>
      <c r="E192" s="38"/>
      <c r="F192" s="35"/>
      <c r="G192" s="35"/>
      <c r="H192" s="16"/>
      <c r="I192" s="16"/>
    </row>
    <row r="193" spans="1:9" x14ac:dyDescent="0.25">
      <c r="A193" s="26"/>
      <c r="B193" s="35"/>
      <c r="C193" s="36"/>
      <c r="D193" s="37"/>
      <c r="E193" s="38"/>
      <c r="F193" s="35"/>
      <c r="G193" s="35"/>
      <c r="H193" s="16"/>
      <c r="I193" s="16"/>
    </row>
    <row r="194" spans="1:9" ht="13" thickBot="1" x14ac:dyDescent="0.3">
      <c r="A194" s="26"/>
      <c r="B194" s="35"/>
      <c r="C194" s="36"/>
      <c r="D194" s="37"/>
      <c r="E194" s="38"/>
      <c r="F194" s="35"/>
      <c r="G194" s="35"/>
      <c r="H194" s="16"/>
      <c r="I194" s="16"/>
    </row>
    <row r="195" spans="1:9" x14ac:dyDescent="0.25">
      <c r="A195" s="75" t="s">
        <v>110</v>
      </c>
      <c r="B195" s="76"/>
      <c r="C195" s="76"/>
      <c r="D195" s="76"/>
      <c r="E195" s="76"/>
      <c r="F195" s="76"/>
      <c r="G195" s="77"/>
    </row>
    <row r="196" spans="1:9" ht="15.5" x14ac:dyDescent="0.35">
      <c r="A196" s="78" t="s">
        <v>69</v>
      </c>
      <c r="B196" s="79"/>
      <c r="C196" s="79"/>
      <c r="D196" s="79"/>
      <c r="E196" s="79"/>
      <c r="F196" s="79"/>
      <c r="G196" s="80"/>
    </row>
    <row r="197" spans="1:9" x14ac:dyDescent="0.25">
      <c r="A197" s="81"/>
      <c r="B197" s="79"/>
      <c r="C197" s="79"/>
      <c r="D197" s="79"/>
      <c r="E197" s="79"/>
      <c r="F197" s="79"/>
      <c r="G197" s="80"/>
    </row>
    <row r="198" spans="1:9" x14ac:dyDescent="0.25">
      <c r="A198" s="81"/>
      <c r="B198" s="82" t="s">
        <v>70</v>
      </c>
      <c r="C198" s="83">
        <v>0.5029788186882338</v>
      </c>
      <c r="D198" s="84" t="s">
        <v>73</v>
      </c>
      <c r="E198" s="85">
        <v>51</v>
      </c>
      <c r="F198" s="79"/>
      <c r="G198" s="80"/>
    </row>
    <row r="199" spans="1:9" x14ac:dyDescent="0.25">
      <c r="A199" s="81"/>
      <c r="B199" s="82" t="s">
        <v>71</v>
      </c>
      <c r="C199" s="83">
        <v>0.70920999618465175</v>
      </c>
      <c r="D199" s="84" t="s">
        <v>74</v>
      </c>
      <c r="E199" s="85">
        <v>1</v>
      </c>
      <c r="F199" s="79"/>
      <c r="G199" s="80"/>
    </row>
    <row r="200" spans="1:9" ht="13" x14ac:dyDescent="0.3">
      <c r="A200" s="81"/>
      <c r="B200" s="82" t="s">
        <v>72</v>
      </c>
      <c r="C200" s="83">
        <v>4.048625537034475</v>
      </c>
      <c r="D200" s="84" t="s">
        <v>75</v>
      </c>
      <c r="E200" s="86" t="s">
        <v>109</v>
      </c>
      <c r="F200" s="79"/>
      <c r="G200" s="80"/>
    </row>
    <row r="201" spans="1:9" x14ac:dyDescent="0.25">
      <c r="A201" s="81"/>
      <c r="B201" s="79"/>
      <c r="C201" s="79"/>
      <c r="D201" s="79"/>
      <c r="E201" s="79"/>
      <c r="F201" s="79"/>
      <c r="G201" s="80"/>
    </row>
    <row r="202" spans="1:9" x14ac:dyDescent="0.25">
      <c r="A202" s="81" t="s">
        <v>86</v>
      </c>
      <c r="B202" s="79"/>
      <c r="C202" s="79"/>
      <c r="D202" s="79"/>
      <c r="E202" s="79"/>
      <c r="F202" s="79"/>
      <c r="G202" s="80"/>
    </row>
    <row r="203" spans="1:9" ht="13" x14ac:dyDescent="0.3">
      <c r="A203" s="87" t="s">
        <v>87</v>
      </c>
      <c r="B203" s="17" t="s">
        <v>88</v>
      </c>
      <c r="C203" s="21" t="s">
        <v>89</v>
      </c>
      <c r="D203" s="17" t="s">
        <v>90</v>
      </c>
      <c r="E203" s="17" t="s">
        <v>91</v>
      </c>
      <c r="F203" s="17" t="s">
        <v>81</v>
      </c>
      <c r="G203" s="80"/>
    </row>
    <row r="204" spans="1:9" x14ac:dyDescent="0.25">
      <c r="A204" s="88" t="s">
        <v>92</v>
      </c>
      <c r="B204" s="89">
        <v>812.80450041019424</v>
      </c>
      <c r="C204" s="90">
        <v>1</v>
      </c>
      <c r="D204" s="36">
        <v>812.80450041019424</v>
      </c>
      <c r="E204" s="91">
        <v>49.587347667309558</v>
      </c>
      <c r="F204" s="92">
        <v>5.7145284863014155E-9</v>
      </c>
      <c r="G204" s="80"/>
    </row>
    <row r="205" spans="1:9" x14ac:dyDescent="0.25">
      <c r="A205" s="88" t="s">
        <v>93</v>
      </c>
      <c r="B205" s="89">
        <v>803.17706821725676</v>
      </c>
      <c r="C205" s="90">
        <v>49</v>
      </c>
      <c r="D205" s="36">
        <v>16.391368739127689</v>
      </c>
      <c r="E205" s="79"/>
      <c r="F205" s="79"/>
      <c r="G205" s="80"/>
    </row>
    <row r="206" spans="1:9" x14ac:dyDescent="0.25">
      <c r="A206" s="93" t="s">
        <v>4</v>
      </c>
      <c r="B206" s="20">
        <v>1615.981568627451</v>
      </c>
      <c r="C206" s="22">
        <v>50</v>
      </c>
      <c r="D206" s="19"/>
      <c r="E206" s="19"/>
      <c r="F206" s="19"/>
      <c r="G206" s="80"/>
    </row>
    <row r="207" spans="1:9" x14ac:dyDescent="0.25">
      <c r="A207" s="81"/>
      <c r="B207" s="79"/>
      <c r="C207" s="79"/>
      <c r="D207" s="79"/>
      <c r="E207" s="79"/>
      <c r="F207" s="79"/>
      <c r="G207" s="80"/>
    </row>
    <row r="208" spans="1:9" x14ac:dyDescent="0.25">
      <c r="A208" s="81"/>
      <c r="B208" s="79"/>
      <c r="C208" s="79"/>
      <c r="D208" s="79"/>
      <c r="E208" s="79"/>
      <c r="F208" s="79"/>
      <c r="G208" s="80"/>
    </row>
    <row r="209" spans="1:9" ht="13" x14ac:dyDescent="0.3">
      <c r="A209" s="81" t="s">
        <v>76</v>
      </c>
      <c r="B209" s="79"/>
      <c r="C209" s="79"/>
      <c r="D209" s="37"/>
      <c r="E209" s="79"/>
      <c r="F209" s="94" t="s">
        <v>85</v>
      </c>
      <c r="G209" s="95"/>
      <c r="H209" s="16"/>
      <c r="I209" s="16"/>
    </row>
    <row r="210" spans="1:9" ht="13" x14ac:dyDescent="0.3">
      <c r="A210" s="87" t="s">
        <v>77</v>
      </c>
      <c r="B210" s="17" t="s">
        <v>78</v>
      </c>
      <c r="C210" s="17" t="s">
        <v>79</v>
      </c>
      <c r="D210" s="18" t="s">
        <v>80</v>
      </c>
      <c r="E210" s="17" t="s">
        <v>81</v>
      </c>
      <c r="F210" s="17" t="s">
        <v>82</v>
      </c>
      <c r="G210" s="96" t="s">
        <v>83</v>
      </c>
      <c r="H210" s="16"/>
      <c r="I210" s="16"/>
    </row>
    <row r="211" spans="1:9" x14ac:dyDescent="0.25">
      <c r="A211" s="97" t="s">
        <v>84</v>
      </c>
      <c r="B211" s="35">
        <v>-111.06794793369909</v>
      </c>
      <c r="C211" s="36">
        <v>21.099970654094463</v>
      </c>
      <c r="D211" s="37">
        <v>-5.2638911093530965</v>
      </c>
      <c r="E211" s="92">
        <v>3.110987838351739E-6</v>
      </c>
      <c r="F211" s="35">
        <v>-153.46992646432096</v>
      </c>
      <c r="G211" s="98">
        <v>-68.665969403077227</v>
      </c>
      <c r="H211" s="16"/>
      <c r="I211" s="16"/>
    </row>
    <row r="212" spans="1:9" ht="13" thickBot="1" x14ac:dyDescent="0.3">
      <c r="A212" s="99" t="s">
        <v>4</v>
      </c>
      <c r="B212" s="100">
        <v>0.14772349437611945</v>
      </c>
      <c r="C212" s="101">
        <v>2.0978002489021305E-2</v>
      </c>
      <c r="D212" s="102">
        <v>7.0418284321126157</v>
      </c>
      <c r="E212" s="103">
        <v>5.7145284863013535E-9</v>
      </c>
      <c r="F212" s="100">
        <v>0.10556662004974671</v>
      </c>
      <c r="G212" s="104">
        <v>0.1898803687024922</v>
      </c>
      <c r="H212" s="16"/>
      <c r="I212" s="16"/>
    </row>
    <row r="215" spans="1:9" ht="13" thickBot="1" x14ac:dyDescent="0.3"/>
    <row r="216" spans="1:9" x14ac:dyDescent="0.25">
      <c r="A216" s="75" t="s">
        <v>117</v>
      </c>
      <c r="B216" s="76"/>
      <c r="C216" s="76"/>
      <c r="D216" s="76"/>
      <c r="E216" s="76"/>
      <c r="F216" s="76"/>
      <c r="G216" s="77"/>
    </row>
    <row r="217" spans="1:9" ht="15.5" x14ac:dyDescent="0.35">
      <c r="A217" s="78" t="s">
        <v>69</v>
      </c>
      <c r="B217" s="79"/>
      <c r="C217" s="79"/>
      <c r="D217" s="79"/>
      <c r="E217" s="79"/>
      <c r="F217" s="79"/>
      <c r="G217" s="80"/>
    </row>
    <row r="218" spans="1:9" x14ac:dyDescent="0.25">
      <c r="A218" s="81"/>
      <c r="B218" s="79"/>
      <c r="C218" s="79"/>
      <c r="D218" s="79"/>
      <c r="E218" s="79"/>
      <c r="F218" s="79"/>
      <c r="G218" s="80"/>
    </row>
    <row r="219" spans="1:9" x14ac:dyDescent="0.25">
      <c r="A219" s="81"/>
      <c r="B219" s="82" t="s">
        <v>70</v>
      </c>
      <c r="C219" s="83">
        <v>9.6549953342984274E-2</v>
      </c>
      <c r="D219" s="84" t="s">
        <v>73</v>
      </c>
      <c r="E219" s="85">
        <v>51</v>
      </c>
      <c r="F219" s="79"/>
      <c r="G219" s="80"/>
    </row>
    <row r="220" spans="1:9" x14ac:dyDescent="0.25">
      <c r="A220" s="81"/>
      <c r="B220" s="82" t="s">
        <v>71</v>
      </c>
      <c r="C220" s="83">
        <v>0.31072488368810158</v>
      </c>
      <c r="D220" s="84" t="s">
        <v>74</v>
      </c>
      <c r="E220" s="85">
        <v>1</v>
      </c>
      <c r="F220" s="79"/>
      <c r="G220" s="80"/>
    </row>
    <row r="221" spans="1:9" ht="13" x14ac:dyDescent="0.3">
      <c r="A221" s="81"/>
      <c r="B221" s="82" t="s">
        <v>72</v>
      </c>
      <c r="C221" s="83">
        <v>1.1088779626315817E-2</v>
      </c>
      <c r="D221" s="84" t="s">
        <v>75</v>
      </c>
      <c r="E221" s="86" t="s">
        <v>111</v>
      </c>
      <c r="F221" s="79"/>
      <c r="G221" s="80"/>
    </row>
    <row r="222" spans="1:9" x14ac:dyDescent="0.25">
      <c r="A222" s="81"/>
      <c r="B222" s="79"/>
      <c r="C222" s="79"/>
      <c r="D222" s="79"/>
      <c r="E222" s="79"/>
      <c r="F222" s="79"/>
      <c r="G222" s="80"/>
    </row>
    <row r="223" spans="1:9" x14ac:dyDescent="0.25">
      <c r="A223" s="81" t="s">
        <v>86</v>
      </c>
      <c r="B223" s="79"/>
      <c r="C223" s="79"/>
      <c r="D223" s="79"/>
      <c r="E223" s="79"/>
      <c r="F223" s="79"/>
      <c r="G223" s="80"/>
    </row>
    <row r="224" spans="1:9" ht="13" x14ac:dyDescent="0.3">
      <c r="A224" s="87" t="s">
        <v>87</v>
      </c>
      <c r="B224" s="17" t="s">
        <v>88</v>
      </c>
      <c r="C224" s="21" t="s">
        <v>89</v>
      </c>
      <c r="D224" s="17" t="s">
        <v>90</v>
      </c>
      <c r="E224" s="17" t="s">
        <v>91</v>
      </c>
      <c r="F224" s="17" t="s">
        <v>81</v>
      </c>
      <c r="G224" s="80"/>
    </row>
    <row r="225" spans="1:9" x14ac:dyDescent="0.25">
      <c r="A225" s="88" t="s">
        <v>92</v>
      </c>
      <c r="B225" s="112">
        <v>6.4388974570802216E-4</v>
      </c>
      <c r="C225" s="90">
        <v>1</v>
      </c>
      <c r="D225" s="113">
        <v>6.4388974570802216E-4</v>
      </c>
      <c r="E225" s="91">
        <v>5.2365349155848557</v>
      </c>
      <c r="F225" s="60">
        <v>2.6469082127432254E-2</v>
      </c>
      <c r="G225" s="80"/>
    </row>
    <row r="226" spans="1:9" x14ac:dyDescent="0.25">
      <c r="A226" s="88" t="s">
        <v>93</v>
      </c>
      <c r="B226" s="112">
        <v>6.0250906464488418E-3</v>
      </c>
      <c r="C226" s="90">
        <v>49</v>
      </c>
      <c r="D226" s="113">
        <v>1.2296103360099676E-4</v>
      </c>
      <c r="E226" s="79"/>
      <c r="F226" s="79"/>
      <c r="G226" s="80"/>
    </row>
    <row r="227" spans="1:9" x14ac:dyDescent="0.25">
      <c r="A227" s="93" t="s">
        <v>4</v>
      </c>
      <c r="B227" s="23">
        <v>6.668980392156864E-3</v>
      </c>
      <c r="C227" s="22">
        <v>50</v>
      </c>
      <c r="D227" s="19"/>
      <c r="E227" s="19"/>
      <c r="F227" s="19"/>
      <c r="G227" s="80"/>
    </row>
    <row r="228" spans="1:9" x14ac:dyDescent="0.25">
      <c r="A228" s="81"/>
      <c r="B228" s="79"/>
      <c r="C228" s="79"/>
      <c r="D228" s="79"/>
      <c r="E228" s="79"/>
      <c r="F228" s="79"/>
      <c r="G228" s="80"/>
    </row>
    <row r="229" spans="1:9" x14ac:dyDescent="0.25">
      <c r="A229" s="81"/>
      <c r="B229" s="79"/>
      <c r="C229" s="79"/>
      <c r="D229" s="79"/>
      <c r="E229" s="79"/>
      <c r="F229" s="79"/>
      <c r="G229" s="80"/>
    </row>
    <row r="230" spans="1:9" ht="13" x14ac:dyDescent="0.3">
      <c r="A230" s="81" t="s">
        <v>76</v>
      </c>
      <c r="B230" s="79"/>
      <c r="C230" s="79"/>
      <c r="D230" s="37"/>
      <c r="E230" s="79"/>
      <c r="F230" s="94" t="s">
        <v>85</v>
      </c>
      <c r="G230" s="95"/>
      <c r="H230" s="16"/>
      <c r="I230" s="16"/>
    </row>
    <row r="231" spans="1:9" ht="13" x14ac:dyDescent="0.3">
      <c r="A231" s="87" t="s">
        <v>77</v>
      </c>
      <c r="B231" s="17" t="s">
        <v>78</v>
      </c>
      <c r="C231" s="17" t="s">
        <v>79</v>
      </c>
      <c r="D231" s="18" t="s">
        <v>80</v>
      </c>
      <c r="E231" s="17" t="s">
        <v>81</v>
      </c>
      <c r="F231" s="17" t="s">
        <v>82</v>
      </c>
      <c r="G231" s="96" t="s">
        <v>83</v>
      </c>
      <c r="H231" s="16"/>
      <c r="I231" s="16"/>
    </row>
    <row r="232" spans="1:9" x14ac:dyDescent="0.25">
      <c r="A232" s="107" t="s">
        <v>84</v>
      </c>
      <c r="B232" s="35">
        <v>-3.8511206173160673E-2</v>
      </c>
      <c r="C232" s="36">
        <v>5.7790705157771668E-2</v>
      </c>
      <c r="D232" s="37">
        <v>-0.66639100644339</v>
      </c>
      <c r="E232" s="38">
        <v>0.50828679115414199</v>
      </c>
      <c r="F232" s="35">
        <v>-0.15464597619445558</v>
      </c>
      <c r="G232" s="98">
        <v>7.762356384813425E-2</v>
      </c>
      <c r="H232" s="16"/>
      <c r="I232" s="16"/>
    </row>
    <row r="233" spans="1:9" ht="13" thickBot="1" x14ac:dyDescent="0.3">
      <c r="A233" s="115" t="s">
        <v>4</v>
      </c>
      <c r="B233" s="110">
        <v>1.3148078152094847E-4</v>
      </c>
      <c r="C233" s="114">
        <v>5.7456646576272666E-5</v>
      </c>
      <c r="D233" s="102">
        <v>2.2883476387089541</v>
      </c>
      <c r="E233" s="116">
        <v>2.6469082127432417E-2</v>
      </c>
      <c r="F233" s="110">
        <v>1.6017327352784466E-5</v>
      </c>
      <c r="G233" s="111">
        <v>2.4694423568911246E-4</v>
      </c>
      <c r="H233" s="16"/>
      <c r="I233" s="16"/>
    </row>
    <row r="236" spans="1:9" ht="13" thickBot="1" x14ac:dyDescent="0.3"/>
    <row r="237" spans="1:9" x14ac:dyDescent="0.25">
      <c r="A237" s="75" t="s">
        <v>118</v>
      </c>
      <c r="B237" s="76"/>
      <c r="C237" s="76"/>
      <c r="D237" s="76"/>
      <c r="E237" s="76"/>
      <c r="F237" s="76"/>
      <c r="G237" s="77"/>
    </row>
    <row r="238" spans="1:9" ht="15.5" x14ac:dyDescent="0.35">
      <c r="A238" s="78" t="s">
        <v>69</v>
      </c>
      <c r="B238" s="79"/>
      <c r="C238" s="79"/>
      <c r="D238" s="79"/>
      <c r="E238" s="79"/>
      <c r="F238" s="79"/>
      <c r="G238" s="80"/>
    </row>
    <row r="239" spans="1:9" x14ac:dyDescent="0.25">
      <c r="A239" s="81"/>
      <c r="B239" s="79"/>
      <c r="C239" s="79"/>
      <c r="D239" s="79"/>
      <c r="E239" s="79"/>
      <c r="F239" s="79"/>
      <c r="G239" s="80"/>
    </row>
    <row r="240" spans="1:9" x14ac:dyDescent="0.25">
      <c r="A240" s="81"/>
      <c r="B240" s="82" t="s">
        <v>70</v>
      </c>
      <c r="C240" s="83">
        <v>1.1073702762456612E-3</v>
      </c>
      <c r="D240" s="84" t="s">
        <v>73</v>
      </c>
      <c r="E240" s="85">
        <v>51</v>
      </c>
      <c r="F240" s="79"/>
      <c r="G240" s="80"/>
    </row>
    <row r="241" spans="1:9" x14ac:dyDescent="0.25">
      <c r="A241" s="81"/>
      <c r="B241" s="82" t="s">
        <v>71</v>
      </c>
      <c r="C241" s="83">
        <v>3.3277173501450825E-2</v>
      </c>
      <c r="D241" s="84" t="s">
        <v>74</v>
      </c>
      <c r="E241" s="85">
        <v>1</v>
      </c>
      <c r="F241" s="79"/>
      <c r="G241" s="80"/>
    </row>
    <row r="242" spans="1:9" ht="13" x14ac:dyDescent="0.3">
      <c r="A242" s="81"/>
      <c r="B242" s="82" t="s">
        <v>72</v>
      </c>
      <c r="C242" s="83">
        <v>0.16644674555269187</v>
      </c>
      <c r="D242" s="84" t="s">
        <v>75</v>
      </c>
      <c r="E242" s="86" t="s">
        <v>112</v>
      </c>
      <c r="F242" s="79"/>
      <c r="G242" s="80"/>
    </row>
    <row r="243" spans="1:9" x14ac:dyDescent="0.25">
      <c r="A243" s="81"/>
      <c r="B243" s="79"/>
      <c r="C243" s="79"/>
      <c r="D243" s="79"/>
      <c r="E243" s="79"/>
      <c r="F243" s="79"/>
      <c r="G243" s="80"/>
    </row>
    <row r="244" spans="1:9" x14ac:dyDescent="0.25">
      <c r="A244" s="81" t="s">
        <v>86</v>
      </c>
      <c r="B244" s="79"/>
      <c r="C244" s="79"/>
      <c r="D244" s="79"/>
      <c r="E244" s="79"/>
      <c r="F244" s="79"/>
      <c r="G244" s="80"/>
    </row>
    <row r="245" spans="1:9" ht="13" x14ac:dyDescent="0.3">
      <c r="A245" s="87" t="s">
        <v>87</v>
      </c>
      <c r="B245" s="17" t="s">
        <v>88</v>
      </c>
      <c r="C245" s="21" t="s">
        <v>89</v>
      </c>
      <c r="D245" s="17" t="s">
        <v>90</v>
      </c>
      <c r="E245" s="17" t="s">
        <v>91</v>
      </c>
      <c r="F245" s="17" t="s">
        <v>81</v>
      </c>
      <c r="G245" s="80"/>
    </row>
    <row r="246" spans="1:9" x14ac:dyDescent="0.25">
      <c r="A246" s="88" t="s">
        <v>92</v>
      </c>
      <c r="B246" s="89">
        <v>1.5049454195827927E-3</v>
      </c>
      <c r="C246" s="90">
        <v>1</v>
      </c>
      <c r="D246" s="36">
        <v>1.5049454195827927E-3</v>
      </c>
      <c r="E246" s="91">
        <v>5.4321297326063389E-2</v>
      </c>
      <c r="F246" s="38">
        <v>0.81667847396230475</v>
      </c>
      <c r="G246" s="80"/>
    </row>
    <row r="247" spans="1:9" x14ac:dyDescent="0.25">
      <c r="A247" s="88" t="s">
        <v>93</v>
      </c>
      <c r="B247" s="89">
        <v>1.3575214361490449</v>
      </c>
      <c r="C247" s="90">
        <v>49</v>
      </c>
      <c r="D247" s="36">
        <v>2.7704519105082547E-2</v>
      </c>
      <c r="E247" s="79"/>
      <c r="F247" s="79"/>
      <c r="G247" s="80"/>
    </row>
    <row r="248" spans="1:9" x14ac:dyDescent="0.25">
      <c r="A248" s="93" t="s">
        <v>4</v>
      </c>
      <c r="B248" s="20">
        <v>1.3590263815686277</v>
      </c>
      <c r="C248" s="22">
        <v>50</v>
      </c>
      <c r="D248" s="19"/>
      <c r="E248" s="19"/>
      <c r="F248" s="19"/>
      <c r="G248" s="80"/>
    </row>
    <row r="249" spans="1:9" x14ac:dyDescent="0.25">
      <c r="A249" s="81"/>
      <c r="B249" s="79"/>
      <c r="C249" s="79"/>
      <c r="D249" s="79"/>
      <c r="E249" s="79"/>
      <c r="F249" s="79"/>
      <c r="G249" s="80"/>
    </row>
    <row r="250" spans="1:9" x14ac:dyDescent="0.25">
      <c r="A250" s="81"/>
      <c r="B250" s="79"/>
      <c r="C250" s="79"/>
      <c r="D250" s="79"/>
      <c r="E250" s="79"/>
      <c r="F250" s="79"/>
      <c r="G250" s="80"/>
    </row>
    <row r="251" spans="1:9" ht="13" x14ac:dyDescent="0.3">
      <c r="A251" s="81" t="s">
        <v>76</v>
      </c>
      <c r="B251" s="79"/>
      <c r="C251" s="79"/>
      <c r="D251" s="37"/>
      <c r="E251" s="79"/>
      <c r="F251" s="94" t="s">
        <v>85</v>
      </c>
      <c r="G251" s="95"/>
      <c r="H251" s="16"/>
      <c r="I251" s="16"/>
    </row>
    <row r="252" spans="1:9" ht="13" x14ac:dyDescent="0.3">
      <c r="A252" s="87" t="s">
        <v>77</v>
      </c>
      <c r="B252" s="17" t="s">
        <v>78</v>
      </c>
      <c r="C252" s="17" t="s">
        <v>79</v>
      </c>
      <c r="D252" s="18" t="s">
        <v>80</v>
      </c>
      <c r="E252" s="17" t="s">
        <v>81</v>
      </c>
      <c r="F252" s="17" t="s">
        <v>82</v>
      </c>
      <c r="G252" s="96" t="s">
        <v>83</v>
      </c>
      <c r="H252" s="16"/>
      <c r="I252" s="16"/>
    </row>
    <row r="253" spans="1:9" x14ac:dyDescent="0.25">
      <c r="A253" s="107" t="s">
        <v>84</v>
      </c>
      <c r="B253" s="35">
        <v>0.10966720408427563</v>
      </c>
      <c r="C253" s="36">
        <v>0.86746018235210787</v>
      </c>
      <c r="D253" s="37">
        <v>0.12642332906498868</v>
      </c>
      <c r="E253" s="38">
        <v>0.89991417815146368</v>
      </c>
      <c r="F253" s="35">
        <v>-1.6335592975661342</v>
      </c>
      <c r="G253" s="98">
        <v>1.8528937057346855</v>
      </c>
      <c r="H253" s="16"/>
      <c r="I253" s="16"/>
    </row>
    <row r="254" spans="1:9" ht="13" thickBot="1" x14ac:dyDescent="0.3">
      <c r="A254" s="108" t="s">
        <v>4</v>
      </c>
      <c r="B254" s="110">
        <v>2.0100964530016661E-4</v>
      </c>
      <c r="C254" s="101">
        <v>8.6244583761912205E-4</v>
      </c>
      <c r="D254" s="102">
        <v>0.23306929726169953</v>
      </c>
      <c r="E254" s="109">
        <v>0.81667847396230642</v>
      </c>
      <c r="F254" s="110">
        <v>-1.5321401533444055E-3</v>
      </c>
      <c r="G254" s="111">
        <v>1.9341594439447388E-3</v>
      </c>
      <c r="H254" s="16"/>
      <c r="I254" s="16"/>
    </row>
    <row r="255" spans="1:9" ht="15.5" x14ac:dyDescent="0.35">
      <c r="A255"/>
      <c r="B255"/>
      <c r="C255"/>
      <c r="D255"/>
      <c r="E255"/>
      <c r="F255"/>
      <c r="G255"/>
    </row>
    <row r="256" spans="1:9" ht="15.5" x14ac:dyDescent="0.35">
      <c r="A256"/>
      <c r="B256"/>
      <c r="C256"/>
      <c r="D256"/>
      <c r="E256"/>
      <c r="F256"/>
      <c r="G256"/>
    </row>
    <row r="257" spans="1:9" ht="16" thickBot="1" x14ac:dyDescent="0.4">
      <c r="A257"/>
      <c r="B257"/>
      <c r="C257"/>
      <c r="D257"/>
      <c r="E257"/>
      <c r="F257"/>
      <c r="G257"/>
    </row>
    <row r="258" spans="1:9" x14ac:dyDescent="0.25">
      <c r="A258" s="75" t="s">
        <v>120</v>
      </c>
      <c r="B258" s="76"/>
      <c r="C258" s="76"/>
      <c r="D258" s="76"/>
      <c r="E258" s="76"/>
      <c r="F258" s="76"/>
      <c r="G258" s="77"/>
    </row>
    <row r="259" spans="1:9" ht="15.5" x14ac:dyDescent="0.35">
      <c r="A259" s="78" t="s">
        <v>69</v>
      </c>
      <c r="B259" s="79"/>
      <c r="C259" s="79"/>
      <c r="D259" s="79"/>
      <c r="E259" s="79"/>
      <c r="F259" s="79"/>
      <c r="G259" s="80"/>
    </row>
    <row r="260" spans="1:9" x14ac:dyDescent="0.25">
      <c r="A260" s="81"/>
      <c r="B260" s="79"/>
      <c r="C260" s="79"/>
      <c r="D260" s="79"/>
      <c r="E260" s="79"/>
      <c r="F260" s="79"/>
      <c r="G260" s="80"/>
    </row>
    <row r="261" spans="1:9" x14ac:dyDescent="0.25">
      <c r="A261" s="81"/>
      <c r="B261" s="82" t="s">
        <v>70</v>
      </c>
      <c r="C261" s="83">
        <v>1.4226668002992194E-4</v>
      </c>
      <c r="D261" s="84" t="s">
        <v>73</v>
      </c>
      <c r="E261" s="85">
        <v>50</v>
      </c>
      <c r="F261" s="79"/>
      <c r="G261" s="80"/>
    </row>
    <row r="262" spans="1:9" x14ac:dyDescent="0.25">
      <c r="A262" s="81"/>
      <c r="B262" s="82" t="s">
        <v>71</v>
      </c>
      <c r="C262" s="83">
        <v>-1.1927559684609502E-2</v>
      </c>
      <c r="D262" s="84" t="s">
        <v>74</v>
      </c>
      <c r="E262" s="85">
        <v>1</v>
      </c>
      <c r="F262" s="79"/>
      <c r="G262" s="80"/>
    </row>
    <row r="263" spans="1:9" ht="13" x14ac:dyDescent="0.3">
      <c r="A263" s="81"/>
      <c r="B263" s="82" t="s">
        <v>72</v>
      </c>
      <c r="C263" s="83">
        <v>4054.3734520703833</v>
      </c>
      <c r="D263" s="84" t="s">
        <v>75</v>
      </c>
      <c r="E263" s="86" t="s">
        <v>114</v>
      </c>
      <c r="F263" s="79"/>
      <c r="G263" s="80"/>
    </row>
    <row r="264" spans="1:9" x14ac:dyDescent="0.25">
      <c r="A264" s="81"/>
      <c r="B264" s="79"/>
      <c r="C264" s="79"/>
      <c r="D264" s="79"/>
      <c r="E264" s="79"/>
      <c r="F264" s="79"/>
      <c r="G264" s="80"/>
    </row>
    <row r="265" spans="1:9" x14ac:dyDescent="0.25">
      <c r="A265" s="81" t="s">
        <v>86</v>
      </c>
      <c r="B265" s="79"/>
      <c r="C265" s="79"/>
      <c r="D265" s="79"/>
      <c r="E265" s="79"/>
      <c r="F265" s="79"/>
      <c r="G265" s="80"/>
    </row>
    <row r="266" spans="1:9" ht="13" x14ac:dyDescent="0.3">
      <c r="A266" s="87" t="s">
        <v>87</v>
      </c>
      <c r="B266" s="17" t="s">
        <v>88</v>
      </c>
      <c r="C266" s="21" t="s">
        <v>89</v>
      </c>
      <c r="D266" s="17" t="s">
        <v>90</v>
      </c>
      <c r="E266" s="17" t="s">
        <v>91</v>
      </c>
      <c r="F266" s="17" t="s">
        <v>81</v>
      </c>
      <c r="G266" s="80"/>
    </row>
    <row r="267" spans="1:9" x14ac:dyDescent="0.25">
      <c r="A267" s="88" t="s">
        <v>92</v>
      </c>
      <c r="B267" s="89">
        <v>112267.41505026817</v>
      </c>
      <c r="C267" s="90">
        <v>1</v>
      </c>
      <c r="D267" s="36">
        <v>112267.41505026817</v>
      </c>
      <c r="E267" s="91">
        <v>6.8297722904653788E-3</v>
      </c>
      <c r="F267" s="38">
        <v>0.93447953238918047</v>
      </c>
      <c r="G267" s="80"/>
    </row>
    <row r="268" spans="1:9" x14ac:dyDescent="0.25">
      <c r="A268" s="88" t="s">
        <v>93</v>
      </c>
      <c r="B268" s="89">
        <v>789021316.26494956</v>
      </c>
      <c r="C268" s="90">
        <v>48</v>
      </c>
      <c r="D268" s="36">
        <v>16437944.088853115</v>
      </c>
      <c r="E268" s="79"/>
      <c r="F268" s="79"/>
      <c r="G268" s="80"/>
    </row>
    <row r="269" spans="1:9" x14ac:dyDescent="0.25">
      <c r="A269" s="93" t="s">
        <v>4</v>
      </c>
      <c r="B269" s="20">
        <v>789133583.67999983</v>
      </c>
      <c r="C269" s="22">
        <v>49</v>
      </c>
      <c r="D269" s="19"/>
      <c r="E269" s="19"/>
      <c r="F269" s="19"/>
      <c r="G269" s="80"/>
    </row>
    <row r="270" spans="1:9" x14ac:dyDescent="0.25">
      <c r="A270" s="81"/>
      <c r="B270" s="79"/>
      <c r="C270" s="79"/>
      <c r="D270" s="79"/>
      <c r="E270" s="79"/>
      <c r="F270" s="79"/>
      <c r="G270" s="80"/>
    </row>
    <row r="271" spans="1:9" x14ac:dyDescent="0.25">
      <c r="A271" s="81"/>
      <c r="B271" s="79"/>
      <c r="C271" s="79"/>
      <c r="D271" s="79"/>
      <c r="E271" s="79"/>
      <c r="F271" s="79"/>
      <c r="G271" s="80"/>
    </row>
    <row r="272" spans="1:9" ht="13" x14ac:dyDescent="0.3">
      <c r="A272" s="81" t="s">
        <v>76</v>
      </c>
      <c r="B272" s="79"/>
      <c r="C272" s="79"/>
      <c r="D272" s="37"/>
      <c r="E272" s="79"/>
      <c r="F272" s="94" t="s">
        <v>85</v>
      </c>
      <c r="G272" s="95"/>
      <c r="H272" s="16"/>
      <c r="I272" s="16"/>
    </row>
    <row r="273" spans="1:9" ht="13" x14ac:dyDescent="0.3">
      <c r="A273" s="87" t="s">
        <v>77</v>
      </c>
      <c r="B273" s="17" t="s">
        <v>78</v>
      </c>
      <c r="C273" s="17" t="s">
        <v>79</v>
      </c>
      <c r="D273" s="18" t="s">
        <v>119</v>
      </c>
      <c r="E273" s="17" t="s">
        <v>81</v>
      </c>
      <c r="F273" s="17" t="s">
        <v>82</v>
      </c>
      <c r="G273" s="96" t="s">
        <v>83</v>
      </c>
      <c r="H273" s="16"/>
      <c r="I273" s="16"/>
    </row>
    <row r="274" spans="1:9" x14ac:dyDescent="0.25">
      <c r="A274" s="107" t="s">
        <v>84</v>
      </c>
      <c r="B274" s="35">
        <v>33479.7989426848</v>
      </c>
      <c r="C274" s="36">
        <v>23877.417547241548</v>
      </c>
      <c r="D274" s="37">
        <v>1.4021532637038703</v>
      </c>
      <c r="E274" s="38">
        <v>0.16730372108389749</v>
      </c>
      <c r="F274" s="35">
        <v>-14528.966700105782</v>
      </c>
      <c r="G274" s="98">
        <v>81488.564585475382</v>
      </c>
      <c r="H274" s="16"/>
      <c r="I274" s="16"/>
    </row>
    <row r="275" spans="1:9" ht="13" thickBot="1" x14ac:dyDescent="0.3">
      <c r="A275" s="108" t="s">
        <v>4</v>
      </c>
      <c r="B275" s="100">
        <v>-1.9585780094565197</v>
      </c>
      <c r="C275" s="101">
        <v>23.699422418988124</v>
      </c>
      <c r="D275" s="102">
        <v>-8.2642436377997758E-2</v>
      </c>
      <c r="E275" s="109">
        <v>0.93447953238905601</v>
      </c>
      <c r="F275" s="100">
        <v>-49.609460460692979</v>
      </c>
      <c r="G275" s="104">
        <v>45.692304441779946</v>
      </c>
      <c r="H275" s="16"/>
      <c r="I275" s="16"/>
    </row>
    <row r="276" spans="1:9" ht="15.5" x14ac:dyDescent="0.35">
      <c r="A276"/>
      <c r="B276"/>
      <c r="C276"/>
      <c r="D276"/>
      <c r="E276"/>
      <c r="F276"/>
      <c r="G276"/>
      <c r="H276" s="16"/>
      <c r="I276" s="16"/>
    </row>
    <row r="277" spans="1:9" ht="15.5" x14ac:dyDescent="0.35">
      <c r="A277"/>
      <c r="B277"/>
      <c r="C277"/>
      <c r="D277"/>
      <c r="E277"/>
      <c r="F277"/>
      <c r="G277"/>
      <c r="H277" s="16"/>
      <c r="I277" s="16"/>
    </row>
    <row r="278" spans="1:9" ht="16" thickBot="1" x14ac:dyDescent="0.4">
      <c r="A278"/>
      <c r="B278"/>
      <c r="C278"/>
      <c r="D278"/>
      <c r="E278"/>
      <c r="F278"/>
      <c r="G278"/>
      <c r="H278" s="16"/>
      <c r="I278" s="16"/>
    </row>
    <row r="279" spans="1:9" x14ac:dyDescent="0.25">
      <c r="A279" s="75" t="s">
        <v>121</v>
      </c>
      <c r="B279" s="76"/>
      <c r="C279" s="76"/>
      <c r="D279" s="76"/>
      <c r="E279" s="76"/>
      <c r="F279" s="76"/>
      <c r="G279" s="77"/>
    </row>
    <row r="280" spans="1:9" ht="15.5" x14ac:dyDescent="0.35">
      <c r="A280" s="78" t="s">
        <v>69</v>
      </c>
      <c r="B280" s="79"/>
      <c r="C280" s="79"/>
      <c r="D280" s="79"/>
      <c r="E280" s="79"/>
      <c r="F280" s="79"/>
      <c r="G280" s="80"/>
    </row>
    <row r="281" spans="1:9" x14ac:dyDescent="0.25">
      <c r="A281" s="81"/>
      <c r="B281" s="79"/>
      <c r="C281" s="79"/>
      <c r="D281" s="79"/>
      <c r="E281" s="79"/>
      <c r="F281" s="79"/>
      <c r="G281" s="80"/>
    </row>
    <row r="282" spans="1:9" x14ac:dyDescent="0.25">
      <c r="A282" s="81"/>
      <c r="B282" s="82" t="s">
        <v>70</v>
      </c>
      <c r="C282" s="83">
        <v>3.6752606663098999E-2</v>
      </c>
      <c r="D282" s="84" t="s">
        <v>73</v>
      </c>
      <c r="E282" s="85">
        <v>50</v>
      </c>
      <c r="F282" s="79"/>
      <c r="G282" s="80"/>
    </row>
    <row r="283" spans="1:9" x14ac:dyDescent="0.25">
      <c r="A283" s="81"/>
      <c r="B283" s="82" t="s">
        <v>71</v>
      </c>
      <c r="C283" s="83">
        <v>0.19170969371186997</v>
      </c>
      <c r="D283" s="84" t="s">
        <v>74</v>
      </c>
      <c r="E283" s="85">
        <v>1</v>
      </c>
      <c r="F283" s="79"/>
      <c r="G283" s="80"/>
    </row>
    <row r="284" spans="1:9" ht="13" x14ac:dyDescent="0.3">
      <c r="A284" s="81"/>
      <c r="B284" s="82" t="s">
        <v>72</v>
      </c>
      <c r="C284" s="83">
        <v>6537.0916623544881</v>
      </c>
      <c r="D284" s="84" t="s">
        <v>75</v>
      </c>
      <c r="E284" s="86" t="s">
        <v>115</v>
      </c>
      <c r="F284" s="79"/>
      <c r="G284" s="80"/>
    </row>
    <row r="285" spans="1:9" x14ac:dyDescent="0.25">
      <c r="A285" s="81"/>
      <c r="B285" s="79"/>
      <c r="C285" s="79"/>
      <c r="D285" s="79"/>
      <c r="E285" s="79"/>
      <c r="F285" s="79"/>
      <c r="G285" s="80"/>
    </row>
    <row r="286" spans="1:9" x14ac:dyDescent="0.25">
      <c r="A286" s="81" t="s">
        <v>86</v>
      </c>
      <c r="B286" s="79"/>
      <c r="C286" s="79"/>
      <c r="D286" s="79"/>
      <c r="E286" s="79"/>
      <c r="F286" s="79"/>
      <c r="G286" s="80"/>
    </row>
    <row r="287" spans="1:9" ht="13" x14ac:dyDescent="0.3">
      <c r="A287" s="87" t="s">
        <v>87</v>
      </c>
      <c r="B287" s="17" t="s">
        <v>88</v>
      </c>
      <c r="C287" s="21" t="s">
        <v>89</v>
      </c>
      <c r="D287" s="17" t="s">
        <v>90</v>
      </c>
      <c r="E287" s="17" t="s">
        <v>91</v>
      </c>
      <c r="F287" s="17" t="s">
        <v>81</v>
      </c>
      <c r="G287" s="80"/>
    </row>
    <row r="288" spans="1:9" x14ac:dyDescent="0.25">
      <c r="A288" s="88" t="s">
        <v>92</v>
      </c>
      <c r="B288" s="89">
        <v>78263756.782822132</v>
      </c>
      <c r="C288" s="90">
        <v>1</v>
      </c>
      <c r="D288" s="36">
        <v>78263756.782822132</v>
      </c>
      <c r="E288" s="91">
        <v>1.8314351349734093</v>
      </c>
      <c r="F288" s="38">
        <v>0.18229742484882555</v>
      </c>
      <c r="G288" s="80"/>
    </row>
    <row r="289" spans="1:9" x14ac:dyDescent="0.25">
      <c r="A289" s="88" t="s">
        <v>93</v>
      </c>
      <c r="B289" s="89">
        <v>2051211235.2971787</v>
      </c>
      <c r="C289" s="90">
        <v>48</v>
      </c>
      <c r="D289" s="36">
        <v>42733567.40202456</v>
      </c>
      <c r="E289" s="79"/>
      <c r="F289" s="79"/>
      <c r="G289" s="80"/>
    </row>
    <row r="290" spans="1:9" x14ac:dyDescent="0.25">
      <c r="A290" s="93" t="s">
        <v>4</v>
      </c>
      <c r="B290" s="20">
        <v>2129474992.0800009</v>
      </c>
      <c r="C290" s="22">
        <v>49</v>
      </c>
      <c r="D290" s="19"/>
      <c r="E290" s="19"/>
      <c r="F290" s="19"/>
      <c r="G290" s="80"/>
    </row>
    <row r="291" spans="1:9" x14ac:dyDescent="0.25">
      <c r="A291" s="81"/>
      <c r="B291" s="79"/>
      <c r="C291" s="79"/>
      <c r="D291" s="79"/>
      <c r="E291" s="79"/>
      <c r="F291" s="79"/>
      <c r="G291" s="80"/>
    </row>
    <row r="292" spans="1:9" x14ac:dyDescent="0.25">
      <c r="A292" s="81"/>
      <c r="B292" s="79"/>
      <c r="C292" s="79"/>
      <c r="D292" s="79"/>
      <c r="E292" s="79"/>
      <c r="F292" s="79"/>
      <c r="G292" s="80"/>
    </row>
    <row r="293" spans="1:9" ht="13" x14ac:dyDescent="0.3">
      <c r="A293" s="81" t="s">
        <v>76</v>
      </c>
      <c r="B293" s="79"/>
      <c r="C293" s="79"/>
      <c r="D293" s="37"/>
      <c r="E293" s="79"/>
      <c r="F293" s="94" t="s">
        <v>85</v>
      </c>
      <c r="G293" s="95"/>
      <c r="H293" s="16"/>
      <c r="I293" s="16"/>
    </row>
    <row r="294" spans="1:9" ht="13" x14ac:dyDescent="0.3">
      <c r="A294" s="87" t="s">
        <v>77</v>
      </c>
      <c r="B294" s="17" t="s">
        <v>78</v>
      </c>
      <c r="C294" s="17" t="s">
        <v>79</v>
      </c>
      <c r="D294" s="18" t="s">
        <v>119</v>
      </c>
      <c r="E294" s="17" t="s">
        <v>81</v>
      </c>
      <c r="F294" s="17" t="s">
        <v>82</v>
      </c>
      <c r="G294" s="96" t="s">
        <v>83</v>
      </c>
      <c r="H294" s="16"/>
      <c r="I294" s="16"/>
    </row>
    <row r="295" spans="1:9" x14ac:dyDescent="0.25">
      <c r="A295" s="107" t="s">
        <v>84</v>
      </c>
      <c r="B295" s="35">
        <v>-5858.4432072349955</v>
      </c>
      <c r="C295" s="36">
        <v>38498.887438926482</v>
      </c>
      <c r="D295" s="37">
        <v>-0.15217175344426925</v>
      </c>
      <c r="E295" s="38">
        <v>0.87968930466281336</v>
      </c>
      <c r="F295" s="35">
        <v>-83265.644421803503</v>
      </c>
      <c r="G295" s="98">
        <v>71548.758007333527</v>
      </c>
      <c r="H295" s="16"/>
      <c r="I295" s="16"/>
    </row>
    <row r="296" spans="1:9" ht="13" thickBot="1" x14ac:dyDescent="0.3">
      <c r="A296" s="108" t="s">
        <v>4</v>
      </c>
      <c r="B296" s="100">
        <v>51.712359968264124</v>
      </c>
      <c r="C296" s="101">
        <v>38.211896000520383</v>
      </c>
      <c r="D296" s="102">
        <v>1.3533052630405957</v>
      </c>
      <c r="E296" s="109">
        <v>0.18229742484882958</v>
      </c>
      <c r="F296" s="100">
        <v>-25.117806285104507</v>
      </c>
      <c r="G296" s="104">
        <v>128.54252622163276</v>
      </c>
      <c r="H296" s="16"/>
      <c r="I296" s="16"/>
    </row>
    <row r="297" spans="1:9" x14ac:dyDescent="0.25">
      <c r="A297" s="26"/>
      <c r="B297" s="35"/>
      <c r="C297" s="36"/>
      <c r="D297" s="37"/>
      <c r="E297" s="38"/>
      <c r="F297" s="35"/>
      <c r="G297" s="35"/>
      <c r="H297" s="16"/>
      <c r="I297" s="16"/>
    </row>
    <row r="298" spans="1:9" ht="15.5" x14ac:dyDescent="0.35">
      <c r="A298" s="43"/>
      <c r="B298" s="43"/>
      <c r="C298" s="43"/>
      <c r="D298" s="43"/>
      <c r="E298" s="43"/>
      <c r="F298" s="43"/>
      <c r="G298" s="43"/>
      <c r="H298" s="16"/>
      <c r="I298" s="16"/>
    </row>
    <row r="299" spans="1:9" ht="16" thickBot="1" x14ac:dyDescent="0.4">
      <c r="A299"/>
      <c r="B299"/>
      <c r="C299"/>
      <c r="D299"/>
      <c r="E299"/>
      <c r="F299"/>
      <c r="G299"/>
      <c r="H299" s="16"/>
      <c r="I299" s="16"/>
    </row>
    <row r="300" spans="1:9" x14ac:dyDescent="0.25">
      <c r="A300" s="75" t="s">
        <v>122</v>
      </c>
      <c r="B300" s="76"/>
      <c r="C300" s="76"/>
      <c r="D300" s="76"/>
      <c r="E300" s="76"/>
      <c r="F300" s="76"/>
      <c r="G300" s="77"/>
    </row>
    <row r="301" spans="1:9" ht="15.5" x14ac:dyDescent="0.35">
      <c r="A301" s="78" t="s">
        <v>69</v>
      </c>
      <c r="B301" s="79"/>
      <c r="C301" s="79"/>
      <c r="D301" s="79"/>
      <c r="E301" s="79"/>
      <c r="F301" s="79"/>
      <c r="G301" s="80"/>
    </row>
    <row r="302" spans="1:9" x14ac:dyDescent="0.25">
      <c r="A302" s="81"/>
      <c r="B302" s="79"/>
      <c r="C302" s="79"/>
      <c r="D302" s="79"/>
      <c r="E302" s="79"/>
      <c r="F302" s="79"/>
      <c r="G302" s="80"/>
    </row>
    <row r="303" spans="1:9" x14ac:dyDescent="0.25">
      <c r="A303" s="81"/>
      <c r="B303" s="82" t="s">
        <v>70</v>
      </c>
      <c r="C303" s="83">
        <v>0.11269029423723453</v>
      </c>
      <c r="D303" s="84" t="s">
        <v>73</v>
      </c>
      <c r="E303" s="85">
        <v>50</v>
      </c>
      <c r="F303" s="79"/>
      <c r="G303" s="80"/>
    </row>
    <row r="304" spans="1:9" x14ac:dyDescent="0.25">
      <c r="A304" s="81"/>
      <c r="B304" s="82" t="s">
        <v>71</v>
      </c>
      <c r="C304" s="83">
        <v>-0.3356937506675311</v>
      </c>
      <c r="D304" s="84" t="s">
        <v>74</v>
      </c>
      <c r="E304" s="85">
        <v>1</v>
      </c>
      <c r="F304" s="79"/>
      <c r="G304" s="80"/>
    </row>
    <row r="305" spans="1:9" ht="13" x14ac:dyDescent="0.3">
      <c r="A305" s="81"/>
      <c r="B305" s="82" t="s">
        <v>72</v>
      </c>
      <c r="C305" s="83">
        <v>8.243081211501313E-2</v>
      </c>
      <c r="D305" s="84" t="s">
        <v>75</v>
      </c>
      <c r="E305" s="86" t="s">
        <v>116</v>
      </c>
      <c r="F305" s="79"/>
      <c r="G305" s="80"/>
    </row>
    <row r="306" spans="1:9" x14ac:dyDescent="0.25">
      <c r="A306" s="81"/>
      <c r="B306" s="79"/>
      <c r="C306" s="79"/>
      <c r="D306" s="79"/>
      <c r="E306" s="79"/>
      <c r="F306" s="79"/>
      <c r="G306" s="80"/>
    </row>
    <row r="307" spans="1:9" x14ac:dyDescent="0.25">
      <c r="A307" s="81" t="s">
        <v>86</v>
      </c>
      <c r="B307" s="79"/>
      <c r="C307" s="79"/>
      <c r="D307" s="79"/>
      <c r="E307" s="79"/>
      <c r="F307" s="79"/>
      <c r="G307" s="80"/>
    </row>
    <row r="308" spans="1:9" ht="13" x14ac:dyDescent="0.3">
      <c r="A308" s="87" t="s">
        <v>87</v>
      </c>
      <c r="B308" s="17" t="s">
        <v>88</v>
      </c>
      <c r="C308" s="21" t="s">
        <v>89</v>
      </c>
      <c r="D308" s="17" t="s">
        <v>90</v>
      </c>
      <c r="E308" s="17" t="s">
        <v>91</v>
      </c>
      <c r="F308" s="17" t="s">
        <v>81</v>
      </c>
      <c r="G308" s="80"/>
    </row>
    <row r="309" spans="1:9" x14ac:dyDescent="0.25">
      <c r="A309" s="88" t="s">
        <v>92</v>
      </c>
      <c r="B309" s="112">
        <v>4.1422058274851403E-2</v>
      </c>
      <c r="C309" s="90">
        <v>1</v>
      </c>
      <c r="D309" s="113">
        <v>4.1422058274851403E-2</v>
      </c>
      <c r="E309" s="91">
        <v>6.0961061152118905</v>
      </c>
      <c r="F309" s="60">
        <v>1.7158715037757274E-2</v>
      </c>
      <c r="G309" s="80"/>
    </row>
    <row r="310" spans="1:9" x14ac:dyDescent="0.25">
      <c r="A310" s="88" t="s">
        <v>93</v>
      </c>
      <c r="B310" s="112">
        <v>0.32615226172514861</v>
      </c>
      <c r="C310" s="90">
        <v>48</v>
      </c>
      <c r="D310" s="113">
        <v>6.7948387859405957E-3</v>
      </c>
      <c r="E310" s="79"/>
      <c r="F310" s="79"/>
      <c r="G310" s="80"/>
    </row>
    <row r="311" spans="1:9" x14ac:dyDescent="0.25">
      <c r="A311" s="93" t="s">
        <v>4</v>
      </c>
      <c r="B311" s="23">
        <v>0.36757432000000001</v>
      </c>
      <c r="C311" s="22">
        <v>49</v>
      </c>
      <c r="D311" s="19"/>
      <c r="E311" s="19"/>
      <c r="F311" s="19"/>
      <c r="G311" s="80"/>
    </row>
    <row r="312" spans="1:9" x14ac:dyDescent="0.25">
      <c r="A312" s="81"/>
      <c r="B312" s="79"/>
      <c r="C312" s="79"/>
      <c r="D312" s="79"/>
      <c r="E312" s="79"/>
      <c r="F312" s="79"/>
      <c r="G312" s="80"/>
    </row>
    <row r="313" spans="1:9" x14ac:dyDescent="0.25">
      <c r="A313" s="81"/>
      <c r="B313" s="79"/>
      <c r="C313" s="79"/>
      <c r="D313" s="79"/>
      <c r="E313" s="79"/>
      <c r="F313" s="79"/>
      <c r="G313" s="80"/>
    </row>
    <row r="314" spans="1:9" ht="13" x14ac:dyDescent="0.3">
      <c r="A314" s="81" t="s">
        <v>76</v>
      </c>
      <c r="B314" s="79"/>
      <c r="C314" s="79"/>
      <c r="D314" s="37"/>
      <c r="E314" s="79"/>
      <c r="F314" s="94" t="s">
        <v>85</v>
      </c>
      <c r="G314" s="95"/>
      <c r="H314" s="16"/>
      <c r="I314" s="16"/>
    </row>
    <row r="315" spans="1:9" ht="13" x14ac:dyDescent="0.3">
      <c r="A315" s="87" t="s">
        <v>77</v>
      </c>
      <c r="B315" s="17" t="s">
        <v>78</v>
      </c>
      <c r="C315" s="17" t="s">
        <v>79</v>
      </c>
      <c r="D315" s="18" t="s">
        <v>119</v>
      </c>
      <c r="E315" s="17" t="s">
        <v>81</v>
      </c>
      <c r="F315" s="17" t="s">
        <v>82</v>
      </c>
      <c r="G315" s="96" t="s">
        <v>83</v>
      </c>
      <c r="H315" s="16"/>
      <c r="I315" s="16"/>
    </row>
    <row r="316" spans="1:9" x14ac:dyDescent="0.25">
      <c r="A316" s="97" t="s">
        <v>84</v>
      </c>
      <c r="B316" s="35">
        <v>1.5037086328501661</v>
      </c>
      <c r="C316" s="36">
        <v>0.48545969997492416</v>
      </c>
      <c r="D316" s="37">
        <v>3.0974942573561477</v>
      </c>
      <c r="E316" s="105">
        <v>3.2570428935483051E-3</v>
      </c>
      <c r="F316" s="35">
        <v>0.52762648665475231</v>
      </c>
      <c r="G316" s="98">
        <v>2.47979077904558</v>
      </c>
      <c r="H316" s="16"/>
      <c r="I316" s="16"/>
    </row>
    <row r="317" spans="1:9" ht="13" thickBot="1" x14ac:dyDescent="0.3">
      <c r="A317" s="115" t="s">
        <v>4</v>
      </c>
      <c r="B317" s="100">
        <v>-1.1896791493915589E-3</v>
      </c>
      <c r="C317" s="114">
        <v>4.8184082195396803E-4</v>
      </c>
      <c r="D317" s="102">
        <v>-2.4690293872718265</v>
      </c>
      <c r="E317" s="116">
        <v>1.7158715037757274E-2</v>
      </c>
      <c r="F317" s="100">
        <v>-2.1584850536544358E-3</v>
      </c>
      <c r="G317" s="104">
        <v>-2.2087324512868201E-4</v>
      </c>
      <c r="H317" s="16"/>
      <c r="I317" s="16"/>
    </row>
    <row r="318" spans="1:9" x14ac:dyDescent="0.25">
      <c r="A318" s="26"/>
      <c r="B318" s="34"/>
      <c r="C318" s="117"/>
      <c r="D318" s="118"/>
      <c r="E318" s="31"/>
      <c r="F318" s="34"/>
      <c r="G318" s="35"/>
      <c r="H318" s="16"/>
      <c r="I318" s="16"/>
    </row>
    <row r="319" spans="1:9" ht="15.5" x14ac:dyDescent="0.35">
      <c r="A319" s="43"/>
      <c r="B319" s="43"/>
      <c r="C319" s="43"/>
      <c r="D319" s="43"/>
      <c r="E319" s="43"/>
      <c r="F319" s="43"/>
      <c r="G319" s="43"/>
      <c r="H319" s="16"/>
      <c r="I319" s="16"/>
    </row>
    <row r="320" spans="1:9" ht="16" thickBot="1" x14ac:dyDescent="0.4">
      <c r="A320"/>
      <c r="B320"/>
      <c r="C320"/>
      <c r="D320"/>
      <c r="E320"/>
      <c r="F320"/>
      <c r="G320"/>
      <c r="H320" s="16"/>
      <c r="I320" s="16"/>
    </row>
    <row r="321" spans="1:9" x14ac:dyDescent="0.25">
      <c r="A321" s="75" t="s">
        <v>124</v>
      </c>
      <c r="B321" s="76"/>
      <c r="C321" s="76"/>
      <c r="D321" s="76"/>
      <c r="E321" s="76"/>
      <c r="F321" s="76"/>
      <c r="G321" s="77"/>
    </row>
    <row r="322" spans="1:9" ht="15.5" x14ac:dyDescent="0.35">
      <c r="A322" s="78" t="s">
        <v>69</v>
      </c>
      <c r="B322" s="79"/>
      <c r="C322" s="79"/>
      <c r="D322" s="79"/>
      <c r="E322" s="79"/>
      <c r="F322" s="79"/>
      <c r="G322" s="80"/>
    </row>
    <row r="323" spans="1:9" x14ac:dyDescent="0.25">
      <c r="A323" s="81"/>
      <c r="B323" s="79"/>
      <c r="C323" s="79"/>
      <c r="D323" s="79"/>
      <c r="E323" s="79"/>
      <c r="F323" s="79"/>
      <c r="G323" s="80"/>
    </row>
    <row r="324" spans="1:9" x14ac:dyDescent="0.25">
      <c r="A324" s="81"/>
      <c r="B324" s="82" t="s">
        <v>96</v>
      </c>
      <c r="C324" s="83">
        <v>0.11655496709214339</v>
      </c>
      <c r="D324" s="79"/>
      <c r="E324" s="79"/>
      <c r="F324" s="79"/>
      <c r="G324" s="80"/>
    </row>
    <row r="325" spans="1:9" x14ac:dyDescent="0.25">
      <c r="A325" s="81"/>
      <c r="B325" s="82" t="s">
        <v>99</v>
      </c>
      <c r="C325" s="83">
        <v>7.8961561436489913E-2</v>
      </c>
      <c r="D325" s="84" t="s">
        <v>73</v>
      </c>
      <c r="E325" s="85">
        <v>50</v>
      </c>
      <c r="F325" s="79"/>
      <c r="G325" s="80"/>
    </row>
    <row r="326" spans="1:9" x14ac:dyDescent="0.25">
      <c r="A326" s="81"/>
      <c r="B326" s="82" t="s">
        <v>97</v>
      </c>
      <c r="C326" s="83">
        <v>0.34140147494137074</v>
      </c>
      <c r="D326" s="84" t="s">
        <v>74</v>
      </c>
      <c r="E326" s="85">
        <v>2</v>
      </c>
      <c r="F326" s="79"/>
      <c r="G326" s="80"/>
    </row>
    <row r="327" spans="1:9" ht="13" x14ac:dyDescent="0.3">
      <c r="A327" s="81"/>
      <c r="B327" s="82" t="s">
        <v>72</v>
      </c>
      <c r="C327" s="83">
        <v>23.454534892997074</v>
      </c>
      <c r="D327" s="84" t="s">
        <v>75</v>
      </c>
      <c r="E327" s="86" t="s">
        <v>4</v>
      </c>
      <c r="F327" s="79"/>
      <c r="G327" s="80"/>
    </row>
    <row r="328" spans="1:9" x14ac:dyDescent="0.25">
      <c r="A328" s="81"/>
      <c r="B328" s="79"/>
      <c r="C328" s="79"/>
      <c r="D328" s="79"/>
      <c r="E328" s="79"/>
      <c r="F328" s="79"/>
      <c r="G328" s="80"/>
    </row>
    <row r="329" spans="1:9" x14ac:dyDescent="0.25">
      <c r="A329" s="81" t="s">
        <v>86</v>
      </c>
      <c r="B329" s="79"/>
      <c r="C329" s="79"/>
      <c r="D329" s="79"/>
      <c r="E329" s="79"/>
      <c r="F329" s="79"/>
      <c r="G329" s="80"/>
    </row>
    <row r="330" spans="1:9" ht="13" x14ac:dyDescent="0.3">
      <c r="A330" s="87" t="s">
        <v>87</v>
      </c>
      <c r="B330" s="17" t="s">
        <v>88</v>
      </c>
      <c r="C330" s="21" t="s">
        <v>89</v>
      </c>
      <c r="D330" s="17" t="s">
        <v>90</v>
      </c>
      <c r="E330" s="17" t="s">
        <v>91</v>
      </c>
      <c r="F330" s="17" t="s">
        <v>81</v>
      </c>
      <c r="G330" s="80"/>
    </row>
    <row r="331" spans="1:9" x14ac:dyDescent="0.25">
      <c r="A331" s="88" t="s">
        <v>92</v>
      </c>
      <c r="B331" s="89">
        <v>3411.1652687995811</v>
      </c>
      <c r="C331" s="90">
        <v>2</v>
      </c>
      <c r="D331" s="36">
        <v>1705.5826343997905</v>
      </c>
      <c r="E331" s="91">
        <v>3.1004099006022163</v>
      </c>
      <c r="F331" s="38">
        <v>5.4352438412641063E-2</v>
      </c>
      <c r="G331" s="80"/>
    </row>
    <row r="332" spans="1:9" x14ac:dyDescent="0.25">
      <c r="A332" s="88" t="s">
        <v>93</v>
      </c>
      <c r="B332" s="89">
        <v>25855.414731200413</v>
      </c>
      <c r="C332" s="90">
        <v>47</v>
      </c>
      <c r="D332" s="36">
        <v>550.11520704681732</v>
      </c>
      <c r="E332" s="79"/>
      <c r="F332" s="79"/>
      <c r="G332" s="80"/>
    </row>
    <row r="333" spans="1:9" x14ac:dyDescent="0.25">
      <c r="A333" s="93" t="s">
        <v>4</v>
      </c>
      <c r="B333" s="20">
        <v>29266.579999999994</v>
      </c>
      <c r="C333" s="22">
        <v>49</v>
      </c>
      <c r="D333" s="19"/>
      <c r="E333" s="19"/>
      <c r="F333" s="19"/>
      <c r="G333" s="80"/>
    </row>
    <row r="334" spans="1:9" x14ac:dyDescent="0.25">
      <c r="A334" s="81"/>
      <c r="B334" s="79"/>
      <c r="C334" s="79"/>
      <c r="D334" s="79"/>
      <c r="E334" s="79"/>
      <c r="F334" s="79"/>
      <c r="G334" s="80"/>
    </row>
    <row r="335" spans="1:9" x14ac:dyDescent="0.25">
      <c r="A335" s="81"/>
      <c r="B335" s="79"/>
      <c r="C335" s="79"/>
      <c r="D335" s="79"/>
      <c r="E335" s="79"/>
      <c r="F335" s="79"/>
      <c r="G335" s="80"/>
    </row>
    <row r="336" spans="1:9" ht="13" x14ac:dyDescent="0.3">
      <c r="A336" s="81" t="s">
        <v>76</v>
      </c>
      <c r="B336" s="79"/>
      <c r="C336" s="79"/>
      <c r="D336" s="37"/>
      <c r="E336" s="79"/>
      <c r="F336" s="94" t="s">
        <v>85</v>
      </c>
      <c r="G336" s="95"/>
      <c r="H336" s="16"/>
      <c r="I336" s="16"/>
    </row>
    <row r="337" spans="1:9" ht="13" x14ac:dyDescent="0.3">
      <c r="A337" s="87" t="s">
        <v>77</v>
      </c>
      <c r="B337" s="17" t="s">
        <v>78</v>
      </c>
      <c r="C337" s="17" t="s">
        <v>79</v>
      </c>
      <c r="D337" s="18" t="s">
        <v>123</v>
      </c>
      <c r="E337" s="17" t="s">
        <v>81</v>
      </c>
      <c r="F337" s="17" t="s">
        <v>82</v>
      </c>
      <c r="G337" s="96" t="s">
        <v>83</v>
      </c>
      <c r="H337" s="16"/>
      <c r="I337" s="16"/>
    </row>
    <row r="338" spans="1:9" x14ac:dyDescent="0.25">
      <c r="A338" s="97" t="s">
        <v>84</v>
      </c>
      <c r="B338" s="35">
        <v>999.98633163772774</v>
      </c>
      <c r="C338" s="36">
        <v>26.78925683300335</v>
      </c>
      <c r="D338" s="37">
        <v>37.327886244525544</v>
      </c>
      <c r="E338" s="92">
        <v>1.3824132895710414E-36</v>
      </c>
      <c r="F338" s="35">
        <v>946.09329833406298</v>
      </c>
      <c r="G338" s="98">
        <v>1053.8793649413924</v>
      </c>
      <c r="H338" s="16"/>
      <c r="I338" s="16"/>
    </row>
    <row r="339" spans="1:9" x14ac:dyDescent="0.25">
      <c r="A339" s="119" t="s">
        <v>114</v>
      </c>
      <c r="B339" s="35">
        <v>-2.9153490366255379E-3</v>
      </c>
      <c r="C339" s="36">
        <v>1.4148927675447459E-3</v>
      </c>
      <c r="D339" s="37">
        <v>-2.0604734885206346</v>
      </c>
      <c r="E339" s="60">
        <v>4.4912560377628884E-2</v>
      </c>
      <c r="F339" s="35">
        <v>-5.7617461396785325E-3</v>
      </c>
      <c r="G339" s="98">
        <v>-6.8951933572542878E-5</v>
      </c>
      <c r="H339" s="16"/>
      <c r="I339" s="16"/>
    </row>
    <row r="340" spans="1:9" ht="13" thickBot="1" x14ac:dyDescent="0.3">
      <c r="A340" s="115" t="s">
        <v>115</v>
      </c>
      <c r="B340" s="100">
        <v>2.1434919745906777E-3</v>
      </c>
      <c r="C340" s="101">
        <v>8.6131600563382738E-4</v>
      </c>
      <c r="D340" s="102">
        <v>2.488624338303477</v>
      </c>
      <c r="E340" s="116">
        <v>1.6423805496496347E-2</v>
      </c>
      <c r="F340" s="100">
        <v>4.1074767093321344E-4</v>
      </c>
      <c r="G340" s="104">
        <v>3.8762362782481419E-3</v>
      </c>
      <c r="H340" s="16"/>
      <c r="I340" s="16"/>
    </row>
    <row r="341" spans="1:9" x14ac:dyDescent="0.25">
      <c r="C341" s="79"/>
      <c r="D341" s="79"/>
      <c r="E341" s="79"/>
      <c r="F341" s="79"/>
      <c r="G341" s="79"/>
    </row>
    <row r="342" spans="1:9" ht="15.5" x14ac:dyDescent="0.35">
      <c r="C342"/>
      <c r="D342"/>
      <c r="E342"/>
      <c r="F342"/>
      <c r="G342"/>
    </row>
    <row r="343" spans="1:9" ht="15.5" x14ac:dyDescent="0.35">
      <c r="C343"/>
      <c r="D343"/>
      <c r="E343"/>
      <c r="F343"/>
      <c r="G343"/>
    </row>
    <row r="357" ht="18" customHeight="1" x14ac:dyDescent="0.25"/>
    <row r="360" ht="18" customHeight="1" x14ac:dyDescent="0.25"/>
    <row r="378" spans="1:8" ht="15.5" x14ac:dyDescent="0.35">
      <c r="A378"/>
      <c r="B378"/>
      <c r="C378"/>
      <c r="D378"/>
      <c r="E378"/>
      <c r="F378"/>
      <c r="G378"/>
      <c r="H378"/>
    </row>
    <row r="379" spans="1:8" ht="15.5" x14ac:dyDescent="0.35">
      <c r="A379"/>
      <c r="B379"/>
      <c r="C379"/>
      <c r="D379"/>
      <c r="E379"/>
      <c r="F379"/>
      <c r="G379"/>
      <c r="H379"/>
    </row>
    <row r="394" spans="1:8" ht="18" customHeight="1" x14ac:dyDescent="0.25"/>
    <row r="397" spans="1:8" ht="18" customHeight="1" x14ac:dyDescent="0.25"/>
    <row r="398" spans="1:8" ht="15.5" x14ac:dyDescent="0.35">
      <c r="A398"/>
      <c r="B398"/>
      <c r="C398"/>
      <c r="D398"/>
      <c r="E398"/>
      <c r="F398"/>
      <c r="G398"/>
      <c r="H398"/>
    </row>
    <row r="399" spans="1:8" ht="15.5" x14ac:dyDescent="0.35">
      <c r="A399"/>
      <c r="B399"/>
      <c r="C399"/>
      <c r="D399"/>
      <c r="E399"/>
      <c r="F399"/>
      <c r="G399"/>
      <c r="H399"/>
    </row>
    <row r="400" spans="1:8" ht="15.5" x14ac:dyDescent="0.35">
      <c r="A400"/>
      <c r="B400"/>
      <c r="C400"/>
      <c r="D400"/>
      <c r="E400"/>
      <c r="F400"/>
      <c r="G400"/>
      <c r="H400"/>
    </row>
    <row r="401" spans="1:9" ht="15.5" x14ac:dyDescent="0.35">
      <c r="A401"/>
      <c r="B401"/>
      <c r="C401"/>
      <c r="D401"/>
      <c r="E401"/>
      <c r="F401"/>
      <c r="G401"/>
      <c r="H401"/>
    </row>
    <row r="402" spans="1:9" ht="15.5" x14ac:dyDescent="0.35">
      <c r="A402"/>
      <c r="B402"/>
      <c r="C402"/>
      <c r="D402"/>
      <c r="E402"/>
      <c r="F402"/>
      <c r="G402"/>
      <c r="H402"/>
    </row>
    <row r="403" spans="1:9" ht="15.5" x14ac:dyDescent="0.35">
      <c r="A403"/>
      <c r="B403"/>
      <c r="C403"/>
      <c r="D403"/>
      <c r="E403"/>
      <c r="F403"/>
      <c r="G403"/>
      <c r="H403"/>
    </row>
    <row r="404" spans="1:9" ht="15.5" x14ac:dyDescent="0.35">
      <c r="A404"/>
      <c r="B404"/>
      <c r="C404"/>
      <c r="D404"/>
      <c r="E404"/>
      <c r="F404"/>
      <c r="G404"/>
      <c r="H404"/>
    </row>
    <row r="405" spans="1:9" ht="15.5" x14ac:dyDescent="0.35">
      <c r="A405"/>
      <c r="B405"/>
      <c r="C405"/>
      <c r="D405"/>
      <c r="E405"/>
      <c r="F405"/>
      <c r="G405"/>
      <c r="H405"/>
    </row>
    <row r="406" spans="1:9" ht="15.5" x14ac:dyDescent="0.35">
      <c r="A406"/>
      <c r="B406"/>
      <c r="C406"/>
      <c r="D406"/>
      <c r="E406"/>
      <c r="F406"/>
      <c r="G406"/>
      <c r="H406"/>
    </row>
    <row r="407" spans="1:9" ht="15.5" x14ac:dyDescent="0.35">
      <c r="A407"/>
      <c r="B407"/>
      <c r="C407"/>
      <c r="D407"/>
      <c r="E407"/>
      <c r="F407"/>
      <c r="G407"/>
      <c r="H407"/>
    </row>
    <row r="408" spans="1:9" ht="15.5" x14ac:dyDescent="0.35">
      <c r="A408"/>
      <c r="B408"/>
      <c r="C408"/>
      <c r="D408"/>
      <c r="E408"/>
      <c r="F408"/>
      <c r="G408"/>
      <c r="H408"/>
    </row>
    <row r="409" spans="1:9" ht="15.5" x14ac:dyDescent="0.35">
      <c r="A409"/>
      <c r="B409"/>
      <c r="C409"/>
      <c r="D409"/>
      <c r="E409"/>
      <c r="F409"/>
      <c r="G409"/>
      <c r="H409"/>
    </row>
    <row r="410" spans="1:9" ht="15.5" x14ac:dyDescent="0.35">
      <c r="A410"/>
      <c r="B410"/>
      <c r="C410"/>
      <c r="D410"/>
      <c r="E410"/>
      <c r="F410"/>
      <c r="G410"/>
      <c r="H410"/>
    </row>
    <row r="411" spans="1:9" ht="15.5" x14ac:dyDescent="0.35">
      <c r="A411"/>
      <c r="B411"/>
      <c r="C411"/>
      <c r="D411"/>
      <c r="E411"/>
      <c r="F411"/>
      <c r="G411"/>
      <c r="H411"/>
    </row>
    <row r="412" spans="1:9" ht="15.5" x14ac:dyDescent="0.35">
      <c r="A412"/>
      <c r="B412"/>
      <c r="C412"/>
      <c r="D412"/>
      <c r="E412"/>
      <c r="F412"/>
      <c r="G412"/>
      <c r="H412"/>
      <c r="I412" s="16"/>
    </row>
    <row r="413" spans="1:9" ht="15.5" x14ac:dyDescent="0.35">
      <c r="A413"/>
      <c r="B413"/>
      <c r="C413"/>
      <c r="D413"/>
      <c r="E413"/>
      <c r="F413"/>
      <c r="G413"/>
      <c r="H413"/>
      <c r="I413" s="16"/>
    </row>
    <row r="414" spans="1:9" ht="15.5" x14ac:dyDescent="0.35">
      <c r="A414"/>
      <c r="B414"/>
      <c r="C414"/>
      <c r="D414"/>
      <c r="E414"/>
      <c r="F414"/>
      <c r="G414"/>
      <c r="H414"/>
      <c r="I414" s="16"/>
    </row>
    <row r="415" spans="1:9" ht="15.5" x14ac:dyDescent="0.35">
      <c r="A415"/>
      <c r="B415"/>
      <c r="C415"/>
      <c r="D415"/>
      <c r="E415"/>
      <c r="F415"/>
      <c r="G415"/>
      <c r="H415"/>
      <c r="I415" s="16"/>
    </row>
    <row r="416" spans="1:9" ht="15.5" x14ac:dyDescent="0.35">
      <c r="A416"/>
      <c r="B416"/>
      <c r="C416"/>
      <c r="D416"/>
      <c r="E416"/>
      <c r="F416"/>
      <c r="G416"/>
      <c r="H416"/>
    </row>
    <row r="417" spans="1:8" ht="15.5" x14ac:dyDescent="0.35">
      <c r="A417"/>
      <c r="B417"/>
      <c r="C417"/>
      <c r="D417"/>
      <c r="E417"/>
      <c r="F417"/>
      <c r="G417"/>
      <c r="H417"/>
    </row>
    <row r="418" spans="1:8" ht="15.5" x14ac:dyDescent="0.35">
      <c r="A418"/>
      <c r="B418"/>
      <c r="C418"/>
      <c r="D418"/>
      <c r="E418"/>
      <c r="F418"/>
      <c r="G418"/>
      <c r="H418"/>
    </row>
    <row r="419" spans="1:8" ht="15.5" x14ac:dyDescent="0.35">
      <c r="A419"/>
      <c r="B419"/>
      <c r="C419"/>
      <c r="D419"/>
      <c r="E419"/>
      <c r="F419"/>
      <c r="G419"/>
      <c r="H419"/>
    </row>
    <row r="420" spans="1:8" ht="15.5" x14ac:dyDescent="0.35">
      <c r="A420"/>
      <c r="B420"/>
      <c r="C420"/>
      <c r="D420"/>
      <c r="E420"/>
      <c r="F420"/>
      <c r="G420"/>
      <c r="H420"/>
    </row>
    <row r="421" spans="1:8" ht="15.5" x14ac:dyDescent="0.35">
      <c r="A421"/>
      <c r="B421"/>
      <c r="C421"/>
      <c r="D421"/>
      <c r="E421"/>
      <c r="F421"/>
      <c r="G421"/>
      <c r="H421"/>
    </row>
    <row r="422" spans="1:8" ht="15.5" x14ac:dyDescent="0.35">
      <c r="A422"/>
      <c r="B422"/>
      <c r="C422"/>
      <c r="D422"/>
      <c r="E422"/>
      <c r="F422"/>
      <c r="G422"/>
      <c r="H422"/>
    </row>
    <row r="423" spans="1:8" ht="15.5" x14ac:dyDescent="0.35">
      <c r="A423"/>
      <c r="B423"/>
      <c r="C423"/>
      <c r="D423"/>
      <c r="E423"/>
      <c r="F423"/>
      <c r="G423"/>
      <c r="H423"/>
    </row>
    <row r="424" spans="1:8" ht="15.5" x14ac:dyDescent="0.35">
      <c r="A424"/>
      <c r="B424"/>
      <c r="C424"/>
      <c r="D424"/>
      <c r="E424"/>
      <c r="F424"/>
      <c r="G424"/>
      <c r="H424"/>
    </row>
    <row r="425" spans="1:8" ht="15.5" x14ac:dyDescent="0.35">
      <c r="A425"/>
      <c r="B425"/>
      <c r="C425"/>
      <c r="D425"/>
      <c r="E425"/>
      <c r="F425"/>
      <c r="G425"/>
      <c r="H425"/>
    </row>
    <row r="426" spans="1:8" ht="15.5" x14ac:dyDescent="0.35">
      <c r="A426"/>
      <c r="B426"/>
      <c r="C426"/>
      <c r="D426"/>
      <c r="E426"/>
      <c r="F426"/>
      <c r="G426"/>
      <c r="H426"/>
    </row>
    <row r="427" spans="1:8" ht="15.5" x14ac:dyDescent="0.35">
      <c r="A427"/>
      <c r="B427"/>
      <c r="C427"/>
      <c r="D427"/>
      <c r="E427"/>
      <c r="F427"/>
      <c r="G427"/>
      <c r="H427"/>
    </row>
    <row r="428" spans="1:8" ht="15.5" x14ac:dyDescent="0.35">
      <c r="A428"/>
      <c r="B428"/>
      <c r="C428"/>
      <c r="D428"/>
      <c r="E428"/>
      <c r="F428"/>
      <c r="G428"/>
      <c r="H428"/>
    </row>
    <row r="429" spans="1:8" ht="15.5" x14ac:dyDescent="0.35">
      <c r="A429"/>
      <c r="B429"/>
      <c r="C429"/>
      <c r="D429"/>
      <c r="E429"/>
      <c r="F429"/>
      <c r="G429"/>
      <c r="H429"/>
    </row>
    <row r="430" spans="1:8" ht="15.5" x14ac:dyDescent="0.35">
      <c r="A430"/>
      <c r="B430"/>
      <c r="C430"/>
      <c r="D430"/>
      <c r="E430"/>
      <c r="F430"/>
      <c r="G430"/>
      <c r="H430"/>
    </row>
    <row r="431" spans="1:8" ht="15.5" x14ac:dyDescent="0.35">
      <c r="A431"/>
      <c r="B431"/>
      <c r="C431"/>
      <c r="D431"/>
      <c r="E431"/>
      <c r="F431"/>
      <c r="G431"/>
      <c r="H431"/>
    </row>
    <row r="432" spans="1:8" ht="15.5" x14ac:dyDescent="0.35">
      <c r="A432"/>
      <c r="B432"/>
      <c r="C432"/>
      <c r="D432"/>
      <c r="E432"/>
      <c r="F432"/>
      <c r="G432"/>
      <c r="H432"/>
    </row>
    <row r="433" spans="1:9" ht="15.5" x14ac:dyDescent="0.35">
      <c r="A433"/>
      <c r="B433"/>
      <c r="C433"/>
      <c r="D433"/>
      <c r="E433"/>
      <c r="F433"/>
      <c r="G433"/>
      <c r="H433"/>
      <c r="I433" s="16"/>
    </row>
    <row r="434" spans="1:9" ht="15.5" x14ac:dyDescent="0.35">
      <c r="A434"/>
      <c r="B434"/>
      <c r="C434"/>
      <c r="D434"/>
      <c r="E434"/>
      <c r="F434"/>
      <c r="G434"/>
      <c r="H434"/>
      <c r="I434" s="16"/>
    </row>
    <row r="435" spans="1:9" ht="15.5" x14ac:dyDescent="0.35">
      <c r="A435"/>
      <c r="B435"/>
      <c r="C435"/>
      <c r="D435"/>
      <c r="E435"/>
      <c r="F435"/>
      <c r="G435"/>
      <c r="H435"/>
      <c r="I435" s="16"/>
    </row>
    <row r="436" spans="1:9" ht="15.5" x14ac:dyDescent="0.35">
      <c r="A436"/>
      <c r="B436"/>
      <c r="C436"/>
      <c r="D436"/>
      <c r="E436"/>
      <c r="F436"/>
      <c r="G436"/>
      <c r="H436"/>
      <c r="I436" s="16"/>
    </row>
    <row r="437" spans="1:9" ht="15.5" x14ac:dyDescent="0.35">
      <c r="A437"/>
      <c r="B437"/>
      <c r="C437"/>
      <c r="D437"/>
      <c r="E437"/>
      <c r="F437"/>
      <c r="G437"/>
      <c r="H4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6"/>
  <sheetViews>
    <sheetView zoomScale="70" zoomScaleNormal="70" workbookViewId="0"/>
  </sheetViews>
  <sheetFormatPr defaultColWidth="10.6640625" defaultRowHeight="15.5" x14ac:dyDescent="0.35"/>
  <cols>
    <col min="1" max="1" width="18" style="2" customWidth="1"/>
    <col min="2" max="3" width="11.33203125" style="4" customWidth="1"/>
    <col min="4" max="5" width="13.5" style="4" customWidth="1"/>
    <col min="6" max="7" width="10.83203125" style="4"/>
    <col min="8" max="8" width="11.5" style="4" bestFit="1" customWidth="1"/>
    <col min="9" max="9" width="10.83203125" style="4"/>
    <col min="10" max="10" width="12.6640625" style="4" customWidth="1"/>
    <col min="11" max="18" width="10.83203125" style="4"/>
    <col min="19" max="19" width="11.83203125" style="4" customWidth="1"/>
    <col min="20" max="20" width="10.83203125" style="4"/>
  </cols>
  <sheetData>
    <row r="1" spans="1:20" x14ac:dyDescent="0.35">
      <c r="F1" s="4" t="s">
        <v>94</v>
      </c>
      <c r="H1" s="4" t="s">
        <v>6</v>
      </c>
      <c r="K1" s="5"/>
      <c r="L1" s="5"/>
      <c r="M1" s="5"/>
      <c r="N1" s="5" t="s">
        <v>16</v>
      </c>
      <c r="O1" s="5"/>
      <c r="P1" s="5"/>
      <c r="Q1" s="5"/>
      <c r="R1" s="5"/>
      <c r="T1" s="4" t="s">
        <v>160</v>
      </c>
    </row>
    <row r="2" spans="1:20" ht="16" thickBot="1" x14ac:dyDescent="0.4">
      <c r="A2" s="1" t="s">
        <v>161</v>
      </c>
      <c r="B2" s="3" t="s">
        <v>0</v>
      </c>
      <c r="C2" s="3" t="s">
        <v>1</v>
      </c>
      <c r="D2" s="3" t="s">
        <v>2</v>
      </c>
      <c r="E2" s="3" t="s">
        <v>3</v>
      </c>
      <c r="F2" s="6" t="s">
        <v>4</v>
      </c>
      <c r="G2" s="3" t="s">
        <v>175</v>
      </c>
      <c r="H2" s="3" t="s">
        <v>5</v>
      </c>
      <c r="I2" s="3" t="s">
        <v>174</v>
      </c>
      <c r="J2" s="3" t="s">
        <v>162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95</v>
      </c>
      <c r="Q2" s="3" t="s">
        <v>12</v>
      </c>
      <c r="R2" s="3" t="s">
        <v>13</v>
      </c>
      <c r="S2" s="3" t="s">
        <v>14</v>
      </c>
      <c r="T2" s="3" t="s">
        <v>15</v>
      </c>
    </row>
    <row r="3" spans="1:20" x14ac:dyDescent="0.35">
      <c r="A3" s="2" t="s">
        <v>17</v>
      </c>
      <c r="B3" s="7">
        <v>228</v>
      </c>
      <c r="C3" s="7">
        <v>269</v>
      </c>
      <c r="D3" s="7">
        <v>216</v>
      </c>
      <c r="E3" s="7">
        <v>255</v>
      </c>
      <c r="F3" s="8">
        <f t="shared" ref="F3:F34" si="0">SUM(B3:E3)</f>
        <v>968</v>
      </c>
      <c r="G3" s="4">
        <f t="shared" ref="G3:G34" si="1">RANK(F3,F$3:F$53)</f>
        <v>46</v>
      </c>
      <c r="H3" s="9">
        <v>9187</v>
      </c>
      <c r="I3" s="4">
        <f t="shared" ref="I3:I34" si="2">RANK(H3,H$3:H$53)</f>
        <v>34</v>
      </c>
      <c r="J3" s="53">
        <f>Table1[[#This Row],[PPF]]/Table1[[#This Row],[Total]]</f>
        <v>9.490702479338843</v>
      </c>
      <c r="K3" s="10">
        <v>0.58799999999999997</v>
      </c>
      <c r="L3" s="10">
        <v>0.35299999999999998</v>
      </c>
      <c r="M3" s="10">
        <v>3.9E-2</v>
      </c>
      <c r="N3" s="10">
        <v>1.2E-2</v>
      </c>
      <c r="O3" s="10">
        <v>8.0000000000000002E-3</v>
      </c>
      <c r="P3" s="10">
        <v>8.9999999999999993E-3</v>
      </c>
      <c r="Q3" s="10">
        <v>2.5999999999999999E-2</v>
      </c>
      <c r="R3" s="10">
        <v>0.52400000000000002</v>
      </c>
      <c r="S3" s="10">
        <f>0/1639</f>
        <v>0</v>
      </c>
      <c r="T3" s="11">
        <v>15.6</v>
      </c>
    </row>
    <row r="4" spans="1:20" x14ac:dyDescent="0.35">
      <c r="A4" s="2" t="s">
        <v>18</v>
      </c>
      <c r="B4" s="7">
        <v>237</v>
      </c>
      <c r="C4" s="7">
        <v>283</v>
      </c>
      <c r="D4" s="7">
        <v>211</v>
      </c>
      <c r="E4" s="7">
        <v>259</v>
      </c>
      <c r="F4" s="8">
        <f t="shared" si="0"/>
        <v>990</v>
      </c>
      <c r="G4" s="4">
        <f t="shared" si="1"/>
        <v>37</v>
      </c>
      <c r="H4" s="9">
        <v>14466</v>
      </c>
      <c r="I4" s="4">
        <f t="shared" si="2"/>
        <v>5</v>
      </c>
      <c r="J4" s="53">
        <f>Table1[[#This Row],[PPF]]/Table1[[#This Row],[Total]]</f>
        <v>14.612121212121211</v>
      </c>
      <c r="K4" s="10">
        <v>0.53300000000000003</v>
      </c>
      <c r="L4" s="10">
        <v>3.5000000000000003E-2</v>
      </c>
      <c r="M4" s="10">
        <v>5.8000000000000003E-2</v>
      </c>
      <c r="N4" s="10">
        <v>7.1999999999999995E-2</v>
      </c>
      <c r="O4" s="10">
        <v>0.23100000000000001</v>
      </c>
      <c r="P4" s="10">
        <v>0.13500000000000001</v>
      </c>
      <c r="Q4" s="10">
        <v>9.1999999999999998E-2</v>
      </c>
      <c r="R4" s="10">
        <v>0.34100000000000003</v>
      </c>
      <c r="S4" s="10">
        <f>24/516</f>
        <v>4.6511627906976744E-2</v>
      </c>
      <c r="T4" s="11">
        <v>16.5</v>
      </c>
    </row>
    <row r="5" spans="1:20" x14ac:dyDescent="0.35">
      <c r="A5" s="2" t="s">
        <v>19</v>
      </c>
      <c r="B5" s="7">
        <v>230</v>
      </c>
      <c r="C5" s="7">
        <v>277</v>
      </c>
      <c r="D5" s="7">
        <v>210</v>
      </c>
      <c r="E5" s="7">
        <v>258</v>
      </c>
      <c r="F5" s="8">
        <f t="shared" si="0"/>
        <v>975</v>
      </c>
      <c r="G5" s="4">
        <f t="shared" si="1"/>
        <v>43</v>
      </c>
      <c r="H5" s="9">
        <v>7889</v>
      </c>
      <c r="I5" s="4">
        <f t="shared" si="2"/>
        <v>46</v>
      </c>
      <c r="J5" s="53">
        <f>Table1[[#This Row],[PPF]]/Table1[[#This Row],[Total]]</f>
        <v>8.091282051282052</v>
      </c>
      <c r="K5" s="10">
        <v>0.44400000000000001</v>
      </c>
      <c r="L5" s="10">
        <v>5.8000000000000003E-2</v>
      </c>
      <c r="M5" s="10">
        <v>0.41399999999999998</v>
      </c>
      <c r="N5" s="10">
        <v>0.03</v>
      </c>
      <c r="O5" s="10">
        <v>5.5E-2</v>
      </c>
      <c r="P5" s="10">
        <v>0.114</v>
      </c>
      <c r="Q5" s="10">
        <v>0.115</v>
      </c>
      <c r="R5" s="10">
        <v>0.47499999999999998</v>
      </c>
      <c r="S5" s="10">
        <f>526/2234</f>
        <v>0.23545210384959714</v>
      </c>
      <c r="T5" s="11">
        <v>19.899999999999999</v>
      </c>
    </row>
    <row r="6" spans="1:20" x14ac:dyDescent="0.35">
      <c r="A6" s="2" t="s">
        <v>20</v>
      </c>
      <c r="B6" s="7">
        <v>238</v>
      </c>
      <c r="C6" s="7">
        <v>276</v>
      </c>
      <c r="D6" s="7">
        <v>216</v>
      </c>
      <c r="E6" s="7">
        <v>258</v>
      </c>
      <c r="F6" s="8">
        <f t="shared" si="0"/>
        <v>988</v>
      </c>
      <c r="G6" s="4">
        <f t="shared" si="1"/>
        <v>40</v>
      </c>
      <c r="H6" s="9">
        <v>8724</v>
      </c>
      <c r="I6" s="4">
        <f t="shared" si="2"/>
        <v>40</v>
      </c>
      <c r="J6" s="53">
        <f>Table1[[#This Row],[PPF]]/Table1[[#This Row],[Total]]</f>
        <v>8.8299595141700404</v>
      </c>
      <c r="K6" s="10">
        <v>0.66600000000000004</v>
      </c>
      <c r="L6" s="10">
        <v>0.224</v>
      </c>
      <c r="M6" s="10">
        <v>8.5999999999999993E-2</v>
      </c>
      <c r="N6" s="10">
        <v>1.6E-2</v>
      </c>
      <c r="O6" s="10">
        <v>7.0000000000000001E-3</v>
      </c>
      <c r="P6" s="10">
        <v>0.13500000000000001</v>
      </c>
      <c r="Q6" s="10">
        <v>5.8000000000000003E-2</v>
      </c>
      <c r="R6" s="10">
        <v>0.57099999999999995</v>
      </c>
      <c r="S6" s="10">
        <f>32/1151</f>
        <v>2.780191138140747E-2</v>
      </c>
      <c r="T6" s="11">
        <v>12.9</v>
      </c>
    </row>
    <row r="7" spans="1:20" x14ac:dyDescent="0.35">
      <c r="A7" s="2" t="s">
        <v>21</v>
      </c>
      <c r="B7" s="7">
        <v>232</v>
      </c>
      <c r="C7" s="7">
        <v>270</v>
      </c>
      <c r="D7" s="7">
        <v>210</v>
      </c>
      <c r="E7" s="7">
        <v>253</v>
      </c>
      <c r="F7" s="8">
        <f t="shared" si="0"/>
        <v>965</v>
      </c>
      <c r="G7" s="4">
        <f t="shared" si="1"/>
        <v>47</v>
      </c>
      <c r="H7" s="9">
        <v>9610</v>
      </c>
      <c r="I7" s="4">
        <f t="shared" si="2"/>
        <v>29</v>
      </c>
      <c r="J7" s="53">
        <f>Table1[[#This Row],[PPF]]/Table1[[#This Row],[Total]]</f>
        <v>9.9585492227979273</v>
      </c>
      <c r="K7" s="10">
        <v>0.27900000000000003</v>
      </c>
      <c r="L7" s="10">
        <v>7.2999999999999995E-2</v>
      </c>
      <c r="M7" s="10">
        <v>0.49</v>
      </c>
      <c r="N7" s="10">
        <v>0.11700000000000001</v>
      </c>
      <c r="O7" s="10">
        <v>7.0000000000000001E-3</v>
      </c>
      <c r="P7" s="10">
        <v>0.106</v>
      </c>
      <c r="Q7" s="10">
        <v>0.24199999999999999</v>
      </c>
      <c r="R7" s="10">
        <v>0.52400000000000002</v>
      </c>
      <c r="S7" s="10">
        <f>789/10233</f>
        <v>7.7103488712987389E-2</v>
      </c>
      <c r="T7" s="11">
        <v>20.8</v>
      </c>
    </row>
    <row r="8" spans="1:20" x14ac:dyDescent="0.35">
      <c r="A8" s="2" t="s">
        <v>22</v>
      </c>
      <c r="B8" s="7">
        <v>243</v>
      </c>
      <c r="C8" s="7">
        <v>287</v>
      </c>
      <c r="D8" s="7">
        <v>226</v>
      </c>
      <c r="E8" s="7">
        <v>266</v>
      </c>
      <c r="F8" s="8">
        <f t="shared" si="0"/>
        <v>1022</v>
      </c>
      <c r="G8" s="4">
        <f t="shared" si="1"/>
        <v>14</v>
      </c>
      <c r="H8" s="9">
        <v>9242</v>
      </c>
      <c r="I8" s="4">
        <f t="shared" si="2"/>
        <v>33</v>
      </c>
      <c r="J8" s="53">
        <f>Table1[[#This Row],[PPF]]/Table1[[#This Row],[Total]]</f>
        <v>9.0430528375733861</v>
      </c>
      <c r="K8" s="10">
        <v>0.60899999999999999</v>
      </c>
      <c r="L8" s="10">
        <v>0.06</v>
      </c>
      <c r="M8" s="10">
        <v>0.28399999999999997</v>
      </c>
      <c r="N8" s="10">
        <v>3.5999999999999997E-2</v>
      </c>
      <c r="O8" s="10">
        <v>1.2E-2</v>
      </c>
      <c r="P8" s="10">
        <v>0.10199999999999999</v>
      </c>
      <c r="Q8" s="10">
        <v>0.109</v>
      </c>
      <c r="R8" s="10">
        <v>0.35399999999999998</v>
      </c>
      <c r="S8" s="10">
        <f>153/1837</f>
        <v>8.3287969515514426E-2</v>
      </c>
      <c r="T8" s="11">
        <v>16.8</v>
      </c>
    </row>
    <row r="9" spans="1:20" x14ac:dyDescent="0.35">
      <c r="A9" s="2" t="s">
        <v>23</v>
      </c>
      <c r="B9" s="7">
        <v>245</v>
      </c>
      <c r="C9" s="7">
        <v>289</v>
      </c>
      <c r="D9" s="7">
        <v>229</v>
      </c>
      <c r="E9" s="7">
        <v>272</v>
      </c>
      <c r="F9" s="8">
        <f t="shared" si="0"/>
        <v>1035</v>
      </c>
      <c r="G9" s="4">
        <f t="shared" si="1"/>
        <v>6</v>
      </c>
      <c r="H9" s="9">
        <v>14496</v>
      </c>
      <c r="I9" s="4">
        <f t="shared" si="2"/>
        <v>4</v>
      </c>
      <c r="J9" s="53">
        <f>Table1[[#This Row],[PPF]]/Table1[[#This Row],[Total]]</f>
        <v>14.005797101449275</v>
      </c>
      <c r="K9" s="10">
        <v>0.64500000000000002</v>
      </c>
      <c r="L9" s="10">
        <v>0.13900000000000001</v>
      </c>
      <c r="M9" s="10">
        <v>0.17100000000000001</v>
      </c>
      <c r="N9" s="10">
        <v>4.2000000000000003E-2</v>
      </c>
      <c r="O9" s="10">
        <v>4.0000000000000001E-3</v>
      </c>
      <c r="P9" s="10">
        <v>0.122</v>
      </c>
      <c r="Q9" s="10">
        <v>5.1999999999999998E-2</v>
      </c>
      <c r="R9" s="10">
        <v>0.30199999999999999</v>
      </c>
      <c r="S9" s="10">
        <f>18/1163</f>
        <v>1.5477214101461736E-2</v>
      </c>
      <c r="T9" s="11">
        <v>11.7</v>
      </c>
    </row>
    <row r="10" spans="1:20" x14ac:dyDescent="0.35">
      <c r="A10" s="61" t="s">
        <v>25</v>
      </c>
      <c r="B10" s="62">
        <v>219</v>
      </c>
      <c r="C10" s="62">
        <v>254</v>
      </c>
      <c r="D10" s="62">
        <v>202</v>
      </c>
      <c r="E10" s="62">
        <v>242</v>
      </c>
      <c r="F10" s="8">
        <f t="shared" si="0"/>
        <v>917</v>
      </c>
      <c r="G10" s="4">
        <f t="shared" si="1"/>
        <v>51</v>
      </c>
      <c r="H10" s="63">
        <v>17603</v>
      </c>
      <c r="I10" s="4">
        <f t="shared" si="2"/>
        <v>1</v>
      </c>
      <c r="J10" s="73">
        <f>Table1[[#This Row],[PPF]]/Table1[[#This Row],[Total]]</f>
        <v>19.196292257360959</v>
      </c>
      <c r="K10" s="64">
        <v>0.06</v>
      </c>
      <c r="L10" s="64">
        <v>0.81499999999999995</v>
      </c>
      <c r="M10" s="64">
        <v>0.108</v>
      </c>
      <c r="N10" s="64">
        <v>1.6E-2</v>
      </c>
      <c r="O10" s="64">
        <v>1E-3</v>
      </c>
      <c r="P10" s="64">
        <v>0.155</v>
      </c>
      <c r="Q10" s="64">
        <v>8.5000000000000006E-2</v>
      </c>
      <c r="R10" s="64">
        <v>0.67100000000000004</v>
      </c>
      <c r="S10" s="64">
        <f>90/265</f>
        <v>0.33962264150943394</v>
      </c>
      <c r="T10" s="65">
        <v>12.9</v>
      </c>
    </row>
    <row r="11" spans="1:20" x14ac:dyDescent="0.35">
      <c r="A11" s="2" t="s">
        <v>24</v>
      </c>
      <c r="B11" s="7">
        <v>239</v>
      </c>
      <c r="C11" s="7">
        <v>284</v>
      </c>
      <c r="D11" s="7">
        <v>226</v>
      </c>
      <c r="E11" s="7">
        <v>265</v>
      </c>
      <c r="F11" s="8">
        <f t="shared" si="0"/>
        <v>1014</v>
      </c>
      <c r="G11" s="4">
        <f t="shared" si="1"/>
        <v>22</v>
      </c>
      <c r="H11" s="9">
        <v>12184</v>
      </c>
      <c r="I11" s="4">
        <f t="shared" si="2"/>
        <v>11</v>
      </c>
      <c r="J11" s="53">
        <f>Table1[[#This Row],[PPF]]/Table1[[#This Row],[Total]]</f>
        <v>12.01577909270217</v>
      </c>
      <c r="K11" s="10">
        <v>0.52100000000000002</v>
      </c>
      <c r="L11" s="10">
        <v>0.33200000000000002</v>
      </c>
      <c r="M11" s="10">
        <v>0.109</v>
      </c>
      <c r="N11" s="10">
        <v>3.4000000000000002E-2</v>
      </c>
      <c r="O11" s="10">
        <v>4.0000000000000001E-3</v>
      </c>
      <c r="P11" s="10">
        <v>0.151</v>
      </c>
      <c r="Q11" s="10">
        <v>5.7000000000000002E-2</v>
      </c>
      <c r="R11" s="10">
        <v>0.39500000000000002</v>
      </c>
      <c r="S11" s="10">
        <f>21/244</f>
        <v>8.6065573770491802E-2</v>
      </c>
      <c r="T11" s="11">
        <v>15.1</v>
      </c>
    </row>
    <row r="12" spans="1:20" x14ac:dyDescent="0.35">
      <c r="A12" s="2" t="s">
        <v>26</v>
      </c>
      <c r="B12" s="7">
        <v>242</v>
      </c>
      <c r="C12" s="7">
        <v>279</v>
      </c>
      <c r="D12" s="7">
        <v>226</v>
      </c>
      <c r="E12" s="7">
        <v>264</v>
      </c>
      <c r="F12" s="8">
        <f t="shared" si="0"/>
        <v>1011</v>
      </c>
      <c r="G12" s="4">
        <f t="shared" si="1"/>
        <v>27</v>
      </c>
      <c r="H12" s="9">
        <v>9067</v>
      </c>
      <c r="I12" s="4">
        <f t="shared" si="2"/>
        <v>38</v>
      </c>
      <c r="J12" s="53">
        <f>Table1[[#This Row],[PPF]]/Table1[[#This Row],[Total]]</f>
        <v>8.9683481701285857</v>
      </c>
      <c r="K12" s="10">
        <v>0.47</v>
      </c>
      <c r="L12" s="10">
        <v>0.24</v>
      </c>
      <c r="M12" s="10">
        <v>0.26100000000000001</v>
      </c>
      <c r="N12" s="10">
        <v>2.5999999999999999E-2</v>
      </c>
      <c r="O12" s="10">
        <v>3.0000000000000001E-3</v>
      </c>
      <c r="P12" s="10">
        <v>0.14599999999999999</v>
      </c>
      <c r="Q12" s="10">
        <v>8.5999999999999993E-2</v>
      </c>
      <c r="R12" s="10">
        <v>0.496</v>
      </c>
      <c r="S12" s="10">
        <f>465/4491</f>
        <v>0.10354041416165664</v>
      </c>
      <c r="T12" s="11">
        <v>14.1</v>
      </c>
    </row>
    <row r="13" spans="1:20" x14ac:dyDescent="0.35">
      <c r="A13" s="2" t="s">
        <v>27</v>
      </c>
      <c r="B13" s="7">
        <v>236</v>
      </c>
      <c r="C13" s="7">
        <v>278</v>
      </c>
      <c r="D13" s="7">
        <v>218</v>
      </c>
      <c r="E13" s="7">
        <v>260</v>
      </c>
      <c r="F13" s="8">
        <f t="shared" si="0"/>
        <v>992</v>
      </c>
      <c r="G13" s="4">
        <f t="shared" si="1"/>
        <v>36</v>
      </c>
      <c r="H13" s="9">
        <v>9839</v>
      </c>
      <c r="I13" s="4">
        <f t="shared" si="2"/>
        <v>26</v>
      </c>
      <c r="J13" s="53">
        <f>Table1[[#This Row],[PPF]]/Table1[[#This Row],[Total]]</f>
        <v>9.918346774193548</v>
      </c>
      <c r="K13" s="10">
        <v>0.47199999999999998</v>
      </c>
      <c r="L13" s="10">
        <v>0.39</v>
      </c>
      <c r="M13" s="10">
        <v>0.104</v>
      </c>
      <c r="N13" s="10">
        <v>3.3000000000000002E-2</v>
      </c>
      <c r="O13" s="10">
        <v>2E-3</v>
      </c>
      <c r="P13" s="10">
        <v>0.109</v>
      </c>
      <c r="Q13" s="10">
        <v>0.05</v>
      </c>
      <c r="R13" s="10">
        <v>0.53</v>
      </c>
      <c r="S13" s="10">
        <f>63/2600</f>
        <v>2.4230769230769229E-2</v>
      </c>
      <c r="T13" s="11">
        <v>13.9</v>
      </c>
    </row>
    <row r="14" spans="1:20" x14ac:dyDescent="0.35">
      <c r="A14" s="2" t="s">
        <v>28</v>
      </c>
      <c r="B14" s="7">
        <v>236</v>
      </c>
      <c r="C14" s="7">
        <v>274</v>
      </c>
      <c r="D14" s="7">
        <v>211</v>
      </c>
      <c r="E14" s="7">
        <v>255</v>
      </c>
      <c r="F14" s="8">
        <f t="shared" si="0"/>
        <v>976</v>
      </c>
      <c r="G14" s="4">
        <f t="shared" si="1"/>
        <v>42</v>
      </c>
      <c r="H14" s="9">
        <v>11745</v>
      </c>
      <c r="I14" s="4">
        <f t="shared" si="2"/>
        <v>14</v>
      </c>
      <c r="J14" s="53">
        <f>Table1[[#This Row],[PPF]]/Table1[[#This Row],[Total]]</f>
        <v>12.033811475409836</v>
      </c>
      <c r="K14" s="10">
        <v>0.19500000000000001</v>
      </c>
      <c r="L14" s="10">
        <v>2.3E-2</v>
      </c>
      <c r="M14" s="10">
        <v>4.5999999999999999E-2</v>
      </c>
      <c r="N14" s="10">
        <v>0.72899999999999998</v>
      </c>
      <c r="O14" s="10">
        <v>6.0000000000000001E-3</v>
      </c>
      <c r="P14" s="10">
        <v>0.112</v>
      </c>
      <c r="Q14" s="10">
        <v>0.10299999999999999</v>
      </c>
      <c r="R14" s="10">
        <v>0.41699999999999998</v>
      </c>
      <c r="S14" s="10">
        <f>31/290</f>
        <v>0.10689655172413794</v>
      </c>
      <c r="T14" s="11">
        <v>15.9</v>
      </c>
    </row>
    <row r="15" spans="1:20" x14ac:dyDescent="0.35">
      <c r="A15" s="2" t="s">
        <v>29</v>
      </c>
      <c r="B15" s="7">
        <v>241</v>
      </c>
      <c r="C15" s="7">
        <v>287</v>
      </c>
      <c r="D15" s="7">
        <v>221</v>
      </c>
      <c r="E15" s="62">
        <v>265</v>
      </c>
      <c r="F15" s="8">
        <f t="shared" si="0"/>
        <v>1014</v>
      </c>
      <c r="G15" s="4">
        <f t="shared" si="1"/>
        <v>22</v>
      </c>
      <c r="H15" s="9">
        <v>7074</v>
      </c>
      <c r="I15" s="4">
        <f t="shared" si="2"/>
        <v>50</v>
      </c>
      <c r="J15" s="53">
        <f>Table1[[#This Row],[PPF]]/Table1[[#This Row],[Total]]</f>
        <v>6.9763313609467454</v>
      </c>
      <c r="K15" s="10">
        <v>0.81200000000000006</v>
      </c>
      <c r="L15" s="10">
        <v>1.2999999999999999E-2</v>
      </c>
      <c r="M15" s="10">
        <v>0.14099999999999999</v>
      </c>
      <c r="N15" s="10">
        <v>1.7000000000000001E-2</v>
      </c>
      <c r="O15" s="10">
        <v>1.7000000000000001E-2</v>
      </c>
      <c r="P15" s="10">
        <v>0.10199999999999999</v>
      </c>
      <c r="Q15" s="10">
        <v>6.4000000000000001E-2</v>
      </c>
      <c r="R15" s="10">
        <v>0.39700000000000002</v>
      </c>
      <c r="S15" s="10">
        <f>31/764</f>
        <v>4.0575916230366493E-2</v>
      </c>
      <c r="T15" s="11">
        <v>18.2</v>
      </c>
    </row>
    <row r="16" spans="1:20" x14ac:dyDescent="0.35">
      <c r="A16" s="2" t="s">
        <v>31</v>
      </c>
      <c r="B16" s="7">
        <v>238</v>
      </c>
      <c r="C16" s="7">
        <v>282</v>
      </c>
      <c r="D16" s="7">
        <v>219</v>
      </c>
      <c r="E16" s="7">
        <v>265</v>
      </c>
      <c r="F16" s="8">
        <f t="shared" si="0"/>
        <v>1004</v>
      </c>
      <c r="G16" s="4">
        <f t="shared" si="1"/>
        <v>33</v>
      </c>
      <c r="H16" s="9">
        <v>10326</v>
      </c>
      <c r="I16" s="4">
        <f t="shared" si="2"/>
        <v>19</v>
      </c>
      <c r="J16" s="53">
        <f>Table1[[#This Row],[PPF]]/Table1[[#This Row],[Total]]</f>
        <v>10.284860557768924</v>
      </c>
      <c r="K16" s="10">
        <v>0.54300000000000004</v>
      </c>
      <c r="L16" s="10">
        <v>0.2</v>
      </c>
      <c r="M16" s="10">
        <v>0.21299999999999999</v>
      </c>
      <c r="N16" s="10">
        <v>4.2000000000000003E-2</v>
      </c>
      <c r="O16" s="10">
        <v>2E-3</v>
      </c>
      <c r="P16" s="10">
        <v>0.15</v>
      </c>
      <c r="Q16" s="10">
        <v>9.7000000000000003E-2</v>
      </c>
      <c r="R16" s="10">
        <v>0.39300000000000002</v>
      </c>
      <c r="S16" s="10">
        <f>39/4450</f>
        <v>8.7640449438202254E-3</v>
      </c>
      <c r="T16" s="11">
        <v>15.6</v>
      </c>
    </row>
    <row r="17" spans="1:20" x14ac:dyDescent="0.35">
      <c r="A17" s="2" t="s">
        <v>30</v>
      </c>
      <c r="B17" s="7">
        <v>243</v>
      </c>
      <c r="C17" s="7">
        <v>287</v>
      </c>
      <c r="D17" s="7">
        <v>223</v>
      </c>
      <c r="E17" s="7">
        <v>266</v>
      </c>
      <c r="F17" s="8">
        <f t="shared" si="0"/>
        <v>1019</v>
      </c>
      <c r="G17" s="4">
        <f t="shared" si="1"/>
        <v>17</v>
      </c>
      <c r="H17" s="9">
        <v>8874</v>
      </c>
      <c r="I17" s="4">
        <f t="shared" si="2"/>
        <v>39</v>
      </c>
      <c r="J17" s="53">
        <f>Table1[[#This Row],[PPF]]/Table1[[#This Row],[Total]]</f>
        <v>8.7085377821393521</v>
      </c>
      <c r="K17" s="10">
        <v>0.78300000000000003</v>
      </c>
      <c r="L17" s="10">
        <v>0.128</v>
      </c>
      <c r="M17" s="10">
        <v>7.0999999999999994E-2</v>
      </c>
      <c r="N17" s="10">
        <v>1.4999999999999999E-2</v>
      </c>
      <c r="O17" s="10">
        <v>3.0000000000000001E-3</v>
      </c>
      <c r="P17" s="10">
        <v>0.16800000000000001</v>
      </c>
      <c r="Q17" s="10">
        <v>4.3999999999999997E-2</v>
      </c>
      <c r="R17" s="10">
        <v>0.41799999999999998</v>
      </c>
      <c r="S17" s="10">
        <f>51/1995</f>
        <v>2.5563909774436091E-2</v>
      </c>
      <c r="T17" s="11">
        <v>16.7</v>
      </c>
    </row>
    <row r="18" spans="1:20" x14ac:dyDescent="0.35">
      <c r="A18" s="2" t="s">
        <v>32</v>
      </c>
      <c r="B18" s="7">
        <v>243</v>
      </c>
      <c r="C18" s="7">
        <v>284</v>
      </c>
      <c r="D18" s="7">
        <v>221</v>
      </c>
      <c r="E18" s="7">
        <v>265</v>
      </c>
      <c r="F18" s="8">
        <f t="shared" si="0"/>
        <v>1013</v>
      </c>
      <c r="G18" s="4">
        <f t="shared" si="1"/>
        <v>24</v>
      </c>
      <c r="H18" s="9">
        <v>9346</v>
      </c>
      <c r="I18" s="4">
        <f t="shared" si="2"/>
        <v>31</v>
      </c>
      <c r="J18" s="53">
        <f>Table1[[#This Row],[PPF]]/Table1[[#This Row],[Total]]</f>
        <v>9.2260612043435337</v>
      </c>
      <c r="K18" s="10">
        <v>0.84499999999999997</v>
      </c>
      <c r="L18" s="10">
        <v>5.8000000000000003E-2</v>
      </c>
      <c r="M18" s="10">
        <v>7.0000000000000007E-2</v>
      </c>
      <c r="N18" s="10">
        <v>2.1999999999999999E-2</v>
      </c>
      <c r="O18" s="10">
        <v>6.0000000000000001E-3</v>
      </c>
      <c r="P18" s="10">
        <v>0.13800000000000001</v>
      </c>
      <c r="Q18" s="10">
        <v>4.2000000000000003E-2</v>
      </c>
      <c r="R18" s="10">
        <v>0.34399999999999997</v>
      </c>
      <c r="S18" s="10">
        <f>9/1525</f>
        <v>5.9016393442622951E-3</v>
      </c>
      <c r="T18" s="11">
        <v>13.6</v>
      </c>
    </row>
    <row r="19" spans="1:20" x14ac:dyDescent="0.35">
      <c r="A19" s="2" t="s">
        <v>33</v>
      </c>
      <c r="B19" s="7">
        <v>245</v>
      </c>
      <c r="C19" s="7">
        <v>289</v>
      </c>
      <c r="D19" s="7">
        <v>224</v>
      </c>
      <c r="E19" s="7">
        <v>267</v>
      </c>
      <c r="F19" s="8">
        <f t="shared" si="0"/>
        <v>1025</v>
      </c>
      <c r="G19" s="4">
        <f t="shared" si="1"/>
        <v>10</v>
      </c>
      <c r="H19" s="9">
        <v>9857</v>
      </c>
      <c r="I19" s="4">
        <f t="shared" si="2"/>
        <v>25</v>
      </c>
      <c r="J19" s="53">
        <f>Table1[[#This Row],[PPF]]/Table1[[#This Row],[Total]]</f>
        <v>9.6165853658536591</v>
      </c>
      <c r="K19" s="10">
        <v>0.72799999999999998</v>
      </c>
      <c r="L19" s="10">
        <v>8.7999999999999995E-2</v>
      </c>
      <c r="M19" s="10">
        <v>0.14000000000000001</v>
      </c>
      <c r="N19" s="10">
        <v>2.8000000000000001E-2</v>
      </c>
      <c r="O19" s="10">
        <v>1.6E-2</v>
      </c>
      <c r="P19" s="10">
        <v>0.14000000000000001</v>
      </c>
      <c r="Q19" s="10">
        <v>7.1999999999999995E-2</v>
      </c>
      <c r="R19" s="10">
        <v>0.42899999999999999</v>
      </c>
      <c r="S19" s="10">
        <f>35/1447</f>
        <v>2.4187975120939877E-2</v>
      </c>
      <c r="T19" s="11">
        <v>13.1</v>
      </c>
    </row>
    <row r="20" spans="1:20" x14ac:dyDescent="0.35">
      <c r="A20" s="2" t="s">
        <v>34</v>
      </c>
      <c r="B20" s="7">
        <v>239</v>
      </c>
      <c r="C20" s="7">
        <v>279</v>
      </c>
      <c r="D20" s="7">
        <v>226</v>
      </c>
      <c r="E20" s="7">
        <v>267</v>
      </c>
      <c r="F20" s="8">
        <f t="shared" si="0"/>
        <v>1011</v>
      </c>
      <c r="G20" s="4">
        <f t="shared" si="1"/>
        <v>27</v>
      </c>
      <c r="H20" s="9">
        <v>8522</v>
      </c>
      <c r="I20" s="4">
        <f t="shared" si="2"/>
        <v>42</v>
      </c>
      <c r="J20" s="53">
        <f>Table1[[#This Row],[PPF]]/Table1[[#This Row],[Total]]</f>
        <v>8.4292779426310585</v>
      </c>
      <c r="K20" s="10">
        <v>0.84699999999999998</v>
      </c>
      <c r="L20" s="10">
        <v>0.11</v>
      </c>
      <c r="M20" s="10">
        <v>0.03</v>
      </c>
      <c r="N20" s="10">
        <v>1.0999999999999999E-2</v>
      </c>
      <c r="O20" s="10">
        <v>1E-3</v>
      </c>
      <c r="P20" s="10">
        <v>0.161</v>
      </c>
      <c r="Q20" s="10">
        <v>2.1999999999999999E-2</v>
      </c>
      <c r="R20" s="10">
        <v>0.51600000000000001</v>
      </c>
      <c r="S20" s="10">
        <f>0/1560</f>
        <v>0</v>
      </c>
      <c r="T20" s="11">
        <v>15.4</v>
      </c>
    </row>
    <row r="21" spans="1:20" x14ac:dyDescent="0.35">
      <c r="A21" s="2" t="s">
        <v>35</v>
      </c>
      <c r="B21" s="7">
        <v>229</v>
      </c>
      <c r="C21" s="7">
        <v>272</v>
      </c>
      <c r="D21" s="7">
        <v>207</v>
      </c>
      <c r="E21" s="7">
        <v>253</v>
      </c>
      <c r="F21" s="8">
        <f t="shared" si="0"/>
        <v>961</v>
      </c>
      <c r="G21" s="4">
        <f t="shared" si="1"/>
        <v>49</v>
      </c>
      <c r="H21" s="9">
        <v>10082</v>
      </c>
      <c r="I21" s="4">
        <f t="shared" si="2"/>
        <v>21</v>
      </c>
      <c r="J21" s="53">
        <f>Table1[[#This Row],[PPF]]/Table1[[#This Row],[Total]]</f>
        <v>10.491155046826222</v>
      </c>
      <c r="K21" s="10">
        <v>0.48799999999999999</v>
      </c>
      <c r="L21" s="10">
        <v>0.46100000000000002</v>
      </c>
      <c r="M21" s="10">
        <v>2.9000000000000001E-2</v>
      </c>
      <c r="N21" s="10">
        <v>1.4E-2</v>
      </c>
      <c r="O21" s="10">
        <v>8.0000000000000002E-3</v>
      </c>
      <c r="P21" s="10">
        <v>0.126</v>
      </c>
      <c r="Q21" s="10">
        <v>1.7999999999999999E-2</v>
      </c>
      <c r="R21" s="10">
        <v>0.64900000000000002</v>
      </c>
      <c r="S21" s="10">
        <f>88/1660</f>
        <v>5.3012048192771083E-2</v>
      </c>
      <c r="T21" s="11">
        <v>13.9</v>
      </c>
    </row>
    <row r="22" spans="1:20" x14ac:dyDescent="0.35">
      <c r="A22" s="2" t="s">
        <v>36</v>
      </c>
      <c r="B22" s="7">
        <v>244</v>
      </c>
      <c r="C22" s="7">
        <v>286</v>
      </c>
      <c r="D22" s="7">
        <v>224</v>
      </c>
      <c r="E22" s="7">
        <v>268</v>
      </c>
      <c r="F22" s="8">
        <f t="shared" si="0"/>
        <v>1022</v>
      </c>
      <c r="G22" s="4">
        <f t="shared" si="1"/>
        <v>14</v>
      </c>
      <c r="H22" s="9">
        <v>11898</v>
      </c>
      <c r="I22" s="4">
        <f t="shared" si="2"/>
        <v>12</v>
      </c>
      <c r="J22" s="53">
        <f>Table1[[#This Row],[PPF]]/Table1[[#This Row],[Total]]</f>
        <v>11.641878669275929</v>
      </c>
      <c r="K22" s="10">
        <v>0.93700000000000006</v>
      </c>
      <c r="L22" s="10">
        <v>2.7E-2</v>
      </c>
      <c r="M22" s="10">
        <v>1.2E-2</v>
      </c>
      <c r="N22" s="10">
        <v>1.6E-2</v>
      </c>
      <c r="O22" s="10">
        <v>8.0000000000000002E-3</v>
      </c>
      <c r="P22" s="10">
        <v>0.159</v>
      </c>
      <c r="Q22" s="12" t="s">
        <v>163</v>
      </c>
      <c r="R22" s="10">
        <v>0.38100000000000001</v>
      </c>
      <c r="S22" s="10">
        <f>0/675%</f>
        <v>0</v>
      </c>
      <c r="T22" s="11">
        <v>12.1</v>
      </c>
    </row>
    <row r="23" spans="1:20" x14ac:dyDescent="0.35">
      <c r="A23" s="2" t="s">
        <v>37</v>
      </c>
      <c r="B23" s="7">
        <v>244</v>
      </c>
      <c r="C23" s="7">
        <v>288</v>
      </c>
      <c r="D23" s="7">
        <v>226</v>
      </c>
      <c r="E23" s="7">
        <v>267</v>
      </c>
      <c r="F23" s="8">
        <f t="shared" si="0"/>
        <v>1025</v>
      </c>
      <c r="G23" s="4">
        <f t="shared" si="1"/>
        <v>10</v>
      </c>
      <c r="H23" s="9">
        <v>13142</v>
      </c>
      <c r="I23" s="4">
        <f t="shared" si="2"/>
        <v>10</v>
      </c>
      <c r="J23" s="53">
        <f>Table1[[#This Row],[PPF]]/Table1[[#This Row],[Total]]</f>
        <v>12.821463414634147</v>
      </c>
      <c r="K23" s="10">
        <v>0.46200000000000002</v>
      </c>
      <c r="L23" s="10">
        <v>0.38</v>
      </c>
      <c r="M23" s="10">
        <v>9.5000000000000001E-2</v>
      </c>
      <c r="N23" s="10">
        <v>5.8999999999999997E-2</v>
      </c>
      <c r="O23" s="10">
        <v>4.0000000000000001E-3</v>
      </c>
      <c r="P23" s="10">
        <v>0.122</v>
      </c>
      <c r="Q23" s="12" t="s">
        <v>163</v>
      </c>
      <c r="R23" s="10">
        <v>0.34699999999999998</v>
      </c>
      <c r="S23" s="10">
        <f>34/1470</f>
        <v>2.3129251700680271E-2</v>
      </c>
      <c r="T23" s="11">
        <v>14.3</v>
      </c>
    </row>
    <row r="24" spans="1:20" x14ac:dyDescent="0.35">
      <c r="A24" s="2" t="s">
        <v>38</v>
      </c>
      <c r="B24" s="7">
        <v>252</v>
      </c>
      <c r="C24" s="7">
        <v>299</v>
      </c>
      <c r="D24" s="7">
        <v>234</v>
      </c>
      <c r="E24" s="7">
        <v>274</v>
      </c>
      <c r="F24" s="8">
        <f t="shared" si="0"/>
        <v>1059</v>
      </c>
      <c r="G24" s="4">
        <f t="shared" si="1"/>
        <v>1</v>
      </c>
      <c r="H24" s="9">
        <v>13586</v>
      </c>
      <c r="I24" s="4">
        <f t="shared" si="2"/>
        <v>9</v>
      </c>
      <c r="J24" s="53">
        <f>Table1[[#This Row],[PPF]]/Table1[[#This Row],[Total]]</f>
        <v>12.829084041548631</v>
      </c>
      <c r="K24" s="10">
        <v>0.69899999999999995</v>
      </c>
      <c r="L24" s="10">
        <v>8.2000000000000003E-2</v>
      </c>
      <c r="M24" s="10">
        <v>0.14299999999999999</v>
      </c>
      <c r="N24" s="10">
        <v>5.1999999999999998E-2</v>
      </c>
      <c r="O24" s="10">
        <v>3.0000000000000001E-3</v>
      </c>
      <c r="P24" s="10">
        <v>0.17599999999999999</v>
      </c>
      <c r="Q24" s="10">
        <v>5.0999999999999997E-2</v>
      </c>
      <c r="R24" s="10">
        <v>0.307</v>
      </c>
      <c r="S24" s="10">
        <f>61/1901</f>
        <v>3.2088374539715941E-2</v>
      </c>
      <c r="T24" s="11">
        <v>13.6</v>
      </c>
    </row>
    <row r="25" spans="1:20" x14ac:dyDescent="0.35">
      <c r="A25" s="2" t="s">
        <v>39</v>
      </c>
      <c r="B25" s="7">
        <v>236</v>
      </c>
      <c r="C25" s="7">
        <v>278</v>
      </c>
      <c r="D25" s="7">
        <v>218</v>
      </c>
      <c r="E25" s="7">
        <v>262</v>
      </c>
      <c r="F25" s="8">
        <f t="shared" si="0"/>
        <v>994</v>
      </c>
      <c r="G25" s="4">
        <f t="shared" si="1"/>
        <v>35</v>
      </c>
      <c r="H25" s="9">
        <v>9945</v>
      </c>
      <c r="I25" s="4">
        <f t="shared" si="2"/>
        <v>24</v>
      </c>
      <c r="J25" s="53">
        <f>Table1[[#This Row],[PPF]]/Table1[[#This Row],[Total]]</f>
        <v>10.00503018108652</v>
      </c>
      <c r="K25" s="10">
        <v>0.71399999999999997</v>
      </c>
      <c r="L25" s="10">
        <v>0.20200000000000001</v>
      </c>
      <c r="M25" s="10">
        <v>4.8000000000000001E-2</v>
      </c>
      <c r="N25" s="10">
        <v>2.7E-2</v>
      </c>
      <c r="O25" s="10">
        <v>8.9999999999999993E-3</v>
      </c>
      <c r="P25" s="10">
        <v>0.14000000000000001</v>
      </c>
      <c r="Q25" s="10">
        <v>3.6999999999999998E-2</v>
      </c>
      <c r="R25" s="10">
        <v>0.41799999999999998</v>
      </c>
      <c r="S25" s="10">
        <f>283/4225</f>
        <v>6.6982248520710053E-2</v>
      </c>
      <c r="T25" s="11">
        <v>17.5</v>
      </c>
    </row>
    <row r="26" spans="1:20" x14ac:dyDescent="0.35">
      <c r="A26" s="2" t="s">
        <v>40</v>
      </c>
      <c r="B26" s="7">
        <v>249</v>
      </c>
      <c r="C26" s="7">
        <v>294</v>
      </c>
      <c r="D26" s="7">
        <v>223</v>
      </c>
      <c r="E26" s="7">
        <v>270</v>
      </c>
      <c r="F26" s="8">
        <f t="shared" si="0"/>
        <v>1036</v>
      </c>
      <c r="G26" s="4">
        <f t="shared" si="1"/>
        <v>5</v>
      </c>
      <c r="H26" s="9">
        <v>10012</v>
      </c>
      <c r="I26" s="4">
        <f t="shared" si="2"/>
        <v>23</v>
      </c>
      <c r="J26" s="53">
        <f>Table1[[#This Row],[PPF]]/Table1[[#This Row],[Total]]</f>
        <v>9.6640926640926637</v>
      </c>
      <c r="K26" s="10">
        <v>0.75600000000000001</v>
      </c>
      <c r="L26" s="10">
        <v>9.6000000000000002E-2</v>
      </c>
      <c r="M26" s="10">
        <v>6.4000000000000001E-2</v>
      </c>
      <c r="N26" s="10">
        <v>6.2E-2</v>
      </c>
      <c r="O26" s="10">
        <v>2.1999999999999999E-2</v>
      </c>
      <c r="P26" s="10">
        <v>0.14399999999999999</v>
      </c>
      <c r="Q26" s="10">
        <v>7.3999999999999996E-2</v>
      </c>
      <c r="R26" s="10">
        <v>0.32700000000000001</v>
      </c>
      <c r="S26" s="10">
        <f>180/2755</f>
        <v>6.5335753176043551E-2</v>
      </c>
      <c r="T26" s="11">
        <v>15.7</v>
      </c>
    </row>
    <row r="27" spans="1:20" x14ac:dyDescent="0.35">
      <c r="A27" s="2" t="s">
        <v>41</v>
      </c>
      <c r="B27" s="7">
        <v>227</v>
      </c>
      <c r="C27" s="7">
        <v>265</v>
      </c>
      <c r="D27" s="7">
        <v>211</v>
      </c>
      <c r="E27" s="7">
        <v>251</v>
      </c>
      <c r="F27" s="8">
        <f t="shared" si="0"/>
        <v>954</v>
      </c>
      <c r="G27" s="4">
        <f t="shared" si="1"/>
        <v>50</v>
      </c>
      <c r="H27" s="9">
        <v>7875</v>
      </c>
      <c r="I27" s="4">
        <f t="shared" si="2"/>
        <v>47</v>
      </c>
      <c r="J27" s="53">
        <f>Table1[[#This Row],[PPF]]/Table1[[#This Row],[Total]]</f>
        <v>8.2547169811320753</v>
      </c>
      <c r="K27" s="10">
        <v>0.46300000000000002</v>
      </c>
      <c r="L27" s="10">
        <v>0.505</v>
      </c>
      <c r="M27" s="10">
        <v>2.1000000000000001E-2</v>
      </c>
      <c r="N27" s="10">
        <v>8.9999999999999993E-3</v>
      </c>
      <c r="O27" s="10">
        <v>2E-3</v>
      </c>
      <c r="P27" s="12" t="s">
        <v>163</v>
      </c>
      <c r="Q27" s="10">
        <v>1.2999999999999999E-2</v>
      </c>
      <c r="R27" s="10">
        <v>0.68300000000000005</v>
      </c>
      <c r="S27" s="10">
        <f>1/1089</f>
        <v>9.1827364554637281E-4</v>
      </c>
      <c r="T27" s="11">
        <v>14.7</v>
      </c>
    </row>
    <row r="28" spans="1:20" x14ac:dyDescent="0.35">
      <c r="A28" s="2" t="s">
        <v>42</v>
      </c>
      <c r="B28" s="7">
        <v>241</v>
      </c>
      <c r="C28" s="7">
        <v>286</v>
      </c>
      <c r="D28" s="7">
        <v>224</v>
      </c>
      <c r="E28" s="7">
        <v>267</v>
      </c>
      <c r="F28" s="8">
        <f t="shared" si="0"/>
        <v>1018</v>
      </c>
      <c r="G28" s="4">
        <f t="shared" si="1"/>
        <v>20</v>
      </c>
      <c r="H28" s="9">
        <v>9480</v>
      </c>
      <c r="I28" s="4">
        <f t="shared" si="2"/>
        <v>30</v>
      </c>
      <c r="J28" s="53">
        <f>Table1[[#This Row],[PPF]]/Table1[[#This Row],[Total]]</f>
        <v>9.3123772102161109</v>
      </c>
      <c r="K28" s="10">
        <v>0.76</v>
      </c>
      <c r="L28" s="10">
        <v>0.17799999999999999</v>
      </c>
      <c r="M28" s="10">
        <v>3.9E-2</v>
      </c>
      <c r="N28" s="10">
        <v>1.9E-2</v>
      </c>
      <c r="O28" s="10">
        <v>4.0000000000000001E-3</v>
      </c>
      <c r="P28" s="10">
        <v>0.14499999999999999</v>
      </c>
      <c r="Q28" s="10">
        <v>1.7999999999999999E-2</v>
      </c>
      <c r="R28" s="10">
        <v>0.38700000000000001</v>
      </c>
      <c r="S28" s="10">
        <f>41/2444</f>
        <v>1.6775777414075287E-2</v>
      </c>
      <c r="T28" s="11">
        <v>13.6</v>
      </c>
    </row>
    <row r="29" spans="1:20" x14ac:dyDescent="0.35">
      <c r="A29" s="2" t="s">
        <v>43</v>
      </c>
      <c r="B29" s="7">
        <v>244</v>
      </c>
      <c r="C29" s="7">
        <v>292</v>
      </c>
      <c r="D29" s="7">
        <v>225</v>
      </c>
      <c r="E29" s="7">
        <v>270</v>
      </c>
      <c r="F29" s="8">
        <f t="shared" si="0"/>
        <v>1031</v>
      </c>
      <c r="G29" s="4">
        <f t="shared" si="1"/>
        <v>8</v>
      </c>
      <c r="H29" s="9">
        <v>9695</v>
      </c>
      <c r="I29" s="4">
        <f t="shared" si="2"/>
        <v>27</v>
      </c>
      <c r="J29" s="53">
        <f>Table1[[#This Row],[PPF]]/Table1[[#This Row],[Total]]</f>
        <v>9.4034917555771091</v>
      </c>
      <c r="K29" s="10">
        <v>0.83699999999999997</v>
      </c>
      <c r="L29" s="10">
        <v>0.01</v>
      </c>
      <c r="M29" s="10">
        <v>2.5999999999999999E-2</v>
      </c>
      <c r="N29" s="10">
        <v>1.2E-2</v>
      </c>
      <c r="O29" s="10">
        <v>0.114</v>
      </c>
      <c r="P29" s="10">
        <v>0.124</v>
      </c>
      <c r="Q29" s="10">
        <v>3.2000000000000001E-2</v>
      </c>
      <c r="R29" s="10">
        <v>0.36699999999999999</v>
      </c>
      <c r="S29" s="10">
        <f>0/833</f>
        <v>0</v>
      </c>
      <c r="T29" s="11">
        <v>13.6</v>
      </c>
    </row>
    <row r="30" spans="1:20" x14ac:dyDescent="0.35">
      <c r="A30" s="2" t="s">
        <v>44</v>
      </c>
      <c r="B30" s="7">
        <v>239</v>
      </c>
      <c r="C30" s="7">
        <v>284</v>
      </c>
      <c r="D30" s="7">
        <v>223</v>
      </c>
      <c r="E30" s="7">
        <v>267</v>
      </c>
      <c r="F30" s="8">
        <f t="shared" si="0"/>
        <v>1013</v>
      </c>
      <c r="G30" s="4">
        <f t="shared" si="1"/>
        <v>24</v>
      </c>
      <c r="H30" s="9">
        <v>10583</v>
      </c>
      <c r="I30" s="4">
        <f t="shared" si="2"/>
        <v>18</v>
      </c>
      <c r="J30" s="53">
        <f>Table1[[#This Row],[PPF]]/Table1[[#This Row],[Total]]</f>
        <v>10.447186574531095</v>
      </c>
      <c r="K30" s="10">
        <v>0.746</v>
      </c>
      <c r="L30" s="10">
        <v>8.1000000000000003E-2</v>
      </c>
      <c r="M30" s="10">
        <v>0.13500000000000001</v>
      </c>
      <c r="N30" s="10">
        <v>2.1000000000000001E-2</v>
      </c>
      <c r="O30" s="10">
        <v>1.7000000000000001E-2</v>
      </c>
      <c r="P30" s="10">
        <v>0.151</v>
      </c>
      <c r="Q30" s="10">
        <v>6.3E-2</v>
      </c>
      <c r="R30" s="10">
        <v>0.38400000000000001</v>
      </c>
      <c r="S30" s="10">
        <f>0/1158</f>
        <v>0</v>
      </c>
      <c r="T30" s="11">
        <v>13.3</v>
      </c>
    </row>
    <row r="31" spans="1:20" x14ac:dyDescent="0.35">
      <c r="A31" s="2" t="s">
        <v>45</v>
      </c>
      <c r="B31" s="7">
        <v>235</v>
      </c>
      <c r="C31" s="7">
        <v>274</v>
      </c>
      <c r="D31" s="7">
        <v>211</v>
      </c>
      <c r="E31" s="7">
        <v>254</v>
      </c>
      <c r="F31" s="8">
        <f t="shared" si="0"/>
        <v>974</v>
      </c>
      <c r="G31" s="4">
        <f t="shared" si="1"/>
        <v>44</v>
      </c>
      <c r="H31" s="9">
        <v>8285</v>
      </c>
      <c r="I31" s="4">
        <f t="shared" si="2"/>
        <v>44</v>
      </c>
      <c r="J31" s="53">
        <f>Table1[[#This Row],[PPF]]/Table1[[#This Row],[Total]]</f>
        <v>8.5061601642710478</v>
      </c>
      <c r="K31" s="10">
        <v>0.42299999999999999</v>
      </c>
      <c r="L31" s="10">
        <v>0.112</v>
      </c>
      <c r="M31" s="10">
        <v>0.36899999999999999</v>
      </c>
      <c r="N31" s="10">
        <v>8.1000000000000003E-2</v>
      </c>
      <c r="O31" s="10">
        <v>1.4999999999999999E-2</v>
      </c>
      <c r="P31" s="10">
        <v>0.111</v>
      </c>
      <c r="Q31" s="10">
        <v>0.17499999999999999</v>
      </c>
      <c r="R31" s="10">
        <v>0.39</v>
      </c>
      <c r="S31" s="10">
        <f>23/625</f>
        <v>3.6799999999999999E-2</v>
      </c>
      <c r="T31" s="11">
        <v>19.7</v>
      </c>
    </row>
    <row r="32" spans="1:20" x14ac:dyDescent="0.35">
      <c r="A32" s="2" t="s">
        <v>46</v>
      </c>
      <c r="B32" s="7">
        <v>251</v>
      </c>
      <c r="C32" s="7">
        <v>292</v>
      </c>
      <c r="D32" s="7">
        <v>229</v>
      </c>
      <c r="E32" s="7">
        <v>271</v>
      </c>
      <c r="F32" s="8">
        <f t="shared" si="0"/>
        <v>1043</v>
      </c>
      <c r="G32" s="4">
        <f t="shared" si="1"/>
        <v>2</v>
      </c>
      <c r="H32" s="9">
        <v>11787</v>
      </c>
      <c r="I32" s="4">
        <f t="shared" si="2"/>
        <v>13</v>
      </c>
      <c r="J32" s="53">
        <f>Table1[[#This Row],[PPF]]/Table1[[#This Row],[Total]]</f>
        <v>11.301054650047938</v>
      </c>
      <c r="K32" s="10">
        <v>0.91900000000000004</v>
      </c>
      <c r="L32" s="10">
        <v>2.1000000000000001E-2</v>
      </c>
      <c r="M32" s="10">
        <v>3.3000000000000002E-2</v>
      </c>
      <c r="N32" s="10">
        <v>2.4E-2</v>
      </c>
      <c r="O32" s="10">
        <v>3.0000000000000001E-3</v>
      </c>
      <c r="P32" s="10">
        <v>0.152</v>
      </c>
      <c r="Q32" s="10">
        <v>1.7999999999999999E-2</v>
      </c>
      <c r="R32" s="10">
        <v>0.20499999999999999</v>
      </c>
      <c r="S32" s="10">
        <f>15/497</f>
        <v>3.0181086519114688E-2</v>
      </c>
      <c r="T32" s="11">
        <v>12.6</v>
      </c>
    </row>
    <row r="33" spans="1:20" x14ac:dyDescent="0.35">
      <c r="A33" s="2" t="s">
        <v>47</v>
      </c>
      <c r="B33" s="7">
        <v>247</v>
      </c>
      <c r="C33" s="7">
        <v>293</v>
      </c>
      <c r="D33" s="7">
        <v>229</v>
      </c>
      <c r="E33" s="62">
        <v>273</v>
      </c>
      <c r="F33" s="8">
        <f t="shared" si="0"/>
        <v>1042</v>
      </c>
      <c r="G33" s="4">
        <f t="shared" si="1"/>
        <v>3</v>
      </c>
      <c r="H33" s="9">
        <v>17537</v>
      </c>
      <c r="I33" s="4">
        <f t="shared" si="2"/>
        <v>2</v>
      </c>
      <c r="J33" s="53">
        <f>Table1[[#This Row],[PPF]]/Table1[[#This Row],[Total]]</f>
        <v>16.830134357005758</v>
      </c>
      <c r="K33" s="10">
        <v>0.54</v>
      </c>
      <c r="L33" s="10">
        <v>0.17100000000000001</v>
      </c>
      <c r="M33" s="10">
        <v>0.19900000000000001</v>
      </c>
      <c r="N33" s="10">
        <v>8.5000000000000006E-2</v>
      </c>
      <c r="O33" s="10">
        <v>2E-3</v>
      </c>
      <c r="P33" s="10">
        <v>0.16600000000000001</v>
      </c>
      <c r="Q33" s="10">
        <v>3.9E-2</v>
      </c>
      <c r="R33" s="10">
        <v>0.3</v>
      </c>
      <c r="S33" s="10">
        <f>68/2615</f>
        <v>2.6003824091778201E-2</v>
      </c>
      <c r="T33" s="11">
        <v>12</v>
      </c>
    </row>
    <row r="34" spans="1:20" x14ac:dyDescent="0.35">
      <c r="A34" s="2" t="s">
        <v>48</v>
      </c>
      <c r="B34" s="7">
        <v>230</v>
      </c>
      <c r="C34" s="7">
        <v>270</v>
      </c>
      <c r="D34" s="7">
        <v>208</v>
      </c>
      <c r="E34" s="7">
        <v>254</v>
      </c>
      <c r="F34" s="8">
        <f t="shared" si="0"/>
        <v>962</v>
      </c>
      <c r="G34" s="4">
        <f t="shared" si="1"/>
        <v>48</v>
      </c>
      <c r="H34" s="9">
        <v>9314</v>
      </c>
      <c r="I34" s="4">
        <f t="shared" si="2"/>
        <v>32</v>
      </c>
      <c r="J34" s="53">
        <f>Table1[[#This Row],[PPF]]/Table1[[#This Row],[Total]]</f>
        <v>9.6819126819126815</v>
      </c>
      <c r="K34" s="10">
        <v>0.28899999999999998</v>
      </c>
      <c r="L34" s="10">
        <v>2.5999999999999999E-2</v>
      </c>
      <c r="M34" s="10">
        <v>0.56100000000000005</v>
      </c>
      <c r="N34" s="10">
        <v>1.4E-2</v>
      </c>
      <c r="O34" s="10">
        <v>0.11</v>
      </c>
      <c r="P34" s="10">
        <v>0.13900000000000001</v>
      </c>
      <c r="Q34" s="12" t="s">
        <v>163</v>
      </c>
      <c r="R34" s="10">
        <v>0.61699999999999999</v>
      </c>
      <c r="S34" s="10">
        <f>67/867</f>
        <v>7.7277970011534025E-2</v>
      </c>
      <c r="T34" s="11">
        <v>14.5</v>
      </c>
    </row>
    <row r="35" spans="1:20" x14ac:dyDescent="0.35">
      <c r="A35" s="61" t="s">
        <v>49</v>
      </c>
      <c r="B35" s="62">
        <v>241</v>
      </c>
      <c r="C35" s="62">
        <v>283</v>
      </c>
      <c r="D35" s="62">
        <v>224</v>
      </c>
      <c r="E35" s="62">
        <v>264</v>
      </c>
      <c r="F35" s="8">
        <f t="shared" ref="F35:F53" si="3">SUM(B35:E35)</f>
        <v>1012</v>
      </c>
      <c r="G35" s="4">
        <f t="shared" ref="G35:G53" si="4">RANK(F35,F$3:F$53)</f>
        <v>26</v>
      </c>
      <c r="H35" s="63">
        <v>16529</v>
      </c>
      <c r="I35" s="4">
        <f t="shared" ref="I35:I53" si="5">RANK(H35,H$3:H$53)</f>
        <v>3</v>
      </c>
      <c r="J35" s="53">
        <f>Table1[[#This Row],[PPF]]/Table1[[#This Row],[Total]]</f>
        <v>16.333003952569172</v>
      </c>
      <c r="K35" s="64">
        <v>0.51100000000000001</v>
      </c>
      <c r="L35" s="64">
        <v>0.193</v>
      </c>
      <c r="M35" s="64">
        <v>0.214</v>
      </c>
      <c r="N35" s="64">
        <v>7.6999999999999999E-2</v>
      </c>
      <c r="O35" s="64">
        <v>5.0000000000000001E-3</v>
      </c>
      <c r="P35" s="64">
        <v>0.16200000000000001</v>
      </c>
      <c r="Q35" s="64">
        <v>6.7000000000000004E-2</v>
      </c>
      <c r="R35" s="64">
        <v>0.44700000000000001</v>
      </c>
      <c r="S35" s="64">
        <f>119/4717</f>
        <v>2.5227899088403647E-2</v>
      </c>
      <c r="T35" s="65">
        <v>12.6</v>
      </c>
    </row>
    <row r="36" spans="1:20" x14ac:dyDescent="0.35">
      <c r="A36" s="2" t="s">
        <v>50</v>
      </c>
      <c r="B36" s="7">
        <v>244</v>
      </c>
      <c r="C36" s="7">
        <v>284</v>
      </c>
      <c r="D36" s="7">
        <v>219</v>
      </c>
      <c r="E36" s="7">
        <v>260</v>
      </c>
      <c r="F36" s="8">
        <f t="shared" si="3"/>
        <v>1007</v>
      </c>
      <c r="G36" s="4">
        <f t="shared" si="4"/>
        <v>30</v>
      </c>
      <c r="H36" s="9">
        <v>8041</v>
      </c>
      <c r="I36" s="4">
        <f t="shared" si="5"/>
        <v>45</v>
      </c>
      <c r="J36" s="53">
        <f>Table1[[#This Row],[PPF]]/Table1[[#This Row],[Total]]</f>
        <v>7.9851042701092352</v>
      </c>
      <c r="K36" s="10">
        <v>0.54300000000000004</v>
      </c>
      <c r="L36" s="10">
        <v>0.312</v>
      </c>
      <c r="M36" s="10">
        <v>0.106</v>
      </c>
      <c r="N36" s="10">
        <v>2.5000000000000001E-2</v>
      </c>
      <c r="O36" s="10">
        <v>1.4E-2</v>
      </c>
      <c r="P36" s="10">
        <v>0.126</v>
      </c>
      <c r="Q36" s="10">
        <v>7.5999999999999998E-2</v>
      </c>
      <c r="R36" s="10">
        <v>0.33900000000000002</v>
      </c>
      <c r="S36" s="10">
        <f>96/2583</f>
        <v>3.7166085946573751E-2</v>
      </c>
      <c r="T36" s="11">
        <v>13.6</v>
      </c>
    </row>
    <row r="37" spans="1:20" x14ac:dyDescent="0.35">
      <c r="A37" s="2" t="s">
        <v>51</v>
      </c>
      <c r="B37" s="7">
        <v>245</v>
      </c>
      <c r="C37" s="7">
        <v>293</v>
      </c>
      <c r="D37" s="7">
        <v>226</v>
      </c>
      <c r="E37" s="7">
        <v>269</v>
      </c>
      <c r="F37" s="8">
        <f t="shared" si="3"/>
        <v>1033</v>
      </c>
      <c r="G37" s="4">
        <f t="shared" si="4"/>
        <v>7</v>
      </c>
      <c r="H37" s="9">
        <v>9168</v>
      </c>
      <c r="I37" s="4">
        <f t="shared" si="5"/>
        <v>36</v>
      </c>
      <c r="J37" s="53">
        <f>Table1[[#This Row],[PPF]]/Table1[[#This Row],[Total]]</f>
        <v>8.8751210067763786</v>
      </c>
      <c r="K37" s="10">
        <v>0.85299999999999998</v>
      </c>
      <c r="L37" s="10">
        <v>2.1999999999999999E-2</v>
      </c>
      <c r="M37" s="10">
        <v>2.1999999999999999E-2</v>
      </c>
      <c r="N37" s="10">
        <v>1.0999999999999999E-2</v>
      </c>
      <c r="O37" s="10">
        <v>9.1999999999999998E-2</v>
      </c>
      <c r="P37" s="10">
        <v>0.14000000000000001</v>
      </c>
      <c r="Q37" s="10">
        <v>3.6999999999999998E-2</v>
      </c>
      <c r="R37" s="10">
        <v>0.316</v>
      </c>
      <c r="S37" s="10">
        <f>0/529</f>
        <v>0</v>
      </c>
      <c r="T37" s="11">
        <v>11.6</v>
      </c>
    </row>
    <row r="38" spans="1:20" x14ac:dyDescent="0.35">
      <c r="A38" s="2" t="s">
        <v>52</v>
      </c>
      <c r="B38" s="7">
        <v>244</v>
      </c>
      <c r="C38" s="7">
        <v>286</v>
      </c>
      <c r="D38" s="7">
        <v>225</v>
      </c>
      <c r="E38" s="7">
        <v>269</v>
      </c>
      <c r="F38" s="8">
        <f t="shared" si="3"/>
        <v>1024</v>
      </c>
      <c r="G38" s="4">
        <f t="shared" si="4"/>
        <v>13</v>
      </c>
      <c r="H38" s="9">
        <v>10289</v>
      </c>
      <c r="I38" s="4">
        <f t="shared" si="5"/>
        <v>20</v>
      </c>
      <c r="J38" s="53">
        <f>Table1[[#This Row],[PPF]]/Table1[[#This Row],[Total]]</f>
        <v>10.0478515625</v>
      </c>
      <c r="K38" s="10">
        <v>0.78400000000000003</v>
      </c>
      <c r="L38" s="10">
        <v>0.16900000000000001</v>
      </c>
      <c r="M38" s="10">
        <v>2.8000000000000001E-2</v>
      </c>
      <c r="N38" s="10">
        <v>1.7000000000000001E-2</v>
      </c>
      <c r="O38" s="10">
        <v>1E-3</v>
      </c>
      <c r="P38" s="10">
        <v>0.14599999999999999</v>
      </c>
      <c r="Q38" s="10">
        <v>0.02</v>
      </c>
      <c r="R38" s="10">
        <v>0.36399999999999999</v>
      </c>
      <c r="S38" s="10">
        <f>341/3968</f>
        <v>8.59375E-2</v>
      </c>
      <c r="T38" s="11">
        <v>16.100000000000001</v>
      </c>
    </row>
    <row r="39" spans="1:20" x14ac:dyDescent="0.35">
      <c r="A39" s="61" t="s">
        <v>53</v>
      </c>
      <c r="B39" s="62">
        <v>237</v>
      </c>
      <c r="C39" s="62">
        <v>276</v>
      </c>
      <c r="D39" s="62">
        <v>217</v>
      </c>
      <c r="E39" s="62">
        <v>259</v>
      </c>
      <c r="F39" s="8">
        <f t="shared" si="3"/>
        <v>989</v>
      </c>
      <c r="G39" s="4">
        <f t="shared" si="4"/>
        <v>38</v>
      </c>
      <c r="H39" s="63">
        <v>7715</v>
      </c>
      <c r="I39" s="4">
        <f t="shared" si="5"/>
        <v>48</v>
      </c>
      <c r="J39" s="53">
        <f>Table1[[#This Row],[PPF]]/Table1[[#This Row],[Total]]</f>
        <v>7.8008088978766432</v>
      </c>
      <c r="K39" s="64">
        <v>0.57299999999999995</v>
      </c>
      <c r="L39" s="64">
        <v>0.109</v>
      </c>
      <c r="M39" s="64">
        <v>0.105</v>
      </c>
      <c r="N39" s="64">
        <v>2.1000000000000001E-2</v>
      </c>
      <c r="O39" s="64">
        <v>0.192</v>
      </c>
      <c r="P39" s="74" t="s">
        <v>163</v>
      </c>
      <c r="Q39" s="74" t="s">
        <v>163</v>
      </c>
      <c r="R39" s="64">
        <v>0.56100000000000005</v>
      </c>
      <c r="S39" s="64">
        <f>16/1806</f>
        <v>8.8593576965669985E-3</v>
      </c>
      <c r="T39" s="65">
        <v>13.9</v>
      </c>
    </row>
    <row r="40" spans="1:20" x14ac:dyDescent="0.35">
      <c r="A40" s="2" t="s">
        <v>54</v>
      </c>
      <c r="B40" s="7">
        <v>238</v>
      </c>
      <c r="C40" s="7">
        <v>285</v>
      </c>
      <c r="D40" s="7">
        <v>218</v>
      </c>
      <c r="E40" s="7">
        <v>265</v>
      </c>
      <c r="F40" s="8">
        <f t="shared" si="3"/>
        <v>1006</v>
      </c>
      <c r="G40" s="4">
        <f t="shared" si="4"/>
        <v>31</v>
      </c>
      <c r="H40" s="9">
        <v>9615</v>
      </c>
      <c r="I40" s="4">
        <f t="shared" si="5"/>
        <v>28</v>
      </c>
      <c r="J40" s="53">
        <f>Table1[[#This Row],[PPF]]/Table1[[#This Row],[Total]]</f>
        <v>9.5576540755467203</v>
      </c>
      <c r="K40" s="10">
        <v>0.71699999999999997</v>
      </c>
      <c r="L40" s="10">
        <v>3.1E-2</v>
      </c>
      <c r="M40" s="10">
        <v>0.18099999999999999</v>
      </c>
      <c r="N40" s="10">
        <v>0.05</v>
      </c>
      <c r="O40" s="10">
        <v>2.1000000000000001E-2</v>
      </c>
      <c r="P40" s="10">
        <v>0.14099999999999999</v>
      </c>
      <c r="Q40" s="10">
        <v>0.112</v>
      </c>
      <c r="R40" s="10">
        <v>0.46</v>
      </c>
      <c r="S40" s="10">
        <f>87/1318</f>
        <v>6.6009104704097113E-2</v>
      </c>
      <c r="T40" s="11">
        <v>19.100000000000001</v>
      </c>
    </row>
    <row r="41" spans="1:20" x14ac:dyDescent="0.35">
      <c r="A41" s="2" t="s">
        <v>55</v>
      </c>
      <c r="B41" s="7">
        <v>244</v>
      </c>
      <c r="C41" s="7">
        <v>288</v>
      </c>
      <c r="D41" s="7">
        <v>224</v>
      </c>
      <c r="E41" s="7">
        <v>271</v>
      </c>
      <c r="F41" s="8">
        <f t="shared" si="3"/>
        <v>1027</v>
      </c>
      <c r="G41" s="4">
        <f t="shared" si="4"/>
        <v>9</v>
      </c>
      <c r="H41" s="9">
        <v>11307</v>
      </c>
      <c r="I41" s="4">
        <f t="shared" si="5"/>
        <v>15</v>
      </c>
      <c r="J41" s="53">
        <f>Table1[[#This Row],[PPF]]/Table1[[#This Row],[Total]]</f>
        <v>11.009737098344694</v>
      </c>
      <c r="K41" s="10">
        <v>0.73599999999999999</v>
      </c>
      <c r="L41" s="10">
        <v>0.158</v>
      </c>
      <c r="M41" s="10">
        <v>7.4999999999999997E-2</v>
      </c>
      <c r="N41" s="10">
        <v>2.9000000000000001E-2</v>
      </c>
      <c r="O41" s="10">
        <v>2E-3</v>
      </c>
      <c r="P41" s="10">
        <v>0.16700000000000001</v>
      </c>
      <c r="Q41" s="10">
        <v>2.5999999999999999E-2</v>
      </c>
      <c r="R41" s="10">
        <v>0.33400000000000002</v>
      </c>
      <c r="S41" s="10">
        <f>127/3280</f>
        <v>3.8719512195121951E-2</v>
      </c>
      <c r="T41" s="11">
        <v>13.7</v>
      </c>
    </row>
    <row r="42" spans="1:20" x14ac:dyDescent="0.35">
      <c r="A42" s="2" t="s">
        <v>56</v>
      </c>
      <c r="B42" s="7">
        <v>239</v>
      </c>
      <c r="C42" s="7">
        <v>278</v>
      </c>
      <c r="D42" s="7">
        <v>223</v>
      </c>
      <c r="E42" s="7">
        <v>260</v>
      </c>
      <c r="F42" s="8">
        <f t="shared" si="3"/>
        <v>1000</v>
      </c>
      <c r="G42" s="4">
        <f t="shared" si="4"/>
        <v>34</v>
      </c>
      <c r="H42" s="9">
        <v>14079</v>
      </c>
      <c r="I42" s="4">
        <f t="shared" si="5"/>
        <v>7</v>
      </c>
      <c r="J42" s="53">
        <f>Table1[[#This Row],[PPF]]/Table1[[#This Row],[Total]]</f>
        <v>14.079000000000001</v>
      </c>
      <c r="K42" s="10">
        <v>0.68600000000000005</v>
      </c>
      <c r="L42" s="10">
        <v>0.09</v>
      </c>
      <c r="M42" s="10">
        <v>0.185</v>
      </c>
      <c r="N42" s="10">
        <v>3.2000000000000001E-2</v>
      </c>
      <c r="O42" s="10">
        <v>7.0000000000000001E-3</v>
      </c>
      <c r="P42" s="10">
        <v>0.19</v>
      </c>
      <c r="Q42" s="12" t="s">
        <v>163</v>
      </c>
      <c r="R42" s="10">
        <v>0.39800000000000002</v>
      </c>
      <c r="S42" s="10">
        <f>12/332</f>
        <v>3.614457831325301E-2</v>
      </c>
      <c r="T42" s="11">
        <v>12.8</v>
      </c>
    </row>
    <row r="43" spans="1:20" x14ac:dyDescent="0.35">
      <c r="A43" s="2" t="s">
        <v>57</v>
      </c>
      <c r="B43" s="7">
        <v>236</v>
      </c>
      <c r="C43" s="7">
        <v>280</v>
      </c>
      <c r="D43" s="7">
        <v>216</v>
      </c>
      <c r="E43" s="7">
        <v>257</v>
      </c>
      <c r="F43" s="8">
        <f t="shared" si="3"/>
        <v>989</v>
      </c>
      <c r="G43" s="4">
        <f t="shared" si="4"/>
        <v>38</v>
      </c>
      <c r="H43" s="9">
        <v>9178</v>
      </c>
      <c r="I43" s="4">
        <f t="shared" si="5"/>
        <v>35</v>
      </c>
      <c r="J43" s="53">
        <f>Table1[[#This Row],[PPF]]/Table1[[#This Row],[Total]]</f>
        <v>9.2800808897876639</v>
      </c>
      <c r="K43" s="10">
        <v>0.53800000000000003</v>
      </c>
      <c r="L43" s="10">
        <v>0.38800000000000001</v>
      </c>
      <c r="M43" s="10">
        <v>5.5E-2</v>
      </c>
      <c r="N43" s="10">
        <v>1.6E-2</v>
      </c>
      <c r="O43" s="10">
        <v>4.0000000000000001E-3</v>
      </c>
      <c r="P43" s="10">
        <v>0.14099999999999999</v>
      </c>
      <c r="Q43" s="10">
        <v>4.3999999999999997E-2</v>
      </c>
      <c r="R43" s="10">
        <v>0.52500000000000002</v>
      </c>
      <c r="S43" s="10">
        <f>36/1219</f>
        <v>2.9532403609515995E-2</v>
      </c>
      <c r="T43" s="11">
        <v>14.4</v>
      </c>
    </row>
    <row r="44" spans="1:20" x14ac:dyDescent="0.35">
      <c r="A44" s="2" t="s">
        <v>58</v>
      </c>
      <c r="B44" s="7">
        <v>242</v>
      </c>
      <c r="C44" s="7">
        <v>291</v>
      </c>
      <c r="D44" s="7">
        <v>222</v>
      </c>
      <c r="E44" s="7">
        <v>270</v>
      </c>
      <c r="F44" s="8">
        <f t="shared" si="3"/>
        <v>1025</v>
      </c>
      <c r="G44" s="4">
        <f t="shared" si="4"/>
        <v>10</v>
      </c>
      <c r="H44" s="9">
        <v>8566</v>
      </c>
      <c r="I44" s="4">
        <f t="shared" si="5"/>
        <v>41</v>
      </c>
      <c r="J44" s="53">
        <f>Table1[[#This Row],[PPF]]/Table1[[#This Row],[Total]]</f>
        <v>8.3570731707317076</v>
      </c>
      <c r="K44" s="10">
        <v>0.81299999999999994</v>
      </c>
      <c r="L44" s="10">
        <v>2.5000000000000001E-2</v>
      </c>
      <c r="M44" s="10">
        <v>2.7E-2</v>
      </c>
      <c r="N44" s="10">
        <v>1.2999999999999999E-2</v>
      </c>
      <c r="O44" s="10">
        <v>0.122</v>
      </c>
      <c r="P44" s="10">
        <v>0.14000000000000001</v>
      </c>
      <c r="Q44" s="10">
        <v>2.8000000000000001E-2</v>
      </c>
      <c r="R44" s="10">
        <v>0.34699999999999998</v>
      </c>
      <c r="S44" s="10">
        <f>0/728</f>
        <v>0</v>
      </c>
      <c r="T44" s="11">
        <v>13.7</v>
      </c>
    </row>
    <row r="45" spans="1:20" x14ac:dyDescent="0.35">
      <c r="A45" s="2" t="s">
        <v>59</v>
      </c>
      <c r="B45" s="7">
        <v>232</v>
      </c>
      <c r="C45" s="7">
        <v>275</v>
      </c>
      <c r="D45" s="7">
        <v>217</v>
      </c>
      <c r="E45" s="62">
        <v>261</v>
      </c>
      <c r="F45" s="8">
        <f t="shared" si="3"/>
        <v>985</v>
      </c>
      <c r="G45" s="4">
        <f t="shared" si="4"/>
        <v>41</v>
      </c>
      <c r="H45" s="9">
        <v>7707</v>
      </c>
      <c r="I45" s="4">
        <f t="shared" si="5"/>
        <v>49</v>
      </c>
      <c r="J45" s="53">
        <f>Table1[[#This Row],[PPF]]/Table1[[#This Row],[Total]]</f>
        <v>7.8243654822335023</v>
      </c>
      <c r="K45" s="10">
        <v>0.68300000000000005</v>
      </c>
      <c r="L45" s="10">
        <v>0.246</v>
      </c>
      <c r="M45" s="10">
        <v>5.1999999999999998E-2</v>
      </c>
      <c r="N45" s="10">
        <v>1.6E-2</v>
      </c>
      <c r="O45" s="10">
        <v>2E-3</v>
      </c>
      <c r="P45" s="10">
        <v>0.122</v>
      </c>
      <c r="Q45" s="10">
        <v>2.8000000000000001E-2</v>
      </c>
      <c r="R45" s="10">
        <v>0.5</v>
      </c>
      <c r="S45" s="10">
        <f>14/1764</f>
        <v>7.9365079365079361E-3</v>
      </c>
      <c r="T45" s="11">
        <v>15</v>
      </c>
    </row>
    <row r="46" spans="1:20" x14ac:dyDescent="0.35">
      <c r="A46" s="2" t="s">
        <v>60</v>
      </c>
      <c r="B46" s="7">
        <v>240</v>
      </c>
      <c r="C46" s="7">
        <v>287</v>
      </c>
      <c r="D46" s="7">
        <v>219</v>
      </c>
      <c r="E46" s="7">
        <v>260</v>
      </c>
      <c r="F46" s="8">
        <f t="shared" si="3"/>
        <v>1006</v>
      </c>
      <c r="G46" s="4">
        <f t="shared" si="4"/>
        <v>31</v>
      </c>
      <c r="H46" s="9">
        <v>8486</v>
      </c>
      <c r="I46" s="4">
        <f t="shared" si="5"/>
        <v>43</v>
      </c>
      <c r="J46" s="53">
        <f>Table1[[#This Row],[PPF]]/Table1[[#This Row],[Total]]</f>
        <v>8.4353876739562619</v>
      </c>
      <c r="K46" s="10">
        <v>0.34</v>
      </c>
      <c r="L46" s="10">
        <v>0.14199999999999999</v>
      </c>
      <c r="M46" s="10">
        <v>0.47899999999999998</v>
      </c>
      <c r="N46" s="10">
        <v>3.5999999999999997E-2</v>
      </c>
      <c r="O46" s="10">
        <v>4.0000000000000001E-3</v>
      </c>
      <c r="P46" s="10">
        <v>9.5000000000000001E-2</v>
      </c>
      <c r="Q46" s="10">
        <v>0.151</v>
      </c>
      <c r="R46" s="10">
        <v>0.48799999999999999</v>
      </c>
      <c r="S46" s="10">
        <f>521/9283</f>
        <v>5.6124097813206937E-2</v>
      </c>
      <c r="T46" s="11">
        <v>14.5</v>
      </c>
    </row>
    <row r="47" spans="1:20" x14ac:dyDescent="0.35">
      <c r="A47" s="61" t="s">
        <v>61</v>
      </c>
      <c r="B47" s="62">
        <v>240</v>
      </c>
      <c r="C47" s="62">
        <v>284</v>
      </c>
      <c r="D47" s="62">
        <v>219</v>
      </c>
      <c r="E47" s="62">
        <v>266</v>
      </c>
      <c r="F47" s="8">
        <f t="shared" si="3"/>
        <v>1009</v>
      </c>
      <c r="G47" s="4">
        <f t="shared" si="4"/>
        <v>29</v>
      </c>
      <c r="H47" s="63">
        <v>6579</v>
      </c>
      <c r="I47" s="4">
        <f t="shared" si="5"/>
        <v>51</v>
      </c>
      <c r="J47" s="73">
        <f>Table1[[#This Row],[PPF]]/Table1[[#This Row],[Total]]</f>
        <v>6.5203171456888009</v>
      </c>
      <c r="K47" s="64">
        <v>0.79400000000000004</v>
      </c>
      <c r="L47" s="64">
        <v>1.4E-2</v>
      </c>
      <c r="M47" s="64">
        <v>0.14499999999999999</v>
      </c>
      <c r="N47" s="64">
        <v>3.3000000000000002E-2</v>
      </c>
      <c r="O47" s="64">
        <v>1.4E-2</v>
      </c>
      <c r="P47" s="64">
        <v>0.11600000000000001</v>
      </c>
      <c r="Q47" s="64">
        <v>7.9000000000000001E-2</v>
      </c>
      <c r="R47" s="64">
        <v>0.312</v>
      </c>
      <c r="S47" s="64">
        <f>73/1040</f>
        <v>7.0192307692307693E-2</v>
      </c>
      <c r="T47" s="65">
        <v>23.7</v>
      </c>
    </row>
    <row r="48" spans="1:20" x14ac:dyDescent="0.35">
      <c r="A48" s="2" t="s">
        <v>62</v>
      </c>
      <c r="B48" s="7">
        <v>248</v>
      </c>
      <c r="C48" s="7">
        <v>293</v>
      </c>
      <c r="D48" s="7">
        <v>229</v>
      </c>
      <c r="E48" s="7">
        <v>272</v>
      </c>
      <c r="F48" s="8">
        <f t="shared" si="3"/>
        <v>1042</v>
      </c>
      <c r="G48" s="4">
        <f t="shared" si="4"/>
        <v>3</v>
      </c>
      <c r="H48" s="9">
        <v>14215</v>
      </c>
      <c r="I48" s="4">
        <f t="shared" si="5"/>
        <v>6</v>
      </c>
      <c r="J48" s="53">
        <f>Table1[[#This Row],[PPF]]/Table1[[#This Row],[Total]]</f>
        <v>13.642034548944338</v>
      </c>
      <c r="K48" s="10">
        <v>0.93700000000000006</v>
      </c>
      <c r="L48" s="10">
        <v>1.7000000000000001E-2</v>
      </c>
      <c r="M48" s="10">
        <v>1.0999999999999999E-2</v>
      </c>
      <c r="N48" s="10">
        <v>1.7000000000000001E-2</v>
      </c>
      <c r="O48" s="10">
        <v>2E-3</v>
      </c>
      <c r="P48" s="10">
        <v>0.14199999999999999</v>
      </c>
      <c r="Q48" s="10">
        <v>1.6E-2</v>
      </c>
      <c r="R48" s="10">
        <v>0.30099999999999999</v>
      </c>
      <c r="S48" s="10">
        <f>0/330</f>
        <v>0</v>
      </c>
      <c r="T48" s="11">
        <v>10.5</v>
      </c>
    </row>
    <row r="49" spans="1:20" x14ac:dyDescent="0.35">
      <c r="A49" s="2" t="s">
        <v>63</v>
      </c>
      <c r="B49" s="7">
        <v>243</v>
      </c>
      <c r="C49" s="7">
        <v>286</v>
      </c>
      <c r="D49" s="7">
        <v>227</v>
      </c>
      <c r="E49" s="7">
        <v>266</v>
      </c>
      <c r="F49" s="8">
        <f t="shared" si="3"/>
        <v>1022</v>
      </c>
      <c r="G49" s="4">
        <f t="shared" si="4"/>
        <v>14</v>
      </c>
      <c r="H49" s="9">
        <v>10754</v>
      </c>
      <c r="I49" s="4">
        <f t="shared" si="5"/>
        <v>16</v>
      </c>
      <c r="J49" s="53">
        <f>Table1[[#This Row],[PPF]]/Table1[[#This Row],[Total]]</f>
        <v>10.522504892367905</v>
      </c>
      <c r="K49" s="10">
        <v>0.58199999999999996</v>
      </c>
      <c r="L49" s="10">
        <v>0.26400000000000001</v>
      </c>
      <c r="M49" s="10">
        <v>9.1999999999999998E-2</v>
      </c>
      <c r="N49" s="10">
        <v>5.8999999999999997E-2</v>
      </c>
      <c r="O49" s="10">
        <v>3.0000000000000001E-3</v>
      </c>
      <c r="P49" s="10">
        <v>0.13500000000000001</v>
      </c>
      <c r="Q49" s="10">
        <v>7.0000000000000007E-2</v>
      </c>
      <c r="R49" s="10">
        <v>0.33100000000000002</v>
      </c>
      <c r="S49" s="10">
        <f>5/2070</f>
        <v>2.4154589371980675E-3</v>
      </c>
      <c r="T49" s="11">
        <v>17.3</v>
      </c>
    </row>
    <row r="50" spans="1:20" x14ac:dyDescent="0.35">
      <c r="A50" s="2" t="s">
        <v>64</v>
      </c>
      <c r="B50" s="7">
        <v>242</v>
      </c>
      <c r="C50" s="7">
        <v>289</v>
      </c>
      <c r="D50" s="7">
        <v>221</v>
      </c>
      <c r="E50" s="7">
        <v>267</v>
      </c>
      <c r="F50" s="8">
        <f t="shared" si="3"/>
        <v>1019</v>
      </c>
      <c r="G50" s="4">
        <f t="shared" si="4"/>
        <v>17</v>
      </c>
      <c r="H50" s="9">
        <v>9088</v>
      </c>
      <c r="I50" s="4">
        <f t="shared" si="5"/>
        <v>37</v>
      </c>
      <c r="J50" s="53">
        <f>Table1[[#This Row],[PPF]]/Table1[[#This Row],[Total]]</f>
        <v>8.9185475956820408</v>
      </c>
      <c r="K50" s="10">
        <v>0.67100000000000004</v>
      </c>
      <c r="L50" s="10">
        <v>5.7000000000000002E-2</v>
      </c>
      <c r="M50" s="10">
        <v>0.158</v>
      </c>
      <c r="N50" s="10">
        <v>8.8999999999999996E-2</v>
      </c>
      <c r="O50" s="10">
        <v>2.5999999999999999E-2</v>
      </c>
      <c r="P50" s="10">
        <v>0.121</v>
      </c>
      <c r="Q50" s="10">
        <v>0.08</v>
      </c>
      <c r="R50" s="10">
        <v>0.38200000000000001</v>
      </c>
      <c r="S50" s="10">
        <f>0/2345</f>
        <v>0</v>
      </c>
      <c r="T50" s="11">
        <v>19.100000000000001</v>
      </c>
    </row>
    <row r="51" spans="1:20" x14ac:dyDescent="0.35">
      <c r="A51" s="2" t="s">
        <v>65</v>
      </c>
      <c r="B51" s="7">
        <v>233</v>
      </c>
      <c r="C51" s="7">
        <v>270</v>
      </c>
      <c r="D51" s="7">
        <v>215</v>
      </c>
      <c r="E51" s="7">
        <v>255</v>
      </c>
      <c r="F51" s="8">
        <f t="shared" si="3"/>
        <v>973</v>
      </c>
      <c r="G51" s="4">
        <f t="shared" si="4"/>
        <v>45</v>
      </c>
      <c r="H51" s="9">
        <v>10080</v>
      </c>
      <c r="I51" s="4">
        <f t="shared" si="5"/>
        <v>22</v>
      </c>
      <c r="J51" s="53">
        <f>Table1[[#This Row],[PPF]]/Table1[[#This Row],[Total]]</f>
        <v>10.359712230215827</v>
      </c>
      <c r="K51" s="10">
        <v>0.92800000000000005</v>
      </c>
      <c r="L51" s="10">
        <v>5.3999999999999999E-2</v>
      </c>
      <c r="M51" s="10">
        <v>8.9999999999999993E-3</v>
      </c>
      <c r="N51" s="10">
        <v>7.0000000000000001E-3</v>
      </c>
      <c r="O51" s="10">
        <v>1E-3</v>
      </c>
      <c r="P51" s="10">
        <v>0.16500000000000001</v>
      </c>
      <c r="Q51" s="10">
        <v>6.0000000000000001E-3</v>
      </c>
      <c r="R51" s="10">
        <v>0.5</v>
      </c>
      <c r="S51" s="10">
        <f>0/772</f>
        <v>0</v>
      </c>
      <c r="T51" s="11">
        <v>14</v>
      </c>
    </row>
    <row r="52" spans="1:20" x14ac:dyDescent="0.35">
      <c r="A52" s="2" t="s">
        <v>66</v>
      </c>
      <c r="B52" s="7">
        <v>244</v>
      </c>
      <c r="C52" s="7">
        <v>288</v>
      </c>
      <c r="D52" s="7">
        <v>220</v>
      </c>
      <c r="E52" s="7">
        <v>266</v>
      </c>
      <c r="F52" s="8">
        <f t="shared" si="3"/>
        <v>1018</v>
      </c>
      <c r="G52" s="4">
        <f t="shared" si="4"/>
        <v>20</v>
      </c>
      <c r="H52" s="9">
        <v>10752</v>
      </c>
      <c r="I52" s="4">
        <f t="shared" si="5"/>
        <v>17</v>
      </c>
      <c r="J52" s="53">
        <f>Table1[[#This Row],[PPF]]/Table1[[#This Row],[Total]]</f>
        <v>10.561886051080551</v>
      </c>
      <c r="K52" s="10">
        <v>0.76300000000000001</v>
      </c>
      <c r="L52" s="10">
        <v>0.105</v>
      </c>
      <c r="M52" s="10">
        <v>0.08</v>
      </c>
      <c r="N52" s="10">
        <v>3.6999999999999998E-2</v>
      </c>
      <c r="O52" s="10">
        <v>1.4999999999999999E-2</v>
      </c>
      <c r="P52" s="10">
        <v>0.14299999999999999</v>
      </c>
      <c r="Q52" s="10">
        <v>5.5E-2</v>
      </c>
      <c r="R52" s="10">
        <v>0.33500000000000002</v>
      </c>
      <c r="S52" s="10">
        <f>222/2305</f>
        <v>9.6312364425162694E-2</v>
      </c>
      <c r="T52" s="11">
        <v>14.7</v>
      </c>
    </row>
    <row r="53" spans="1:20" ht="16" thickBot="1" x14ac:dyDescent="0.4">
      <c r="A53" s="1" t="s">
        <v>67</v>
      </c>
      <c r="B53" s="128">
        <v>242</v>
      </c>
      <c r="C53" s="128">
        <v>286</v>
      </c>
      <c r="D53" s="128">
        <v>223</v>
      </c>
      <c r="E53" s="128">
        <v>268</v>
      </c>
      <c r="F53" s="129">
        <f t="shared" si="3"/>
        <v>1019</v>
      </c>
      <c r="G53" s="3">
        <f t="shared" si="4"/>
        <v>17</v>
      </c>
      <c r="H53" s="130">
        <v>14058</v>
      </c>
      <c r="I53" s="3">
        <f t="shared" si="5"/>
        <v>8</v>
      </c>
      <c r="J53" s="131">
        <f>Table1[[#This Row],[PPF]]/Table1[[#This Row],[Total]]</f>
        <v>13.795878312070657</v>
      </c>
      <c r="K53" s="132">
        <v>0.83299999999999996</v>
      </c>
      <c r="L53" s="132">
        <v>1.6E-2</v>
      </c>
      <c r="M53" s="132">
        <v>0.104</v>
      </c>
      <c r="N53" s="132">
        <v>1.0999999999999999E-2</v>
      </c>
      <c r="O53" s="132">
        <v>3.5000000000000003E-2</v>
      </c>
      <c r="P53" s="132">
        <v>0.16900000000000001</v>
      </c>
      <c r="Q53" s="132">
        <v>2.5999999999999999E-2</v>
      </c>
      <c r="R53" s="132">
        <v>0.31</v>
      </c>
      <c r="S53" s="132">
        <f>3/372</f>
        <v>8.0645161290322578E-3</v>
      </c>
      <c r="T53" s="133">
        <v>12.5</v>
      </c>
    </row>
    <row r="54" spans="1:20" x14ac:dyDescent="0.35">
      <c r="A54" s="61" t="s">
        <v>125</v>
      </c>
      <c r="B54" s="62">
        <f t="shared" ref="B54:T54" si="6">AVERAGE(B3:B53)</f>
        <v>239.52941176470588</v>
      </c>
      <c r="C54" s="62">
        <f t="shared" si="6"/>
        <v>282.41176470588238</v>
      </c>
      <c r="D54" s="62">
        <f t="shared" si="6"/>
        <v>220.21568627450981</v>
      </c>
      <c r="E54" s="51">
        <f t="shared" si="6"/>
        <v>263.29411764705884</v>
      </c>
      <c r="F54" s="62">
        <f t="shared" si="6"/>
        <v>1005.4509803921569</v>
      </c>
      <c r="H54" s="126">
        <f t="shared" si="6"/>
        <v>10538.784313725489</v>
      </c>
      <c r="J54" s="71">
        <f t="shared" si="6"/>
        <v>10.480421640212768</v>
      </c>
      <c r="K54" s="67">
        <f t="shared" si="6"/>
        <v>0.63447058823529401</v>
      </c>
      <c r="L54" s="67">
        <f t="shared" si="6"/>
        <v>0.1588823529411765</v>
      </c>
      <c r="M54" s="67">
        <f t="shared" si="6"/>
        <v>0.13209803921568627</v>
      </c>
      <c r="N54" s="67">
        <f t="shared" si="6"/>
        <v>4.6843137254901947E-2</v>
      </c>
      <c r="O54" s="67">
        <f t="shared" si="6"/>
        <v>2.4862745098039207E-2</v>
      </c>
      <c r="P54" s="67">
        <f t="shared" si="6"/>
        <v>0.13614285714285712</v>
      </c>
      <c r="Q54" s="67">
        <f t="shared" si="6"/>
        <v>6.2499999999999993E-2</v>
      </c>
      <c r="R54" s="67">
        <f t="shared" si="6"/>
        <v>0.41978431372549024</v>
      </c>
      <c r="S54" s="67">
        <f t="shared" si="6"/>
        <v>4.4080981442689758E-2</v>
      </c>
      <c r="T54" s="127">
        <f t="shared" si="6"/>
        <v>14.952941176470594</v>
      </c>
    </row>
    <row r="55" spans="1:20" x14ac:dyDescent="0.35">
      <c r="A55" s="2" t="s">
        <v>126</v>
      </c>
      <c r="B55" s="7">
        <f t="shared" ref="B55:T55" si="7">MAX(B3:B53)-MIN(B3:B53)</f>
        <v>33</v>
      </c>
      <c r="C55" s="7">
        <f t="shared" si="7"/>
        <v>45</v>
      </c>
      <c r="D55" s="7">
        <f t="shared" si="7"/>
        <v>32</v>
      </c>
      <c r="E55" s="51">
        <f t="shared" si="7"/>
        <v>32</v>
      </c>
      <c r="F55" s="62">
        <f t="shared" si="7"/>
        <v>142</v>
      </c>
      <c r="H55" s="48">
        <f t="shared" si="7"/>
        <v>11024</v>
      </c>
      <c r="J55" s="52">
        <f t="shared" si="7"/>
        <v>12.675975111672159</v>
      </c>
      <c r="K55" s="39">
        <f t="shared" si="7"/>
        <v>0.877</v>
      </c>
      <c r="L55" s="39">
        <f t="shared" si="7"/>
        <v>0.80499999999999994</v>
      </c>
      <c r="M55" s="39">
        <f t="shared" si="7"/>
        <v>0.55200000000000005</v>
      </c>
      <c r="N55" s="39">
        <f t="shared" si="7"/>
        <v>0.72199999999999998</v>
      </c>
      <c r="O55" s="39">
        <f t="shared" si="7"/>
        <v>0.23</v>
      </c>
      <c r="P55" s="39">
        <f t="shared" si="7"/>
        <v>0.18099999999999999</v>
      </c>
      <c r="Q55" s="39">
        <f t="shared" si="7"/>
        <v>0.23599999999999999</v>
      </c>
      <c r="R55" s="39">
        <f t="shared" si="7"/>
        <v>0.47800000000000009</v>
      </c>
      <c r="S55" s="39">
        <f t="shared" si="7"/>
        <v>0.33962264150943394</v>
      </c>
      <c r="T55" s="49">
        <f t="shared" si="7"/>
        <v>13.2</v>
      </c>
    </row>
    <row r="56" spans="1:20" x14ac:dyDescent="0.35">
      <c r="A56" s="61" t="s">
        <v>127</v>
      </c>
      <c r="B56" s="70">
        <f t="shared" ref="B56:T56" si="8">_xlfn.STDEV.P(B3:B53)</f>
        <v>6.3627375449364525</v>
      </c>
      <c r="C56" s="70">
        <f t="shared" si="8"/>
        <v>8.4625506528752776</v>
      </c>
      <c r="D56" s="70">
        <f t="shared" si="8"/>
        <v>6.6164196392575336</v>
      </c>
      <c r="E56" s="54">
        <f t="shared" si="8"/>
        <v>6.6222859557917646</v>
      </c>
      <c r="F56" s="70">
        <f t="shared" si="8"/>
        <v>27.024544925874252</v>
      </c>
      <c r="H56" s="71">
        <f t="shared" si="8"/>
        <v>2566.8871994413589</v>
      </c>
      <c r="J56" s="71">
        <f t="shared" si="8"/>
        <v>2.5577279066238199</v>
      </c>
      <c r="K56" s="67">
        <f t="shared" si="8"/>
        <v>0.19592599172388381</v>
      </c>
      <c r="L56" s="67">
        <f t="shared" si="8"/>
        <v>0.15745060190905108</v>
      </c>
      <c r="M56" s="67">
        <f t="shared" si="8"/>
        <v>0.12856817141904786</v>
      </c>
      <c r="N56" s="67">
        <f t="shared" si="8"/>
        <v>9.9456438892695412E-2</v>
      </c>
      <c r="O56" s="67">
        <f t="shared" si="8"/>
        <v>4.7589758169804944E-2</v>
      </c>
      <c r="P56" s="67">
        <f t="shared" si="8"/>
        <v>2.7839188353170077E-2</v>
      </c>
      <c r="Q56" s="67">
        <f t="shared" si="8"/>
        <v>4.5171532974920707E-2</v>
      </c>
      <c r="R56" s="67">
        <f t="shared" si="8"/>
        <v>0.10517293205142501</v>
      </c>
      <c r="S56" s="67">
        <f t="shared" si="8"/>
        <v>5.9112175030515614E-2</v>
      </c>
      <c r="T56" s="70">
        <f t="shared" si="8"/>
        <v>2.5845963724157053</v>
      </c>
    </row>
  </sheetData>
  <phoneticPr fontId="12" type="noConversion"/>
  <pageMargins left="0.75" right="0.75" top="1" bottom="1" header="0.5" footer="0.5"/>
  <pageSetup scale="78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6"/>
  <sheetViews>
    <sheetView workbookViewId="0"/>
  </sheetViews>
  <sheetFormatPr defaultColWidth="10.6640625" defaultRowHeight="15.5" x14ac:dyDescent="0.35"/>
  <cols>
    <col min="1" max="1" width="18" style="2" customWidth="1"/>
    <col min="2" max="3" width="11.33203125" style="4" customWidth="1"/>
    <col min="4" max="5" width="13.5" style="4" customWidth="1"/>
    <col min="6" max="7" width="10.83203125" style="4"/>
    <col min="8" max="8" width="11.5" style="4" bestFit="1" customWidth="1"/>
    <col min="9" max="9" width="10.83203125" style="4"/>
    <col min="10" max="10" width="11.5" style="4" customWidth="1"/>
    <col min="11" max="18" width="10.83203125" style="4"/>
    <col min="19" max="19" width="11.83203125" style="4" customWidth="1"/>
    <col min="20" max="20" width="10.83203125" style="4"/>
    <col min="21" max="21" width="11.6640625" style="4" customWidth="1"/>
    <col min="22" max="23" width="10.83203125" style="4"/>
    <col min="24" max="25" width="11.5" style="4" bestFit="1" customWidth="1"/>
    <col min="26" max="26" width="10.83203125" style="4"/>
  </cols>
  <sheetData>
    <row r="1" spans="1:26" x14ac:dyDescent="0.35">
      <c r="F1" s="4" t="s">
        <v>94</v>
      </c>
      <c r="H1" s="4" t="s">
        <v>6</v>
      </c>
      <c r="K1" s="5"/>
      <c r="L1" s="5"/>
      <c r="M1" s="5"/>
      <c r="N1" s="5" t="s">
        <v>16</v>
      </c>
      <c r="O1" s="5"/>
      <c r="P1" s="5"/>
      <c r="Q1" s="5"/>
      <c r="R1" s="5"/>
      <c r="T1" s="4" t="s">
        <v>160</v>
      </c>
      <c r="V1" s="4" t="s">
        <v>113</v>
      </c>
    </row>
    <row r="2" spans="1:26" ht="16" thickBot="1" x14ac:dyDescent="0.4">
      <c r="A2" s="1" t="s">
        <v>171</v>
      </c>
      <c r="B2" s="3" t="s">
        <v>0</v>
      </c>
      <c r="C2" s="3" t="s">
        <v>1</v>
      </c>
      <c r="D2" s="3" t="s">
        <v>2</v>
      </c>
      <c r="E2" s="3" t="s">
        <v>3</v>
      </c>
      <c r="F2" s="6" t="s">
        <v>4</v>
      </c>
      <c r="G2" s="3" t="s">
        <v>175</v>
      </c>
      <c r="H2" s="3" t="s">
        <v>5</v>
      </c>
      <c r="I2" s="3" t="s">
        <v>174</v>
      </c>
      <c r="J2" s="3" t="s">
        <v>162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95</v>
      </c>
      <c r="Q2" s="3" t="s">
        <v>12</v>
      </c>
      <c r="R2" s="3" t="s">
        <v>13</v>
      </c>
      <c r="S2" s="3" t="s">
        <v>14</v>
      </c>
      <c r="T2" s="3" t="s">
        <v>15</v>
      </c>
      <c r="U2" s="3" t="s">
        <v>109</v>
      </c>
      <c r="V2" s="3" t="s">
        <v>111</v>
      </c>
      <c r="W2" s="3" t="s">
        <v>112</v>
      </c>
      <c r="X2" s="3" t="s">
        <v>114</v>
      </c>
      <c r="Y2" s="3" t="s">
        <v>115</v>
      </c>
      <c r="Z2" s="3" t="s">
        <v>116</v>
      </c>
    </row>
    <row r="3" spans="1:26" x14ac:dyDescent="0.35">
      <c r="A3" s="2" t="s">
        <v>17</v>
      </c>
      <c r="B3" s="7">
        <v>231</v>
      </c>
      <c r="C3" s="7">
        <v>269</v>
      </c>
      <c r="D3" s="7">
        <v>220</v>
      </c>
      <c r="E3" s="7">
        <v>258</v>
      </c>
      <c r="F3" s="8">
        <f t="shared" ref="F3:F34" si="0">SUM(B3:E3)</f>
        <v>978</v>
      </c>
      <c r="G3" s="4">
        <f t="shared" ref="G3:G34" si="1">RANK(F3,F$3:F$53)</f>
        <v>45</v>
      </c>
      <c r="H3" s="9">
        <v>8996</v>
      </c>
      <c r="I3" s="4">
        <f t="shared" ref="I3:I53" si="2">RANK(H3,H$3:H$53)</f>
        <v>37</v>
      </c>
      <c r="J3" s="53">
        <f>Table3[[#This Row],[PPF]]/Table3[[#This Row],[Total]]</f>
        <v>9.1983640081799596</v>
      </c>
      <c r="K3" s="10">
        <v>0.58699999999999997</v>
      </c>
      <c r="L3" s="10">
        <v>0.35</v>
      </c>
      <c r="M3" s="10">
        <v>4.2999999999999997E-2</v>
      </c>
      <c r="N3" s="10">
        <v>1.2999999999999999E-2</v>
      </c>
      <c r="O3" s="10">
        <v>8.0000000000000002E-3</v>
      </c>
      <c r="P3" s="10">
        <v>0.111</v>
      </c>
      <c r="Q3" s="10">
        <v>2.5999999999999999E-2</v>
      </c>
      <c r="R3" s="10">
        <v>0.54900000000000004</v>
      </c>
      <c r="S3" s="10">
        <f>0/1639</f>
        <v>0</v>
      </c>
      <c r="T3" s="11">
        <v>15.8</v>
      </c>
      <c r="U3" s="39">
        <v>0.316</v>
      </c>
      <c r="V3" s="39">
        <v>8.5000000000000006E-2</v>
      </c>
      <c r="W3" s="40">
        <v>7.0499999999999993E-2</v>
      </c>
      <c r="X3" s="41">
        <v>31368</v>
      </c>
      <c r="Y3" s="41">
        <v>40347</v>
      </c>
      <c r="Z3" s="39">
        <v>0.28899999999999998</v>
      </c>
    </row>
    <row r="4" spans="1:26" x14ac:dyDescent="0.35">
      <c r="A4" s="2" t="s">
        <v>18</v>
      </c>
      <c r="B4" s="7">
        <v>236</v>
      </c>
      <c r="C4" s="7">
        <v>283</v>
      </c>
      <c r="D4" s="7">
        <v>208</v>
      </c>
      <c r="E4" s="7">
        <v>261</v>
      </c>
      <c r="F4" s="8">
        <f t="shared" si="0"/>
        <v>988</v>
      </c>
      <c r="G4" s="4">
        <f t="shared" si="1"/>
        <v>40</v>
      </c>
      <c r="H4" s="9">
        <v>15310</v>
      </c>
      <c r="I4" s="4">
        <f t="shared" si="2"/>
        <v>4</v>
      </c>
      <c r="J4" s="53">
        <f>Table3[[#This Row],[PPF]]/Table3[[#This Row],[Total]]</f>
        <v>15.495951417004049</v>
      </c>
      <c r="K4" s="10">
        <v>0.53200000000000003</v>
      </c>
      <c r="L4" s="10">
        <v>3.7999999999999999E-2</v>
      </c>
      <c r="M4" s="10">
        <v>5.8000000000000003E-2</v>
      </c>
      <c r="N4" s="10">
        <v>0.08</v>
      </c>
      <c r="O4" s="10">
        <v>0.23</v>
      </c>
      <c r="P4" s="10">
        <v>0.13600000000000001</v>
      </c>
      <c r="Q4" s="10">
        <v>0.111</v>
      </c>
      <c r="R4" s="10">
        <v>0.36199999999999999</v>
      </c>
      <c r="S4" s="10">
        <v>4.8000000000000001E-2</v>
      </c>
      <c r="T4" s="11">
        <v>16.3</v>
      </c>
      <c r="U4" s="39">
        <v>0.36299999999999999</v>
      </c>
      <c r="V4" s="39">
        <v>6.3E-2</v>
      </c>
      <c r="W4" s="40">
        <v>0.55469999999999997</v>
      </c>
      <c r="X4" s="41">
        <v>38657</v>
      </c>
      <c r="Y4" s="41">
        <v>53553</v>
      </c>
      <c r="Z4" s="39">
        <v>7.9000000000000001E-2</v>
      </c>
    </row>
    <row r="5" spans="1:26" x14ac:dyDescent="0.35">
      <c r="A5" s="2" t="s">
        <v>19</v>
      </c>
      <c r="B5" s="7">
        <v>235</v>
      </c>
      <c r="C5" s="7">
        <v>279</v>
      </c>
      <c r="D5" s="7">
        <v>212</v>
      </c>
      <c r="E5" s="7">
        <v>260</v>
      </c>
      <c r="F5" s="8">
        <f t="shared" si="0"/>
        <v>986</v>
      </c>
      <c r="G5" s="4">
        <f t="shared" si="1"/>
        <v>42</v>
      </c>
      <c r="H5" s="9">
        <v>7931</v>
      </c>
      <c r="I5" s="4">
        <f t="shared" si="2"/>
        <v>48</v>
      </c>
      <c r="J5" s="53">
        <f>Table3[[#This Row],[PPF]]/Table3[[#This Row],[Total]]</f>
        <v>8.0436105476673436</v>
      </c>
      <c r="K5" s="10">
        <v>0.441</v>
      </c>
      <c r="L5" s="10">
        <v>0.06</v>
      </c>
      <c r="M5" s="10">
        <v>0.41399999999999998</v>
      </c>
      <c r="N5" s="10">
        <v>3.1E-2</v>
      </c>
      <c r="O5" s="10">
        <v>5.5E-2</v>
      </c>
      <c r="P5" s="10">
        <v>0.11700000000000001</v>
      </c>
      <c r="Q5" s="10">
        <v>7.8E-2</v>
      </c>
      <c r="R5" s="10">
        <v>0.46600000000000003</v>
      </c>
      <c r="S5" s="10">
        <v>0.246</v>
      </c>
      <c r="T5" s="11">
        <v>20.7</v>
      </c>
      <c r="U5" s="39">
        <v>0.34399999999999997</v>
      </c>
      <c r="V5" s="39">
        <v>8.6999999999999994E-2</v>
      </c>
      <c r="W5" s="40">
        <v>0.57389999999999997</v>
      </c>
      <c r="X5" s="41">
        <v>30404</v>
      </c>
      <c r="Y5" s="41">
        <v>44672</v>
      </c>
      <c r="Z5" s="39">
        <v>0.375</v>
      </c>
    </row>
    <row r="6" spans="1:26" x14ac:dyDescent="0.35">
      <c r="A6" s="2" t="s">
        <v>20</v>
      </c>
      <c r="B6" s="7">
        <v>238</v>
      </c>
      <c r="C6" s="7">
        <v>279</v>
      </c>
      <c r="D6" s="7">
        <v>217</v>
      </c>
      <c r="E6" s="7">
        <v>259</v>
      </c>
      <c r="F6" s="8">
        <f t="shared" si="0"/>
        <v>993</v>
      </c>
      <c r="G6" s="4">
        <f t="shared" si="1"/>
        <v>37</v>
      </c>
      <c r="H6" s="9">
        <v>8853</v>
      </c>
      <c r="I6" s="4">
        <f t="shared" si="2"/>
        <v>40</v>
      </c>
      <c r="J6" s="53">
        <f>Table3[[#This Row],[PPF]]/Table3[[#This Row],[Total]]</f>
        <v>8.9154078549848936</v>
      </c>
      <c r="K6" s="10">
        <v>0.65300000000000002</v>
      </c>
      <c r="L6" s="10">
        <v>0.219</v>
      </c>
      <c r="M6" s="10">
        <v>9.1999999999999998E-2</v>
      </c>
      <c r="N6" s="10">
        <v>1.7999999999999999E-2</v>
      </c>
      <c r="O6" s="10">
        <v>7.0000000000000001E-3</v>
      </c>
      <c r="P6" s="10">
        <v>0.13500000000000001</v>
      </c>
      <c r="Q6" s="10">
        <v>6.2E-2</v>
      </c>
      <c r="R6" s="10">
        <v>0.59599999999999997</v>
      </c>
      <c r="S6" s="10">
        <v>3.3000000000000002E-2</v>
      </c>
      <c r="T6" s="11">
        <v>12.9</v>
      </c>
      <c r="U6" s="39">
        <v>0.26500000000000001</v>
      </c>
      <c r="V6" s="39">
        <v>9.9000000000000005E-2</v>
      </c>
      <c r="W6" s="40">
        <v>0.1678</v>
      </c>
      <c r="X6" s="41">
        <v>28784</v>
      </c>
      <c r="Y6" s="41">
        <v>42768</v>
      </c>
      <c r="Z6" s="39">
        <v>0.44800000000000001</v>
      </c>
    </row>
    <row r="7" spans="1:26" x14ac:dyDescent="0.35">
      <c r="A7" s="2" t="s">
        <v>21</v>
      </c>
      <c r="B7" s="7">
        <v>234</v>
      </c>
      <c r="C7" s="7">
        <v>273</v>
      </c>
      <c r="D7" s="7">
        <v>211</v>
      </c>
      <c r="E7" s="7">
        <v>255</v>
      </c>
      <c r="F7" s="8">
        <f t="shared" si="0"/>
        <v>973</v>
      </c>
      <c r="G7" s="4">
        <f t="shared" si="1"/>
        <v>47</v>
      </c>
      <c r="H7" s="9">
        <v>9471</v>
      </c>
      <c r="I7" s="4">
        <f t="shared" si="2"/>
        <v>34</v>
      </c>
      <c r="J7" s="53">
        <f>Table3[[#This Row],[PPF]]/Table3[[#This Row],[Total]]</f>
        <v>9.7338129496402885</v>
      </c>
      <c r="K7" s="10">
        <v>0.27</v>
      </c>
      <c r="L7" s="10">
        <v>6.9000000000000006E-2</v>
      </c>
      <c r="M7" s="10">
        <v>0.504</v>
      </c>
      <c r="N7" s="10">
        <v>0.11600000000000001</v>
      </c>
      <c r="O7" s="10">
        <v>7.0000000000000001E-3</v>
      </c>
      <c r="P7" s="10">
        <v>0.107</v>
      </c>
      <c r="Q7" s="10">
        <v>0.28699999999999998</v>
      </c>
      <c r="R7" s="10">
        <v>0.54900000000000004</v>
      </c>
      <c r="S7" s="10">
        <v>8.2000000000000003E-2</v>
      </c>
      <c r="T7" s="11">
        <v>19.8</v>
      </c>
      <c r="U7" s="39">
        <v>0.38600000000000001</v>
      </c>
      <c r="V7" s="39">
        <v>0.106</v>
      </c>
      <c r="W7" s="40">
        <v>0.52610000000000001</v>
      </c>
      <c r="X7" s="41">
        <v>35760</v>
      </c>
      <c r="Y7" s="41">
        <v>59825</v>
      </c>
      <c r="Z7" s="39">
        <v>0.41599999999999998</v>
      </c>
    </row>
    <row r="8" spans="1:26" x14ac:dyDescent="0.35">
      <c r="A8" s="2" t="s">
        <v>22</v>
      </c>
      <c r="B8" s="7">
        <v>244</v>
      </c>
      <c r="C8" s="7">
        <v>292</v>
      </c>
      <c r="D8" s="7">
        <v>223</v>
      </c>
      <c r="E8" s="7">
        <v>271</v>
      </c>
      <c r="F8" s="8">
        <f t="shared" si="0"/>
        <v>1030</v>
      </c>
      <c r="G8" s="4">
        <f t="shared" si="1"/>
        <v>10</v>
      </c>
      <c r="H8" s="9">
        <v>8963</v>
      </c>
      <c r="I8" s="4">
        <f t="shared" si="2"/>
        <v>38</v>
      </c>
      <c r="J8" s="53">
        <f>Table3[[#This Row],[PPF]]/Table3[[#This Row],[Total]]</f>
        <v>8.7019417475728158</v>
      </c>
      <c r="K8" s="10">
        <v>0.60599999999999998</v>
      </c>
      <c r="L8" s="10">
        <v>5.8999999999999997E-2</v>
      </c>
      <c r="M8" s="10">
        <v>0.28599999999999998</v>
      </c>
      <c r="N8" s="10">
        <v>3.6999999999999998E-2</v>
      </c>
      <c r="O8" s="10">
        <v>1.2E-2</v>
      </c>
      <c r="P8" s="10">
        <v>0.10100000000000001</v>
      </c>
      <c r="Q8" s="10">
        <v>0.114</v>
      </c>
      <c r="R8" s="10">
        <v>0.38400000000000001</v>
      </c>
      <c r="S8" s="10">
        <v>8.6999999999999994E-2</v>
      </c>
      <c r="T8" s="11">
        <v>17</v>
      </c>
      <c r="U8" s="39">
        <v>0.45300000000000001</v>
      </c>
      <c r="V8" s="39">
        <v>8.5999999999999993E-2</v>
      </c>
      <c r="W8" s="40">
        <v>0.52980000000000005</v>
      </c>
      <c r="X8" s="41">
        <v>35086</v>
      </c>
      <c r="Y8" s="41">
        <v>44439</v>
      </c>
      <c r="Z8" s="39">
        <v>0.25700000000000001</v>
      </c>
    </row>
    <row r="9" spans="1:26" x14ac:dyDescent="0.35">
      <c r="A9" s="2" t="s">
        <v>23</v>
      </c>
      <c r="B9" s="7">
        <v>242</v>
      </c>
      <c r="C9" s="7">
        <v>287</v>
      </c>
      <c r="D9" s="7">
        <v>227</v>
      </c>
      <c r="E9" s="7">
        <v>275</v>
      </c>
      <c r="F9" s="8">
        <f t="shared" si="0"/>
        <v>1031</v>
      </c>
      <c r="G9" s="4">
        <f t="shared" si="1"/>
        <v>9</v>
      </c>
      <c r="H9" s="9">
        <v>15260</v>
      </c>
      <c r="I9" s="4">
        <f t="shared" si="2"/>
        <v>5</v>
      </c>
      <c r="J9" s="53">
        <f>Table3[[#This Row],[PPF]]/Table3[[#This Row],[Total]]</f>
        <v>14.801163918525702</v>
      </c>
      <c r="K9" s="10">
        <v>0.63700000000000001</v>
      </c>
      <c r="L9" s="10">
        <v>0.13900000000000001</v>
      </c>
      <c r="M9" s="10">
        <v>0.17599999999999999</v>
      </c>
      <c r="N9" s="10">
        <v>4.3999999999999997E-2</v>
      </c>
      <c r="O9" s="10">
        <v>4.0000000000000001E-3</v>
      </c>
      <c r="P9" s="10">
        <v>0.122</v>
      </c>
      <c r="Q9" s="10">
        <v>5.2999999999999999E-2</v>
      </c>
      <c r="R9" s="10">
        <v>0.31900000000000001</v>
      </c>
      <c r="S9" s="10">
        <v>1.4999999999999999E-2</v>
      </c>
      <c r="T9" s="11">
        <v>12.9</v>
      </c>
      <c r="U9" s="39">
        <v>0.46600000000000003</v>
      </c>
      <c r="V9" s="39">
        <v>0.12</v>
      </c>
      <c r="W9" s="40">
        <v>0.33929999999999999</v>
      </c>
      <c r="X9" s="41">
        <v>39259</v>
      </c>
      <c r="Y9" s="41">
        <v>59304</v>
      </c>
      <c r="Z9" s="39">
        <v>0.18</v>
      </c>
    </row>
    <row r="10" spans="1:26" x14ac:dyDescent="0.35">
      <c r="A10" s="61" t="s">
        <v>25</v>
      </c>
      <c r="B10" s="62">
        <v>222</v>
      </c>
      <c r="C10" s="62">
        <v>260</v>
      </c>
      <c r="D10" s="62">
        <v>201</v>
      </c>
      <c r="E10" s="62">
        <v>242</v>
      </c>
      <c r="F10" s="8">
        <f t="shared" si="0"/>
        <v>925</v>
      </c>
      <c r="G10" s="4">
        <f t="shared" si="1"/>
        <v>51</v>
      </c>
      <c r="H10" s="63">
        <v>17251</v>
      </c>
      <c r="I10" s="4">
        <f t="shared" si="2"/>
        <v>2</v>
      </c>
      <c r="J10" s="73">
        <f>Table3[[#This Row],[PPF]]/Table3[[#This Row],[Total]]</f>
        <v>18.649729729729728</v>
      </c>
      <c r="K10" s="64">
        <v>6.7000000000000004E-2</v>
      </c>
      <c r="L10" s="64">
        <v>0.80200000000000005</v>
      </c>
      <c r="M10" s="64">
        <v>0.115</v>
      </c>
      <c r="N10" s="64">
        <v>1.6E-2</v>
      </c>
      <c r="O10" s="64">
        <v>1E-3</v>
      </c>
      <c r="P10" s="64">
        <v>0.16300000000000001</v>
      </c>
      <c r="Q10" s="64">
        <v>8.5000000000000006E-2</v>
      </c>
      <c r="R10" s="64">
        <v>0.69799999999999995</v>
      </c>
      <c r="S10" s="64">
        <v>0.41599999999999998</v>
      </c>
      <c r="T10" s="65">
        <v>11.9</v>
      </c>
      <c r="U10" s="66">
        <v>0.47099999999999997</v>
      </c>
      <c r="V10" s="39">
        <v>9.6000000000000002E-2</v>
      </c>
      <c r="W10" s="40">
        <v>0.29699999999999999</v>
      </c>
      <c r="X10" s="41">
        <v>35854</v>
      </c>
      <c r="Y10" s="41">
        <v>54264</v>
      </c>
      <c r="Z10" s="39">
        <v>0.33900000000000002</v>
      </c>
    </row>
    <row r="11" spans="1:26" x14ac:dyDescent="0.35">
      <c r="A11" s="2" t="s">
        <v>24</v>
      </c>
      <c r="B11" s="7">
        <v>240</v>
      </c>
      <c r="C11" s="7">
        <v>283</v>
      </c>
      <c r="D11" s="7">
        <v>225</v>
      </c>
      <c r="E11" s="7">
        <v>266</v>
      </c>
      <c r="F11" s="8">
        <f t="shared" si="0"/>
        <v>1014</v>
      </c>
      <c r="G11" s="4">
        <f t="shared" si="1"/>
        <v>24</v>
      </c>
      <c r="H11" s="9">
        <v>12390</v>
      </c>
      <c r="I11" s="4">
        <f t="shared" si="2"/>
        <v>12</v>
      </c>
      <c r="J11" s="53">
        <f>Table3[[#This Row],[PPF]]/Table3[[#This Row],[Total]]</f>
        <v>12.218934911242604</v>
      </c>
      <c r="K11" s="10">
        <v>0.51600000000000001</v>
      </c>
      <c r="L11" s="10">
        <v>0.33300000000000002</v>
      </c>
      <c r="M11" s="10">
        <v>0.113</v>
      </c>
      <c r="N11" s="10">
        <v>3.5000000000000003E-2</v>
      </c>
      <c r="O11" s="10">
        <v>4.0000000000000001E-3</v>
      </c>
      <c r="P11" s="10">
        <v>0.153</v>
      </c>
      <c r="Q11" s="10">
        <v>6.0999999999999999E-2</v>
      </c>
      <c r="R11" s="10">
        <v>0.46800000000000003</v>
      </c>
      <c r="S11" s="10">
        <v>8.8999999999999996E-2</v>
      </c>
      <c r="T11" s="11">
        <v>14.7</v>
      </c>
      <c r="U11" s="39">
        <v>0.37</v>
      </c>
      <c r="V11" s="39">
        <v>9.1999999999999998E-2</v>
      </c>
      <c r="W11" s="40">
        <v>0.49399999999999999</v>
      </c>
      <c r="X11" s="41">
        <v>33427</v>
      </c>
      <c r="Y11" s="41">
        <v>43302</v>
      </c>
      <c r="Z11" s="39">
        <v>0.29899999999999999</v>
      </c>
    </row>
    <row r="12" spans="1:26" x14ac:dyDescent="0.35">
      <c r="A12" s="2" t="s">
        <v>26</v>
      </c>
      <c r="B12" s="7">
        <v>240</v>
      </c>
      <c r="C12" s="7">
        <v>278</v>
      </c>
      <c r="D12" s="7">
        <v>225</v>
      </c>
      <c r="E12" s="7">
        <v>262</v>
      </c>
      <c r="F12" s="8">
        <f t="shared" si="0"/>
        <v>1005</v>
      </c>
      <c r="G12" s="4">
        <f t="shared" si="1"/>
        <v>33</v>
      </c>
      <c r="H12" s="9">
        <v>8747</v>
      </c>
      <c r="I12" s="4">
        <f t="shared" si="2"/>
        <v>42</v>
      </c>
      <c r="J12" s="53">
        <f>Table3[[#This Row],[PPF]]/Table3[[#This Row],[Total]]</f>
        <v>8.703482587064677</v>
      </c>
      <c r="K12" s="10">
        <v>0.45900000000000002</v>
      </c>
      <c r="L12" s="10">
        <v>0.23899999999999999</v>
      </c>
      <c r="M12" s="10">
        <v>0.27200000000000002</v>
      </c>
      <c r="N12" s="10">
        <v>2.7E-2</v>
      </c>
      <c r="O12" s="10">
        <v>4.0000000000000001E-3</v>
      </c>
      <c r="P12" s="10">
        <v>0.14199999999999999</v>
      </c>
      <c r="Q12" s="10">
        <v>8.7999999999999995E-2</v>
      </c>
      <c r="R12" s="10">
        <v>0.53500000000000003</v>
      </c>
      <c r="S12" s="10">
        <v>0.105</v>
      </c>
      <c r="T12" s="11">
        <v>14.3</v>
      </c>
      <c r="U12" s="39">
        <v>0.36799999999999999</v>
      </c>
      <c r="V12" s="39">
        <v>9.0999999999999998E-2</v>
      </c>
      <c r="W12" s="40">
        <v>0.1847</v>
      </c>
      <c r="X12" s="41">
        <v>34442</v>
      </c>
      <c r="Y12" s="41">
        <v>48300</v>
      </c>
      <c r="Z12" s="39">
        <v>0.42099999999999999</v>
      </c>
    </row>
    <row r="13" spans="1:26" x14ac:dyDescent="0.35">
      <c r="A13" s="2" t="s">
        <v>27</v>
      </c>
      <c r="B13" s="7">
        <v>238</v>
      </c>
      <c r="C13" s="7">
        <v>278</v>
      </c>
      <c r="D13" s="7">
        <v>221</v>
      </c>
      <c r="E13" s="7">
        <v>262</v>
      </c>
      <c r="F13" s="8">
        <f t="shared" si="0"/>
        <v>999</v>
      </c>
      <c r="G13" s="4">
        <f t="shared" si="1"/>
        <v>36</v>
      </c>
      <c r="H13" s="9">
        <v>9685</v>
      </c>
      <c r="I13" s="4">
        <f t="shared" si="2"/>
        <v>31</v>
      </c>
      <c r="J13" s="53">
        <f>Table3[[#This Row],[PPF]]/Table3[[#This Row],[Total]]</f>
        <v>9.6946946946946948</v>
      </c>
      <c r="K13" s="10">
        <v>0.45</v>
      </c>
      <c r="L13" s="10">
        <v>0.374</v>
      </c>
      <c r="M13" s="10">
        <v>0.113</v>
      </c>
      <c r="N13" s="10">
        <v>3.3000000000000002E-2</v>
      </c>
      <c r="O13" s="10">
        <v>3.0000000000000001E-3</v>
      </c>
      <c r="P13" s="10">
        <v>0.106</v>
      </c>
      <c r="Q13" s="10">
        <v>5.1999999999999998E-2</v>
      </c>
      <c r="R13" s="10">
        <v>0.56100000000000005</v>
      </c>
      <c r="S13" s="10">
        <f>63/2600</f>
        <v>2.4230769230769229E-2</v>
      </c>
      <c r="T13" s="11">
        <v>14.4</v>
      </c>
      <c r="U13" s="39">
        <v>0.36199999999999999</v>
      </c>
      <c r="V13" s="39">
        <v>9.6000000000000002E-2</v>
      </c>
      <c r="W13" s="40">
        <v>0.62970000000000004</v>
      </c>
      <c r="X13" s="41">
        <v>35816</v>
      </c>
      <c r="Y13" s="41">
        <v>49292</v>
      </c>
      <c r="Z13" s="39">
        <v>0.377</v>
      </c>
    </row>
    <row r="14" spans="1:26" x14ac:dyDescent="0.35">
      <c r="A14" s="2" t="s">
        <v>28</v>
      </c>
      <c r="B14" s="7">
        <v>239</v>
      </c>
      <c r="C14" s="7">
        <v>278</v>
      </c>
      <c r="D14" s="7">
        <v>214</v>
      </c>
      <c r="E14" s="7">
        <v>257</v>
      </c>
      <c r="F14" s="8">
        <f t="shared" si="0"/>
        <v>988</v>
      </c>
      <c r="G14" s="4">
        <f t="shared" si="1"/>
        <v>40</v>
      </c>
      <c r="H14" s="9">
        <v>12370</v>
      </c>
      <c r="I14" s="4">
        <f t="shared" si="2"/>
        <v>13</v>
      </c>
      <c r="J14" s="53">
        <f>Table3[[#This Row],[PPF]]/Table3[[#This Row],[Total]]</f>
        <v>12.520242914979757</v>
      </c>
      <c r="K14" s="10">
        <v>0.19700000000000001</v>
      </c>
      <c r="L14" s="10">
        <v>2.3E-2</v>
      </c>
      <c r="M14" s="10">
        <v>4.5999999999999999E-2</v>
      </c>
      <c r="N14" s="10">
        <v>0.72699999999999998</v>
      </c>
      <c r="O14" s="10">
        <v>6.0000000000000001E-3</v>
      </c>
      <c r="P14" s="10">
        <v>0.111</v>
      </c>
      <c r="Q14" s="10">
        <v>0.1</v>
      </c>
      <c r="R14" s="10">
        <v>0.433</v>
      </c>
      <c r="S14" s="10">
        <f>31/290</f>
        <v>0.10689655172413794</v>
      </c>
      <c r="T14" s="11">
        <v>15.7</v>
      </c>
      <c r="U14" s="39">
        <v>0.42299999999999999</v>
      </c>
      <c r="V14" s="39">
        <v>9.4E-2</v>
      </c>
      <c r="W14" s="40">
        <v>0.41510000000000002</v>
      </c>
      <c r="X14" s="41">
        <v>27500</v>
      </c>
      <c r="Y14" s="41">
        <v>41150</v>
      </c>
      <c r="Z14" s="39">
        <v>0.33200000000000002</v>
      </c>
    </row>
    <row r="15" spans="1:26" x14ac:dyDescent="0.35">
      <c r="A15" s="2" t="s">
        <v>29</v>
      </c>
      <c r="B15" s="7">
        <v>240</v>
      </c>
      <c r="C15" s="7">
        <v>287</v>
      </c>
      <c r="D15" s="7">
        <v>221</v>
      </c>
      <c r="E15" s="62">
        <v>268</v>
      </c>
      <c r="F15" s="8">
        <f t="shared" si="0"/>
        <v>1016</v>
      </c>
      <c r="G15" s="4">
        <f t="shared" si="1"/>
        <v>21</v>
      </c>
      <c r="H15" s="9">
        <v>7194</v>
      </c>
      <c r="I15" s="4">
        <f t="shared" si="2"/>
        <v>50</v>
      </c>
      <c r="J15" s="53">
        <f>Table3[[#This Row],[PPF]]/Table3[[#This Row],[Total]]</f>
        <v>7.0807086614173231</v>
      </c>
      <c r="K15" s="10">
        <v>0.80400000000000005</v>
      </c>
      <c r="L15" s="10">
        <v>1.2E-2</v>
      </c>
      <c r="M15" s="10">
        <v>0.15</v>
      </c>
      <c r="N15" s="10">
        <v>1.7999999999999999E-2</v>
      </c>
      <c r="O15" s="10">
        <v>1.7000000000000001E-2</v>
      </c>
      <c r="P15" s="10">
        <v>0.10100000000000001</v>
      </c>
      <c r="Q15" s="10">
        <v>5.8000000000000003E-2</v>
      </c>
      <c r="R15" s="10">
        <v>0.43</v>
      </c>
      <c r="S15" s="10">
        <v>4.8000000000000001E-2</v>
      </c>
      <c r="T15" s="11">
        <v>18.2</v>
      </c>
      <c r="U15" s="39">
        <v>0.34799999999999998</v>
      </c>
      <c r="V15" s="39">
        <v>0.1</v>
      </c>
      <c r="W15" s="40">
        <v>0.22239999999999999</v>
      </c>
      <c r="X15" s="41">
        <v>37500</v>
      </c>
      <c r="Y15" s="41">
        <v>58686</v>
      </c>
      <c r="Z15" s="39">
        <v>0.434</v>
      </c>
    </row>
    <row r="16" spans="1:26" x14ac:dyDescent="0.35">
      <c r="A16" s="2" t="s">
        <v>31</v>
      </c>
      <c r="B16" s="7">
        <v>239</v>
      </c>
      <c r="C16" s="7">
        <v>283</v>
      </c>
      <c r="D16" s="7">
        <v>219</v>
      </c>
      <c r="E16" s="7">
        <v>266</v>
      </c>
      <c r="F16" s="8">
        <f t="shared" si="0"/>
        <v>1007</v>
      </c>
      <c r="G16" s="4">
        <f t="shared" si="1"/>
        <v>31</v>
      </c>
      <c r="H16" s="9">
        <v>11120</v>
      </c>
      <c r="I16" s="4">
        <f t="shared" si="2"/>
        <v>17</v>
      </c>
      <c r="J16" s="53">
        <f>Table3[[#This Row],[PPF]]/Table3[[#This Row],[Total]]</f>
        <v>11.042701092353525</v>
      </c>
      <c r="K16" s="10">
        <v>0.54200000000000004</v>
      </c>
      <c r="L16" s="10">
        <v>0.19500000000000001</v>
      </c>
      <c r="M16" s="10">
        <v>0.217</v>
      </c>
      <c r="N16" s="10">
        <v>4.2999999999999997E-2</v>
      </c>
      <c r="O16" s="10">
        <v>2E-3</v>
      </c>
      <c r="P16" s="10">
        <v>0.14899999999999999</v>
      </c>
      <c r="Q16" s="10">
        <v>8.5000000000000006E-2</v>
      </c>
      <c r="R16" s="10">
        <v>0.43</v>
      </c>
      <c r="S16" s="10">
        <f>39/4450</f>
        <v>8.7640449438202254E-3</v>
      </c>
      <c r="T16" s="11">
        <v>15.2</v>
      </c>
      <c r="U16" s="39">
        <v>0.40799999999999997</v>
      </c>
      <c r="V16" s="39">
        <v>9.5000000000000001E-2</v>
      </c>
      <c r="W16" s="40">
        <v>0.1731</v>
      </c>
      <c r="X16" s="41">
        <v>30844</v>
      </c>
      <c r="Y16" s="41">
        <v>47255</v>
      </c>
      <c r="Z16" s="39">
        <v>0.254</v>
      </c>
    </row>
    <row r="17" spans="1:26" x14ac:dyDescent="0.35">
      <c r="A17" s="2" t="s">
        <v>30</v>
      </c>
      <c r="B17" s="7">
        <v>244</v>
      </c>
      <c r="C17" s="7">
        <v>285</v>
      </c>
      <c r="D17" s="7">
        <v>221</v>
      </c>
      <c r="E17" s="7">
        <v>265</v>
      </c>
      <c r="F17" s="8">
        <f t="shared" si="0"/>
        <v>1015</v>
      </c>
      <c r="G17" s="4">
        <f t="shared" si="1"/>
        <v>22</v>
      </c>
      <c r="H17" s="9">
        <v>9248</v>
      </c>
      <c r="I17" s="4">
        <f t="shared" si="2"/>
        <v>36</v>
      </c>
      <c r="J17" s="53">
        <f>Table3[[#This Row],[PPF]]/Table3[[#This Row],[Total]]</f>
        <v>9.1113300492610829</v>
      </c>
      <c r="K17" s="10">
        <v>0.77800000000000002</v>
      </c>
      <c r="L17" s="10">
        <v>0.128</v>
      </c>
      <c r="M17" s="10">
        <v>7.3999999999999996E-2</v>
      </c>
      <c r="N17" s="10">
        <v>1.7000000000000001E-2</v>
      </c>
      <c r="O17" s="10">
        <v>3.0000000000000001E-3</v>
      </c>
      <c r="P17" s="10">
        <v>0.16400000000000001</v>
      </c>
      <c r="Q17" s="10">
        <v>4.7E-2</v>
      </c>
      <c r="R17" s="10">
        <v>0.45300000000000001</v>
      </c>
      <c r="S17" s="10">
        <v>2.7E-2</v>
      </c>
      <c r="T17" s="11">
        <v>16.8</v>
      </c>
      <c r="U17" s="39">
        <v>0.33400000000000002</v>
      </c>
      <c r="V17" s="39">
        <v>9.5000000000000001E-2</v>
      </c>
      <c r="W17" s="40">
        <v>0.1918</v>
      </c>
      <c r="X17" s="41">
        <v>27284</v>
      </c>
      <c r="Y17" s="41">
        <v>41083</v>
      </c>
      <c r="Z17" s="39">
        <v>0.26900000000000002</v>
      </c>
    </row>
    <row r="18" spans="1:26" x14ac:dyDescent="0.35">
      <c r="A18" s="2" t="s">
        <v>32</v>
      </c>
      <c r="B18" s="7">
        <v>243</v>
      </c>
      <c r="C18" s="7">
        <v>285</v>
      </c>
      <c r="D18" s="7">
        <v>221</v>
      </c>
      <c r="E18" s="7">
        <v>265</v>
      </c>
      <c r="F18" s="8">
        <f t="shared" si="0"/>
        <v>1014</v>
      </c>
      <c r="G18" s="4">
        <f t="shared" si="1"/>
        <v>24</v>
      </c>
      <c r="H18" s="9">
        <v>10010</v>
      </c>
      <c r="I18" s="4">
        <f t="shared" si="2"/>
        <v>27</v>
      </c>
      <c r="J18" s="53">
        <f>Table3[[#This Row],[PPF]]/Table3[[#This Row],[Total]]</f>
        <v>9.8717948717948723</v>
      </c>
      <c r="K18" s="10">
        <v>0.82199999999999995</v>
      </c>
      <c r="L18" s="10">
        <v>5.0999999999999997E-2</v>
      </c>
      <c r="M18" s="10">
        <v>8.1000000000000003E-2</v>
      </c>
      <c r="N18" s="10">
        <v>2.1000000000000001E-2</v>
      </c>
      <c r="O18" s="10">
        <v>5.0000000000000001E-3</v>
      </c>
      <c r="P18" s="10">
        <v>0.13600000000000001</v>
      </c>
      <c r="Q18" s="10">
        <v>4.2000000000000003E-2</v>
      </c>
      <c r="R18" s="10">
        <v>0.373</v>
      </c>
      <c r="S18" s="10">
        <f>9/1525</f>
        <v>5.9016393442622951E-3</v>
      </c>
      <c r="T18" s="11">
        <v>13.7</v>
      </c>
      <c r="U18" s="39">
        <v>0.38800000000000001</v>
      </c>
      <c r="V18" s="39">
        <v>9.7000000000000003E-2</v>
      </c>
      <c r="W18" s="40">
        <v>0.22589999999999999</v>
      </c>
      <c r="X18" s="41">
        <v>27840</v>
      </c>
      <c r="Y18" s="41">
        <v>41467</v>
      </c>
      <c r="Z18" s="39">
        <v>0.28100000000000003</v>
      </c>
    </row>
    <row r="19" spans="1:26" x14ac:dyDescent="0.35">
      <c r="A19" s="2" t="s">
        <v>33</v>
      </c>
      <c r="B19" s="7">
        <v>246</v>
      </c>
      <c r="C19" s="7">
        <v>290</v>
      </c>
      <c r="D19" s="7">
        <v>224</v>
      </c>
      <c r="E19" s="7">
        <v>267</v>
      </c>
      <c r="F19" s="8">
        <f t="shared" si="0"/>
        <v>1027</v>
      </c>
      <c r="G19" s="4">
        <f t="shared" si="1"/>
        <v>11</v>
      </c>
      <c r="H19" s="9">
        <v>10261</v>
      </c>
      <c r="I19" s="4">
        <f t="shared" si="2"/>
        <v>24</v>
      </c>
      <c r="J19" s="53">
        <f>Table3[[#This Row],[PPF]]/Table3[[#This Row],[Total]]</f>
        <v>9.9912366114897768</v>
      </c>
      <c r="K19" s="10">
        <v>0.68799999999999994</v>
      </c>
      <c r="L19" s="10">
        <v>7.6999999999999999E-2</v>
      </c>
      <c r="M19" s="10">
        <v>0.157</v>
      </c>
      <c r="N19" s="10">
        <v>2.5000000000000001E-2</v>
      </c>
      <c r="O19" s="10">
        <v>1.2E-2</v>
      </c>
      <c r="P19" s="10">
        <v>0.14000000000000001</v>
      </c>
      <c r="Q19" s="10">
        <v>0.08</v>
      </c>
      <c r="R19" s="10">
        <v>0.45700000000000002</v>
      </c>
      <c r="S19" s="10">
        <f>35/1447</f>
        <v>2.4187975120939877E-2</v>
      </c>
      <c r="T19" s="11">
        <v>13.7</v>
      </c>
      <c r="U19" s="39">
        <v>0.40500000000000003</v>
      </c>
      <c r="V19" s="39">
        <v>9.2999999999999999E-2</v>
      </c>
      <c r="W19" s="40">
        <v>0.10199999999999999</v>
      </c>
      <c r="X19" s="41">
        <v>30619</v>
      </c>
      <c r="Y19" s="41">
        <v>42592</v>
      </c>
      <c r="Z19" s="39">
        <v>0.28799999999999998</v>
      </c>
    </row>
    <row r="20" spans="1:26" x14ac:dyDescent="0.35">
      <c r="A20" s="2" t="s">
        <v>34</v>
      </c>
      <c r="B20" s="7">
        <v>241</v>
      </c>
      <c r="C20" s="7">
        <v>282</v>
      </c>
      <c r="D20" s="7">
        <v>225</v>
      </c>
      <c r="E20" s="7">
        <v>269</v>
      </c>
      <c r="F20" s="8">
        <f t="shared" si="0"/>
        <v>1017</v>
      </c>
      <c r="G20" s="4">
        <f t="shared" si="1"/>
        <v>20</v>
      </c>
      <c r="H20" s="9">
        <v>8836</v>
      </c>
      <c r="I20" s="4">
        <f t="shared" si="2"/>
        <v>41</v>
      </c>
      <c r="J20" s="53">
        <f>Table3[[#This Row],[PPF]]/Table3[[#This Row],[Total]]</f>
        <v>8.6882989183874137</v>
      </c>
      <c r="K20" s="10">
        <v>0.84299999999999997</v>
      </c>
      <c r="L20" s="10">
        <v>0.11</v>
      </c>
      <c r="M20" s="10">
        <v>3.3000000000000002E-2</v>
      </c>
      <c r="N20" s="10">
        <v>1.2999999999999999E-2</v>
      </c>
      <c r="O20" s="10">
        <v>1E-3</v>
      </c>
      <c r="P20" s="10">
        <v>0.156</v>
      </c>
      <c r="Q20" s="10">
        <v>2.1000000000000001E-2</v>
      </c>
      <c r="R20" s="10">
        <v>0.54700000000000004</v>
      </c>
      <c r="S20" s="10">
        <f>0/1560</f>
        <v>0</v>
      </c>
      <c r="T20" s="11">
        <v>16.2</v>
      </c>
      <c r="U20" s="39">
        <v>0.29199999999999998</v>
      </c>
      <c r="V20" s="39">
        <v>8.2000000000000003E-2</v>
      </c>
      <c r="W20" s="40">
        <v>0.1298</v>
      </c>
      <c r="X20" s="41">
        <v>31298</v>
      </c>
      <c r="Y20" s="41">
        <v>40029</v>
      </c>
      <c r="Z20" s="39">
        <v>0.45400000000000001</v>
      </c>
    </row>
    <row r="21" spans="1:26" x14ac:dyDescent="0.35">
      <c r="A21" s="2" t="s">
        <v>35</v>
      </c>
      <c r="B21" s="7">
        <v>231</v>
      </c>
      <c r="C21" s="7">
        <v>273</v>
      </c>
      <c r="D21" s="7">
        <v>210</v>
      </c>
      <c r="E21" s="7">
        <v>255</v>
      </c>
      <c r="F21" s="8">
        <f t="shared" si="0"/>
        <v>969</v>
      </c>
      <c r="G21" s="4">
        <f t="shared" si="1"/>
        <v>49</v>
      </c>
      <c r="H21" s="9">
        <v>10684</v>
      </c>
      <c r="I21" s="4">
        <f t="shared" si="2"/>
        <v>22</v>
      </c>
      <c r="J21" s="53">
        <f>Table3[[#This Row],[PPF]]/Table3[[#This Row],[Total]]</f>
        <v>11.025799793601651</v>
      </c>
      <c r="K21" s="10">
        <v>0.48499999999999999</v>
      </c>
      <c r="L21" s="10">
        <v>0.46</v>
      </c>
      <c r="M21" s="10">
        <v>3.2000000000000001E-2</v>
      </c>
      <c r="N21" s="10">
        <v>1.4999999999999999E-2</v>
      </c>
      <c r="O21" s="10">
        <v>8.0000000000000002E-3</v>
      </c>
      <c r="P21" s="10">
        <v>0.123</v>
      </c>
      <c r="Q21" s="10">
        <v>1.9E-2</v>
      </c>
      <c r="R21" s="10">
        <v>0.65800000000000003</v>
      </c>
      <c r="S21" s="10">
        <v>4.5999999999999999E-2</v>
      </c>
      <c r="T21" s="11">
        <v>13.9</v>
      </c>
      <c r="U21" s="39">
        <v>0.27</v>
      </c>
      <c r="V21" s="39">
        <v>0.10100000000000001</v>
      </c>
      <c r="W21" s="40">
        <v>0.49990000000000001</v>
      </c>
      <c r="X21" s="41">
        <v>26643</v>
      </c>
      <c r="Y21" s="41">
        <v>40737</v>
      </c>
      <c r="Z21" s="39">
        <v>0.23899999999999999</v>
      </c>
    </row>
    <row r="22" spans="1:26" x14ac:dyDescent="0.35">
      <c r="A22" s="2" t="s">
        <v>36</v>
      </c>
      <c r="B22" s="7">
        <v>244</v>
      </c>
      <c r="C22" s="7">
        <v>289</v>
      </c>
      <c r="D22" s="7">
        <v>222</v>
      </c>
      <c r="E22" s="7">
        <v>270</v>
      </c>
      <c r="F22" s="8">
        <f t="shared" si="0"/>
        <v>1025</v>
      </c>
      <c r="G22" s="4">
        <f t="shared" si="1"/>
        <v>15</v>
      </c>
      <c r="H22" s="9">
        <v>11977</v>
      </c>
      <c r="I22" s="4">
        <f t="shared" si="2"/>
        <v>15</v>
      </c>
      <c r="J22" s="53">
        <f>Table3[[#This Row],[PPF]]/Table3[[#This Row],[Total]]</f>
        <v>11.684878048780488</v>
      </c>
      <c r="K22" s="10">
        <v>0.93400000000000005</v>
      </c>
      <c r="L22" s="10">
        <v>2.9000000000000001E-2</v>
      </c>
      <c r="M22" s="10">
        <v>1.2E-2</v>
      </c>
      <c r="N22" s="10">
        <v>1.7000000000000001E-2</v>
      </c>
      <c r="O22" s="10">
        <v>7.0000000000000001E-3</v>
      </c>
      <c r="P22" s="10">
        <v>0.158</v>
      </c>
      <c r="Q22" s="12">
        <v>2.4E-2</v>
      </c>
      <c r="R22" s="10">
        <v>0.41599999999999998</v>
      </c>
      <c r="S22" s="10">
        <f>0/675%</f>
        <v>0</v>
      </c>
      <c r="T22" s="11">
        <v>11.6</v>
      </c>
      <c r="U22" s="39">
        <v>0.36799999999999999</v>
      </c>
      <c r="V22" s="39">
        <v>0.1</v>
      </c>
      <c r="W22" s="40">
        <v>0.26269999999999999</v>
      </c>
      <c r="X22" s="41">
        <v>37125</v>
      </c>
      <c r="Y22" s="41">
        <v>54333</v>
      </c>
      <c r="Z22" s="39">
        <v>0.32</v>
      </c>
    </row>
    <row r="23" spans="1:26" x14ac:dyDescent="0.35">
      <c r="A23" s="2" t="s">
        <v>37</v>
      </c>
      <c r="B23" s="7">
        <v>247</v>
      </c>
      <c r="C23" s="7">
        <v>288</v>
      </c>
      <c r="D23" s="7">
        <v>231</v>
      </c>
      <c r="E23" s="7">
        <v>271</v>
      </c>
      <c r="F23" s="8">
        <f t="shared" si="0"/>
        <v>1037</v>
      </c>
      <c r="G23" s="4">
        <f t="shared" si="1"/>
        <v>5</v>
      </c>
      <c r="H23" s="9">
        <v>13706</v>
      </c>
      <c r="I23" s="4">
        <f t="shared" si="2"/>
        <v>10</v>
      </c>
      <c r="J23" s="53">
        <f>Table3[[#This Row],[PPF]]/Table3[[#This Row],[Total]]</f>
        <v>13.216972034715525</v>
      </c>
      <c r="K23" s="10">
        <v>0.45500000000000002</v>
      </c>
      <c r="L23" s="10">
        <v>0.379</v>
      </c>
      <c r="M23" s="10">
        <v>0.1</v>
      </c>
      <c r="N23" s="10">
        <v>6.0999999999999999E-2</v>
      </c>
      <c r="O23" s="10">
        <v>4.0000000000000001E-3</v>
      </c>
      <c r="P23" s="10">
        <v>0.121</v>
      </c>
      <c r="Q23" s="12">
        <v>5.0999999999999997E-2</v>
      </c>
      <c r="R23" s="10">
        <v>0.38300000000000001</v>
      </c>
      <c r="S23" s="10">
        <v>2.9000000000000001E-2</v>
      </c>
      <c r="T23" s="11">
        <v>14.5</v>
      </c>
      <c r="U23" s="39">
        <v>0.439</v>
      </c>
      <c r="V23" s="39">
        <v>0.1</v>
      </c>
      <c r="W23" s="40">
        <v>0.25719999999999998</v>
      </c>
      <c r="X23" s="41">
        <v>35421</v>
      </c>
      <c r="Y23" s="41">
        <v>56369</v>
      </c>
      <c r="Z23" s="39">
        <v>0.35</v>
      </c>
    </row>
    <row r="24" spans="1:26" x14ac:dyDescent="0.35">
      <c r="A24" s="2" t="s">
        <v>38</v>
      </c>
      <c r="B24" s="7">
        <v>253</v>
      </c>
      <c r="C24" s="7">
        <v>299</v>
      </c>
      <c r="D24" s="7">
        <v>237</v>
      </c>
      <c r="E24" s="7">
        <v>275</v>
      </c>
      <c r="F24" s="8">
        <f t="shared" si="0"/>
        <v>1064</v>
      </c>
      <c r="G24" s="4">
        <f t="shared" si="1"/>
        <v>1</v>
      </c>
      <c r="H24" s="9">
        <v>14478</v>
      </c>
      <c r="I24" s="4">
        <f t="shared" si="2"/>
        <v>9</v>
      </c>
      <c r="J24" s="53">
        <f>Table3[[#This Row],[PPF]]/Table3[[#This Row],[Total]]</f>
        <v>13.607142857142858</v>
      </c>
      <c r="K24" s="10">
        <v>0.69099999999999995</v>
      </c>
      <c r="L24" s="10">
        <v>8.2000000000000003E-2</v>
      </c>
      <c r="M24" s="10">
        <v>0.14799999999999999</v>
      </c>
      <c r="N24" s="10">
        <v>5.3999999999999999E-2</v>
      </c>
      <c r="O24" s="10">
        <v>3.0000000000000001E-3</v>
      </c>
      <c r="P24" s="10">
        <v>0.17499999999999999</v>
      </c>
      <c r="Q24" s="10">
        <v>5.3999999999999999E-2</v>
      </c>
      <c r="R24" s="10">
        <v>0.32900000000000001</v>
      </c>
      <c r="S24" s="10">
        <v>3.3000000000000002E-2</v>
      </c>
      <c r="T24" s="11">
        <v>13.7</v>
      </c>
      <c r="U24" s="39">
        <v>0.496</v>
      </c>
      <c r="V24" s="39">
        <v>9.7000000000000003E-2</v>
      </c>
      <c r="W24" s="40">
        <v>0.3372</v>
      </c>
      <c r="X24" s="41">
        <v>35557</v>
      </c>
      <c r="Y24" s="41">
        <v>54739</v>
      </c>
      <c r="Z24" s="39">
        <v>0.16900000000000001</v>
      </c>
    </row>
    <row r="25" spans="1:26" x14ac:dyDescent="0.35">
      <c r="A25" s="2" t="s">
        <v>39</v>
      </c>
      <c r="B25" s="7">
        <v>236</v>
      </c>
      <c r="C25" s="7">
        <v>280</v>
      </c>
      <c r="D25" s="7">
        <v>219</v>
      </c>
      <c r="E25" s="7">
        <v>265</v>
      </c>
      <c r="F25" s="8">
        <f t="shared" si="0"/>
        <v>1000</v>
      </c>
      <c r="G25" s="4">
        <f t="shared" si="1"/>
        <v>34</v>
      </c>
      <c r="H25" s="9">
        <v>10171</v>
      </c>
      <c r="I25" s="4">
        <f t="shared" si="2"/>
        <v>25</v>
      </c>
      <c r="J25" s="53">
        <f>Table3[[#This Row],[PPF]]/Table3[[#This Row],[Total]]</f>
        <v>10.170999999999999</v>
      </c>
      <c r="K25" s="10">
        <v>0.71099999999999997</v>
      </c>
      <c r="L25" s="10">
        <v>0.20300000000000001</v>
      </c>
      <c r="M25" s="10">
        <v>4.9000000000000002E-2</v>
      </c>
      <c r="N25" s="10">
        <v>2.7E-2</v>
      </c>
      <c r="O25" s="10">
        <v>8.9999999999999993E-3</v>
      </c>
      <c r="P25" s="10">
        <v>0.13900000000000001</v>
      </c>
      <c r="Q25" s="10">
        <v>3.5999999999999997E-2</v>
      </c>
      <c r="R25" s="10">
        <v>0.45900000000000002</v>
      </c>
      <c r="S25" s="10">
        <v>7.0000000000000007E-2</v>
      </c>
      <c r="T25" s="11">
        <v>17.8</v>
      </c>
      <c r="U25" s="39">
        <v>0.35599999999999998</v>
      </c>
      <c r="V25" s="39">
        <v>0.10299999999999999</v>
      </c>
      <c r="W25" s="40">
        <v>0.34799999999999998</v>
      </c>
      <c r="X25" s="41">
        <v>31532</v>
      </c>
      <c r="Y25" s="41">
        <v>48489</v>
      </c>
      <c r="Z25" s="39">
        <v>0.313</v>
      </c>
    </row>
    <row r="26" spans="1:26" x14ac:dyDescent="0.35">
      <c r="A26" s="2" t="s">
        <v>40</v>
      </c>
      <c r="B26" s="7">
        <v>249</v>
      </c>
      <c r="C26" s="7">
        <v>295</v>
      </c>
      <c r="D26" s="7">
        <v>222</v>
      </c>
      <c r="E26" s="7">
        <v>270</v>
      </c>
      <c r="F26" s="8">
        <f t="shared" si="0"/>
        <v>1036</v>
      </c>
      <c r="G26" s="4">
        <f t="shared" si="1"/>
        <v>6</v>
      </c>
      <c r="H26" s="9">
        <v>11067</v>
      </c>
      <c r="I26" s="4">
        <f t="shared" si="2"/>
        <v>18</v>
      </c>
      <c r="J26" s="53">
        <f>Table3[[#This Row],[PPF]]/Table3[[#This Row],[Total]]</f>
        <v>10.682432432432432</v>
      </c>
      <c r="K26" s="10">
        <v>0.75</v>
      </c>
      <c r="L26" s="10">
        <v>9.7000000000000003E-2</v>
      </c>
      <c r="M26" s="10">
        <v>6.7000000000000004E-2</v>
      </c>
      <c r="N26" s="10">
        <v>6.3E-2</v>
      </c>
      <c r="O26" s="10">
        <v>2.1999999999999999E-2</v>
      </c>
      <c r="P26" s="10">
        <v>0.14499999999999999</v>
      </c>
      <c r="Q26" s="10">
        <v>7.2999999999999995E-2</v>
      </c>
      <c r="R26" s="10">
        <v>0.35499999999999998</v>
      </c>
      <c r="S26" s="10">
        <v>7.2999999999999995E-2</v>
      </c>
      <c r="T26" s="11">
        <v>15.8</v>
      </c>
      <c r="U26" s="39">
        <v>0.45</v>
      </c>
      <c r="V26" s="39">
        <v>8.6999999999999994E-2</v>
      </c>
      <c r="W26" s="40">
        <v>7.7200000000000005E-2</v>
      </c>
      <c r="X26" s="41">
        <v>28200</v>
      </c>
      <c r="Y26" s="41">
        <v>40576</v>
      </c>
      <c r="Z26" s="39">
        <v>0.46500000000000002</v>
      </c>
    </row>
    <row r="27" spans="1:26" x14ac:dyDescent="0.35">
      <c r="A27" s="2" t="s">
        <v>41</v>
      </c>
      <c r="B27" s="7">
        <v>230</v>
      </c>
      <c r="C27" s="7">
        <v>269</v>
      </c>
      <c r="D27" s="7">
        <v>209</v>
      </c>
      <c r="E27" s="7">
        <v>254</v>
      </c>
      <c r="F27" s="8">
        <f t="shared" si="0"/>
        <v>962</v>
      </c>
      <c r="G27" s="4">
        <f t="shared" si="1"/>
        <v>50</v>
      </c>
      <c r="H27" s="9">
        <v>8028</v>
      </c>
      <c r="I27" s="4">
        <f t="shared" si="2"/>
        <v>47</v>
      </c>
      <c r="J27" s="53">
        <f>Table3[[#This Row],[PPF]]/Table3[[#This Row],[Total]]</f>
        <v>8.3451143451143448</v>
      </c>
      <c r="K27" s="10">
        <v>0.46100000000000002</v>
      </c>
      <c r="L27" s="10">
        <v>0.501</v>
      </c>
      <c r="M27" s="10">
        <v>2.1999999999999999E-2</v>
      </c>
      <c r="N27" s="10">
        <v>8.9999999999999993E-3</v>
      </c>
      <c r="O27" s="10">
        <v>2E-3</v>
      </c>
      <c r="P27" s="12">
        <v>0.129</v>
      </c>
      <c r="Q27" s="10">
        <v>1.2E-2</v>
      </c>
      <c r="R27" s="10">
        <v>0.70699999999999996</v>
      </c>
      <c r="S27" s="10">
        <f>1/1089</f>
        <v>9.1827364554637281E-4</v>
      </c>
      <c r="T27" s="11">
        <v>14.9</v>
      </c>
      <c r="U27" s="39">
        <v>0.29299999999999998</v>
      </c>
      <c r="V27" s="39">
        <v>0.09</v>
      </c>
      <c r="W27" s="40">
        <v>0.20019999999999999</v>
      </c>
      <c r="X27" s="41">
        <v>29281</v>
      </c>
      <c r="Y27" s="41">
        <v>40462</v>
      </c>
      <c r="Z27" s="39">
        <v>0.252</v>
      </c>
    </row>
    <row r="28" spans="1:26" x14ac:dyDescent="0.35">
      <c r="A28" s="2" t="s">
        <v>42</v>
      </c>
      <c r="B28" s="7">
        <v>240</v>
      </c>
      <c r="C28" s="7">
        <v>282</v>
      </c>
      <c r="D28" s="7">
        <v>220</v>
      </c>
      <c r="E28" s="7">
        <v>267</v>
      </c>
      <c r="F28" s="8">
        <f t="shared" si="0"/>
        <v>1009</v>
      </c>
      <c r="G28" s="4">
        <f t="shared" si="1"/>
        <v>30</v>
      </c>
      <c r="H28" s="9">
        <v>9868</v>
      </c>
      <c r="I28" s="4">
        <f t="shared" si="2"/>
        <v>28</v>
      </c>
      <c r="J28" s="53">
        <f>Table3[[#This Row],[PPF]]/Table3[[#This Row],[Total]]</f>
        <v>9.7799801783944496</v>
      </c>
      <c r="K28" s="10">
        <v>0.75700000000000001</v>
      </c>
      <c r="L28" s="10">
        <v>0.17799999999999999</v>
      </c>
      <c r="M28" s="10">
        <v>4.1000000000000002E-2</v>
      </c>
      <c r="N28" s="10">
        <v>0.02</v>
      </c>
      <c r="O28" s="10">
        <v>5.0000000000000001E-3</v>
      </c>
      <c r="P28" s="10">
        <v>0.14199999999999999</v>
      </c>
      <c r="Q28" s="10">
        <v>2.1999999999999999E-2</v>
      </c>
      <c r="R28" s="10">
        <v>0.438</v>
      </c>
      <c r="S28" s="10">
        <v>0.02</v>
      </c>
      <c r="T28" s="11">
        <v>13.5</v>
      </c>
      <c r="U28" s="39">
        <v>0.34899999999999998</v>
      </c>
      <c r="V28" s="39">
        <v>8.6999999999999994E-2</v>
      </c>
      <c r="W28" s="40">
        <v>0.54890000000000005</v>
      </c>
      <c r="X28" s="41">
        <v>25318</v>
      </c>
      <c r="Y28" s="41">
        <v>39832</v>
      </c>
      <c r="Z28" s="39">
        <v>0.35599999999999998</v>
      </c>
    </row>
    <row r="29" spans="1:26" x14ac:dyDescent="0.35">
      <c r="A29" s="2" t="s">
        <v>43</v>
      </c>
      <c r="B29" s="7">
        <v>244</v>
      </c>
      <c r="C29" s="7">
        <v>293</v>
      </c>
      <c r="D29" s="7">
        <v>225</v>
      </c>
      <c r="E29" s="7">
        <v>273</v>
      </c>
      <c r="F29" s="8">
        <f t="shared" si="0"/>
        <v>1035</v>
      </c>
      <c r="G29" s="4">
        <f t="shared" si="1"/>
        <v>7</v>
      </c>
      <c r="H29" s="9">
        <v>10092</v>
      </c>
      <c r="I29" s="4">
        <f t="shared" si="2"/>
        <v>26</v>
      </c>
      <c r="J29" s="53">
        <f>Table3[[#This Row],[PPF]]/Table3[[#This Row],[Total]]</f>
        <v>9.7507246376811594</v>
      </c>
      <c r="K29" s="10">
        <v>0.83099999999999996</v>
      </c>
      <c r="L29" s="10">
        <v>1.0999999999999999E-2</v>
      </c>
      <c r="M29" s="10">
        <v>2.8000000000000001E-2</v>
      </c>
      <c r="N29" s="10">
        <v>1.2E-2</v>
      </c>
      <c r="O29" s="10">
        <v>0.11799999999999999</v>
      </c>
      <c r="P29" s="10">
        <v>0.121</v>
      </c>
      <c r="Q29" s="10">
        <v>2.7E-2</v>
      </c>
      <c r="R29" s="10">
        <v>0.39600000000000002</v>
      </c>
      <c r="S29" s="10">
        <v>0</v>
      </c>
      <c r="T29" s="11">
        <v>13.5</v>
      </c>
      <c r="U29" s="39">
        <v>0.376</v>
      </c>
      <c r="V29" s="39">
        <v>9.8000000000000004E-2</v>
      </c>
      <c r="W29" s="40">
        <v>0.23180000000000001</v>
      </c>
      <c r="X29" s="41">
        <v>29303</v>
      </c>
      <c r="Y29" s="41">
        <v>40382</v>
      </c>
      <c r="Z29" s="39">
        <v>0.28199999999999997</v>
      </c>
    </row>
    <row r="30" spans="1:26" x14ac:dyDescent="0.35">
      <c r="A30" s="2" t="s">
        <v>44</v>
      </c>
      <c r="B30" s="7">
        <v>240</v>
      </c>
      <c r="C30" s="7">
        <v>283</v>
      </c>
      <c r="D30" s="7">
        <v>223</v>
      </c>
      <c r="E30" s="7">
        <v>268</v>
      </c>
      <c r="F30" s="8">
        <f t="shared" si="0"/>
        <v>1014</v>
      </c>
      <c r="G30" s="4">
        <f t="shared" si="1"/>
        <v>24</v>
      </c>
      <c r="H30" s="9">
        <v>10860</v>
      </c>
      <c r="I30" s="4">
        <f t="shared" si="2"/>
        <v>20</v>
      </c>
      <c r="J30" s="53">
        <f>Table3[[#This Row],[PPF]]/Table3[[#This Row],[Total]]</f>
        <v>10.710059171597633</v>
      </c>
      <c r="K30" s="10">
        <v>0.73799999999999999</v>
      </c>
      <c r="L30" s="10">
        <v>0.08</v>
      </c>
      <c r="M30" s="10">
        <v>0.14299999999999999</v>
      </c>
      <c r="N30" s="10">
        <v>2.1999999999999999E-2</v>
      </c>
      <c r="O30" s="10">
        <v>1.7000000000000001E-2</v>
      </c>
      <c r="P30" s="10">
        <v>0.14699999999999999</v>
      </c>
      <c r="Q30" s="10">
        <v>6.5000000000000002E-2</v>
      </c>
      <c r="R30" s="10">
        <v>0.41299999999999998</v>
      </c>
      <c r="S30" s="10">
        <f>0/1158</f>
        <v>0</v>
      </c>
      <c r="T30" s="11">
        <v>13.3</v>
      </c>
      <c r="U30" s="39">
        <v>0.40500000000000003</v>
      </c>
      <c r="V30" s="39">
        <v>7.4999999999999997E-2</v>
      </c>
      <c r="W30" s="40">
        <v>0.61529999999999996</v>
      </c>
      <c r="X30" s="41">
        <v>27957</v>
      </c>
      <c r="Y30" s="41">
        <v>44426</v>
      </c>
      <c r="Z30" s="39">
        <v>0.22800000000000001</v>
      </c>
    </row>
    <row r="31" spans="1:26" x14ac:dyDescent="0.35">
      <c r="A31" s="2" t="s">
        <v>45</v>
      </c>
      <c r="B31" s="7">
        <v>237</v>
      </c>
      <c r="C31" s="7">
        <v>278</v>
      </c>
      <c r="D31" s="7">
        <v>213</v>
      </c>
      <c r="E31" s="7">
        <v>258</v>
      </c>
      <c r="F31" s="8">
        <f t="shared" si="0"/>
        <v>986</v>
      </c>
      <c r="G31" s="4">
        <f t="shared" si="1"/>
        <v>42</v>
      </c>
      <c r="H31" s="9">
        <v>8398</v>
      </c>
      <c r="I31" s="4">
        <f t="shared" si="2"/>
        <v>45</v>
      </c>
      <c r="J31" s="53">
        <f>Table3[[#This Row],[PPF]]/Table3[[#This Row],[Total]]</f>
        <v>8.5172413793103452</v>
      </c>
      <c r="K31" s="10">
        <v>0.41399999999999998</v>
      </c>
      <c r="L31" s="10">
        <v>0.114</v>
      </c>
      <c r="M31" s="10">
        <v>0.375</v>
      </c>
      <c r="N31" s="10">
        <v>8.2000000000000003E-2</v>
      </c>
      <c r="O31" s="10">
        <v>1.4999999999999999E-2</v>
      </c>
      <c r="P31" s="10">
        <v>0.112</v>
      </c>
      <c r="Q31" s="10">
        <v>0.158</v>
      </c>
      <c r="R31" s="10">
        <v>0.42399999999999999</v>
      </c>
      <c r="S31" s="10">
        <v>5.3999999999999999E-2</v>
      </c>
      <c r="T31" s="11">
        <v>19.399999999999999</v>
      </c>
      <c r="U31" s="39">
        <v>0.30099999999999999</v>
      </c>
      <c r="V31" s="39">
        <v>0.08</v>
      </c>
      <c r="W31" s="40">
        <v>0.4914</v>
      </c>
      <c r="X31" s="41">
        <v>28279</v>
      </c>
      <c r="Y31" s="41">
        <v>45263</v>
      </c>
      <c r="Z31" s="39">
        <v>0.26500000000000001</v>
      </c>
    </row>
    <row r="32" spans="1:26" x14ac:dyDescent="0.35">
      <c r="A32" s="2" t="s">
        <v>46</v>
      </c>
      <c r="B32" s="7">
        <v>252</v>
      </c>
      <c r="C32" s="7">
        <v>292</v>
      </c>
      <c r="D32" s="7">
        <v>230</v>
      </c>
      <c r="E32" s="7">
        <v>272</v>
      </c>
      <c r="F32" s="8">
        <f t="shared" si="0"/>
        <v>1046</v>
      </c>
      <c r="G32" s="4">
        <f t="shared" si="1"/>
        <v>3</v>
      </c>
      <c r="H32" s="9">
        <v>12405</v>
      </c>
      <c r="I32" s="4">
        <f t="shared" si="2"/>
        <v>11</v>
      </c>
      <c r="J32" s="53">
        <f>Table3[[#This Row],[PPF]]/Table3[[#This Row],[Total]]</f>
        <v>11.859464627151052</v>
      </c>
      <c r="K32" s="10">
        <v>0.90800000000000003</v>
      </c>
      <c r="L32" s="10">
        <v>0.02</v>
      </c>
      <c r="M32" s="10">
        <v>3.5000000000000003E-2</v>
      </c>
      <c r="N32" s="10">
        <v>2.5000000000000001E-2</v>
      </c>
      <c r="O32" s="10">
        <v>3.0000000000000001E-3</v>
      </c>
      <c r="P32" s="10">
        <v>0.153</v>
      </c>
      <c r="Q32" s="10">
        <v>1.9E-2</v>
      </c>
      <c r="R32" s="10">
        <v>0.23499999999999999</v>
      </c>
      <c r="S32" s="10">
        <f>15/497</f>
        <v>3.0181086519114688E-2</v>
      </c>
      <c r="T32" s="11">
        <v>12.7</v>
      </c>
      <c r="U32" s="39">
        <v>0.46</v>
      </c>
      <c r="V32" s="39">
        <v>0.122</v>
      </c>
      <c r="W32" s="40">
        <v>0.26790000000000003</v>
      </c>
      <c r="X32" s="41">
        <v>38408</v>
      </c>
      <c r="Y32" s="41">
        <v>58156</v>
      </c>
      <c r="Z32" s="39">
        <v>0.193</v>
      </c>
    </row>
    <row r="33" spans="1:26" x14ac:dyDescent="0.35">
      <c r="A33" s="2" t="s">
        <v>47</v>
      </c>
      <c r="B33" s="7">
        <v>248</v>
      </c>
      <c r="C33" s="7">
        <v>294</v>
      </c>
      <c r="D33" s="7">
        <v>231</v>
      </c>
      <c r="E33" s="62">
        <v>275</v>
      </c>
      <c r="F33" s="8">
        <f t="shared" si="0"/>
        <v>1048</v>
      </c>
      <c r="G33" s="4">
        <f t="shared" si="1"/>
        <v>2</v>
      </c>
      <c r="H33" s="9">
        <v>17064</v>
      </c>
      <c r="I33" s="4">
        <f t="shared" si="2"/>
        <v>3</v>
      </c>
      <c r="J33" s="53">
        <f>Table3[[#This Row],[PPF]]/Table3[[#This Row],[Total]]</f>
        <v>16.282442748091604</v>
      </c>
      <c r="K33" s="10">
        <v>0.53</v>
      </c>
      <c r="L33" s="10">
        <v>0.17100000000000001</v>
      </c>
      <c r="M33" s="10">
        <v>0.20599999999999999</v>
      </c>
      <c r="N33" s="10">
        <v>8.5999999999999993E-2</v>
      </c>
      <c r="O33" s="10">
        <v>2E-3</v>
      </c>
      <c r="P33" s="10">
        <v>0.16400000000000001</v>
      </c>
      <c r="Q33" s="10">
        <v>0.04</v>
      </c>
      <c r="R33" s="10">
        <v>0.32100000000000001</v>
      </c>
      <c r="S33" s="10">
        <v>3.1E-2</v>
      </c>
      <c r="T33" s="11">
        <v>12.1</v>
      </c>
      <c r="U33" s="39">
        <v>0.44600000000000001</v>
      </c>
      <c r="V33" s="39">
        <v>8.4000000000000005E-2</v>
      </c>
      <c r="W33" s="40">
        <v>0.43409999999999999</v>
      </c>
      <c r="X33" s="41">
        <v>33730</v>
      </c>
      <c r="Y33" s="41">
        <v>41637</v>
      </c>
      <c r="Z33" s="39">
        <v>0.432</v>
      </c>
    </row>
    <row r="34" spans="1:26" x14ac:dyDescent="0.35">
      <c r="A34" s="2" t="s">
        <v>48</v>
      </c>
      <c r="B34" s="7">
        <v>233</v>
      </c>
      <c r="C34" s="7">
        <v>274</v>
      </c>
      <c r="D34" s="7">
        <v>208</v>
      </c>
      <c r="E34" s="7">
        <v>256</v>
      </c>
      <c r="F34" s="8">
        <f t="shared" si="0"/>
        <v>971</v>
      </c>
      <c r="G34" s="4">
        <f t="shared" si="1"/>
        <v>48</v>
      </c>
      <c r="H34" s="9">
        <v>9683</v>
      </c>
      <c r="I34" s="4">
        <f t="shared" si="2"/>
        <v>32</v>
      </c>
      <c r="J34" s="53">
        <f>Table3[[#This Row],[PPF]]/Table3[[#This Row],[Total]]</f>
        <v>9.9721936148300721</v>
      </c>
      <c r="K34" s="10">
        <v>0.255</v>
      </c>
      <c r="L34" s="10">
        <v>2.1000000000000001E-2</v>
      </c>
      <c r="M34" s="10">
        <v>0.59899999999999998</v>
      </c>
      <c r="N34" s="10">
        <v>1.2999999999999999E-2</v>
      </c>
      <c r="O34" s="10">
        <v>0.104</v>
      </c>
      <c r="P34" s="10">
        <v>0.13700000000000001</v>
      </c>
      <c r="Q34" s="12">
        <v>0.154</v>
      </c>
      <c r="R34" s="10">
        <v>0.65600000000000003</v>
      </c>
      <c r="S34" s="10">
        <v>8.4000000000000005E-2</v>
      </c>
      <c r="T34" s="11">
        <v>14.7</v>
      </c>
      <c r="U34" s="39">
        <v>0.33400000000000002</v>
      </c>
      <c r="V34" s="67">
        <v>0.121</v>
      </c>
      <c r="W34" s="68">
        <v>0.23150000000000001</v>
      </c>
      <c r="X34" s="69">
        <v>37321</v>
      </c>
      <c r="Y34" s="69">
        <v>57354</v>
      </c>
      <c r="Z34" s="67">
        <v>0.192</v>
      </c>
    </row>
    <row r="35" spans="1:26" x14ac:dyDescent="0.35">
      <c r="A35" s="61" t="s">
        <v>49</v>
      </c>
      <c r="B35" s="62">
        <v>238</v>
      </c>
      <c r="C35" s="62">
        <v>280</v>
      </c>
      <c r="D35" s="62">
        <v>222</v>
      </c>
      <c r="E35" s="62">
        <v>266</v>
      </c>
      <c r="F35" s="8">
        <f t="shared" ref="F35:F53" si="3">SUM(B35:E35)</f>
        <v>1006</v>
      </c>
      <c r="G35" s="4">
        <f t="shared" ref="G35:G53" si="4">RANK(F35,F$3:F$53)</f>
        <v>32</v>
      </c>
      <c r="H35" s="63">
        <v>17586</v>
      </c>
      <c r="I35" s="4">
        <f t="shared" si="2"/>
        <v>1</v>
      </c>
      <c r="J35" s="73">
        <f>Table3[[#This Row],[PPF]]/Table3[[#This Row],[Total]]</f>
        <v>17.481113320079523</v>
      </c>
      <c r="K35" s="64">
        <v>0.50800000000000001</v>
      </c>
      <c r="L35" s="64">
        <v>0.191</v>
      </c>
      <c r="M35" s="64">
        <v>0.217</v>
      </c>
      <c r="N35" s="64">
        <v>0.08</v>
      </c>
      <c r="O35" s="64">
        <v>5.0000000000000001E-3</v>
      </c>
      <c r="P35" s="64">
        <v>0.16600000000000001</v>
      </c>
      <c r="Q35" s="64">
        <v>7.2999999999999995E-2</v>
      </c>
      <c r="R35" s="64">
        <v>0.20599999999999999</v>
      </c>
      <c r="S35" s="64">
        <v>2.9000000000000001E-2</v>
      </c>
      <c r="T35" s="65">
        <v>12.9</v>
      </c>
      <c r="U35" s="67">
        <v>0.437</v>
      </c>
      <c r="V35" s="39">
        <v>9.8000000000000004E-2</v>
      </c>
      <c r="W35" s="40">
        <v>0.2006</v>
      </c>
      <c r="X35" s="41">
        <v>27944</v>
      </c>
      <c r="Y35" s="41">
        <v>43922</v>
      </c>
      <c r="Z35" s="39">
        <v>0.44400000000000001</v>
      </c>
    </row>
    <row r="36" spans="1:26" x14ac:dyDescent="0.35">
      <c r="A36" s="2" t="s">
        <v>50</v>
      </c>
      <c r="B36" s="7">
        <v>245</v>
      </c>
      <c r="C36" s="7">
        <v>286</v>
      </c>
      <c r="D36" s="7">
        <v>221</v>
      </c>
      <c r="E36" s="7">
        <v>263</v>
      </c>
      <c r="F36" s="8">
        <f t="shared" si="3"/>
        <v>1015</v>
      </c>
      <c r="G36" s="4">
        <f t="shared" si="4"/>
        <v>22</v>
      </c>
      <c r="H36" s="9">
        <v>8468</v>
      </c>
      <c r="I36" s="4">
        <f t="shared" si="2"/>
        <v>44</v>
      </c>
      <c r="J36" s="53">
        <f>Table3[[#This Row],[PPF]]/Table3[[#This Row],[Total]]</f>
        <v>8.3428571428571434</v>
      </c>
      <c r="K36" s="10">
        <v>0.53900000000000003</v>
      </c>
      <c r="L36" s="10">
        <v>0.31</v>
      </c>
      <c r="M36" s="10">
        <v>0.111</v>
      </c>
      <c r="N36" s="10">
        <v>2.5999999999999999E-2</v>
      </c>
      <c r="O36" s="10">
        <v>1.4E-2</v>
      </c>
      <c r="P36" s="10">
        <v>0.124</v>
      </c>
      <c r="Q36" s="10">
        <v>7.1999999999999995E-2</v>
      </c>
      <c r="R36" s="10">
        <v>0.48799999999999999</v>
      </c>
      <c r="S36" s="10">
        <f>96/2583</f>
        <v>3.7166085946573751E-2</v>
      </c>
      <c r="T36" s="11">
        <v>14.1</v>
      </c>
      <c r="U36" s="39">
        <v>0.36899999999999999</v>
      </c>
      <c r="V36" s="39">
        <v>9.5000000000000001E-2</v>
      </c>
      <c r="W36" s="40">
        <v>0.1615</v>
      </c>
      <c r="X36" s="41">
        <v>24872</v>
      </c>
      <c r="Y36" s="41">
        <v>37764</v>
      </c>
      <c r="Z36" s="39">
        <v>0.4</v>
      </c>
    </row>
    <row r="37" spans="1:26" x14ac:dyDescent="0.35">
      <c r="A37" s="2" t="s">
        <v>51</v>
      </c>
      <c r="B37" s="7">
        <v>245</v>
      </c>
      <c r="C37" s="7">
        <v>292</v>
      </c>
      <c r="D37" s="7">
        <v>226</v>
      </c>
      <c r="E37" s="7">
        <v>269</v>
      </c>
      <c r="F37" s="8">
        <f t="shared" si="3"/>
        <v>1032</v>
      </c>
      <c r="G37" s="4">
        <f t="shared" si="4"/>
        <v>8</v>
      </c>
      <c r="H37" s="9">
        <v>9767</v>
      </c>
      <c r="I37" s="4">
        <f t="shared" si="2"/>
        <v>30</v>
      </c>
      <c r="J37" s="53">
        <f>Table3[[#This Row],[PPF]]/Table3[[#This Row],[Total]]</f>
        <v>9.4641472868217047</v>
      </c>
      <c r="K37" s="10">
        <v>0.84499999999999997</v>
      </c>
      <c r="L37" s="10">
        <v>2.4E-2</v>
      </c>
      <c r="M37" s="10">
        <v>2.5000000000000001E-2</v>
      </c>
      <c r="N37" s="10">
        <v>1.2E-2</v>
      </c>
      <c r="O37" s="10">
        <v>9.4E-2</v>
      </c>
      <c r="P37" s="10">
        <v>0.14199999999999999</v>
      </c>
      <c r="Q37" s="10">
        <v>3.3000000000000002E-2</v>
      </c>
      <c r="R37" s="10">
        <v>0.33</v>
      </c>
      <c r="S37" s="10">
        <f>0/529</f>
        <v>0</v>
      </c>
      <c r="T37" s="11">
        <v>11.4</v>
      </c>
      <c r="U37" s="39">
        <v>0.45200000000000001</v>
      </c>
      <c r="V37" s="39">
        <v>9.7000000000000003E-2</v>
      </c>
      <c r="W37" s="40">
        <v>0.2334</v>
      </c>
      <c r="X37" s="41">
        <v>33671</v>
      </c>
      <c r="Y37" s="41">
        <v>50314</v>
      </c>
      <c r="Z37" s="39">
        <v>0.33</v>
      </c>
    </row>
    <row r="38" spans="1:26" x14ac:dyDescent="0.35">
      <c r="A38" s="2" t="s">
        <v>52</v>
      </c>
      <c r="B38" s="7">
        <v>244</v>
      </c>
      <c r="C38" s="7">
        <v>289</v>
      </c>
      <c r="D38" s="7">
        <v>224</v>
      </c>
      <c r="E38" s="7">
        <v>268</v>
      </c>
      <c r="F38" s="8">
        <f t="shared" si="3"/>
        <v>1025</v>
      </c>
      <c r="G38" s="4">
        <f t="shared" si="4"/>
        <v>15</v>
      </c>
      <c r="H38" s="9">
        <v>10616</v>
      </c>
      <c r="I38" s="4">
        <f t="shared" si="2"/>
        <v>23</v>
      </c>
      <c r="J38" s="53">
        <f>Table3[[#This Row],[PPF]]/Table3[[#This Row],[Total]]</f>
        <v>10.357073170731708</v>
      </c>
      <c r="K38" s="10">
        <v>0.78100000000000003</v>
      </c>
      <c r="L38" s="10">
        <v>0.17</v>
      </c>
      <c r="M38" s="10">
        <v>0.03</v>
      </c>
      <c r="N38" s="10">
        <v>1.7000000000000001E-2</v>
      </c>
      <c r="O38" s="10">
        <v>1E-3</v>
      </c>
      <c r="P38" s="10">
        <v>0.14899999999999999</v>
      </c>
      <c r="Q38" s="10">
        <v>2.1000000000000001E-2</v>
      </c>
      <c r="R38" s="10">
        <v>0.40300000000000002</v>
      </c>
      <c r="S38" s="10">
        <v>8.6999999999999994E-2</v>
      </c>
      <c r="T38" s="11">
        <v>15.8</v>
      </c>
      <c r="U38" s="39">
        <v>0.34899999999999998</v>
      </c>
      <c r="V38" s="67">
        <v>8.6999999999999994E-2</v>
      </c>
      <c r="W38" s="68">
        <v>0.18440000000000001</v>
      </c>
      <c r="X38" s="69">
        <v>29174</v>
      </c>
      <c r="Y38" s="69">
        <v>38772</v>
      </c>
      <c r="Z38" s="67">
        <v>0.36499999999999999</v>
      </c>
    </row>
    <row r="39" spans="1:26" x14ac:dyDescent="0.35">
      <c r="A39" s="61" t="s">
        <v>53</v>
      </c>
      <c r="B39" s="62">
        <v>237</v>
      </c>
      <c r="C39" s="62">
        <v>279</v>
      </c>
      <c r="D39" s="62">
        <v>215</v>
      </c>
      <c r="E39" s="62">
        <v>260</v>
      </c>
      <c r="F39" s="8">
        <f t="shared" si="3"/>
        <v>991</v>
      </c>
      <c r="G39" s="4">
        <f t="shared" si="4"/>
        <v>39</v>
      </c>
      <c r="H39" s="63">
        <v>7915</v>
      </c>
      <c r="I39" s="4">
        <f t="shared" si="2"/>
        <v>49</v>
      </c>
      <c r="J39" s="73">
        <f>Table3[[#This Row],[PPF]]/Table3[[#This Row],[Total]]</f>
        <v>7.986881937436932</v>
      </c>
      <c r="K39" s="64">
        <v>0.56399999999999995</v>
      </c>
      <c r="L39" s="64">
        <v>0.11</v>
      </c>
      <c r="M39" s="64">
        <v>0.112</v>
      </c>
      <c r="N39" s="64">
        <v>2.1999999999999999E-2</v>
      </c>
      <c r="O39" s="64">
        <v>0.193</v>
      </c>
      <c r="P39" s="74">
        <v>0.14499999999999999</v>
      </c>
      <c r="Q39" s="74">
        <v>0.06</v>
      </c>
      <c r="R39" s="64">
        <v>0.58699999999999997</v>
      </c>
      <c r="S39" s="64">
        <v>0.01</v>
      </c>
      <c r="T39" s="65">
        <v>15.4</v>
      </c>
      <c r="U39" s="67">
        <v>0.313</v>
      </c>
      <c r="V39" s="39">
        <v>9.8000000000000004E-2</v>
      </c>
      <c r="W39" s="40">
        <v>0.60570000000000002</v>
      </c>
      <c r="X39" s="41">
        <v>33699</v>
      </c>
      <c r="Y39" s="41">
        <v>50044</v>
      </c>
      <c r="Z39" s="39">
        <v>0.26</v>
      </c>
    </row>
    <row r="40" spans="1:26" x14ac:dyDescent="0.35">
      <c r="A40" s="2" t="s">
        <v>54</v>
      </c>
      <c r="B40" s="7">
        <v>237</v>
      </c>
      <c r="C40" s="7">
        <v>283</v>
      </c>
      <c r="D40" s="7">
        <v>216</v>
      </c>
      <c r="E40" s="7">
        <v>264</v>
      </c>
      <c r="F40" s="8">
        <f t="shared" si="3"/>
        <v>1000</v>
      </c>
      <c r="G40" s="4">
        <f t="shared" si="4"/>
        <v>34</v>
      </c>
      <c r="H40" s="9">
        <v>9777</v>
      </c>
      <c r="I40" s="4">
        <f t="shared" si="2"/>
        <v>29</v>
      </c>
      <c r="J40" s="53">
        <f>Table3[[#This Row],[PPF]]/Table3[[#This Row],[Total]]</f>
        <v>9.7769999999999992</v>
      </c>
      <c r="K40" s="10">
        <v>0.7</v>
      </c>
      <c r="L40" s="10">
        <v>2.9000000000000001E-2</v>
      </c>
      <c r="M40" s="10">
        <v>0.20300000000000001</v>
      </c>
      <c r="N40" s="10">
        <v>4.8000000000000001E-2</v>
      </c>
      <c r="O40" s="10">
        <v>0.02</v>
      </c>
      <c r="P40" s="10">
        <v>0.14099999999999999</v>
      </c>
      <c r="Q40" s="10">
        <v>0.11</v>
      </c>
      <c r="R40" s="10">
        <v>0.49099999999999999</v>
      </c>
      <c r="S40" s="10">
        <v>7.6999999999999999E-2</v>
      </c>
      <c r="T40" s="11">
        <v>20.3</v>
      </c>
      <c r="U40" s="39">
        <v>0.38600000000000001</v>
      </c>
      <c r="V40" s="39">
        <v>0.10100000000000001</v>
      </c>
      <c r="W40" s="40">
        <v>0.25209999999999999</v>
      </c>
      <c r="X40" s="41">
        <v>34976</v>
      </c>
      <c r="Y40" s="41">
        <v>54027</v>
      </c>
      <c r="Z40" s="39">
        <v>0.17199999999999999</v>
      </c>
    </row>
    <row r="41" spans="1:26" x14ac:dyDescent="0.35">
      <c r="A41" s="2" t="s">
        <v>55</v>
      </c>
      <c r="B41" s="7">
        <v>246</v>
      </c>
      <c r="C41" s="7">
        <v>286</v>
      </c>
      <c r="D41" s="7">
        <v>227</v>
      </c>
      <c r="E41" s="7">
        <v>268</v>
      </c>
      <c r="F41" s="8">
        <f t="shared" si="3"/>
        <v>1027</v>
      </c>
      <c r="G41" s="4">
        <f t="shared" si="4"/>
        <v>11</v>
      </c>
      <c r="H41" s="9">
        <v>12115</v>
      </c>
      <c r="I41" s="4">
        <f t="shared" si="2"/>
        <v>14</v>
      </c>
      <c r="J41" s="53">
        <f>Table3[[#This Row],[PPF]]/Table3[[#This Row],[Total]]</f>
        <v>11.79649464459591</v>
      </c>
      <c r="K41" s="10">
        <v>0.73099999999999998</v>
      </c>
      <c r="L41" s="10">
        <v>0.158</v>
      </c>
      <c r="M41" s="10">
        <v>7.9000000000000001E-2</v>
      </c>
      <c r="N41" s="10">
        <v>3.1E-2</v>
      </c>
      <c r="O41" s="10">
        <v>2E-3</v>
      </c>
      <c r="P41" s="10">
        <v>0.16600000000000001</v>
      </c>
      <c r="Q41" s="10">
        <v>2.5999999999999999E-2</v>
      </c>
      <c r="R41" s="10">
        <v>0.376</v>
      </c>
      <c r="S41" s="10">
        <v>4.1000000000000002E-2</v>
      </c>
      <c r="T41" s="11">
        <v>13.6</v>
      </c>
      <c r="U41" s="39">
        <v>0.379</v>
      </c>
      <c r="V41" s="39">
        <v>0.107</v>
      </c>
      <c r="W41" s="40">
        <v>0.37190000000000001</v>
      </c>
      <c r="X41" s="41">
        <v>33815</v>
      </c>
      <c r="Y41" s="41">
        <v>54730</v>
      </c>
      <c r="Z41" s="39">
        <v>0.31</v>
      </c>
    </row>
    <row r="42" spans="1:26" x14ac:dyDescent="0.35">
      <c r="A42" s="2" t="s">
        <v>56</v>
      </c>
      <c r="B42" s="7">
        <v>242</v>
      </c>
      <c r="C42" s="7">
        <v>283</v>
      </c>
      <c r="D42" s="7">
        <v>222</v>
      </c>
      <c r="E42" s="7">
        <v>265</v>
      </c>
      <c r="F42" s="8">
        <f t="shared" si="3"/>
        <v>1012</v>
      </c>
      <c r="G42" s="4">
        <f t="shared" si="4"/>
        <v>28</v>
      </c>
      <c r="H42" s="9">
        <v>14491</v>
      </c>
      <c r="I42" s="4">
        <f t="shared" si="2"/>
        <v>8</v>
      </c>
      <c r="J42" s="53">
        <f>Table3[[#This Row],[PPF]]/Table3[[#This Row],[Total]]</f>
        <v>14.319169960474309</v>
      </c>
      <c r="K42" s="10">
        <v>0.68</v>
      </c>
      <c r="L42" s="10">
        <v>9.1999999999999998E-2</v>
      </c>
      <c r="M42" s="10">
        <v>0.186</v>
      </c>
      <c r="N42" s="10">
        <v>3.4000000000000002E-2</v>
      </c>
      <c r="O42" s="10">
        <v>8.9999999999999993E-3</v>
      </c>
      <c r="P42" s="10">
        <v>0.18099999999999999</v>
      </c>
      <c r="Q42" s="12">
        <v>4.7E-2</v>
      </c>
      <c r="R42" s="10">
        <v>0.41899999999999998</v>
      </c>
      <c r="S42" s="10">
        <f>12/332</f>
        <v>3.614457831325301E-2</v>
      </c>
      <c r="T42" s="11">
        <v>12.8</v>
      </c>
      <c r="U42" s="39">
        <v>0.41399999999999998</v>
      </c>
      <c r="V42" s="39">
        <v>8.1000000000000003E-2</v>
      </c>
      <c r="W42" s="40">
        <v>0.15190000000000001</v>
      </c>
      <c r="X42" s="41">
        <v>28568</v>
      </c>
      <c r="Y42" s="41">
        <v>43011</v>
      </c>
      <c r="Z42" s="39">
        <v>0.36</v>
      </c>
    </row>
    <row r="43" spans="1:26" x14ac:dyDescent="0.35">
      <c r="A43" s="2" t="s">
        <v>57</v>
      </c>
      <c r="B43" s="7">
        <v>237</v>
      </c>
      <c r="C43" s="7">
        <v>281</v>
      </c>
      <c r="D43" s="7">
        <v>215</v>
      </c>
      <c r="E43" s="7">
        <v>260</v>
      </c>
      <c r="F43" s="8">
        <f t="shared" si="3"/>
        <v>993</v>
      </c>
      <c r="G43" s="4">
        <f t="shared" si="4"/>
        <v>37</v>
      </c>
      <c r="H43" s="9">
        <v>9303</v>
      </c>
      <c r="I43" s="4">
        <f t="shared" si="2"/>
        <v>35</v>
      </c>
      <c r="J43" s="53">
        <f>Table3[[#This Row],[PPF]]/Table3[[#This Row],[Total]]</f>
        <v>9.3685800604229605</v>
      </c>
      <c r="K43" s="10">
        <v>0.53700000000000003</v>
      </c>
      <c r="L43" s="10">
        <v>0.38400000000000001</v>
      </c>
      <c r="M43" s="10">
        <v>5.8000000000000003E-2</v>
      </c>
      <c r="N43" s="10">
        <v>1.6E-2</v>
      </c>
      <c r="O43" s="10">
        <v>4.0000000000000001E-3</v>
      </c>
      <c r="P43" s="10">
        <v>0.14000000000000001</v>
      </c>
      <c r="Q43" s="10">
        <v>4.8000000000000001E-2</v>
      </c>
      <c r="R43" s="10">
        <v>0.54500000000000004</v>
      </c>
      <c r="S43" s="10">
        <v>3.4000000000000002E-2</v>
      </c>
      <c r="T43" s="11">
        <v>15.4</v>
      </c>
      <c r="U43" s="39">
        <v>0.34399999999999997</v>
      </c>
      <c r="V43" s="39">
        <v>7.5999999999999998E-2</v>
      </c>
      <c r="W43" s="40">
        <v>0.18629999999999999</v>
      </c>
      <c r="X43" s="41">
        <v>26111</v>
      </c>
      <c r="Y43" s="41">
        <v>34709</v>
      </c>
      <c r="Z43" s="39">
        <v>0.317</v>
      </c>
    </row>
    <row r="44" spans="1:26" x14ac:dyDescent="0.35">
      <c r="A44" s="2" t="s">
        <v>58</v>
      </c>
      <c r="B44" s="7">
        <v>241</v>
      </c>
      <c r="C44" s="7">
        <v>291</v>
      </c>
      <c r="D44" s="7">
        <v>220</v>
      </c>
      <c r="E44" s="7">
        <v>269</v>
      </c>
      <c r="F44" s="8">
        <f t="shared" si="3"/>
        <v>1021</v>
      </c>
      <c r="G44" s="4">
        <f t="shared" si="4"/>
        <v>18</v>
      </c>
      <c r="H44" s="9">
        <v>8881</v>
      </c>
      <c r="I44" s="4">
        <f t="shared" si="2"/>
        <v>39</v>
      </c>
      <c r="J44" s="53">
        <f>Table3[[#This Row],[PPF]]/Table3[[#This Row],[Total]]</f>
        <v>8.6983349657198819</v>
      </c>
      <c r="K44" s="10">
        <v>0.81299999999999994</v>
      </c>
      <c r="L44" s="10">
        <v>2.5999999999999999E-2</v>
      </c>
      <c r="M44" s="10">
        <v>2.8000000000000001E-2</v>
      </c>
      <c r="N44" s="10">
        <v>1.4E-2</v>
      </c>
      <c r="O44" s="10">
        <v>0.12</v>
      </c>
      <c r="P44" s="10">
        <v>0.14499999999999999</v>
      </c>
      <c r="Q44" s="10">
        <v>3.2000000000000001E-2</v>
      </c>
      <c r="R44" s="10">
        <v>0.371</v>
      </c>
      <c r="S44" s="10">
        <f>0/728</f>
        <v>0</v>
      </c>
      <c r="T44" s="11">
        <v>13.3</v>
      </c>
      <c r="U44" s="39">
        <v>0.39400000000000002</v>
      </c>
      <c r="V44" s="39">
        <v>7.5999999999999998E-2</v>
      </c>
      <c r="W44" s="40">
        <v>3.2199999999999999E-2</v>
      </c>
      <c r="X44" s="41">
        <v>32369</v>
      </c>
      <c r="Y44" s="41">
        <v>42537</v>
      </c>
      <c r="Z44" s="39">
        <v>0.28399999999999997</v>
      </c>
    </row>
    <row r="45" spans="1:26" x14ac:dyDescent="0.35">
      <c r="A45" s="2" t="s">
        <v>59</v>
      </c>
      <c r="B45" s="7">
        <v>233</v>
      </c>
      <c r="C45" s="7">
        <v>274</v>
      </c>
      <c r="D45" s="7">
        <v>215</v>
      </c>
      <c r="E45" s="62">
        <v>259</v>
      </c>
      <c r="F45" s="8">
        <f t="shared" si="3"/>
        <v>981</v>
      </c>
      <c r="G45" s="4">
        <f t="shared" si="4"/>
        <v>44</v>
      </c>
      <c r="H45" s="9">
        <v>8055</v>
      </c>
      <c r="I45" s="4">
        <f t="shared" si="2"/>
        <v>46</v>
      </c>
      <c r="J45" s="53">
        <f>Table3[[#This Row],[PPF]]/Table3[[#This Row],[Total]]</f>
        <v>8.2110091743119273</v>
      </c>
      <c r="K45" s="10">
        <v>0.68200000000000005</v>
      </c>
      <c r="L45" s="10">
        <v>0.24299999999999999</v>
      </c>
      <c r="M45" s="10">
        <v>5.5E-2</v>
      </c>
      <c r="N45" s="10">
        <v>1.7999999999999999E-2</v>
      </c>
      <c r="O45" s="10">
        <v>2E-3</v>
      </c>
      <c r="P45" s="10">
        <v>0.122</v>
      </c>
      <c r="Q45" s="10">
        <v>2.8000000000000001E-2</v>
      </c>
      <c r="R45" s="10">
        <v>0.53100000000000003</v>
      </c>
      <c r="S45" s="10">
        <v>1.0999999999999999E-2</v>
      </c>
      <c r="T45" s="11">
        <v>14.9</v>
      </c>
      <c r="U45" s="39">
        <v>0.313</v>
      </c>
      <c r="V45" s="39">
        <v>7.9000000000000001E-2</v>
      </c>
      <c r="W45" s="40">
        <v>0.20169999999999999</v>
      </c>
      <c r="X45" s="41">
        <v>33775</v>
      </c>
      <c r="Y45" s="41">
        <v>41744</v>
      </c>
      <c r="Z45" s="39">
        <v>0.32900000000000001</v>
      </c>
    </row>
    <row r="46" spans="1:26" x14ac:dyDescent="0.35">
      <c r="A46" s="2" t="s">
        <v>60</v>
      </c>
      <c r="B46" s="7">
        <v>241</v>
      </c>
      <c r="C46" s="7">
        <v>290</v>
      </c>
      <c r="D46" s="7">
        <v>218</v>
      </c>
      <c r="E46" s="7">
        <v>261</v>
      </c>
      <c r="F46" s="8">
        <f t="shared" si="3"/>
        <v>1010</v>
      </c>
      <c r="G46" s="4">
        <f t="shared" si="4"/>
        <v>29</v>
      </c>
      <c r="H46" s="9">
        <v>8703</v>
      </c>
      <c r="I46" s="4">
        <f t="shared" si="2"/>
        <v>43</v>
      </c>
      <c r="J46" s="53">
        <f>Table3[[#This Row],[PPF]]/Table3[[#This Row],[Total]]</f>
        <v>8.616831683168316</v>
      </c>
      <c r="K46" s="10">
        <v>0.32400000000000001</v>
      </c>
      <c r="L46" s="10">
        <v>0.13300000000000001</v>
      </c>
      <c r="M46" s="10">
        <v>0.502</v>
      </c>
      <c r="N46" s="10">
        <v>3.5000000000000003E-2</v>
      </c>
      <c r="O46" s="10">
        <v>6.0000000000000001E-3</v>
      </c>
      <c r="P46" s="10">
        <v>9.1999999999999998E-2</v>
      </c>
      <c r="Q46" s="10">
        <v>0.15</v>
      </c>
      <c r="R46" s="10">
        <v>0.505</v>
      </c>
      <c r="S46" s="10">
        <v>6.2E-2</v>
      </c>
      <c r="T46" s="11">
        <v>14.6</v>
      </c>
      <c r="U46" s="39">
        <v>0.33300000000000002</v>
      </c>
      <c r="V46" s="67">
        <v>9.7000000000000003E-2</v>
      </c>
      <c r="W46" s="68">
        <v>0.20150000000000001</v>
      </c>
      <c r="X46" s="69">
        <v>26521</v>
      </c>
      <c r="Y46" s="69">
        <v>40007</v>
      </c>
      <c r="Z46" s="67">
        <v>0.308</v>
      </c>
    </row>
    <row r="47" spans="1:26" x14ac:dyDescent="0.35">
      <c r="A47" s="61" t="s">
        <v>61</v>
      </c>
      <c r="B47" s="62">
        <v>243</v>
      </c>
      <c r="C47" s="62">
        <v>283</v>
      </c>
      <c r="D47" s="62">
        <v>220</v>
      </c>
      <c r="E47" s="62">
        <v>267</v>
      </c>
      <c r="F47" s="8">
        <f t="shared" si="3"/>
        <v>1013</v>
      </c>
      <c r="G47" s="4">
        <f t="shared" si="4"/>
        <v>27</v>
      </c>
      <c r="H47" s="63">
        <v>6314</v>
      </c>
      <c r="I47" s="4">
        <f t="shared" si="2"/>
        <v>51</v>
      </c>
      <c r="J47" s="73">
        <f>Table3[[#This Row],[PPF]]/Table3[[#This Row],[Total]]</f>
        <v>6.2329713721618951</v>
      </c>
      <c r="K47" s="64">
        <v>0.79</v>
      </c>
      <c r="L47" s="64">
        <v>1.4999999999999999E-2</v>
      </c>
      <c r="M47" s="64">
        <v>0.14599999999999999</v>
      </c>
      <c r="N47" s="64">
        <v>3.4000000000000002E-2</v>
      </c>
      <c r="O47" s="64">
        <v>1.4E-2</v>
      </c>
      <c r="P47" s="64">
        <v>0.11600000000000001</v>
      </c>
      <c r="Q47" s="64">
        <v>7.9000000000000001E-2</v>
      </c>
      <c r="R47" s="64">
        <v>0.41899999999999998</v>
      </c>
      <c r="S47" s="64">
        <v>7.1999999999999995E-2</v>
      </c>
      <c r="T47" s="65">
        <v>22.3</v>
      </c>
      <c r="U47" s="67">
        <v>0.40200000000000002</v>
      </c>
      <c r="V47" s="39">
        <v>0.10199999999999999</v>
      </c>
      <c r="W47" s="40">
        <v>0.40510000000000002</v>
      </c>
      <c r="X47" s="41">
        <v>26461</v>
      </c>
      <c r="Y47" s="41">
        <v>46622</v>
      </c>
      <c r="Z47" s="39">
        <v>0.28499999999999998</v>
      </c>
    </row>
    <row r="48" spans="1:26" x14ac:dyDescent="0.35">
      <c r="A48" s="2" t="s">
        <v>62</v>
      </c>
      <c r="B48" s="7">
        <v>247</v>
      </c>
      <c r="C48" s="7">
        <v>294</v>
      </c>
      <c r="D48" s="7">
        <v>227</v>
      </c>
      <c r="E48" s="7">
        <v>274</v>
      </c>
      <c r="F48" s="8">
        <f t="shared" si="3"/>
        <v>1042</v>
      </c>
      <c r="G48" s="4">
        <f t="shared" si="4"/>
        <v>4</v>
      </c>
      <c r="H48" s="9">
        <v>15029</v>
      </c>
      <c r="I48" s="4">
        <f t="shared" si="2"/>
        <v>6</v>
      </c>
      <c r="J48" s="53">
        <f>Table3[[#This Row],[PPF]]/Table3[[#This Row],[Total]]</f>
        <v>14.423224568138195</v>
      </c>
      <c r="K48" s="10">
        <v>0.93500000000000005</v>
      </c>
      <c r="L48" s="10">
        <v>1.7999999999999999E-2</v>
      </c>
      <c r="M48" s="10">
        <v>1.2E-2</v>
      </c>
      <c r="N48" s="10">
        <v>1.6E-2</v>
      </c>
      <c r="O48" s="10">
        <v>2E-3</v>
      </c>
      <c r="P48" s="10">
        <v>8.4000000000000005E-2</v>
      </c>
      <c r="Q48" s="10">
        <v>1.7000000000000001E-2</v>
      </c>
      <c r="R48" s="10">
        <v>0.34300000000000003</v>
      </c>
      <c r="S48" s="10">
        <f>0/330</f>
        <v>0</v>
      </c>
      <c r="T48" s="11">
        <v>10.5</v>
      </c>
      <c r="U48" s="39">
        <v>0.436</v>
      </c>
      <c r="V48" s="39">
        <v>9.0999999999999998E-2</v>
      </c>
      <c r="W48" s="40">
        <v>0.23430000000000001</v>
      </c>
      <c r="X48" s="41">
        <v>33200</v>
      </c>
      <c r="Y48" s="41">
        <v>43823</v>
      </c>
      <c r="Z48" s="39">
        <v>0.26</v>
      </c>
    </row>
    <row r="49" spans="1:26" x14ac:dyDescent="0.35">
      <c r="A49" s="2" t="s">
        <v>63</v>
      </c>
      <c r="B49" s="7">
        <v>245</v>
      </c>
      <c r="C49" s="7">
        <v>289</v>
      </c>
      <c r="D49" s="7">
        <v>226</v>
      </c>
      <c r="E49" s="7">
        <v>267</v>
      </c>
      <c r="F49" s="8">
        <f t="shared" si="3"/>
        <v>1027</v>
      </c>
      <c r="G49" s="4">
        <f t="shared" si="4"/>
        <v>11</v>
      </c>
      <c r="H49" s="9">
        <v>10972</v>
      </c>
      <c r="I49" s="4">
        <f t="shared" si="2"/>
        <v>19</v>
      </c>
      <c r="J49" s="53">
        <f>Table3[[#This Row],[PPF]]/Table3[[#This Row],[Total]]</f>
        <v>10.683544303797468</v>
      </c>
      <c r="K49" s="10">
        <v>0.57699999999999996</v>
      </c>
      <c r="L49" s="10">
        <v>0.26200000000000001</v>
      </c>
      <c r="M49" s="10">
        <v>9.7000000000000003E-2</v>
      </c>
      <c r="N49" s="10">
        <v>6.0999999999999999E-2</v>
      </c>
      <c r="O49" s="10">
        <v>3.0000000000000001E-3</v>
      </c>
      <c r="P49" s="10">
        <v>0.13200000000000001</v>
      </c>
      <c r="Q49" s="10">
        <v>7.0000000000000007E-2</v>
      </c>
      <c r="R49" s="10">
        <v>0.35699999999999998</v>
      </c>
      <c r="S49" s="10">
        <f>5/2070</f>
        <v>2.4154589371980675E-3</v>
      </c>
      <c r="T49" s="11">
        <v>17.600000000000001</v>
      </c>
      <c r="U49" s="39">
        <v>0.434</v>
      </c>
      <c r="V49" s="39">
        <v>9.2999999999999999E-2</v>
      </c>
      <c r="W49" s="40">
        <v>0.63260000000000005</v>
      </c>
      <c r="X49" s="41">
        <v>30974</v>
      </c>
      <c r="Y49" s="41">
        <v>46326</v>
      </c>
      <c r="Z49" s="39">
        <v>0.224</v>
      </c>
    </row>
    <row r="50" spans="1:26" x14ac:dyDescent="0.35">
      <c r="A50" s="2" t="s">
        <v>64</v>
      </c>
      <c r="B50" s="7">
        <v>243</v>
      </c>
      <c r="C50" s="7">
        <v>288</v>
      </c>
      <c r="D50" s="7">
        <v>221</v>
      </c>
      <c r="E50" s="7">
        <v>268</v>
      </c>
      <c r="F50" s="8">
        <f t="shared" si="3"/>
        <v>1020</v>
      </c>
      <c r="G50" s="4">
        <f t="shared" si="4"/>
        <v>19</v>
      </c>
      <c r="H50" s="9">
        <v>9648</v>
      </c>
      <c r="I50" s="4">
        <f t="shared" si="2"/>
        <v>33</v>
      </c>
      <c r="J50" s="53">
        <f>Table3[[#This Row],[PPF]]/Table3[[#This Row],[Total]]</f>
        <v>9.4588235294117649</v>
      </c>
      <c r="K50" s="10">
        <v>0.66100000000000003</v>
      </c>
      <c r="L50" s="10">
        <v>5.8000000000000003E-2</v>
      </c>
      <c r="M50" s="10">
        <v>0.16500000000000001</v>
      </c>
      <c r="N50" s="10">
        <v>9.0999999999999998E-2</v>
      </c>
      <c r="O50" s="10">
        <v>2.5000000000000001E-2</v>
      </c>
      <c r="P50" s="10">
        <v>0.122</v>
      </c>
      <c r="Q50" s="10">
        <v>6.3E-2</v>
      </c>
      <c r="R50" s="10">
        <v>0.41399999999999998</v>
      </c>
      <c r="S50" s="10">
        <f>0/2345</f>
        <v>0</v>
      </c>
      <c r="T50" s="11">
        <v>19.399999999999999</v>
      </c>
      <c r="U50" s="39">
        <v>0.42</v>
      </c>
      <c r="V50" s="39">
        <v>9.4E-2</v>
      </c>
      <c r="W50" s="40">
        <v>0.1447</v>
      </c>
      <c r="X50" s="41">
        <v>26704</v>
      </c>
      <c r="Y50" s="41">
        <v>38284</v>
      </c>
      <c r="Z50" s="39">
        <v>0.191</v>
      </c>
    </row>
    <row r="51" spans="1:26" x14ac:dyDescent="0.35">
      <c r="A51" s="2" t="s">
        <v>65</v>
      </c>
      <c r="B51" s="7">
        <v>235</v>
      </c>
      <c r="C51" s="7">
        <v>273</v>
      </c>
      <c r="D51" s="7">
        <v>214</v>
      </c>
      <c r="E51" s="7">
        <v>256</v>
      </c>
      <c r="F51" s="8">
        <f t="shared" si="3"/>
        <v>978</v>
      </c>
      <c r="G51" s="4">
        <f t="shared" si="4"/>
        <v>45</v>
      </c>
      <c r="H51" s="9">
        <v>10828</v>
      </c>
      <c r="I51" s="4">
        <f t="shared" si="2"/>
        <v>21</v>
      </c>
      <c r="J51" s="53">
        <f>Table3[[#This Row],[PPF]]/Table3[[#This Row],[Total]]</f>
        <v>11.071574642126789</v>
      </c>
      <c r="K51" s="10">
        <v>0.92400000000000004</v>
      </c>
      <c r="L51" s="10">
        <v>5.2999999999999999E-2</v>
      </c>
      <c r="M51" s="10">
        <v>0.01</v>
      </c>
      <c r="N51" s="10">
        <v>7.0000000000000001E-3</v>
      </c>
      <c r="O51" s="10">
        <v>1E-3</v>
      </c>
      <c r="P51" s="10">
        <v>0.16300000000000001</v>
      </c>
      <c r="Q51" s="10">
        <v>6.0000000000000001E-3</v>
      </c>
      <c r="R51" s="10">
        <v>0.52</v>
      </c>
      <c r="S51" s="10">
        <f>0/772</f>
        <v>0</v>
      </c>
      <c r="T51" s="11">
        <v>13.9</v>
      </c>
      <c r="U51" s="39">
        <v>0.25600000000000001</v>
      </c>
      <c r="V51" s="39">
        <v>0.11</v>
      </c>
      <c r="W51" s="40">
        <v>0.31119999999999998</v>
      </c>
      <c r="X51" s="41">
        <v>25222</v>
      </c>
      <c r="Y51" s="41">
        <v>46390</v>
      </c>
      <c r="Z51" s="39">
        <v>0.215</v>
      </c>
    </row>
    <row r="52" spans="1:26" x14ac:dyDescent="0.35">
      <c r="A52" s="2" t="s">
        <v>66</v>
      </c>
      <c r="B52" s="7">
        <v>245</v>
      </c>
      <c r="C52" s="7">
        <v>289</v>
      </c>
      <c r="D52" s="7">
        <v>221</v>
      </c>
      <c r="E52" s="7">
        <v>267</v>
      </c>
      <c r="F52" s="8">
        <f t="shared" si="3"/>
        <v>1022</v>
      </c>
      <c r="G52" s="4">
        <f t="shared" si="4"/>
        <v>17</v>
      </c>
      <c r="H52" s="9">
        <v>11171</v>
      </c>
      <c r="I52" s="4">
        <f t="shared" si="2"/>
        <v>16</v>
      </c>
      <c r="J52" s="53">
        <f>Table3[[#This Row],[PPF]]/Table3[[#This Row],[Total]]</f>
        <v>10.930528375733855</v>
      </c>
      <c r="K52" s="10">
        <v>0.76</v>
      </c>
      <c r="L52" s="10">
        <v>0.104</v>
      </c>
      <c r="M52" s="10">
        <v>8.4000000000000005E-2</v>
      </c>
      <c r="N52" s="10">
        <v>3.6999999999999998E-2</v>
      </c>
      <c r="O52" s="10">
        <v>1.4999999999999999E-2</v>
      </c>
      <c r="P52" s="10">
        <v>0.14399999999999999</v>
      </c>
      <c r="Q52" s="10">
        <v>5.1999999999999998E-2</v>
      </c>
      <c r="R52" s="10">
        <v>0.371</v>
      </c>
      <c r="S52" s="10">
        <v>9.0999999999999998E-2</v>
      </c>
      <c r="T52" s="11">
        <v>14.9</v>
      </c>
      <c r="U52" s="39">
        <v>0.38</v>
      </c>
      <c r="V52" s="39">
        <v>7.8E-2</v>
      </c>
      <c r="W52" s="40">
        <v>0.40010000000000001</v>
      </c>
      <c r="X52" s="41">
        <v>31481</v>
      </c>
      <c r="Y52" s="41">
        <v>43255</v>
      </c>
      <c r="Z52" s="39">
        <v>0.37</v>
      </c>
    </row>
    <row r="53" spans="1:26" ht="16" thickBot="1" x14ac:dyDescent="0.4">
      <c r="A53" s="2" t="s">
        <v>67</v>
      </c>
      <c r="B53" s="7">
        <v>244</v>
      </c>
      <c r="C53" s="7">
        <v>288</v>
      </c>
      <c r="D53" s="7">
        <v>224</v>
      </c>
      <c r="E53" s="7">
        <v>270</v>
      </c>
      <c r="F53" s="8">
        <f t="shared" si="3"/>
        <v>1026</v>
      </c>
      <c r="G53" s="4">
        <f t="shared" si="4"/>
        <v>14</v>
      </c>
      <c r="H53" s="9">
        <v>14747</v>
      </c>
      <c r="I53" s="4">
        <f t="shared" si="2"/>
        <v>7</v>
      </c>
      <c r="J53" s="53">
        <f>Table3[[#This Row],[PPF]]/Table3[[#This Row],[Total]]</f>
        <v>14.373294346978557</v>
      </c>
      <c r="K53" s="10">
        <v>0.81399999999999995</v>
      </c>
      <c r="L53" s="10">
        <v>1.2E-2</v>
      </c>
      <c r="M53" s="10">
        <v>0.121</v>
      </c>
      <c r="N53" s="10">
        <v>8.9999999999999993E-3</v>
      </c>
      <c r="O53" s="10">
        <v>3.2000000000000001E-2</v>
      </c>
      <c r="P53" s="10">
        <v>0.14099999999999999</v>
      </c>
      <c r="Q53" s="10">
        <v>2.4E-2</v>
      </c>
      <c r="R53" s="10">
        <v>0.35199999999999998</v>
      </c>
      <c r="S53" s="10">
        <f>3/372</f>
        <v>8.0645161290322578E-3</v>
      </c>
      <c r="T53" s="11">
        <v>12.3</v>
      </c>
      <c r="U53" s="39">
        <v>0.36</v>
      </c>
      <c r="V53" s="44">
        <v>9.6000000000000002E-2</v>
      </c>
      <c r="W53" s="45">
        <v>0.35830000000000001</v>
      </c>
      <c r="X53" s="46"/>
      <c r="Y53" s="46"/>
      <c r="Z53" s="3"/>
    </row>
    <row r="54" spans="1:26" x14ac:dyDescent="0.35">
      <c r="A54" s="2" t="s">
        <v>125</v>
      </c>
      <c r="B54" s="7">
        <f t="shared" ref="B54:Z54" si="5">AVERAGE(B3:B53)</f>
        <v>240.47058823529412</v>
      </c>
      <c r="C54" s="7">
        <f t="shared" si="5"/>
        <v>283.49019607843138</v>
      </c>
      <c r="D54" s="7">
        <f t="shared" si="5"/>
        <v>220.1764705882353</v>
      </c>
      <c r="E54" s="50">
        <f t="shared" si="5"/>
        <v>264.66666666666669</v>
      </c>
      <c r="F54" s="62">
        <f t="shared" si="5"/>
        <v>1008.8039215686274</v>
      </c>
      <c r="H54" s="48">
        <f t="shared" si="5"/>
        <v>10877.705882352941</v>
      </c>
      <c r="J54" s="52">
        <f t="shared" si="5"/>
        <v>10.777692310584371</v>
      </c>
      <c r="K54" s="39">
        <f t="shared" si="5"/>
        <v>0.627</v>
      </c>
      <c r="L54" s="39">
        <f t="shared" si="5"/>
        <v>0.15717647058823531</v>
      </c>
      <c r="M54" s="39">
        <f t="shared" si="5"/>
        <v>0.13807843137254899</v>
      </c>
      <c r="N54" s="39">
        <f t="shared" si="5"/>
        <v>4.7607843137254878E-2</v>
      </c>
      <c r="O54" s="39">
        <f t="shared" si="5"/>
        <v>2.4745098039215679E-2</v>
      </c>
      <c r="P54" s="39">
        <f t="shared" si="5"/>
        <v>0.13590196078431369</v>
      </c>
      <c r="Q54" s="39">
        <f t="shared" si="5"/>
        <v>6.3039215686274505E-2</v>
      </c>
      <c r="R54" s="39">
        <f t="shared" si="5"/>
        <v>0.44760784313725488</v>
      </c>
      <c r="S54" s="39">
        <f t="shared" si="5"/>
        <v>4.774256823244407E-2</v>
      </c>
      <c r="T54" s="49">
        <f t="shared" si="5"/>
        <v>15.039215686274503</v>
      </c>
      <c r="U54" s="39">
        <f t="shared" si="5"/>
        <v>0.37796078431372543</v>
      </c>
      <c r="V54" s="39">
        <f t="shared" si="5"/>
        <v>9.3686274509803977E-2</v>
      </c>
      <c r="W54" s="47">
        <f t="shared" si="5"/>
        <v>0.31177254901960788</v>
      </c>
      <c r="X54" s="48">
        <f t="shared" si="5"/>
        <v>31507.08</v>
      </c>
      <c r="Y54" s="48">
        <f t="shared" si="5"/>
        <v>46227.28</v>
      </c>
      <c r="Z54" s="39">
        <f t="shared" si="5"/>
        <v>0.30544000000000004</v>
      </c>
    </row>
    <row r="55" spans="1:26" x14ac:dyDescent="0.35">
      <c r="A55" s="2" t="s">
        <v>126</v>
      </c>
      <c r="B55" s="7">
        <f t="shared" ref="B55:Z55" si="6">MAX(B3:B53)-MIN(B3:B53)</f>
        <v>31</v>
      </c>
      <c r="C55" s="7">
        <f t="shared" si="6"/>
        <v>39</v>
      </c>
      <c r="D55" s="7">
        <f t="shared" si="6"/>
        <v>36</v>
      </c>
      <c r="E55" s="51">
        <f t="shared" si="6"/>
        <v>33</v>
      </c>
      <c r="F55" s="62">
        <f t="shared" si="6"/>
        <v>139</v>
      </c>
      <c r="H55" s="48">
        <f t="shared" si="6"/>
        <v>11272</v>
      </c>
      <c r="J55" s="52">
        <f t="shared" si="6"/>
        <v>12.416758357567833</v>
      </c>
      <c r="K55" s="39">
        <f t="shared" si="6"/>
        <v>0.8680000000000001</v>
      </c>
      <c r="L55" s="39">
        <f t="shared" si="6"/>
        <v>0.79100000000000004</v>
      </c>
      <c r="M55" s="39">
        <f t="shared" si="6"/>
        <v>0.58899999999999997</v>
      </c>
      <c r="N55" s="39">
        <f t="shared" si="6"/>
        <v>0.72</v>
      </c>
      <c r="O55" s="39">
        <f t="shared" si="6"/>
        <v>0.22900000000000001</v>
      </c>
      <c r="P55" s="39">
        <f t="shared" si="6"/>
        <v>9.6999999999999989E-2</v>
      </c>
      <c r="Q55" s="39">
        <f t="shared" si="6"/>
        <v>0.28099999999999997</v>
      </c>
      <c r="R55" s="39">
        <f t="shared" si="6"/>
        <v>0.501</v>
      </c>
      <c r="S55" s="39">
        <f t="shared" si="6"/>
        <v>0.41599999999999998</v>
      </c>
      <c r="T55" s="49">
        <f t="shared" si="6"/>
        <v>11.8</v>
      </c>
      <c r="U55" s="39">
        <f t="shared" si="6"/>
        <v>0.24</v>
      </c>
      <c r="V55" s="39">
        <f t="shared" si="6"/>
        <v>5.8999999999999997E-2</v>
      </c>
      <c r="W55" s="47">
        <f t="shared" si="6"/>
        <v>0.60040000000000004</v>
      </c>
      <c r="X55" s="48">
        <f t="shared" si="6"/>
        <v>14387</v>
      </c>
      <c r="Y55" s="48">
        <f t="shared" si="6"/>
        <v>25116</v>
      </c>
      <c r="Z55" s="39">
        <f t="shared" si="6"/>
        <v>0.38600000000000001</v>
      </c>
    </row>
    <row r="56" spans="1:26" x14ac:dyDescent="0.35">
      <c r="A56" s="61" t="s">
        <v>127</v>
      </c>
      <c r="B56" s="70">
        <f t="shared" ref="B56:Z56" si="7">_xlfn.STDEV.P(B3:B53)</f>
        <v>5.7780956940896795</v>
      </c>
      <c r="C56" s="70">
        <f t="shared" si="7"/>
        <v>7.6270225193434937</v>
      </c>
      <c r="D56" s="70">
        <f t="shared" si="7"/>
        <v>6.6853831847969865</v>
      </c>
      <c r="E56" s="54">
        <f t="shared" si="7"/>
        <v>6.4585151777056025</v>
      </c>
      <c r="F56" s="70">
        <f t="shared" si="7"/>
        <v>25.250136561729828</v>
      </c>
      <c r="H56" s="71">
        <f t="shared" si="7"/>
        <v>2674.0229976434725</v>
      </c>
      <c r="J56" s="71">
        <f t="shared" si="7"/>
        <v>2.6346786317972524</v>
      </c>
      <c r="K56" s="67">
        <f t="shared" si="7"/>
        <v>0.19575725263903845</v>
      </c>
      <c r="L56" s="67">
        <f t="shared" si="7"/>
        <v>0.15563112570917184</v>
      </c>
      <c r="M56" s="67">
        <f t="shared" si="7"/>
        <v>0.13304721897120131</v>
      </c>
      <c r="N56" s="67">
        <f t="shared" si="7"/>
        <v>9.9187696586680904E-2</v>
      </c>
      <c r="O56" s="67">
        <f t="shared" si="7"/>
        <v>4.746509269969236E-2</v>
      </c>
      <c r="P56" s="67">
        <f t="shared" si="7"/>
        <v>2.1527233005224411E-2</v>
      </c>
      <c r="Q56" s="67">
        <f t="shared" si="7"/>
        <v>4.7790786208679159E-2</v>
      </c>
      <c r="R56" s="67">
        <f t="shared" si="7"/>
        <v>0.10751581341627689</v>
      </c>
      <c r="S56" s="67">
        <f t="shared" si="7"/>
        <v>6.7723495732331274E-2</v>
      </c>
      <c r="T56" s="70">
        <f t="shared" si="7"/>
        <v>2.5398068809843233</v>
      </c>
      <c r="U56" s="67">
        <f t="shared" si="7"/>
        <v>5.6836525395143001E-2</v>
      </c>
      <c r="V56" s="67">
        <f t="shared" si="7"/>
        <v>1.1435222840628409E-2</v>
      </c>
      <c r="W56" s="72">
        <f t="shared" si="7"/>
        <v>0.16324085306438693</v>
      </c>
      <c r="X56" s="73">
        <f t="shared" si="7"/>
        <v>3972.7410780970863</v>
      </c>
      <c r="Y56" s="73">
        <f t="shared" si="7"/>
        <v>6526.063119645718</v>
      </c>
      <c r="Z56" s="67">
        <f t="shared" si="7"/>
        <v>8.5740809420018882E-2</v>
      </c>
    </row>
  </sheetData>
  <phoneticPr fontId="12" type="noConversion"/>
  <pageMargins left="0.75" right="0.75" top="1" bottom="1" header="0.5" footer="0.5"/>
  <pageSetup scale="76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6"/>
  <sheetViews>
    <sheetView workbookViewId="0"/>
  </sheetViews>
  <sheetFormatPr defaultColWidth="10.6640625" defaultRowHeight="15.5" x14ac:dyDescent="0.35"/>
  <cols>
    <col min="1" max="1" width="18" style="2" customWidth="1"/>
    <col min="2" max="3" width="11.33203125" style="4" customWidth="1"/>
    <col min="4" max="5" width="13.5" style="4" customWidth="1"/>
    <col min="6" max="7" width="10.83203125" style="4"/>
    <col min="8" max="8" width="11.5" style="4" bestFit="1" customWidth="1"/>
    <col min="9" max="9" width="10.83203125" style="4"/>
    <col min="10" max="10" width="11.5" style="4" customWidth="1"/>
    <col min="11" max="18" width="10.83203125" style="4"/>
    <col min="19" max="19" width="11.83203125" style="4" customWidth="1"/>
    <col min="20" max="20" width="10.83203125" style="4"/>
  </cols>
  <sheetData>
    <row r="1" spans="1:20" x14ac:dyDescent="0.35">
      <c r="F1" s="4" t="s">
        <v>94</v>
      </c>
      <c r="H1" s="4" t="s">
        <v>6</v>
      </c>
      <c r="K1" s="5"/>
      <c r="L1" s="5"/>
      <c r="M1" s="5"/>
      <c r="N1" s="5" t="s">
        <v>16</v>
      </c>
      <c r="O1" s="5"/>
      <c r="P1" s="5"/>
      <c r="Q1" s="5"/>
      <c r="R1" s="5"/>
      <c r="T1" s="4" t="s">
        <v>160</v>
      </c>
    </row>
    <row r="2" spans="1:20" ht="16" thickBot="1" x14ac:dyDescent="0.4">
      <c r="A2" s="1" t="s">
        <v>183</v>
      </c>
      <c r="B2" s="3" t="s">
        <v>0</v>
      </c>
      <c r="C2" s="3" t="s">
        <v>1</v>
      </c>
      <c r="D2" s="3" t="s">
        <v>2</v>
      </c>
      <c r="E2" s="3" t="s">
        <v>3</v>
      </c>
      <c r="F2" s="6" t="s">
        <v>4</v>
      </c>
      <c r="G2" s="3" t="s">
        <v>175</v>
      </c>
      <c r="H2" s="3" t="s">
        <v>5</v>
      </c>
      <c r="I2" s="3" t="s">
        <v>174</v>
      </c>
      <c r="J2" s="3" t="s">
        <v>162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95</v>
      </c>
      <c r="Q2" s="3" t="s">
        <v>12</v>
      </c>
      <c r="R2" s="3" t="s">
        <v>13</v>
      </c>
      <c r="S2" s="3" t="s">
        <v>14</v>
      </c>
      <c r="T2" s="3" t="s">
        <v>15</v>
      </c>
    </row>
    <row r="3" spans="1:20" x14ac:dyDescent="0.35">
      <c r="A3" s="2" t="s">
        <v>17</v>
      </c>
      <c r="B3" s="7">
        <v>233</v>
      </c>
      <c r="C3" s="7">
        <v>269</v>
      </c>
      <c r="D3" s="7">
        <v>219</v>
      </c>
      <c r="E3" s="7">
        <v>257</v>
      </c>
      <c r="F3" s="8">
        <f t="shared" ref="F3:F34" si="0">SUM(B3:E3)</f>
        <v>978</v>
      </c>
      <c r="G3" s="4">
        <f t="shared" ref="G3:G34" si="1">RANK(F3,F$3:F$53)</f>
        <v>47</v>
      </c>
      <c r="H3" s="9">
        <v>8945</v>
      </c>
      <c r="I3" s="4">
        <f t="shared" ref="I3:I34" si="2">RANK(H3,H$3:H$53)</f>
        <v>41</v>
      </c>
      <c r="J3" s="53">
        <f>Table33[[#This Row],[PPF]]/Table33[[#This Row],[Total]]</f>
        <v>9.1462167689161546</v>
      </c>
      <c r="K3" s="10">
        <v>0.58299999999999996</v>
      </c>
      <c r="L3" s="10">
        <v>0.34599999999999997</v>
      </c>
      <c r="M3" s="10">
        <v>4.7E-2</v>
      </c>
      <c r="N3" s="10">
        <v>1.2999999999999999E-2</v>
      </c>
      <c r="O3" s="10">
        <v>8.0000000000000002E-3</v>
      </c>
      <c r="P3" s="10">
        <v>0.11</v>
      </c>
      <c r="Q3" s="10">
        <v>2.4E-2</v>
      </c>
      <c r="R3" s="10">
        <v>0.54900000000000004</v>
      </c>
      <c r="S3" s="10">
        <f>0/1615%</f>
        <v>0</v>
      </c>
      <c r="T3" s="11">
        <v>15.3</v>
      </c>
    </row>
    <row r="4" spans="1:20" x14ac:dyDescent="0.35">
      <c r="A4" s="2" t="s">
        <v>18</v>
      </c>
      <c r="B4" s="7">
        <v>236</v>
      </c>
      <c r="C4" s="7">
        <v>282</v>
      </c>
      <c r="D4" s="7">
        <v>209</v>
      </c>
      <c r="E4" s="7">
        <v>261</v>
      </c>
      <c r="F4" s="8">
        <f t="shared" si="0"/>
        <v>988</v>
      </c>
      <c r="G4" s="4">
        <f t="shared" si="1"/>
        <v>44</v>
      </c>
      <c r="H4" s="9">
        <v>15949</v>
      </c>
      <c r="I4" s="4">
        <f t="shared" si="2"/>
        <v>4</v>
      </c>
      <c r="J4" s="53">
        <f>Table33[[#This Row],[PPF]]/Table33[[#This Row],[Total]]</f>
        <v>16.142712550607289</v>
      </c>
      <c r="K4" s="10">
        <v>0.52200000000000002</v>
      </c>
      <c r="L4" s="10">
        <v>3.5999999999999997E-2</v>
      </c>
      <c r="M4" s="10">
        <v>5.8999999999999997E-2</v>
      </c>
      <c r="N4" s="10">
        <v>0.08</v>
      </c>
      <c r="O4" s="10">
        <v>0.23</v>
      </c>
      <c r="P4" s="10">
        <v>0.13700000000000001</v>
      </c>
      <c r="Q4" s="10">
        <v>0.113</v>
      </c>
      <c r="R4" s="10">
        <v>0.38400000000000001</v>
      </c>
      <c r="S4" s="10">
        <f>27/518</f>
        <v>5.2123552123552123E-2</v>
      </c>
      <c r="T4" s="11">
        <v>16.2</v>
      </c>
    </row>
    <row r="5" spans="1:20" x14ac:dyDescent="0.35">
      <c r="A5" s="2" t="s">
        <v>19</v>
      </c>
      <c r="B5" s="7">
        <v>240</v>
      </c>
      <c r="C5" s="7">
        <v>280</v>
      </c>
      <c r="D5" s="7">
        <v>213</v>
      </c>
      <c r="E5" s="7">
        <v>260</v>
      </c>
      <c r="F5" s="8">
        <f t="shared" si="0"/>
        <v>993</v>
      </c>
      <c r="G5" s="4">
        <f t="shared" si="1"/>
        <v>41</v>
      </c>
      <c r="H5" s="9">
        <v>7894</v>
      </c>
      <c r="I5" s="4">
        <f t="shared" si="2"/>
        <v>49</v>
      </c>
      <c r="J5" s="53">
        <f>Table33[[#This Row],[PPF]]/Table33[[#This Row],[Total]]</f>
        <v>7.9496475327291041</v>
      </c>
      <c r="K5" s="10">
        <v>0.42899999999999999</v>
      </c>
      <c r="L5" s="10">
        <v>5.6000000000000001E-2</v>
      </c>
      <c r="M5" s="10">
        <v>0.42199999999999999</v>
      </c>
      <c r="N5" s="10">
        <v>0.03</v>
      </c>
      <c r="O5" s="10">
        <v>5.1999999999999998E-2</v>
      </c>
      <c r="P5" s="10">
        <v>0.11700000000000001</v>
      </c>
      <c r="Q5" s="10">
        <v>7.0999999999999994E-2</v>
      </c>
      <c r="R5" s="10">
        <v>0.45100000000000001</v>
      </c>
      <c r="S5" s="10">
        <f>567/2380</f>
        <v>0.23823529411764705</v>
      </c>
      <c r="T5" s="11">
        <v>21.4</v>
      </c>
    </row>
    <row r="6" spans="1:20" x14ac:dyDescent="0.35">
      <c r="A6" s="2" t="s">
        <v>20</v>
      </c>
      <c r="B6" s="7">
        <v>240</v>
      </c>
      <c r="C6" s="7">
        <v>278</v>
      </c>
      <c r="D6" s="7">
        <v>219</v>
      </c>
      <c r="E6" s="7">
        <v>262</v>
      </c>
      <c r="F6" s="8">
        <f t="shared" si="0"/>
        <v>999</v>
      </c>
      <c r="G6" s="4">
        <f t="shared" si="1"/>
        <v>38</v>
      </c>
      <c r="H6" s="9">
        <v>9311</v>
      </c>
      <c r="I6" s="4">
        <f t="shared" si="2"/>
        <v>35</v>
      </c>
      <c r="J6" s="53">
        <f>Table33[[#This Row],[PPF]]/Table33[[#This Row],[Total]]</f>
        <v>9.3203203203203202</v>
      </c>
      <c r="K6" s="10">
        <v>0.64800000000000002</v>
      </c>
      <c r="L6" s="10">
        <v>0.215</v>
      </c>
      <c r="M6" s="10">
        <v>9.8000000000000004E-2</v>
      </c>
      <c r="N6" s="10">
        <v>1.9E-2</v>
      </c>
      <c r="O6" s="10">
        <v>7.0000000000000001E-3</v>
      </c>
      <c r="P6" s="10">
        <v>0.13500000000000001</v>
      </c>
      <c r="Q6" s="10">
        <v>6.5000000000000002E-2</v>
      </c>
      <c r="R6" s="10">
        <v>0.60499999999999998</v>
      </c>
      <c r="S6" s="10">
        <f>40/1128</f>
        <v>3.5460992907801421E-2</v>
      </c>
      <c r="T6" s="11">
        <v>14.1</v>
      </c>
    </row>
    <row r="7" spans="1:20" x14ac:dyDescent="0.35">
      <c r="A7" s="2" t="s">
        <v>21</v>
      </c>
      <c r="B7" s="7">
        <v>234</v>
      </c>
      <c r="C7" s="7">
        <v>276</v>
      </c>
      <c r="D7" s="7">
        <v>213</v>
      </c>
      <c r="E7" s="7">
        <v>262</v>
      </c>
      <c r="F7" s="8">
        <f t="shared" si="0"/>
        <v>985</v>
      </c>
      <c r="G7" s="4">
        <f t="shared" si="1"/>
        <v>45</v>
      </c>
      <c r="H7" s="9">
        <v>9212</v>
      </c>
      <c r="I7" s="4">
        <f t="shared" si="2"/>
        <v>36</v>
      </c>
      <c r="J7" s="53">
        <f>Table33[[#This Row],[PPF]]/Table33[[#This Row],[Total]]</f>
        <v>9.3522842639593904</v>
      </c>
      <c r="K7" s="10">
        <v>0.26600000000000001</v>
      </c>
      <c r="L7" s="10">
        <v>6.7000000000000004E-2</v>
      </c>
      <c r="M7" s="10">
        <v>0.51400000000000001</v>
      </c>
      <c r="N7" s="10">
        <v>0.11700000000000001</v>
      </c>
      <c r="O7" s="10">
        <v>7.0000000000000001E-3</v>
      </c>
      <c r="P7" s="10">
        <v>0.107</v>
      </c>
      <c r="Q7" s="10"/>
      <c r="R7" s="10">
        <v>0.53700000000000003</v>
      </c>
      <c r="S7" s="10">
        <f>948/10340</f>
        <v>9.1682785299806571E-2</v>
      </c>
      <c r="T7" s="11">
        <v>24.1</v>
      </c>
    </row>
    <row r="8" spans="1:20" x14ac:dyDescent="0.35">
      <c r="A8" s="2" t="s">
        <v>22</v>
      </c>
      <c r="B8" s="7">
        <v>247</v>
      </c>
      <c r="C8" s="7">
        <v>290</v>
      </c>
      <c r="D8" s="7">
        <v>227</v>
      </c>
      <c r="E8" s="7">
        <v>271</v>
      </c>
      <c r="F8" s="8">
        <f t="shared" si="0"/>
        <v>1035</v>
      </c>
      <c r="G8" s="4">
        <f t="shared" si="1"/>
        <v>7</v>
      </c>
      <c r="H8" s="9">
        <v>9077</v>
      </c>
      <c r="I8" s="4">
        <f t="shared" si="2"/>
        <v>39</v>
      </c>
      <c r="J8" s="53">
        <f>Table33[[#This Row],[PPF]]/Table33[[#This Row],[Total]]</f>
        <v>8.770048309178744</v>
      </c>
      <c r="K8" s="10">
        <v>0.56799999999999995</v>
      </c>
      <c r="L8" s="10">
        <v>4.8000000000000001E-2</v>
      </c>
      <c r="M8" s="10">
        <v>0.316</v>
      </c>
      <c r="N8" s="10">
        <v>3.1E-2</v>
      </c>
      <c r="O8" s="10">
        <v>8.9999999999999993E-3</v>
      </c>
      <c r="P8" s="10">
        <v>0.1</v>
      </c>
      <c r="Q8" s="10">
        <v>0.11799999999999999</v>
      </c>
      <c r="R8" s="10">
        <v>0.39900000000000002</v>
      </c>
      <c r="S8" s="10">
        <f>168/1835</f>
        <v>9.1553133514986382E-2</v>
      </c>
      <c r="T8" s="11">
        <v>17.399999999999999</v>
      </c>
    </row>
    <row r="9" spans="1:20" x14ac:dyDescent="0.35">
      <c r="A9" s="2" t="s">
        <v>23</v>
      </c>
      <c r="B9" s="7">
        <v>243</v>
      </c>
      <c r="C9" s="7">
        <v>285</v>
      </c>
      <c r="D9" s="7">
        <v>230</v>
      </c>
      <c r="E9" s="7">
        <v>274</v>
      </c>
      <c r="F9" s="8">
        <f t="shared" si="0"/>
        <v>1032</v>
      </c>
      <c r="G9" s="4">
        <f t="shared" si="1"/>
        <v>9</v>
      </c>
      <c r="H9" s="9">
        <v>15608</v>
      </c>
      <c r="I9" s="4">
        <f t="shared" si="2"/>
        <v>6</v>
      </c>
      <c r="J9" s="53">
        <f>Table33[[#This Row],[PPF]]/Table33[[#This Row],[Total]]</f>
        <v>15.124031007751938</v>
      </c>
      <c r="K9" s="10">
        <v>0.62</v>
      </c>
      <c r="L9" s="10">
        <v>0.13200000000000001</v>
      </c>
      <c r="M9" s="10">
        <v>0.186</v>
      </c>
      <c r="N9" s="10">
        <v>4.3999999999999997E-2</v>
      </c>
      <c r="O9" s="10">
        <v>4.0000000000000001E-3</v>
      </c>
      <c r="P9" s="10">
        <v>0.122</v>
      </c>
      <c r="Q9" s="10">
        <v>5.3999999999999999E-2</v>
      </c>
      <c r="R9" s="10">
        <v>0.34</v>
      </c>
      <c r="S9" s="10">
        <f>18/1184</f>
        <v>1.5202702702702704E-2</v>
      </c>
      <c r="T9" s="11">
        <v>13.1</v>
      </c>
    </row>
    <row r="10" spans="1:20" x14ac:dyDescent="0.35">
      <c r="A10" s="61" t="s">
        <v>25</v>
      </c>
      <c r="B10" s="62">
        <v>229</v>
      </c>
      <c r="C10" s="62">
        <v>265</v>
      </c>
      <c r="D10" s="62">
        <v>206</v>
      </c>
      <c r="E10" s="62">
        <v>248</v>
      </c>
      <c r="F10" s="8">
        <f t="shared" si="0"/>
        <v>948</v>
      </c>
      <c r="G10" s="4">
        <f t="shared" si="1"/>
        <v>51</v>
      </c>
      <c r="H10" s="63">
        <v>21139</v>
      </c>
      <c r="I10" s="4">
        <f t="shared" si="2"/>
        <v>1</v>
      </c>
      <c r="J10" s="73">
        <f>Table33[[#This Row],[PPF]]/Table33[[#This Row],[Total]]</f>
        <v>22.298523206751057</v>
      </c>
      <c r="K10" s="64">
        <v>7.0999999999999994E-2</v>
      </c>
      <c r="L10" s="64">
        <v>0.77800000000000002</v>
      </c>
      <c r="M10" s="64">
        <v>0.126</v>
      </c>
      <c r="N10" s="64">
        <v>1.4999999999999999E-2</v>
      </c>
      <c r="O10" s="64">
        <v>1E-3</v>
      </c>
      <c r="P10" s="64">
        <v>0.16800000000000001</v>
      </c>
      <c r="Q10" s="64">
        <v>7.3999999999999996E-2</v>
      </c>
      <c r="R10" s="64">
        <v>0.73</v>
      </c>
      <c r="S10" s="64">
        <f>104/235</f>
        <v>0.44255319148936167</v>
      </c>
      <c r="T10" s="65">
        <v>12</v>
      </c>
    </row>
    <row r="11" spans="1:20" x14ac:dyDescent="0.35">
      <c r="A11" s="2" t="s">
        <v>24</v>
      </c>
      <c r="B11" s="7">
        <v>243</v>
      </c>
      <c r="C11" s="7">
        <v>282</v>
      </c>
      <c r="D11" s="7">
        <v>226</v>
      </c>
      <c r="E11" s="7">
        <v>266</v>
      </c>
      <c r="F11" s="8">
        <f t="shared" si="0"/>
        <v>1017</v>
      </c>
      <c r="G11" s="4">
        <f t="shared" si="1"/>
        <v>24</v>
      </c>
      <c r="H11" s="9">
        <v>12355</v>
      </c>
      <c r="I11" s="4">
        <f t="shared" si="2"/>
        <v>13</v>
      </c>
      <c r="J11" s="53">
        <f>Table33[[#This Row],[PPF]]/Table33[[#This Row],[Total]]</f>
        <v>12.148475909537856</v>
      </c>
      <c r="K11" s="10">
        <v>0.501</v>
      </c>
      <c r="L11" s="10">
        <v>0.32300000000000001</v>
      </c>
      <c r="M11" s="10">
        <v>0.124</v>
      </c>
      <c r="N11" s="10">
        <v>3.4000000000000002E-2</v>
      </c>
      <c r="O11" s="10">
        <v>5.0000000000000001E-3</v>
      </c>
      <c r="P11" s="10">
        <v>0.14399999999999999</v>
      </c>
      <c r="Q11" s="10">
        <v>5.2999999999999999E-2</v>
      </c>
      <c r="R11" s="10">
        <v>0.47799999999999998</v>
      </c>
      <c r="S11" s="10">
        <f>20/218</f>
        <v>9.1743119266055051E-2</v>
      </c>
      <c r="T11" s="11">
        <v>14.5</v>
      </c>
    </row>
    <row r="12" spans="1:20" x14ac:dyDescent="0.35">
      <c r="A12" s="2" t="s">
        <v>26</v>
      </c>
      <c r="B12" s="7">
        <v>242</v>
      </c>
      <c r="C12" s="7">
        <v>281</v>
      </c>
      <c r="D12" s="7">
        <v>227</v>
      </c>
      <c r="E12" s="7">
        <v>266</v>
      </c>
      <c r="F12" s="8">
        <f t="shared" si="0"/>
        <v>1016</v>
      </c>
      <c r="G12" s="4">
        <f t="shared" si="1"/>
        <v>25</v>
      </c>
      <c r="H12" s="9">
        <v>8874</v>
      </c>
      <c r="I12" s="4">
        <f t="shared" si="2"/>
        <v>42</v>
      </c>
      <c r="J12" s="53">
        <f>Table33[[#This Row],[PPF]]/Table33[[#This Row],[Total]]</f>
        <v>8.734251968503937</v>
      </c>
      <c r="K12" s="10">
        <v>0.43099999999999999</v>
      </c>
      <c r="L12" s="10">
        <v>0.23</v>
      </c>
      <c r="M12" s="10">
        <v>0.28000000000000003</v>
      </c>
      <c r="N12" s="10">
        <v>2.5999999999999999E-2</v>
      </c>
      <c r="O12" s="10">
        <v>4.0000000000000001E-3</v>
      </c>
      <c r="P12" s="10">
        <v>0.13900000000000001</v>
      </c>
      <c r="Q12" s="10">
        <v>8.6999999999999994E-2</v>
      </c>
      <c r="R12" s="10">
        <v>0.56000000000000005</v>
      </c>
      <c r="S12" s="10">
        <f>503/4289</f>
        <v>0.11727675448822569</v>
      </c>
      <c r="T12" s="11">
        <v>15.1</v>
      </c>
    </row>
    <row r="13" spans="1:20" x14ac:dyDescent="0.35">
      <c r="A13" s="2" t="s">
        <v>27</v>
      </c>
      <c r="B13" s="7">
        <v>240</v>
      </c>
      <c r="C13" s="7">
        <v>279</v>
      </c>
      <c r="D13" s="7">
        <v>222</v>
      </c>
      <c r="E13" s="7">
        <v>265</v>
      </c>
      <c r="F13" s="8">
        <f t="shared" si="0"/>
        <v>1006</v>
      </c>
      <c r="G13" s="4">
        <f t="shared" si="1"/>
        <v>35</v>
      </c>
      <c r="H13" s="9">
        <v>9500</v>
      </c>
      <c r="I13" s="4">
        <f t="shared" si="2"/>
        <v>31</v>
      </c>
      <c r="J13" s="53">
        <f>Table33[[#This Row],[PPF]]/Table33[[#This Row],[Total]]</f>
        <v>9.4433399602385695</v>
      </c>
      <c r="K13" s="10">
        <v>0.44400000000000001</v>
      </c>
      <c r="L13" s="10">
        <v>0.37</v>
      </c>
      <c r="M13" s="10">
        <v>0.11899999999999999</v>
      </c>
      <c r="N13" s="10">
        <v>3.4000000000000002E-2</v>
      </c>
      <c r="O13" s="10">
        <v>2E-3</v>
      </c>
      <c r="P13" s="10">
        <v>0.106</v>
      </c>
      <c r="Q13" s="10">
        <v>4.9000000000000002E-2</v>
      </c>
      <c r="R13" s="10">
        <v>0.57399999999999995</v>
      </c>
      <c r="S13" s="10">
        <f>69/2541</f>
        <v>2.7154663518299881E-2</v>
      </c>
      <c r="T13" s="11">
        <v>14.9</v>
      </c>
    </row>
    <row r="14" spans="1:20" x14ac:dyDescent="0.35">
      <c r="A14" s="2" t="s">
        <v>28</v>
      </c>
      <c r="B14" s="7">
        <v>243</v>
      </c>
      <c r="C14" s="7">
        <v>281</v>
      </c>
      <c r="D14" s="7">
        <v>215</v>
      </c>
      <c r="E14" s="7">
        <v>260</v>
      </c>
      <c r="F14" s="8">
        <f t="shared" si="0"/>
        <v>999</v>
      </c>
      <c r="G14" s="4">
        <f t="shared" si="1"/>
        <v>38</v>
      </c>
      <c r="H14" s="9">
        <v>11761</v>
      </c>
      <c r="I14" s="4">
        <f t="shared" si="2"/>
        <v>15</v>
      </c>
      <c r="J14" s="53">
        <f>Table33[[#This Row],[PPF]]/Table33[[#This Row],[Total]]</f>
        <v>11.772772772772774</v>
      </c>
      <c r="K14" s="10">
        <v>0.14499999999999999</v>
      </c>
      <c r="L14" s="10">
        <v>2.5000000000000001E-2</v>
      </c>
      <c r="M14" s="10">
        <v>4.4999999999999998E-2</v>
      </c>
      <c r="N14" s="10">
        <v>0.69699999999999995</v>
      </c>
      <c r="O14" s="10">
        <v>6.0000000000000001E-3</v>
      </c>
      <c r="P14" s="10">
        <v>0.11</v>
      </c>
      <c r="Q14" s="10">
        <v>0.106</v>
      </c>
      <c r="R14" s="10">
        <v>0.46800000000000003</v>
      </c>
      <c r="S14" s="10">
        <f>31/290</f>
        <v>0.10689655172413794</v>
      </c>
      <c r="T14" s="11">
        <v>15.8</v>
      </c>
    </row>
    <row r="15" spans="1:20" x14ac:dyDescent="0.35">
      <c r="A15" s="2" t="s">
        <v>29</v>
      </c>
      <c r="B15" s="7">
        <v>241</v>
      </c>
      <c r="C15" s="7">
        <v>286</v>
      </c>
      <c r="D15" s="7">
        <v>219</v>
      </c>
      <c r="E15" s="62">
        <v>270</v>
      </c>
      <c r="F15" s="8">
        <f t="shared" si="0"/>
        <v>1016</v>
      </c>
      <c r="G15" s="4">
        <f t="shared" si="1"/>
        <v>25</v>
      </c>
      <c r="H15" s="9">
        <v>7132</v>
      </c>
      <c r="I15" s="4">
        <f t="shared" si="2"/>
        <v>50</v>
      </c>
      <c r="J15" s="53">
        <f>Table33[[#This Row],[PPF]]/Table33[[#This Row],[Total]]</f>
        <v>7.0196850393700787</v>
      </c>
      <c r="K15" s="10">
        <v>0.78600000000000003</v>
      </c>
      <c r="L15" s="10">
        <v>0.01</v>
      </c>
      <c r="M15" s="10">
        <v>0.159</v>
      </c>
      <c r="N15" s="10">
        <v>1.7000000000000001E-2</v>
      </c>
      <c r="O15" s="10">
        <v>1.4E-2</v>
      </c>
      <c r="P15" s="10">
        <v>9.9000000000000005E-2</v>
      </c>
      <c r="Q15" s="10">
        <v>5.6000000000000001E-2</v>
      </c>
      <c r="R15" s="10">
        <v>0.45</v>
      </c>
      <c r="S15" s="10">
        <f>45/755</f>
        <v>5.9602649006622516E-2</v>
      </c>
      <c r="T15" s="11">
        <v>17.600000000000001</v>
      </c>
    </row>
    <row r="16" spans="1:20" x14ac:dyDescent="0.35">
      <c r="A16" s="2" t="s">
        <v>31</v>
      </c>
      <c r="B16" s="7">
        <v>239</v>
      </c>
      <c r="C16" s="7">
        <v>285</v>
      </c>
      <c r="D16" s="7">
        <v>219</v>
      </c>
      <c r="E16" s="7">
        <v>267</v>
      </c>
      <c r="F16" s="8">
        <f t="shared" si="0"/>
        <v>1010</v>
      </c>
      <c r="G16" s="4">
        <f t="shared" si="1"/>
        <v>34</v>
      </c>
      <c r="H16" s="9">
        <v>11663</v>
      </c>
      <c r="I16" s="4">
        <f t="shared" si="2"/>
        <v>17</v>
      </c>
      <c r="J16" s="53">
        <f>Table33[[#This Row],[PPF]]/Table33[[#This Row],[Total]]</f>
        <v>11.547524752475248</v>
      </c>
      <c r="K16" s="10">
        <v>0.51300000000000001</v>
      </c>
      <c r="L16" s="10">
        <v>0.184</v>
      </c>
      <c r="M16" s="10">
        <v>0.22900000000000001</v>
      </c>
      <c r="N16" s="10">
        <v>4.2000000000000003E-2</v>
      </c>
      <c r="O16" s="10">
        <v>3.0000000000000001E-3</v>
      </c>
      <c r="P16" s="10">
        <v>0.14499999999999999</v>
      </c>
      <c r="Q16" s="10">
        <v>8.3000000000000004E-2</v>
      </c>
      <c r="R16" s="10">
        <v>0.443</v>
      </c>
      <c r="S16" s="10">
        <f>50/4439</f>
        <v>1.1263798152737103E-2</v>
      </c>
      <c r="T16" s="11">
        <v>15.7</v>
      </c>
    </row>
    <row r="17" spans="1:20" x14ac:dyDescent="0.35">
      <c r="A17" s="2" t="s">
        <v>30</v>
      </c>
      <c r="B17" s="7">
        <v>249</v>
      </c>
      <c r="C17" s="7">
        <v>288</v>
      </c>
      <c r="D17" s="7">
        <v>225</v>
      </c>
      <c r="E17" s="7">
        <v>267</v>
      </c>
      <c r="F17" s="8">
        <f t="shared" si="0"/>
        <v>1029</v>
      </c>
      <c r="G17" s="4">
        <f t="shared" si="1"/>
        <v>13</v>
      </c>
      <c r="H17" s="9">
        <v>9483</v>
      </c>
      <c r="I17" s="4">
        <f t="shared" si="2"/>
        <v>32</v>
      </c>
      <c r="J17" s="53">
        <f>Table33[[#This Row],[PPF]]/Table33[[#This Row],[Total]]</f>
        <v>9.2157434402332363</v>
      </c>
      <c r="K17" s="10">
        <v>0.73099999999999998</v>
      </c>
      <c r="L17" s="10">
        <v>0.121</v>
      </c>
      <c r="M17" s="10">
        <v>8.4000000000000005E-2</v>
      </c>
      <c r="N17" s="10">
        <v>1.7000000000000001E-2</v>
      </c>
      <c r="O17" s="10">
        <v>3.0000000000000001E-3</v>
      </c>
      <c r="P17" s="10">
        <v>0.158</v>
      </c>
      <c r="Q17" s="10">
        <v>4.7E-2</v>
      </c>
      <c r="R17" s="10">
        <v>0.46600000000000003</v>
      </c>
      <c r="S17" s="10">
        <f>60/1992</f>
        <v>3.0120481927710843E-2</v>
      </c>
      <c r="T17" s="11">
        <v>18</v>
      </c>
    </row>
    <row r="18" spans="1:20" x14ac:dyDescent="0.35">
      <c r="A18" s="2" t="s">
        <v>32</v>
      </c>
      <c r="B18" s="7">
        <v>246</v>
      </c>
      <c r="C18" s="7">
        <v>285</v>
      </c>
      <c r="D18" s="7">
        <v>224</v>
      </c>
      <c r="E18" s="7">
        <v>269</v>
      </c>
      <c r="F18" s="8">
        <f t="shared" si="0"/>
        <v>1024</v>
      </c>
      <c r="G18" s="4">
        <f t="shared" si="1"/>
        <v>19</v>
      </c>
      <c r="H18" s="9">
        <v>9833</v>
      </c>
      <c r="I18" s="4">
        <f t="shared" si="2"/>
        <v>28</v>
      </c>
      <c r="J18" s="53">
        <f>Table33[[#This Row],[PPF]]/Table33[[#This Row],[Total]]</f>
        <v>9.6025390625</v>
      </c>
      <c r="K18" s="10">
        <v>0.81499999999999995</v>
      </c>
      <c r="L18" s="10">
        <v>5.0999999999999997E-2</v>
      </c>
      <c r="M18" s="10">
        <v>8.5000000000000006E-2</v>
      </c>
      <c r="N18" s="10">
        <v>2.1000000000000001E-2</v>
      </c>
      <c r="O18" s="10">
        <v>5.0000000000000001E-3</v>
      </c>
      <c r="P18" s="10">
        <v>0.13800000000000001</v>
      </c>
      <c r="Q18" s="10">
        <v>4.3999999999999997E-2</v>
      </c>
      <c r="R18" s="10">
        <v>0.38900000000000001</v>
      </c>
      <c r="S18" s="10">
        <f>7/1487</f>
        <v>4.707464694014795E-3</v>
      </c>
      <c r="T18" s="11">
        <v>14.3</v>
      </c>
    </row>
    <row r="19" spans="1:20" x14ac:dyDescent="0.35">
      <c r="A19" s="2" t="s">
        <v>33</v>
      </c>
      <c r="B19" s="7">
        <v>246</v>
      </c>
      <c r="C19" s="7">
        <v>290</v>
      </c>
      <c r="D19" s="7">
        <v>223</v>
      </c>
      <c r="E19" s="7">
        <v>267</v>
      </c>
      <c r="F19" s="8">
        <f t="shared" si="0"/>
        <v>1026</v>
      </c>
      <c r="G19" s="4">
        <f t="shared" si="1"/>
        <v>18</v>
      </c>
      <c r="H19" s="9">
        <v>10044</v>
      </c>
      <c r="I19" s="4">
        <f t="shared" si="2"/>
        <v>27</v>
      </c>
      <c r="J19" s="53">
        <f>Table33[[#This Row],[PPF]]/Table33[[#This Row],[Total]]</f>
        <v>9.7894736842105257</v>
      </c>
      <c r="K19" s="10">
        <v>0.68</v>
      </c>
      <c r="L19" s="10">
        <v>7.3999999999999996E-2</v>
      </c>
      <c r="M19" s="10">
        <v>0.16400000000000001</v>
      </c>
      <c r="N19" s="10">
        <v>2.7E-2</v>
      </c>
      <c r="O19" s="10">
        <v>1.2999999999999999E-2</v>
      </c>
      <c r="P19" s="10">
        <v>0.13800000000000001</v>
      </c>
      <c r="Q19" s="10">
        <v>8.1000000000000003E-2</v>
      </c>
      <c r="R19" s="10">
        <v>0.47699999999999998</v>
      </c>
      <c r="S19" s="10">
        <f>25/1470</f>
        <v>1.7006802721088437E-2</v>
      </c>
      <c r="T19" s="11">
        <v>14</v>
      </c>
    </row>
    <row r="20" spans="1:20" x14ac:dyDescent="0.35">
      <c r="A20" s="2" t="s">
        <v>34</v>
      </c>
      <c r="B20" s="7">
        <v>241</v>
      </c>
      <c r="C20" s="7">
        <v>281</v>
      </c>
      <c r="D20" s="7">
        <v>224</v>
      </c>
      <c r="E20" s="7">
        <v>270</v>
      </c>
      <c r="F20" s="8">
        <f t="shared" si="0"/>
        <v>1016</v>
      </c>
      <c r="G20" s="4">
        <f t="shared" si="1"/>
        <v>25</v>
      </c>
      <c r="H20" s="9">
        <v>9091</v>
      </c>
      <c r="I20" s="4">
        <f t="shared" si="2"/>
        <v>38</v>
      </c>
      <c r="J20" s="53">
        <f>Table33[[#This Row],[PPF]]/Table33[[#This Row],[Total]]</f>
        <v>8.9478346456692908</v>
      </c>
      <c r="K20" s="10">
        <v>0.81899999999999995</v>
      </c>
      <c r="L20" s="10">
        <v>0.108</v>
      </c>
      <c r="M20" s="10">
        <v>3.9E-2</v>
      </c>
      <c r="N20" s="10">
        <v>1.4999999999999999E-2</v>
      </c>
      <c r="O20" s="10">
        <v>1E-3</v>
      </c>
      <c r="P20" s="10">
        <v>0.152</v>
      </c>
      <c r="Q20" s="10">
        <v>2.4E-2</v>
      </c>
      <c r="R20" s="10">
        <v>0.56599999999999995</v>
      </c>
      <c r="S20" s="10">
        <f>0/1577</f>
        <v>0</v>
      </c>
      <c r="T20" s="11">
        <v>16</v>
      </c>
    </row>
    <row r="21" spans="1:20" x14ac:dyDescent="0.35">
      <c r="A21" s="2" t="s">
        <v>35</v>
      </c>
      <c r="B21" s="7">
        <v>231</v>
      </c>
      <c r="C21" s="7">
        <v>273</v>
      </c>
      <c r="D21" s="7">
        <v>210</v>
      </c>
      <c r="E21" s="7">
        <v>257</v>
      </c>
      <c r="F21" s="8">
        <f t="shared" si="0"/>
        <v>971</v>
      </c>
      <c r="G21" s="4">
        <f t="shared" si="1"/>
        <v>48</v>
      </c>
      <c r="H21" s="9">
        <v>10795</v>
      </c>
      <c r="I21" s="4">
        <f t="shared" si="2"/>
        <v>21</v>
      </c>
      <c r="J21" s="53">
        <f>Table33[[#This Row],[PPF]]/Table33[[#This Row],[Total]]</f>
        <v>11.11740473738414</v>
      </c>
      <c r="K21" s="10">
        <v>0.48499999999999999</v>
      </c>
      <c r="L21" s="10">
        <v>0.45400000000000001</v>
      </c>
      <c r="M21" s="10">
        <v>2.5999999999999999E-2</v>
      </c>
      <c r="N21" s="10">
        <v>1.6E-2</v>
      </c>
      <c r="O21" s="10">
        <v>0.01</v>
      </c>
      <c r="P21" s="10">
        <v>0.11899999999999999</v>
      </c>
      <c r="Q21" s="10">
        <v>1.7000000000000001E-2</v>
      </c>
      <c r="R21" s="10">
        <v>0.66200000000000003</v>
      </c>
      <c r="S21" s="10">
        <f>78/1509</f>
        <v>5.168986083499006E-2</v>
      </c>
      <c r="T21" s="11">
        <v>14.3</v>
      </c>
    </row>
    <row r="22" spans="1:20" x14ac:dyDescent="0.35">
      <c r="A22" s="2" t="s">
        <v>36</v>
      </c>
      <c r="B22" s="7">
        <v>246</v>
      </c>
      <c r="C22" s="7">
        <v>289</v>
      </c>
      <c r="D22" s="7">
        <v>225</v>
      </c>
      <c r="E22" s="7">
        <v>269</v>
      </c>
      <c r="F22" s="8">
        <f t="shared" si="0"/>
        <v>1029</v>
      </c>
      <c r="G22" s="4">
        <f t="shared" si="1"/>
        <v>13</v>
      </c>
      <c r="H22" s="9">
        <v>12212</v>
      </c>
      <c r="I22" s="4">
        <f t="shared" si="2"/>
        <v>14</v>
      </c>
      <c r="J22" s="53">
        <f>Table33[[#This Row],[PPF]]/Table33[[#This Row],[Total]]</f>
        <v>11.867832847424685</v>
      </c>
      <c r="K22" s="10">
        <v>0.92500000000000004</v>
      </c>
      <c r="L22" s="10">
        <v>1.7999999999999999E-2</v>
      </c>
      <c r="M22" s="10">
        <v>1.4999999999999999E-2</v>
      </c>
      <c r="N22" s="10">
        <v>1.2E-2</v>
      </c>
      <c r="O22" s="10">
        <v>7.0000000000000001E-3</v>
      </c>
      <c r="P22" s="10">
        <v>0.156</v>
      </c>
      <c r="Q22" s="12">
        <v>2.5000000000000001E-2</v>
      </c>
      <c r="R22" s="10">
        <v>0.43</v>
      </c>
      <c r="S22" s="10">
        <f>0/657</f>
        <v>0</v>
      </c>
      <c r="T22" s="11">
        <v>12.3</v>
      </c>
    </row>
    <row r="23" spans="1:20" x14ac:dyDescent="0.35">
      <c r="A23" s="2" t="s">
        <v>37</v>
      </c>
      <c r="B23" s="7">
        <v>245</v>
      </c>
      <c r="C23" s="7">
        <v>287</v>
      </c>
      <c r="D23" s="7">
        <v>232</v>
      </c>
      <c r="E23" s="7">
        <v>274</v>
      </c>
      <c r="F23" s="8">
        <f t="shared" si="0"/>
        <v>1038</v>
      </c>
      <c r="G23" s="4">
        <f t="shared" si="1"/>
        <v>6</v>
      </c>
      <c r="H23" s="9">
        <v>14082</v>
      </c>
      <c r="I23" s="4">
        <f t="shared" si="2"/>
        <v>10</v>
      </c>
      <c r="J23" s="53">
        <f>Table33[[#This Row],[PPF]]/Table33[[#This Row],[Total]]</f>
        <v>13.566473988439306</v>
      </c>
      <c r="K23" s="10">
        <v>0.43</v>
      </c>
      <c r="L23" s="10">
        <v>0.35799999999999998</v>
      </c>
      <c r="M23" s="10">
        <v>0.11600000000000001</v>
      </c>
      <c r="N23" s="10">
        <v>5.8999999999999997E-2</v>
      </c>
      <c r="O23" s="10">
        <v>4.0000000000000001E-3</v>
      </c>
      <c r="P23" s="10">
        <v>0.121</v>
      </c>
      <c r="Q23" s="12">
        <v>5.2999999999999999E-2</v>
      </c>
      <c r="R23" s="10">
        <v>0.40100000000000002</v>
      </c>
      <c r="S23" s="10">
        <f>44/1457</f>
        <v>3.0199039121482498E-2</v>
      </c>
      <c r="T23" s="11">
        <v>14.6</v>
      </c>
    </row>
    <row r="24" spans="1:20" x14ac:dyDescent="0.35">
      <c r="A24" s="2" t="s">
        <v>38</v>
      </c>
      <c r="B24" s="7">
        <v>253</v>
      </c>
      <c r="C24" s="7">
        <v>301</v>
      </c>
      <c r="D24" s="7">
        <v>232</v>
      </c>
      <c r="E24" s="7">
        <v>277</v>
      </c>
      <c r="F24" s="8">
        <f t="shared" si="0"/>
        <v>1063</v>
      </c>
      <c r="G24" s="4">
        <f t="shared" si="1"/>
        <v>1</v>
      </c>
      <c r="H24" s="9">
        <v>14670</v>
      </c>
      <c r="I24" s="4">
        <f t="shared" si="2"/>
        <v>9</v>
      </c>
      <c r="J24" s="53">
        <f>Table33[[#This Row],[PPF]]/Table33[[#This Row],[Total]]</f>
        <v>13.800564440263406</v>
      </c>
      <c r="K24" s="10">
        <v>0.68</v>
      </c>
      <c r="L24" s="10">
        <v>8.3000000000000004E-2</v>
      </c>
      <c r="M24" s="10">
        <v>0.154</v>
      </c>
      <c r="N24" s="10">
        <v>5.6000000000000001E-2</v>
      </c>
      <c r="O24" s="10">
        <v>3.0000000000000001E-3</v>
      </c>
      <c r="P24" s="10">
        <v>0.17499999999999999</v>
      </c>
      <c r="Q24" s="10">
        <v>5.8000000000000003E-2</v>
      </c>
      <c r="R24" s="10">
        <v>0.34200000000000003</v>
      </c>
      <c r="S24" s="10">
        <f>72/1849</f>
        <v>3.8939967550027044E-2</v>
      </c>
      <c r="T24" s="11">
        <v>13.9</v>
      </c>
    </row>
    <row r="25" spans="1:20" x14ac:dyDescent="0.35">
      <c r="A25" s="2" t="s">
        <v>39</v>
      </c>
      <c r="B25" s="7">
        <v>237</v>
      </c>
      <c r="C25" s="7">
        <v>280</v>
      </c>
      <c r="D25" s="7">
        <v>217</v>
      </c>
      <c r="E25" s="7">
        <v>266</v>
      </c>
      <c r="F25" s="8">
        <f t="shared" si="0"/>
        <v>1000</v>
      </c>
      <c r="G25" s="4">
        <f t="shared" si="1"/>
        <v>37</v>
      </c>
      <c r="H25" s="9">
        <v>10378</v>
      </c>
      <c r="I25" s="4">
        <f t="shared" si="2"/>
        <v>26</v>
      </c>
      <c r="J25" s="53">
        <f>Table33[[#This Row],[PPF]]/Table33[[#This Row],[Total]]</f>
        <v>10.378</v>
      </c>
      <c r="K25" s="10">
        <v>0.69799999999999995</v>
      </c>
      <c r="L25" s="10">
        <v>0.19</v>
      </c>
      <c r="M25" s="10">
        <v>5.8000000000000003E-2</v>
      </c>
      <c r="N25" s="10">
        <v>2.7E-2</v>
      </c>
      <c r="O25" s="10">
        <v>8.0000000000000002E-3</v>
      </c>
      <c r="P25" s="10">
        <v>0.13700000000000001</v>
      </c>
      <c r="Q25" s="10">
        <v>3.5999999999999997E-2</v>
      </c>
      <c r="R25" s="10">
        <v>0.46300000000000002</v>
      </c>
      <c r="S25" s="10">
        <f>300/4115</f>
        <v>7.2904009720534624E-2</v>
      </c>
      <c r="T25" s="11">
        <v>17.899999999999999</v>
      </c>
    </row>
    <row r="26" spans="1:20" x14ac:dyDescent="0.35">
      <c r="A26" s="2" t="s">
        <v>40</v>
      </c>
      <c r="B26" s="7">
        <v>253</v>
      </c>
      <c r="C26" s="7">
        <v>295</v>
      </c>
      <c r="D26" s="7">
        <v>227</v>
      </c>
      <c r="E26" s="7">
        <v>271</v>
      </c>
      <c r="F26" s="8">
        <f t="shared" si="0"/>
        <v>1046</v>
      </c>
      <c r="G26" s="4">
        <f t="shared" si="1"/>
        <v>4</v>
      </c>
      <c r="H26" s="9">
        <v>10677</v>
      </c>
      <c r="I26" s="4">
        <f t="shared" si="2"/>
        <v>22</v>
      </c>
      <c r="J26" s="53">
        <f>Table33[[#This Row],[PPF]]/Table33[[#This Row],[Total]]</f>
        <v>10.207456978967496</v>
      </c>
      <c r="K26" s="10">
        <v>0.73799999999999999</v>
      </c>
      <c r="L26" s="10">
        <v>9.1999999999999998E-2</v>
      </c>
      <c r="M26" s="10">
        <v>7.1999999999999995E-2</v>
      </c>
      <c r="N26" s="10">
        <v>6.0999999999999999E-2</v>
      </c>
      <c r="O26" s="10">
        <v>1.9E-2</v>
      </c>
      <c r="P26" s="10">
        <v>0.14699999999999999</v>
      </c>
      <c r="Q26" s="10">
        <v>5.8000000000000003E-2</v>
      </c>
      <c r="R26" s="10">
        <v>0.36499999999999999</v>
      </c>
      <c r="S26" s="10">
        <f>176/2461</f>
        <v>7.1515644047135313E-2</v>
      </c>
      <c r="T26" s="11">
        <v>15.9</v>
      </c>
    </row>
    <row r="27" spans="1:20" x14ac:dyDescent="0.35">
      <c r="A27" s="2" t="s">
        <v>41</v>
      </c>
      <c r="B27" s="7">
        <v>231</v>
      </c>
      <c r="C27" s="7">
        <v>271</v>
      </c>
      <c r="D27" s="7">
        <v>209</v>
      </c>
      <c r="E27" s="7">
        <v>253</v>
      </c>
      <c r="F27" s="8">
        <f t="shared" si="0"/>
        <v>964</v>
      </c>
      <c r="G27" s="4">
        <f t="shared" si="1"/>
        <v>50</v>
      </c>
      <c r="H27" s="9">
        <v>8112</v>
      </c>
      <c r="I27" s="4">
        <f t="shared" si="2"/>
        <v>47</v>
      </c>
      <c r="J27" s="53">
        <f>Table33[[#This Row],[PPF]]/Table33[[#This Row],[Total]]</f>
        <v>8.4149377593360999</v>
      </c>
      <c r="K27" s="10">
        <v>0.46</v>
      </c>
      <c r="L27" s="10">
        <v>0.499</v>
      </c>
      <c r="M27" s="10">
        <v>2.5000000000000001E-2</v>
      </c>
      <c r="N27" s="10">
        <v>8.9999999999999993E-3</v>
      </c>
      <c r="O27" s="10">
        <v>2E-3</v>
      </c>
      <c r="P27" s="12">
        <v>0.13</v>
      </c>
      <c r="Q27" s="10">
        <v>1.2E-2</v>
      </c>
      <c r="R27" s="10">
        <v>0.70599999999999996</v>
      </c>
      <c r="S27" s="10">
        <f>0/1115</f>
        <v>0</v>
      </c>
      <c r="T27" s="11">
        <v>15.2</v>
      </c>
    </row>
    <row r="28" spans="1:20" x14ac:dyDescent="0.35">
      <c r="A28" s="2" t="s">
        <v>42</v>
      </c>
      <c r="B28" s="7">
        <v>240</v>
      </c>
      <c r="C28" s="7">
        <v>283</v>
      </c>
      <c r="D28" s="7">
        <v>222</v>
      </c>
      <c r="E28" s="7">
        <v>267</v>
      </c>
      <c r="F28" s="8">
        <f t="shared" si="0"/>
        <v>1012</v>
      </c>
      <c r="G28" s="4">
        <f t="shared" si="1"/>
        <v>30</v>
      </c>
      <c r="H28" s="9">
        <v>9721</v>
      </c>
      <c r="I28" s="4">
        <f t="shared" si="2"/>
        <v>30</v>
      </c>
      <c r="J28" s="53">
        <f>Table33[[#This Row],[PPF]]/Table33[[#This Row],[Total]]</f>
        <v>9.6057312252964433</v>
      </c>
      <c r="K28" s="10">
        <v>0.747</v>
      </c>
      <c r="L28" s="10">
        <v>0.17100000000000001</v>
      </c>
      <c r="M28" s="10">
        <v>4.4999999999999998E-2</v>
      </c>
      <c r="N28" s="10">
        <v>0.02</v>
      </c>
      <c r="O28" s="10">
        <v>5.0000000000000001E-3</v>
      </c>
      <c r="P28" s="10">
        <v>0.13800000000000001</v>
      </c>
      <c r="Q28" s="10">
        <v>2.4E-2</v>
      </c>
      <c r="R28" s="10">
        <v>0.443</v>
      </c>
      <c r="S28" s="10">
        <f>53/2451</f>
        <v>2.1623827009383926E-2</v>
      </c>
      <c r="T28" s="11">
        <v>13.8</v>
      </c>
    </row>
    <row r="29" spans="1:20" x14ac:dyDescent="0.35">
      <c r="A29" s="2" t="s">
        <v>43</v>
      </c>
      <c r="B29" s="7">
        <v>244</v>
      </c>
      <c r="C29" s="7">
        <v>289</v>
      </c>
      <c r="D29" s="7">
        <v>223</v>
      </c>
      <c r="E29" s="7">
        <v>272</v>
      </c>
      <c r="F29" s="8">
        <f t="shared" si="0"/>
        <v>1028</v>
      </c>
      <c r="G29" s="4">
        <f t="shared" si="1"/>
        <v>17</v>
      </c>
      <c r="H29" s="9">
        <v>10558</v>
      </c>
      <c r="I29" s="4">
        <f t="shared" si="2"/>
        <v>24</v>
      </c>
      <c r="J29" s="53">
        <f>Table33[[#This Row],[PPF]]/Table33[[#This Row],[Total]]</f>
        <v>10.270428015564203</v>
      </c>
      <c r="K29" s="10">
        <v>0.81799999999999995</v>
      </c>
      <c r="L29" s="10">
        <v>0.01</v>
      </c>
      <c r="M29" s="10">
        <v>3.5000000000000003E-2</v>
      </c>
      <c r="N29" s="10">
        <v>1.0999999999999999E-2</v>
      </c>
      <c r="O29" s="10">
        <v>0.111</v>
      </c>
      <c r="P29" s="10">
        <v>0.11799999999999999</v>
      </c>
      <c r="Q29" s="10">
        <v>2.3E-2</v>
      </c>
      <c r="R29" s="10">
        <v>0.40799999999999997</v>
      </c>
      <c r="S29" s="10">
        <f>0/829</f>
        <v>0</v>
      </c>
      <c r="T29" s="11">
        <v>13.7</v>
      </c>
    </row>
    <row r="30" spans="1:20" x14ac:dyDescent="0.35">
      <c r="A30" s="2" t="s">
        <v>44</v>
      </c>
      <c r="B30" s="7">
        <v>243</v>
      </c>
      <c r="C30" s="7">
        <v>285</v>
      </c>
      <c r="D30" s="7">
        <v>223</v>
      </c>
      <c r="E30" s="7">
        <v>269</v>
      </c>
      <c r="F30" s="8">
        <f t="shared" si="0"/>
        <v>1020</v>
      </c>
      <c r="G30" s="4">
        <f t="shared" si="1"/>
        <v>21</v>
      </c>
      <c r="H30" s="9">
        <v>11536</v>
      </c>
      <c r="I30" s="4">
        <f t="shared" si="2"/>
        <v>18</v>
      </c>
      <c r="J30" s="53">
        <f>Table33[[#This Row],[PPF]]/Table33[[#This Row],[Total]]</f>
        <v>11.309803921568628</v>
      </c>
      <c r="K30" s="10">
        <v>0.70799999999999996</v>
      </c>
      <c r="L30" s="10">
        <v>6.7000000000000004E-2</v>
      </c>
      <c r="M30" s="10">
        <v>0.161</v>
      </c>
      <c r="N30" s="10">
        <v>2.1000000000000001E-2</v>
      </c>
      <c r="O30" s="10">
        <v>1.4999999999999999E-2</v>
      </c>
      <c r="P30" s="10">
        <v>0.14799999999999999</v>
      </c>
      <c r="Q30" s="10">
        <v>6.7000000000000004E-2</v>
      </c>
      <c r="R30" s="10">
        <v>0.42599999999999999</v>
      </c>
      <c r="S30" s="10">
        <f>0/1127</f>
        <v>0</v>
      </c>
      <c r="T30" s="11">
        <v>13.4</v>
      </c>
    </row>
    <row r="31" spans="1:20" x14ac:dyDescent="0.35">
      <c r="A31" s="2" t="s">
        <v>45</v>
      </c>
      <c r="B31" s="7">
        <v>236</v>
      </c>
      <c r="C31" s="7">
        <v>278</v>
      </c>
      <c r="D31" s="7">
        <v>214</v>
      </c>
      <c r="E31" s="7">
        <v>262</v>
      </c>
      <c r="F31" s="8">
        <f t="shared" si="0"/>
        <v>990</v>
      </c>
      <c r="G31" s="4">
        <f t="shared" si="1"/>
        <v>43</v>
      </c>
      <c r="H31" s="9">
        <v>8290</v>
      </c>
      <c r="I31" s="4">
        <f t="shared" si="2"/>
        <v>44</v>
      </c>
      <c r="J31" s="53">
        <f>Table33[[#This Row],[PPF]]/Table33[[#This Row],[Total]]</f>
        <v>8.3737373737373737</v>
      </c>
      <c r="K31" s="10">
        <v>0.38700000000000001</v>
      </c>
      <c r="L31" s="10">
        <v>9.9000000000000005E-2</v>
      </c>
      <c r="M31" s="10">
        <v>0.38700000000000001</v>
      </c>
      <c r="N31" s="10">
        <v>7.0999999999999994E-2</v>
      </c>
      <c r="O31" s="10">
        <v>1.2999999999999999E-2</v>
      </c>
      <c r="P31" s="10">
        <v>0.11</v>
      </c>
      <c r="Q31" s="10">
        <v>0.191</v>
      </c>
      <c r="R31" s="10">
        <v>0.503</v>
      </c>
      <c r="S31" s="10">
        <f>37/677</f>
        <v>5.4652880354505169E-2</v>
      </c>
      <c r="T31" s="11">
        <v>20</v>
      </c>
    </row>
    <row r="32" spans="1:20" x14ac:dyDescent="0.35">
      <c r="A32" s="2" t="s">
        <v>46</v>
      </c>
      <c r="B32" s="7">
        <v>253</v>
      </c>
      <c r="C32" s="7">
        <v>296</v>
      </c>
      <c r="D32" s="7">
        <v>232</v>
      </c>
      <c r="E32" s="7">
        <v>274</v>
      </c>
      <c r="F32" s="8">
        <f t="shared" si="0"/>
        <v>1055</v>
      </c>
      <c r="G32" s="4">
        <f t="shared" si="1"/>
        <v>2</v>
      </c>
      <c r="H32" s="9">
        <v>13019</v>
      </c>
      <c r="I32" s="4">
        <f t="shared" si="2"/>
        <v>11</v>
      </c>
      <c r="J32" s="53">
        <f>Table33[[#This Row],[PPF]]/Table33[[#This Row],[Total]]</f>
        <v>12.340284360189573</v>
      </c>
      <c r="K32" s="10">
        <v>0.89800000000000002</v>
      </c>
      <c r="L32" s="10">
        <v>0.02</v>
      </c>
      <c r="M32" s="10">
        <v>3.6999999999999998E-2</v>
      </c>
      <c r="N32" s="10">
        <v>2.8000000000000001E-2</v>
      </c>
      <c r="O32" s="10">
        <v>3.0000000000000001E-3</v>
      </c>
      <c r="P32" s="10">
        <v>0.153</v>
      </c>
      <c r="Q32" s="10">
        <v>0.02</v>
      </c>
      <c r="R32" s="10">
        <v>0.252</v>
      </c>
      <c r="S32" s="10">
        <f>14/483</f>
        <v>2.8985507246376812E-2</v>
      </c>
      <c r="T32" s="11">
        <v>12.7</v>
      </c>
    </row>
    <row r="33" spans="1:20" x14ac:dyDescent="0.35">
      <c r="A33" s="2" t="s">
        <v>47</v>
      </c>
      <c r="B33" s="7">
        <v>247</v>
      </c>
      <c r="C33" s="7">
        <v>296</v>
      </c>
      <c r="D33" s="7">
        <v>229</v>
      </c>
      <c r="E33" s="62">
        <v>276</v>
      </c>
      <c r="F33" s="8">
        <f t="shared" si="0"/>
        <v>1048</v>
      </c>
      <c r="G33" s="4">
        <f t="shared" si="1"/>
        <v>3</v>
      </c>
      <c r="H33" s="9">
        <v>17562</v>
      </c>
      <c r="I33" s="4">
        <f t="shared" si="2"/>
        <v>3</v>
      </c>
      <c r="J33" s="53">
        <f>Table33[[#This Row],[PPF]]/Table33[[#This Row],[Total]]</f>
        <v>16.757633587786259</v>
      </c>
      <c r="K33" s="10">
        <v>0.51500000000000001</v>
      </c>
      <c r="L33" s="10">
        <v>0.16700000000000001</v>
      </c>
      <c r="M33" s="10">
        <v>0.221</v>
      </c>
      <c r="N33" s="10">
        <v>8.8999999999999996E-2</v>
      </c>
      <c r="O33" s="10">
        <v>1E-3</v>
      </c>
      <c r="P33" s="10">
        <v>0.161</v>
      </c>
      <c r="Q33" s="10">
        <v>3.7999999999999999E-2</v>
      </c>
      <c r="R33" s="10">
        <v>0.32800000000000001</v>
      </c>
      <c r="S33" s="10">
        <f>84/2634</f>
        <v>3.1890660592255128E-2</v>
      </c>
      <c r="T33" s="11">
        <v>12.7</v>
      </c>
    </row>
    <row r="34" spans="1:20" x14ac:dyDescent="0.35">
      <c r="A34" s="2" t="s">
        <v>48</v>
      </c>
      <c r="B34" s="7">
        <v>233</v>
      </c>
      <c r="C34" s="7">
        <v>273</v>
      </c>
      <c r="D34" s="7">
        <v>206</v>
      </c>
      <c r="E34" s="7">
        <v>256</v>
      </c>
      <c r="F34" s="8">
        <f t="shared" si="0"/>
        <v>968</v>
      </c>
      <c r="G34" s="4">
        <f t="shared" si="1"/>
        <v>49</v>
      </c>
      <c r="H34" s="9">
        <v>9742</v>
      </c>
      <c r="I34" s="4">
        <f t="shared" si="2"/>
        <v>29</v>
      </c>
      <c r="J34" s="53">
        <f>Table33[[#This Row],[PPF]]/Table33[[#This Row],[Total]]</f>
        <v>10.064049586776859</v>
      </c>
      <c r="K34" s="10">
        <v>0.26</v>
      </c>
      <c r="L34" s="10">
        <v>2.1000000000000001E-2</v>
      </c>
      <c r="M34" s="10">
        <v>0.59399999999999997</v>
      </c>
      <c r="N34" s="10">
        <v>1.2999999999999999E-2</v>
      </c>
      <c r="O34" s="10">
        <v>0.10199999999999999</v>
      </c>
      <c r="P34" s="10">
        <v>0.13800000000000001</v>
      </c>
      <c r="Q34" s="12">
        <v>0.155</v>
      </c>
      <c r="R34" s="10">
        <v>0.67600000000000005</v>
      </c>
      <c r="S34" s="10">
        <f>83/873</f>
        <v>9.5074455899198163E-2</v>
      </c>
      <c r="T34" s="11">
        <v>15.1</v>
      </c>
    </row>
    <row r="35" spans="1:20" x14ac:dyDescent="0.35">
      <c r="A35" s="61" t="s">
        <v>49</v>
      </c>
      <c r="B35" s="62">
        <v>240</v>
      </c>
      <c r="C35" s="62">
        <v>282</v>
      </c>
      <c r="D35" s="62">
        <v>224</v>
      </c>
      <c r="E35" s="62">
        <v>266</v>
      </c>
      <c r="F35" s="8">
        <f t="shared" ref="F35:F53" si="3">SUM(B35:E35)</f>
        <v>1012</v>
      </c>
      <c r="G35" s="4">
        <f t="shared" ref="G35:G53" si="4">RANK(F35,F$3:F$53)</f>
        <v>30</v>
      </c>
      <c r="H35" s="63">
        <v>18335</v>
      </c>
      <c r="I35" s="4">
        <f t="shared" ref="I35:I53" si="5">RANK(H35,H$3:H$53)</f>
        <v>2</v>
      </c>
      <c r="J35" s="73">
        <f>Table33[[#This Row],[PPF]]/Table33[[#This Row],[Total]]</f>
        <v>18.117588932806324</v>
      </c>
      <c r="K35" s="64">
        <v>0.49199999999999999</v>
      </c>
      <c r="L35" s="64">
        <v>0.19</v>
      </c>
      <c r="M35" s="64">
        <v>0.224</v>
      </c>
      <c r="N35" s="64">
        <v>0</v>
      </c>
      <c r="O35" s="64">
        <v>5.0000000000000001E-3</v>
      </c>
      <c r="P35" s="64">
        <v>0.16600000000000001</v>
      </c>
      <c r="Q35" s="64">
        <v>7.5999999999999998E-2</v>
      </c>
      <c r="R35" s="64">
        <v>0.48099999999999998</v>
      </c>
      <c r="S35" s="64">
        <f>170/4791</f>
        <v>3.5483197662283451E-2</v>
      </c>
      <c r="T35" s="65">
        <v>12.9</v>
      </c>
    </row>
    <row r="36" spans="1:20" x14ac:dyDescent="0.35">
      <c r="A36" s="2" t="s">
        <v>50</v>
      </c>
      <c r="B36" s="7">
        <v>245</v>
      </c>
      <c r="C36" s="7">
        <v>286</v>
      </c>
      <c r="D36" s="7">
        <v>222</v>
      </c>
      <c r="E36" s="7">
        <v>265</v>
      </c>
      <c r="F36" s="8">
        <f t="shared" si="3"/>
        <v>1018</v>
      </c>
      <c r="G36" s="4">
        <f t="shared" si="4"/>
        <v>23</v>
      </c>
      <c r="H36" s="9">
        <v>8195</v>
      </c>
      <c r="I36" s="4">
        <f t="shared" si="5"/>
        <v>45</v>
      </c>
      <c r="J36" s="53">
        <f>Table33[[#This Row],[PPF]]/Table33[[#This Row],[Total]]</f>
        <v>8.0500982318271124</v>
      </c>
      <c r="K36" s="10">
        <v>0.53200000000000003</v>
      </c>
      <c r="L36" s="10">
        <v>0.26500000000000001</v>
      </c>
      <c r="M36" s="10">
        <v>0.126</v>
      </c>
      <c r="N36" s="10">
        <v>2.5000000000000001E-2</v>
      </c>
      <c r="O36" s="10">
        <v>1.4999999999999999E-2</v>
      </c>
      <c r="P36" s="10">
        <v>0.124</v>
      </c>
      <c r="Q36" s="10">
        <v>6.9000000000000006E-2</v>
      </c>
      <c r="R36" s="10">
        <v>0.503</v>
      </c>
      <c r="S36" s="10">
        <f>100/2609</f>
        <v>3.8328861632809505E-2</v>
      </c>
      <c r="T36" s="11">
        <v>15.2</v>
      </c>
    </row>
    <row r="37" spans="1:20" x14ac:dyDescent="0.35">
      <c r="A37" s="2" t="s">
        <v>51</v>
      </c>
      <c r="B37" s="7">
        <v>246</v>
      </c>
      <c r="C37" s="7">
        <v>291</v>
      </c>
      <c r="D37" s="7">
        <v>224</v>
      </c>
      <c r="E37" s="7">
        <v>268</v>
      </c>
      <c r="F37" s="8">
        <f t="shared" si="3"/>
        <v>1029</v>
      </c>
      <c r="G37" s="4">
        <f t="shared" si="4"/>
        <v>13</v>
      </c>
      <c r="H37" s="9">
        <v>10557</v>
      </c>
      <c r="I37" s="4">
        <f t="shared" si="5"/>
        <v>25</v>
      </c>
      <c r="J37" s="53">
        <f>Table33[[#This Row],[PPF]]/Table33[[#This Row],[Total]]</f>
        <v>10.259475218658892</v>
      </c>
      <c r="K37" s="10">
        <v>0.83699999999999997</v>
      </c>
      <c r="L37" s="10">
        <v>2.4E-2</v>
      </c>
      <c r="M37" s="10">
        <v>1E-3</v>
      </c>
      <c r="N37" s="10">
        <v>1.2999999999999999E-2</v>
      </c>
      <c r="O37" s="10">
        <v>9.0999999999999998E-2</v>
      </c>
      <c r="P37" s="10">
        <v>0.13900000000000001</v>
      </c>
      <c r="Q37" s="10">
        <v>0.03</v>
      </c>
      <c r="R37" s="10">
        <v>0.318</v>
      </c>
      <c r="S37" s="10">
        <f>0/521</f>
        <v>0</v>
      </c>
      <c r="T37" s="11">
        <v>11.4</v>
      </c>
    </row>
    <row r="38" spans="1:20" x14ac:dyDescent="0.35">
      <c r="A38" s="2" t="s">
        <v>52</v>
      </c>
      <c r="B38" s="7">
        <v>246</v>
      </c>
      <c r="C38" s="7">
        <v>290</v>
      </c>
      <c r="D38" s="7">
        <v>224</v>
      </c>
      <c r="E38" s="7">
        <v>269</v>
      </c>
      <c r="F38" s="8">
        <f t="shared" si="3"/>
        <v>1029</v>
      </c>
      <c r="G38" s="4">
        <f t="shared" si="4"/>
        <v>13</v>
      </c>
      <c r="H38" s="9">
        <v>10879</v>
      </c>
      <c r="I38" s="4">
        <f t="shared" si="5"/>
        <v>20</v>
      </c>
      <c r="J38" s="53">
        <f>Table33[[#This Row],[PPF]]/Table33[[#This Row],[Total]]</f>
        <v>10.572400388726919</v>
      </c>
      <c r="K38" s="10">
        <v>0.74199999999999999</v>
      </c>
      <c r="L38" s="10">
        <v>0.16300000000000001</v>
      </c>
      <c r="M38" s="10">
        <v>3.5000000000000003E-2</v>
      </c>
      <c r="N38" s="10">
        <v>1.7000000000000001E-2</v>
      </c>
      <c r="O38" s="10">
        <v>1E-3</v>
      </c>
      <c r="P38" s="10">
        <v>0.14799999999999999</v>
      </c>
      <c r="Q38" s="10">
        <v>2.1000000000000001E-2</v>
      </c>
      <c r="R38" s="10">
        <v>0.42599999999999999</v>
      </c>
      <c r="S38" s="10">
        <f>367/3852</f>
        <v>9.5275181723779856E-2</v>
      </c>
      <c r="T38" s="11">
        <v>16.100000000000001</v>
      </c>
    </row>
    <row r="39" spans="1:20" x14ac:dyDescent="0.35">
      <c r="A39" s="61" t="s">
        <v>53</v>
      </c>
      <c r="B39" s="62">
        <v>239</v>
      </c>
      <c r="C39" s="62">
        <v>276</v>
      </c>
      <c r="D39" s="62">
        <v>217</v>
      </c>
      <c r="E39" s="62">
        <v>262</v>
      </c>
      <c r="F39" s="8">
        <f t="shared" si="3"/>
        <v>994</v>
      </c>
      <c r="G39" s="4">
        <f t="shared" si="4"/>
        <v>40</v>
      </c>
      <c r="H39" s="63">
        <v>8048</v>
      </c>
      <c r="I39" s="4">
        <f t="shared" si="5"/>
        <v>48</v>
      </c>
      <c r="J39" s="73">
        <f>Table33[[#This Row],[PPF]]/Table33[[#This Row],[Total]]</f>
        <v>8.0965794768611676</v>
      </c>
      <c r="K39" s="64">
        <v>0.54600000000000004</v>
      </c>
      <c r="L39" s="64">
        <v>0.10199999999999999</v>
      </c>
      <c r="M39" s="64">
        <v>0.123</v>
      </c>
      <c r="N39" s="64">
        <v>2.1999999999999999E-2</v>
      </c>
      <c r="O39" s="64">
        <v>0.17699999999999999</v>
      </c>
      <c r="P39" s="74">
        <v>0.14699999999999999</v>
      </c>
      <c r="Q39" s="74">
        <v>6.3E-2</v>
      </c>
      <c r="R39" s="64">
        <v>0.60499999999999998</v>
      </c>
      <c r="S39" s="64">
        <f>18/1803</f>
        <v>9.9833610648918467E-3</v>
      </c>
      <c r="T39" s="65">
        <v>16</v>
      </c>
    </row>
    <row r="40" spans="1:20" x14ac:dyDescent="0.35">
      <c r="A40" s="2" t="s">
        <v>54</v>
      </c>
      <c r="B40" s="7">
        <v>240</v>
      </c>
      <c r="C40" s="7">
        <v>284</v>
      </c>
      <c r="D40" s="7">
        <v>219</v>
      </c>
      <c r="E40" s="7">
        <v>268</v>
      </c>
      <c r="F40" s="8">
        <f t="shared" si="3"/>
        <v>1011</v>
      </c>
      <c r="G40" s="4">
        <f t="shared" si="4"/>
        <v>32</v>
      </c>
      <c r="H40" s="9">
        <v>9387</v>
      </c>
      <c r="I40" s="4">
        <f t="shared" si="5"/>
        <v>34</v>
      </c>
      <c r="J40" s="53">
        <f>Table33[[#This Row],[PPF]]/Table33[[#This Row],[Total]]</f>
        <v>9.2848664688427291</v>
      </c>
      <c r="K40" s="10">
        <v>0.66300000000000003</v>
      </c>
      <c r="L40" s="10">
        <v>2.5999999999999999E-2</v>
      </c>
      <c r="M40" s="10">
        <v>0.20499999999999999</v>
      </c>
      <c r="N40" s="10">
        <v>4.4999999999999998E-2</v>
      </c>
      <c r="O40" s="10">
        <v>1.9E-2</v>
      </c>
      <c r="P40" s="10">
        <v>0.14299999999999999</v>
      </c>
      <c r="Q40" s="10">
        <v>0.105</v>
      </c>
      <c r="R40" s="10">
        <v>0.50600000000000001</v>
      </c>
      <c r="S40" s="10">
        <f>108/1313</f>
        <v>8.225437928408226E-2</v>
      </c>
      <c r="T40" s="11">
        <v>20.3</v>
      </c>
    </row>
    <row r="41" spans="1:20" x14ac:dyDescent="0.35">
      <c r="A41" s="2" t="s">
        <v>55</v>
      </c>
      <c r="B41" s="7">
        <v>244</v>
      </c>
      <c r="C41" s="7">
        <v>290</v>
      </c>
      <c r="D41" s="7">
        <v>226</v>
      </c>
      <c r="E41" s="7">
        <v>272</v>
      </c>
      <c r="F41" s="8">
        <f t="shared" si="3"/>
        <v>1032</v>
      </c>
      <c r="G41" s="4">
        <f t="shared" si="4"/>
        <v>9</v>
      </c>
      <c r="H41" s="9">
        <v>12807</v>
      </c>
      <c r="I41" s="4">
        <f t="shared" si="5"/>
        <v>12</v>
      </c>
      <c r="J41" s="53">
        <f>Table33[[#This Row],[PPF]]/Table33[[#This Row],[Total]]</f>
        <v>12.409883720930232</v>
      </c>
      <c r="K41" s="10">
        <v>0.71199999999999997</v>
      </c>
      <c r="L41" s="10">
        <v>0.157</v>
      </c>
      <c r="M41" s="10">
        <v>8.3000000000000004E-2</v>
      </c>
      <c r="N41" s="10">
        <v>3.2000000000000001E-2</v>
      </c>
      <c r="O41" s="10">
        <v>2E-3</v>
      </c>
      <c r="P41" s="10">
        <v>0.16500000000000001</v>
      </c>
      <c r="Q41" s="10">
        <v>2.5999999999999999E-2</v>
      </c>
      <c r="R41" s="10">
        <v>0.38900000000000001</v>
      </c>
      <c r="S41" s="10">
        <f>145/3269</f>
        <v>4.4356072193331292E-2</v>
      </c>
      <c r="T41" s="11">
        <v>13.8</v>
      </c>
    </row>
    <row r="42" spans="1:20" x14ac:dyDescent="0.35">
      <c r="A42" s="2" t="s">
        <v>56</v>
      </c>
      <c r="B42" s="7">
        <v>241</v>
      </c>
      <c r="C42" s="7">
        <v>284</v>
      </c>
      <c r="D42" s="7">
        <v>223</v>
      </c>
      <c r="E42" s="7">
        <v>267</v>
      </c>
      <c r="F42" s="8">
        <f t="shared" si="3"/>
        <v>1015</v>
      </c>
      <c r="G42" s="4">
        <f t="shared" si="4"/>
        <v>28</v>
      </c>
      <c r="H42" s="9">
        <v>14700</v>
      </c>
      <c r="I42" s="4">
        <f t="shared" si="5"/>
        <v>8</v>
      </c>
      <c r="J42" s="53">
        <f>Table33[[#This Row],[PPF]]/Table33[[#This Row],[Total]]</f>
        <v>14.482758620689655</v>
      </c>
      <c r="K42" s="10">
        <v>0.65200000000000002</v>
      </c>
      <c r="L42" s="10">
        <v>0.08</v>
      </c>
      <c r="M42" s="10">
        <v>0.20799999999999999</v>
      </c>
      <c r="N42" s="10">
        <v>3.1E-2</v>
      </c>
      <c r="O42" s="10">
        <v>7.0000000000000001E-3</v>
      </c>
      <c r="P42" s="10">
        <v>0.17599999999999999</v>
      </c>
      <c r="Q42" s="12">
        <v>5.2999999999999999E-2</v>
      </c>
      <c r="R42" s="10">
        <v>0.42899999999999999</v>
      </c>
      <c r="S42" s="10">
        <f>16/325</f>
        <v>4.9230769230769231E-2</v>
      </c>
      <c r="T42" s="11">
        <v>12.8</v>
      </c>
    </row>
    <row r="43" spans="1:20" x14ac:dyDescent="0.35">
      <c r="A43" s="2" t="s">
        <v>57</v>
      </c>
      <c r="B43" s="7">
        <v>237</v>
      </c>
      <c r="C43" s="7">
        <v>280</v>
      </c>
      <c r="D43" s="7">
        <v>214</v>
      </c>
      <c r="E43" s="7">
        <v>261</v>
      </c>
      <c r="F43" s="8">
        <f t="shared" si="3"/>
        <v>992</v>
      </c>
      <c r="G43" s="4">
        <f t="shared" si="4"/>
        <v>42</v>
      </c>
      <c r="H43" s="9">
        <v>9143</v>
      </c>
      <c r="I43" s="4">
        <f t="shared" si="5"/>
        <v>37</v>
      </c>
      <c r="J43" s="53">
        <f>Table33[[#This Row],[PPF]]/Table33[[#This Row],[Total]]</f>
        <v>9.216733870967742</v>
      </c>
      <c r="K43" s="10">
        <v>0.53400000000000003</v>
      </c>
      <c r="L43" s="10">
        <v>0.36199999999999999</v>
      </c>
      <c r="M43" s="10">
        <v>6.4000000000000001E-2</v>
      </c>
      <c r="N43" s="10">
        <v>1.4E-2</v>
      </c>
      <c r="O43" s="10">
        <v>3.0000000000000001E-3</v>
      </c>
      <c r="P43" s="10">
        <v>0.13800000000000001</v>
      </c>
      <c r="Q43" s="10">
        <v>0.05</v>
      </c>
      <c r="R43" s="10">
        <v>0.54500000000000004</v>
      </c>
      <c r="S43" s="10">
        <f>44/1228</f>
        <v>3.5830618892508145E-2</v>
      </c>
      <c r="T43" s="11">
        <v>16.100000000000001</v>
      </c>
    </row>
    <row r="44" spans="1:20" x14ac:dyDescent="0.35">
      <c r="A44" s="2" t="s">
        <v>58</v>
      </c>
      <c r="B44" s="7">
        <v>241</v>
      </c>
      <c r="C44" s="7">
        <v>287</v>
      </c>
      <c r="D44" s="7">
        <v>218</v>
      </c>
      <c r="E44" s="7">
        <v>268</v>
      </c>
      <c r="F44" s="8">
        <f t="shared" si="3"/>
        <v>1014</v>
      </c>
      <c r="G44" s="4">
        <f t="shared" si="4"/>
        <v>29</v>
      </c>
      <c r="H44" s="9">
        <v>8825</v>
      </c>
      <c r="I44" s="4">
        <f t="shared" si="5"/>
        <v>43</v>
      </c>
      <c r="J44" s="53">
        <f>Table33[[#This Row],[PPF]]/Table33[[#This Row],[Total]]</f>
        <v>8.7031558185404343</v>
      </c>
      <c r="K44" s="10">
        <v>0.79800000000000004</v>
      </c>
      <c r="L44" s="10">
        <v>2.5000000000000001E-2</v>
      </c>
      <c r="M44" s="10">
        <v>3.5000000000000003E-2</v>
      </c>
      <c r="N44" s="10">
        <v>1.4999999999999999E-2</v>
      </c>
      <c r="O44" s="10">
        <v>0.11600000000000001</v>
      </c>
      <c r="P44" s="10">
        <v>0.14299999999999999</v>
      </c>
      <c r="Q44" s="10">
        <v>3.5000000000000003E-2</v>
      </c>
      <c r="R44" s="10">
        <v>0.371</v>
      </c>
      <c r="S44" s="10">
        <f>0/718</f>
        <v>0</v>
      </c>
      <c r="T44" s="11">
        <v>13.3</v>
      </c>
    </row>
    <row r="45" spans="1:20" x14ac:dyDescent="0.35">
      <c r="A45" s="2" t="s">
        <v>59</v>
      </c>
      <c r="B45" s="7">
        <v>240</v>
      </c>
      <c r="C45" s="7">
        <v>278</v>
      </c>
      <c r="D45" s="7">
        <v>220</v>
      </c>
      <c r="E45" s="62">
        <v>265</v>
      </c>
      <c r="F45" s="8">
        <f t="shared" si="3"/>
        <v>1003</v>
      </c>
      <c r="G45" s="4">
        <f t="shared" si="4"/>
        <v>36</v>
      </c>
      <c r="H45" s="9">
        <v>8122</v>
      </c>
      <c r="I45" s="4">
        <f t="shared" si="5"/>
        <v>46</v>
      </c>
      <c r="J45" s="53">
        <f>Table33[[#This Row],[PPF]]/Table33[[#This Row],[Total]]</f>
        <v>8.0977068793619136</v>
      </c>
      <c r="K45" s="10">
        <v>0.67300000000000004</v>
      </c>
      <c r="L45" s="10">
        <v>0.23899999999999999</v>
      </c>
      <c r="M45" s="10">
        <v>6.0999999999999999E-2</v>
      </c>
      <c r="N45" s="10">
        <v>1.7000000000000001E-2</v>
      </c>
      <c r="O45" s="10">
        <v>2E-3</v>
      </c>
      <c r="P45" s="10">
        <v>0.121</v>
      </c>
      <c r="Q45" s="10">
        <v>0.03</v>
      </c>
      <c r="R45" s="10">
        <v>0.55000000000000004</v>
      </c>
      <c r="S45" s="10">
        <f>29/1803</f>
        <v>1.6084303937881309E-2</v>
      </c>
      <c r="T45" s="11">
        <v>14.8</v>
      </c>
    </row>
    <row r="46" spans="1:20" x14ac:dyDescent="0.35">
      <c r="A46" s="2" t="s">
        <v>60</v>
      </c>
      <c r="B46" s="7">
        <v>242</v>
      </c>
      <c r="C46" s="7">
        <v>288</v>
      </c>
      <c r="D46" s="7">
        <v>217</v>
      </c>
      <c r="E46" s="7">
        <v>264</v>
      </c>
      <c r="F46" s="8">
        <f t="shared" si="3"/>
        <v>1011</v>
      </c>
      <c r="G46" s="4">
        <f t="shared" si="4"/>
        <v>32</v>
      </c>
      <c r="H46" s="9">
        <v>8968</v>
      </c>
      <c r="I46" s="4">
        <f t="shared" si="5"/>
        <v>40</v>
      </c>
      <c r="J46" s="53">
        <f>Table33[[#This Row],[PPF]]/Table33[[#This Row],[Total]]</f>
        <v>8.8704253214638964</v>
      </c>
      <c r="K46" s="10">
        <v>0.312</v>
      </c>
      <c r="L46" s="10">
        <v>0.129</v>
      </c>
      <c r="M46" s="10">
        <v>0.503</v>
      </c>
      <c r="N46" s="10">
        <v>3.5000000000000003E-2</v>
      </c>
      <c r="O46" s="10">
        <v>5.0000000000000001E-3</v>
      </c>
      <c r="P46" s="10">
        <v>0.09</v>
      </c>
      <c r="Q46" s="10">
        <v>0.15</v>
      </c>
      <c r="R46" s="10">
        <v>0.501</v>
      </c>
      <c r="S46" s="10">
        <f>594/9332</f>
        <v>6.365195027861123E-2</v>
      </c>
      <c r="T46" s="11">
        <v>14.7</v>
      </c>
    </row>
    <row r="47" spans="1:20" x14ac:dyDescent="0.35">
      <c r="A47" s="61" t="s">
        <v>61</v>
      </c>
      <c r="B47" s="62">
        <v>243</v>
      </c>
      <c r="C47" s="62">
        <v>284</v>
      </c>
      <c r="D47" s="62">
        <v>223</v>
      </c>
      <c r="E47" s="62">
        <v>270</v>
      </c>
      <c r="F47" s="8">
        <f t="shared" si="3"/>
        <v>1020</v>
      </c>
      <c r="G47" s="4">
        <f t="shared" si="4"/>
        <v>21</v>
      </c>
      <c r="H47" s="63">
        <v>6605</v>
      </c>
      <c r="I47" s="4">
        <f t="shared" si="5"/>
        <v>51</v>
      </c>
      <c r="J47" s="73">
        <f>Table33[[#This Row],[PPF]]/Table33[[#This Row],[Total]]</f>
        <v>6.4754901960784315</v>
      </c>
      <c r="K47" s="64">
        <v>0.78</v>
      </c>
      <c r="L47" s="64">
        <v>1.4999999999999999E-2</v>
      </c>
      <c r="M47" s="64">
        <v>0.151</v>
      </c>
      <c r="N47" s="64">
        <v>3.4000000000000002E-2</v>
      </c>
      <c r="O47" s="64">
        <v>1.2999999999999999E-2</v>
      </c>
      <c r="P47" s="64">
        <v>0.12</v>
      </c>
      <c r="Q47" s="64">
        <v>7.2999999999999995E-2</v>
      </c>
      <c r="R47" s="64">
        <v>0.38200000000000001</v>
      </c>
      <c r="S47" s="64">
        <f>82/1029</f>
        <v>7.9689018464528666E-2</v>
      </c>
      <c r="T47" s="65">
        <v>22.8</v>
      </c>
    </row>
    <row r="48" spans="1:20" x14ac:dyDescent="0.35">
      <c r="A48" s="2" t="s">
        <v>62</v>
      </c>
      <c r="B48" s="7">
        <v>248</v>
      </c>
      <c r="C48" s="7">
        <v>295</v>
      </c>
      <c r="D48" s="7">
        <v>228</v>
      </c>
      <c r="E48" s="7">
        <v>274</v>
      </c>
      <c r="F48" s="8">
        <f t="shared" si="3"/>
        <v>1045</v>
      </c>
      <c r="G48" s="4">
        <f t="shared" si="4"/>
        <v>5</v>
      </c>
      <c r="H48" s="9">
        <v>15634</v>
      </c>
      <c r="I48" s="4">
        <f t="shared" si="5"/>
        <v>5</v>
      </c>
      <c r="J48" s="53">
        <f>Table33[[#This Row],[PPF]]/Table33[[#This Row],[Total]]</f>
        <v>14.960765550239234</v>
      </c>
      <c r="K48" s="10">
        <v>0.92800000000000005</v>
      </c>
      <c r="L48" s="10">
        <v>1.7999999999999999E-2</v>
      </c>
      <c r="M48" s="10">
        <v>1.4E-2</v>
      </c>
      <c r="N48" s="10">
        <v>1.6E-2</v>
      </c>
      <c r="O48" s="10">
        <v>3.0000000000000001E-3</v>
      </c>
      <c r="P48" s="10">
        <v>0.14799999999999999</v>
      </c>
      <c r="Q48" s="10">
        <v>1.6E-2</v>
      </c>
      <c r="R48" s="10">
        <v>0.36799999999999999</v>
      </c>
      <c r="S48" s="10">
        <f>0/324</f>
        <v>0</v>
      </c>
      <c r="T48" s="11">
        <v>11.6</v>
      </c>
    </row>
    <row r="49" spans="1:20" x14ac:dyDescent="0.35">
      <c r="A49" s="2" t="s">
        <v>63</v>
      </c>
      <c r="B49" s="7">
        <v>246</v>
      </c>
      <c r="C49" s="7">
        <v>288</v>
      </c>
      <c r="D49" s="7">
        <v>229</v>
      </c>
      <c r="E49" s="7">
        <v>268</v>
      </c>
      <c r="F49" s="8">
        <f t="shared" si="3"/>
        <v>1031</v>
      </c>
      <c r="G49" s="4">
        <f t="shared" si="4"/>
        <v>12</v>
      </c>
      <c r="H49" s="9">
        <v>10676</v>
      </c>
      <c r="I49" s="4">
        <f t="shared" si="5"/>
        <v>23</v>
      </c>
      <c r="J49" s="53">
        <f>Table33[[#This Row],[PPF]]/Table33[[#This Row],[Total]]</f>
        <v>10.354995150339477</v>
      </c>
      <c r="K49" s="10">
        <v>0.54100000000000004</v>
      </c>
      <c r="L49" s="10">
        <v>0.24099999999999999</v>
      </c>
      <c r="M49" s="10">
        <v>0.114</v>
      </c>
      <c r="N49" s="10">
        <v>0.06</v>
      </c>
      <c r="O49" s="10">
        <v>3.0000000000000001E-3</v>
      </c>
      <c r="P49" s="10">
        <v>0.13</v>
      </c>
      <c r="Q49" s="10">
        <v>7.0000000000000007E-2</v>
      </c>
      <c r="R49" s="10">
        <v>0.36699999999999999</v>
      </c>
      <c r="S49" s="10">
        <f>4/2211</f>
        <v>1.8091361374943465E-3</v>
      </c>
      <c r="T49" s="11">
        <v>17.600000000000001</v>
      </c>
    </row>
    <row r="50" spans="1:20" x14ac:dyDescent="0.35">
      <c r="A50" s="2" t="s">
        <v>64</v>
      </c>
      <c r="B50" s="7">
        <v>246</v>
      </c>
      <c r="C50" s="7">
        <v>290</v>
      </c>
      <c r="D50" s="7">
        <v>225</v>
      </c>
      <c r="E50" s="7">
        <v>272</v>
      </c>
      <c r="F50" s="8">
        <f t="shared" si="3"/>
        <v>1033</v>
      </c>
      <c r="G50" s="4">
        <f t="shared" si="4"/>
        <v>8</v>
      </c>
      <c r="H50" s="9">
        <v>9481</v>
      </c>
      <c r="I50" s="4">
        <f t="shared" si="5"/>
        <v>33</v>
      </c>
      <c r="J50" s="53">
        <f>Table33[[#This Row],[PPF]]/Table33[[#This Row],[Total]]</f>
        <v>9.1781219748305904</v>
      </c>
      <c r="K50" s="10">
        <v>0.629</v>
      </c>
      <c r="L50" s="10">
        <v>4.8000000000000001E-2</v>
      </c>
      <c r="M50" s="10">
        <v>0.18</v>
      </c>
      <c r="N50" s="10">
        <v>9.0999999999999998E-2</v>
      </c>
      <c r="O50" s="10">
        <v>1.7000000000000001E-2</v>
      </c>
      <c r="P50" s="10">
        <v>0.123</v>
      </c>
      <c r="Q50" s="10">
        <v>8.6999999999999994E-2</v>
      </c>
      <c r="R50" s="10">
        <v>0.40100000000000002</v>
      </c>
      <c r="S50" s="10">
        <f>0/2354</f>
        <v>0</v>
      </c>
      <c r="T50" s="11">
        <v>19.399999999999999</v>
      </c>
    </row>
    <row r="51" spans="1:20" x14ac:dyDescent="0.35">
      <c r="A51" s="2" t="s">
        <v>65</v>
      </c>
      <c r="B51" s="7">
        <v>237</v>
      </c>
      <c r="C51" s="7">
        <v>274</v>
      </c>
      <c r="D51" s="7">
        <v>215</v>
      </c>
      <c r="E51" s="7">
        <v>257</v>
      </c>
      <c r="F51" s="8">
        <f t="shared" si="3"/>
        <v>983</v>
      </c>
      <c r="G51" s="4">
        <f t="shared" si="4"/>
        <v>46</v>
      </c>
      <c r="H51" s="9">
        <v>11727</v>
      </c>
      <c r="I51" s="4">
        <f t="shared" si="5"/>
        <v>16</v>
      </c>
      <c r="J51" s="53">
        <f>Table33[[#This Row],[PPF]]/Table33[[#This Row],[Total]]</f>
        <v>11.929806714140387</v>
      </c>
      <c r="K51" s="10">
        <v>0.92</v>
      </c>
      <c r="L51" s="10">
        <v>5.1999999999999998E-2</v>
      </c>
      <c r="M51" s="10">
        <v>1.0999999999999999E-2</v>
      </c>
      <c r="N51" s="10">
        <v>7.0000000000000001E-3</v>
      </c>
      <c r="O51" s="10">
        <v>1E-3</v>
      </c>
      <c r="P51" s="10">
        <v>0.159</v>
      </c>
      <c r="Q51" s="10">
        <v>6.0000000000000001E-3</v>
      </c>
      <c r="R51" s="10">
        <v>0.51500000000000001</v>
      </c>
      <c r="S51" s="10">
        <f>0/765</f>
        <v>0</v>
      </c>
      <c r="T51" s="11">
        <v>13.9</v>
      </c>
    </row>
    <row r="52" spans="1:20" x14ac:dyDescent="0.35">
      <c r="A52" s="2" t="s">
        <v>66</v>
      </c>
      <c r="B52" s="7">
        <v>245</v>
      </c>
      <c r="C52" s="7">
        <v>289</v>
      </c>
      <c r="D52" s="7">
        <v>221</v>
      </c>
      <c r="E52" s="7">
        <v>268</v>
      </c>
      <c r="F52" s="8">
        <f t="shared" si="3"/>
        <v>1023</v>
      </c>
      <c r="G52" s="4">
        <f t="shared" si="4"/>
        <v>20</v>
      </c>
      <c r="H52" s="9">
        <v>11439</v>
      </c>
      <c r="I52" s="4">
        <f t="shared" si="5"/>
        <v>19</v>
      </c>
      <c r="J52" s="53">
        <f>Table33[[#This Row],[PPF]]/Table33[[#This Row],[Total]]</f>
        <v>11.181818181818182</v>
      </c>
      <c r="K52" s="10">
        <v>0.74399999999999999</v>
      </c>
      <c r="L52" s="10">
        <v>9.9000000000000005E-2</v>
      </c>
      <c r="M52" s="10">
        <v>9.2999999999999999E-2</v>
      </c>
      <c r="N52" s="10">
        <v>3.5999999999999997E-2</v>
      </c>
      <c r="O52" s="10">
        <v>1.2999999999999999E-2</v>
      </c>
      <c r="P52" s="10">
        <v>0.14299999999999999</v>
      </c>
      <c r="Q52" s="10">
        <v>0.05</v>
      </c>
      <c r="R52" s="10">
        <v>0.39300000000000002</v>
      </c>
      <c r="S52" s="10">
        <f>208/2275</f>
        <v>9.1428571428571428E-2</v>
      </c>
      <c r="T52" s="11">
        <v>15.1</v>
      </c>
    </row>
    <row r="53" spans="1:20" ht="16" thickBot="1" x14ac:dyDescent="0.4">
      <c r="A53" s="2" t="s">
        <v>67</v>
      </c>
      <c r="B53" s="7">
        <v>247</v>
      </c>
      <c r="C53" s="7">
        <v>288</v>
      </c>
      <c r="D53" s="7">
        <v>226</v>
      </c>
      <c r="E53" s="7">
        <v>271</v>
      </c>
      <c r="F53" s="8">
        <f t="shared" si="3"/>
        <v>1032</v>
      </c>
      <c r="G53" s="4">
        <f t="shared" si="4"/>
        <v>9</v>
      </c>
      <c r="H53" s="9">
        <v>15392</v>
      </c>
      <c r="I53" s="4">
        <f t="shared" si="5"/>
        <v>7</v>
      </c>
      <c r="J53" s="53">
        <f>Table33[[#This Row],[PPF]]/Table33[[#This Row],[Total]]</f>
        <v>14.914728682170542</v>
      </c>
      <c r="K53" s="10">
        <v>0.81</v>
      </c>
      <c r="L53" s="10">
        <v>1.2E-2</v>
      </c>
      <c r="M53" s="10">
        <v>0.123</v>
      </c>
      <c r="N53" s="10">
        <v>8.9999999999999993E-3</v>
      </c>
      <c r="O53" s="10">
        <v>3.3000000000000002E-2</v>
      </c>
      <c r="P53" s="10">
        <v>0.17100000000000001</v>
      </c>
      <c r="Q53" s="10">
        <v>2.9000000000000001E-2</v>
      </c>
      <c r="R53" s="10">
        <v>0.371</v>
      </c>
      <c r="S53" s="10">
        <f>3/365</f>
        <v>8.21917808219178E-3</v>
      </c>
      <c r="T53" s="11">
        <v>12.5</v>
      </c>
    </row>
    <row r="54" spans="1:20" x14ac:dyDescent="0.35">
      <c r="A54" s="2" t="s">
        <v>125</v>
      </c>
      <c r="B54" s="7">
        <f t="shared" ref="B54:T54" si="6">AVERAGE(B3:B53)</f>
        <v>241.90196078431373</v>
      </c>
      <c r="C54" s="7">
        <f t="shared" si="6"/>
        <v>283.98039215686276</v>
      </c>
      <c r="D54" s="7">
        <f t="shared" si="6"/>
        <v>221.09803921568627</v>
      </c>
      <c r="E54" s="50">
        <f t="shared" si="6"/>
        <v>266.27450980392155</v>
      </c>
      <c r="F54" s="62">
        <f t="shared" si="6"/>
        <v>1013.2549019607843</v>
      </c>
      <c r="H54" s="48">
        <f t="shared" si="6"/>
        <v>11120.490196078432</v>
      </c>
      <c r="J54" s="52">
        <f t="shared" si="6"/>
        <v>10.971709086622623</v>
      </c>
      <c r="K54" s="39">
        <f t="shared" si="6"/>
        <v>0.61109803921568639</v>
      </c>
      <c r="L54" s="39">
        <f t="shared" si="6"/>
        <v>0.15039215686274507</v>
      </c>
      <c r="M54" s="39">
        <f t="shared" si="6"/>
        <v>0.1450196078431373</v>
      </c>
      <c r="N54" s="39">
        <f t="shared" si="6"/>
        <v>4.4921568627450961E-2</v>
      </c>
      <c r="O54" s="39">
        <f t="shared" si="6"/>
        <v>2.3588235294117636E-2</v>
      </c>
      <c r="P54" s="39">
        <f t="shared" si="6"/>
        <v>0.13666666666666663</v>
      </c>
      <c r="Q54" s="39">
        <f t="shared" si="6"/>
        <v>5.9299999999999971E-2</v>
      </c>
      <c r="R54" s="39">
        <f t="shared" si="6"/>
        <v>0.46454901960784312</v>
      </c>
      <c r="S54" s="39">
        <f t="shared" si="6"/>
        <v>5.0621262549889683E-2</v>
      </c>
      <c r="T54" s="49">
        <f t="shared" si="6"/>
        <v>15.39803921568627</v>
      </c>
    </row>
    <row r="55" spans="1:20" x14ac:dyDescent="0.35">
      <c r="A55" s="2" t="s">
        <v>126</v>
      </c>
      <c r="B55" s="7">
        <f t="shared" ref="B55:T55" si="7">MAX(B3:B53)-MIN(B3:B53)</f>
        <v>24</v>
      </c>
      <c r="C55" s="7">
        <f t="shared" si="7"/>
        <v>36</v>
      </c>
      <c r="D55" s="7">
        <f t="shared" si="7"/>
        <v>26</v>
      </c>
      <c r="E55" s="51">
        <f t="shared" si="7"/>
        <v>29</v>
      </c>
      <c r="F55" s="62">
        <f t="shared" si="7"/>
        <v>115</v>
      </c>
      <c r="H55" s="48">
        <f t="shared" si="7"/>
        <v>14534</v>
      </c>
      <c r="J55" s="52">
        <f t="shared" si="7"/>
        <v>15.823033010672624</v>
      </c>
      <c r="K55" s="39">
        <f t="shared" si="7"/>
        <v>0.8570000000000001</v>
      </c>
      <c r="L55" s="39">
        <f t="shared" si="7"/>
        <v>0.76800000000000002</v>
      </c>
      <c r="M55" s="39">
        <f t="shared" si="7"/>
        <v>0.59299999999999997</v>
      </c>
      <c r="N55" s="39">
        <f t="shared" si="7"/>
        <v>0.69699999999999995</v>
      </c>
      <c r="O55" s="39">
        <f t="shared" si="7"/>
        <v>0.22900000000000001</v>
      </c>
      <c r="P55" s="39">
        <f t="shared" si="7"/>
        <v>8.5999999999999993E-2</v>
      </c>
      <c r="Q55" s="39">
        <f t="shared" si="7"/>
        <v>0.185</v>
      </c>
      <c r="R55" s="39">
        <f t="shared" si="7"/>
        <v>0.47799999999999998</v>
      </c>
      <c r="S55" s="39">
        <f t="shared" si="7"/>
        <v>0.44255319148936167</v>
      </c>
      <c r="T55" s="49">
        <f t="shared" si="7"/>
        <v>12.700000000000001</v>
      </c>
    </row>
    <row r="56" spans="1:20" x14ac:dyDescent="0.35">
      <c r="A56" s="61" t="s">
        <v>127</v>
      </c>
      <c r="B56" s="70">
        <f t="shared" ref="B56:T56" si="8">_xlfn.STDEV.P(B3:B53)</f>
        <v>5.4386233190307705</v>
      </c>
      <c r="C56" s="70">
        <f t="shared" si="8"/>
        <v>7.2260156246023515</v>
      </c>
      <c r="D56" s="70">
        <f t="shared" si="8"/>
        <v>6.4996377032086912</v>
      </c>
      <c r="E56" s="54">
        <f t="shared" si="8"/>
        <v>5.9312348063733999</v>
      </c>
      <c r="F56" s="70">
        <f t="shared" si="8"/>
        <v>23.736166776160008</v>
      </c>
      <c r="H56" s="71">
        <f t="shared" si="8"/>
        <v>3034.6328871393662</v>
      </c>
      <c r="J56" s="71">
        <f t="shared" si="8"/>
        <v>3.0099490708196992</v>
      </c>
      <c r="K56" s="67">
        <f t="shared" si="8"/>
        <v>0.19565949362894602</v>
      </c>
      <c r="L56" s="67">
        <f t="shared" si="8"/>
        <v>0.15155987342500274</v>
      </c>
      <c r="M56" s="67">
        <f t="shared" si="8"/>
        <v>0.13459299433973668</v>
      </c>
      <c r="N56" s="67">
        <f t="shared" si="8"/>
        <v>9.5272126890530232E-2</v>
      </c>
      <c r="O56" s="67">
        <f t="shared" si="8"/>
        <v>4.5855346501451358E-2</v>
      </c>
      <c r="P56" s="67">
        <f t="shared" si="8"/>
        <v>2.0527042581048691E-2</v>
      </c>
      <c r="Q56" s="67">
        <f t="shared" si="8"/>
        <v>3.8255065024124645E-2</v>
      </c>
      <c r="R56" s="67">
        <f t="shared" si="8"/>
        <v>0.10221724533627811</v>
      </c>
      <c r="S56" s="67">
        <f t="shared" si="8"/>
        <v>7.077502973303447E-2</v>
      </c>
      <c r="T56" s="70">
        <f t="shared" si="8"/>
        <v>2.7294681085011843</v>
      </c>
    </row>
  </sheetData>
  <pageMargins left="0.75" right="0.75" top="1" bottom="1" header="0.5" footer="0.5"/>
  <pageSetup scale="76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6"/>
  <sheetViews>
    <sheetView workbookViewId="0"/>
  </sheetViews>
  <sheetFormatPr defaultColWidth="10.6640625" defaultRowHeight="15.5" x14ac:dyDescent="0.35"/>
  <cols>
    <col min="1" max="1" width="18" style="2" customWidth="1"/>
    <col min="2" max="3" width="11.33203125" style="4" customWidth="1"/>
    <col min="4" max="5" width="13.5" style="4" customWidth="1"/>
    <col min="6" max="7" width="10.83203125" style="4"/>
    <col min="8" max="8" width="11.5" style="4" bestFit="1" customWidth="1"/>
    <col min="9" max="9" width="10.83203125" style="4"/>
    <col min="10" max="10" width="11.5" style="4" customWidth="1"/>
    <col min="11" max="18" width="10.83203125" style="4"/>
    <col min="19" max="19" width="11.83203125" style="4" customWidth="1"/>
    <col min="20" max="20" width="10.83203125" style="4"/>
  </cols>
  <sheetData>
    <row r="1" spans="1:20" x14ac:dyDescent="0.35">
      <c r="F1" s="4" t="s">
        <v>94</v>
      </c>
      <c r="H1" s="4" t="s">
        <v>6</v>
      </c>
      <c r="K1" s="5"/>
      <c r="L1" s="5"/>
      <c r="M1" s="5"/>
      <c r="N1" s="5" t="s">
        <v>16</v>
      </c>
      <c r="O1" s="5"/>
      <c r="P1" s="5"/>
      <c r="Q1" s="5"/>
      <c r="R1" s="5"/>
      <c r="T1" s="4" t="s">
        <v>160</v>
      </c>
    </row>
    <row r="2" spans="1:20" ht="16" thickBot="1" x14ac:dyDescent="0.4">
      <c r="A2" s="1" t="s">
        <v>201</v>
      </c>
      <c r="B2" s="3" t="s">
        <v>0</v>
      </c>
      <c r="C2" s="3" t="s">
        <v>1</v>
      </c>
      <c r="D2" s="3" t="s">
        <v>2</v>
      </c>
      <c r="E2" s="3" t="s">
        <v>3</v>
      </c>
      <c r="F2" s="6" t="s">
        <v>4</v>
      </c>
      <c r="G2" s="3" t="s">
        <v>175</v>
      </c>
      <c r="H2" s="3" t="s">
        <v>5</v>
      </c>
      <c r="I2" s="3" t="s">
        <v>174</v>
      </c>
      <c r="J2" s="3" t="s">
        <v>162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95</v>
      </c>
      <c r="Q2" s="3" t="s">
        <v>12</v>
      </c>
      <c r="R2" s="3" t="s">
        <v>13</v>
      </c>
      <c r="S2" s="3" t="s">
        <v>14</v>
      </c>
      <c r="T2" s="3" t="s">
        <v>15</v>
      </c>
    </row>
    <row r="3" spans="1:20" x14ac:dyDescent="0.35">
      <c r="A3" s="2" t="s">
        <v>17</v>
      </c>
      <c r="B3" s="7">
        <v>231</v>
      </c>
      <c r="C3" s="7">
        <v>267</v>
      </c>
      <c r="D3" s="7">
        <v>217</v>
      </c>
      <c r="E3" s="7">
        <v>259</v>
      </c>
      <c r="F3" s="8">
        <f t="shared" ref="F3:F34" si="0">SUM(B3:E3)</f>
        <v>974</v>
      </c>
      <c r="G3" s="4">
        <f t="shared" ref="G3:G34" si="1">RANK(F3,F$3:F$53)</f>
        <v>47</v>
      </c>
      <c r="H3" s="9">
        <v>8803</v>
      </c>
      <c r="I3" s="4">
        <f t="shared" ref="I3:I34" si="2">RANK(H3,H$3:H$53)</f>
        <v>43</v>
      </c>
      <c r="J3" s="53">
        <f>Table336[[#This Row],[PPF]]/Table336[[#This Row],[Total]]</f>
        <v>9.037987679671458</v>
      </c>
      <c r="K3" s="10">
        <v>0.58099999999999996</v>
      </c>
      <c r="L3" s="10">
        <v>0.34100000000000003</v>
      </c>
      <c r="M3" s="10">
        <v>4.5999999999999999E-2</v>
      </c>
      <c r="N3" s="10">
        <v>1.2999999999999999E-2</v>
      </c>
      <c r="O3" s="10">
        <v>8.0000000000000002E-3</v>
      </c>
      <c r="P3" s="10">
        <v>0.107</v>
      </c>
      <c r="Q3" s="10">
        <v>2.4E-2</v>
      </c>
      <c r="R3" s="10">
        <v>0.57399999999999995</v>
      </c>
      <c r="S3" s="10">
        <f>0/1619</f>
        <v>0</v>
      </c>
      <c r="T3" s="11">
        <v>15.6</v>
      </c>
    </row>
    <row r="4" spans="1:20" x14ac:dyDescent="0.35">
      <c r="A4" s="2" t="s">
        <v>18</v>
      </c>
      <c r="B4" s="7">
        <v>236</v>
      </c>
      <c r="C4" s="7">
        <v>280</v>
      </c>
      <c r="D4" s="7">
        <v>213</v>
      </c>
      <c r="E4" s="7">
        <v>260</v>
      </c>
      <c r="F4" s="8">
        <f t="shared" si="0"/>
        <v>989</v>
      </c>
      <c r="G4" s="4">
        <f t="shared" si="1"/>
        <v>41</v>
      </c>
      <c r="H4" s="9">
        <v>16719</v>
      </c>
      <c r="I4" s="4">
        <f t="shared" si="2"/>
        <v>4</v>
      </c>
      <c r="J4" s="53">
        <f>Table336[[#This Row],[PPF]]/Table336[[#This Row],[Total]]</f>
        <v>16.904954499494441</v>
      </c>
      <c r="K4" s="10">
        <v>0.50800000000000001</v>
      </c>
      <c r="L4" s="10">
        <v>3.5999999999999997E-2</v>
      </c>
      <c r="M4" s="10">
        <v>6.2E-2</v>
      </c>
      <c r="N4" s="10">
        <v>6.0999999999999999E-2</v>
      </c>
      <c r="O4" s="10">
        <v>0.23400000000000001</v>
      </c>
      <c r="P4" s="10">
        <v>0.13700000000000001</v>
      </c>
      <c r="Q4" s="10">
        <v>0.111</v>
      </c>
      <c r="R4" s="10">
        <v>0.40500000000000003</v>
      </c>
      <c r="S4" s="10">
        <f>27/519</f>
        <v>5.2023121387283239E-2</v>
      </c>
      <c r="T4" s="11">
        <v>16.2</v>
      </c>
    </row>
    <row r="5" spans="1:20" x14ac:dyDescent="0.35">
      <c r="A5" s="2" t="s">
        <v>19</v>
      </c>
      <c r="B5" s="7">
        <v>238</v>
      </c>
      <c r="C5" s="7">
        <v>283</v>
      </c>
      <c r="D5" s="7">
        <v>215</v>
      </c>
      <c r="E5" s="7">
        <v>263</v>
      </c>
      <c r="F5" s="8">
        <f t="shared" si="0"/>
        <v>999</v>
      </c>
      <c r="G5" s="4">
        <f t="shared" si="1"/>
        <v>37</v>
      </c>
      <c r="H5" s="9">
        <v>7737</v>
      </c>
      <c r="I5" s="4">
        <f t="shared" si="2"/>
        <v>48</v>
      </c>
      <c r="J5" s="53">
        <f>Table336[[#This Row],[PPF]]/Table336[[#This Row],[Total]]</f>
        <v>7.7447447447447448</v>
      </c>
      <c r="K5" s="10">
        <v>0.42099999999999999</v>
      </c>
      <c r="L5" s="10">
        <v>5.2999999999999999E-2</v>
      </c>
      <c r="M5" s="10">
        <v>0.42799999999999999</v>
      </c>
      <c r="N5" s="10">
        <v>2.7E-2</v>
      </c>
      <c r="O5" s="10">
        <v>0.05</v>
      </c>
      <c r="P5" s="10">
        <v>0.11700000000000001</v>
      </c>
      <c r="Q5" s="10">
        <v>7.0000000000000007E-2</v>
      </c>
      <c r="R5" s="10">
        <v>0.47399999999999998</v>
      </c>
      <c r="S5" s="10">
        <f>567/2421</f>
        <v>0.2342007434944238</v>
      </c>
      <c r="T5" s="11">
        <v>21.2</v>
      </c>
    </row>
    <row r="6" spans="1:20" x14ac:dyDescent="0.35">
      <c r="A6" s="2" t="s">
        <v>20</v>
      </c>
      <c r="B6" s="7">
        <v>235</v>
      </c>
      <c r="C6" s="7">
        <v>275</v>
      </c>
      <c r="D6" s="7">
        <v>218</v>
      </c>
      <c r="E6" s="7">
        <v>259</v>
      </c>
      <c r="F6" s="8">
        <f t="shared" si="0"/>
        <v>987</v>
      </c>
      <c r="G6" s="4">
        <f t="shared" si="1"/>
        <v>43</v>
      </c>
      <c r="H6" s="9">
        <v>9526</v>
      </c>
      <c r="I6" s="4">
        <f t="shared" si="2"/>
        <v>30</v>
      </c>
      <c r="J6" s="53">
        <f>Table336[[#This Row],[PPF]]/Table336[[#This Row],[Total]]</f>
        <v>9.6514690982776088</v>
      </c>
      <c r="K6" s="10">
        <v>0.64300000000000002</v>
      </c>
      <c r="L6" s="10">
        <v>0.21199999999999999</v>
      </c>
      <c r="M6" s="10">
        <v>0.10199999999999999</v>
      </c>
      <c r="N6" s="10">
        <v>1.4E-2</v>
      </c>
      <c r="O6" s="10">
        <v>0.6</v>
      </c>
      <c r="P6" s="10">
        <v>0.13400000000000001</v>
      </c>
      <c r="Q6" s="10">
        <v>6.7000000000000004E-2</v>
      </c>
      <c r="R6" s="10">
        <v>0.60899999999999999</v>
      </c>
      <c r="S6" s="10">
        <f>41/1120</f>
        <v>3.6607142857142859E-2</v>
      </c>
      <c r="T6" s="11">
        <v>14.2</v>
      </c>
    </row>
    <row r="7" spans="1:20" x14ac:dyDescent="0.35">
      <c r="A7" s="2" t="s">
        <v>21</v>
      </c>
      <c r="B7" s="7">
        <v>232</v>
      </c>
      <c r="C7" s="7">
        <v>275</v>
      </c>
      <c r="D7" s="7">
        <v>213</v>
      </c>
      <c r="E7" s="7">
        <v>259</v>
      </c>
      <c r="F7" s="8">
        <f t="shared" si="0"/>
        <v>979</v>
      </c>
      <c r="G7" s="4">
        <f t="shared" si="1"/>
        <v>46</v>
      </c>
      <c r="H7" s="9">
        <v>9184</v>
      </c>
      <c r="I7" s="4">
        <f t="shared" si="2"/>
        <v>36</v>
      </c>
      <c r="J7" s="53">
        <f>Table336[[#This Row],[PPF]]/Table336[[#This Row],[Total]]</f>
        <v>9.3810010214504604</v>
      </c>
      <c r="K7" s="10">
        <v>0.26</v>
      </c>
      <c r="L7" s="10">
        <v>6.5000000000000002E-2</v>
      </c>
      <c r="M7" s="10">
        <v>0.52100000000000002</v>
      </c>
      <c r="N7" s="10">
        <v>0.111</v>
      </c>
      <c r="O7" s="10">
        <v>6.0000000000000001E-3</v>
      </c>
      <c r="P7" s="10">
        <v>0.107</v>
      </c>
      <c r="Q7" s="10">
        <v>0.23</v>
      </c>
      <c r="R7" s="10">
        <v>0.245</v>
      </c>
      <c r="S7" s="10">
        <f>1018/10351</f>
        <v>9.8347985701864551E-2</v>
      </c>
      <c r="T7" s="11">
        <v>23.4</v>
      </c>
    </row>
    <row r="8" spans="1:20" x14ac:dyDescent="0.35">
      <c r="A8" s="2" t="s">
        <v>22</v>
      </c>
      <c r="B8" s="7">
        <v>242</v>
      </c>
      <c r="C8" s="7">
        <v>286</v>
      </c>
      <c r="D8" s="7">
        <v>224</v>
      </c>
      <c r="E8" s="7">
        <v>268</v>
      </c>
      <c r="F8" s="8">
        <f t="shared" si="0"/>
        <v>1020</v>
      </c>
      <c r="G8" s="4">
        <f t="shared" si="1"/>
        <v>18</v>
      </c>
      <c r="H8" s="9">
        <v>8901</v>
      </c>
      <c r="I8" s="4">
        <f t="shared" si="2"/>
        <v>41</v>
      </c>
      <c r="J8" s="53">
        <f>Table336[[#This Row],[PPF]]/Table336[[#This Row],[Total]]</f>
        <v>8.7264705882352942</v>
      </c>
      <c r="K8" s="10">
        <v>0.56100000000000005</v>
      </c>
      <c r="L8" s="10">
        <v>4.7E-2</v>
      </c>
      <c r="M8" s="10">
        <v>0.31900000000000001</v>
      </c>
      <c r="N8" s="10">
        <v>3.1E-2</v>
      </c>
      <c r="O8" s="10">
        <v>8.0000000000000002E-3</v>
      </c>
      <c r="P8" s="10">
        <v>0.10199999999999999</v>
      </c>
      <c r="Q8" s="10">
        <v>0.12</v>
      </c>
      <c r="R8" s="10">
        <v>0.40799999999999997</v>
      </c>
      <c r="S8" s="10">
        <f>178/1843</f>
        <v>9.6581660336408026E-2</v>
      </c>
      <c r="T8" s="11">
        <v>17.7</v>
      </c>
    </row>
    <row r="9" spans="1:20" x14ac:dyDescent="0.35">
      <c r="A9" s="2" t="s">
        <v>23</v>
      </c>
      <c r="B9" s="7">
        <v>240</v>
      </c>
      <c r="C9" s="7">
        <v>284</v>
      </c>
      <c r="D9" s="7">
        <v>229</v>
      </c>
      <c r="E9" s="7">
        <v>273</v>
      </c>
      <c r="F9" s="8">
        <f t="shared" si="0"/>
        <v>1026</v>
      </c>
      <c r="G9" s="4">
        <f t="shared" si="1"/>
        <v>9</v>
      </c>
      <c r="H9" s="9">
        <v>16125</v>
      </c>
      <c r="I9" s="4">
        <f t="shared" si="2"/>
        <v>5</v>
      </c>
      <c r="J9" s="53">
        <f>Table336[[#This Row],[PPF]]/Table336[[#This Row],[Total]]</f>
        <v>15.716374269005849</v>
      </c>
      <c r="K9" s="10">
        <v>0.60799999999999998</v>
      </c>
      <c r="L9" s="10">
        <v>0.13</v>
      </c>
      <c r="M9" s="10">
        <v>0.19500000000000001</v>
      </c>
      <c r="N9" s="10">
        <v>4.3999999999999997E-2</v>
      </c>
      <c r="O9" s="10">
        <v>3.0000000000000001E-3</v>
      </c>
      <c r="P9" s="10">
        <v>0.123</v>
      </c>
      <c r="Q9" s="10">
        <v>5.3999999999999999E-2</v>
      </c>
      <c r="R9" s="10">
        <v>0.35</v>
      </c>
      <c r="S9" s="10">
        <f>17/1174</f>
        <v>1.4480408858603067E-2</v>
      </c>
      <c r="T9" s="11">
        <v>12.6</v>
      </c>
    </row>
    <row r="10" spans="1:20" x14ac:dyDescent="0.35">
      <c r="A10" s="61" t="s">
        <v>25</v>
      </c>
      <c r="B10" s="62">
        <v>231</v>
      </c>
      <c r="C10" s="62">
        <v>263</v>
      </c>
      <c r="D10" s="62">
        <v>212</v>
      </c>
      <c r="E10" s="62">
        <v>248</v>
      </c>
      <c r="F10" s="8">
        <f t="shared" si="0"/>
        <v>954</v>
      </c>
      <c r="G10" s="4">
        <f t="shared" si="1"/>
        <v>51</v>
      </c>
      <c r="H10" s="63">
        <v>21347</v>
      </c>
      <c r="I10" s="4">
        <f t="shared" si="2"/>
        <v>1</v>
      </c>
      <c r="J10" s="73">
        <f>Table336[[#This Row],[PPF]]/Table336[[#This Row],[Total]]</f>
        <v>22.376310272536688</v>
      </c>
      <c r="K10" s="64">
        <v>7.6999999999999999E-2</v>
      </c>
      <c r="L10" s="64">
        <v>0.76400000000000001</v>
      </c>
      <c r="M10" s="64">
        <v>0.13100000000000001</v>
      </c>
      <c r="N10" s="64">
        <v>1.4E-2</v>
      </c>
      <c r="O10" s="64">
        <v>0</v>
      </c>
      <c r="P10" s="64">
        <v>0.16900000000000001</v>
      </c>
      <c r="Q10" s="64">
        <v>6.4000000000000001E-2</v>
      </c>
      <c r="R10" s="64">
        <v>0.61199999999999999</v>
      </c>
      <c r="S10" s="64">
        <f>109/244</f>
        <v>0.44672131147540983</v>
      </c>
      <c r="T10" s="65">
        <v>11.7</v>
      </c>
    </row>
    <row r="11" spans="1:20" x14ac:dyDescent="0.35">
      <c r="A11" s="2" t="s">
        <v>24</v>
      </c>
      <c r="B11" s="7">
        <v>239</v>
      </c>
      <c r="C11" s="7">
        <v>280</v>
      </c>
      <c r="D11" s="7">
        <v>224</v>
      </c>
      <c r="E11" s="7">
        <v>263</v>
      </c>
      <c r="F11" s="8">
        <f t="shared" si="0"/>
        <v>1006</v>
      </c>
      <c r="G11" s="4">
        <f t="shared" si="1"/>
        <v>33</v>
      </c>
      <c r="H11" s="9">
        <v>12723</v>
      </c>
      <c r="I11" s="4">
        <f t="shared" si="2"/>
        <v>13</v>
      </c>
      <c r="J11" s="53">
        <f>Table336[[#This Row],[PPF]]/Table336[[#This Row],[Total]]</f>
        <v>12.647117296222664</v>
      </c>
      <c r="K11" s="10">
        <v>0.495</v>
      </c>
      <c r="L11" s="10">
        <v>0.316</v>
      </c>
      <c r="M11" s="10">
        <v>0.13</v>
      </c>
      <c r="N11" s="10">
        <v>3.4000000000000002E-2</v>
      </c>
      <c r="O11" s="10">
        <v>4.0000000000000001E-3</v>
      </c>
      <c r="P11" s="10">
        <v>0.14799999999999999</v>
      </c>
      <c r="Q11" s="10">
        <v>5.5E-2</v>
      </c>
      <c r="R11" s="10">
        <v>0.48599999999999999</v>
      </c>
      <c r="S11" s="10">
        <f>22/224</f>
        <v>9.8214285714285712E-2</v>
      </c>
      <c r="T11" s="11">
        <v>15</v>
      </c>
    </row>
    <row r="12" spans="1:20" x14ac:dyDescent="0.35">
      <c r="A12" s="2" t="s">
        <v>26</v>
      </c>
      <c r="B12" s="7">
        <v>243</v>
      </c>
      <c r="C12" s="7">
        <v>275</v>
      </c>
      <c r="D12" s="7">
        <v>227</v>
      </c>
      <c r="E12" s="7">
        <v>263</v>
      </c>
      <c r="F12" s="8">
        <f t="shared" si="0"/>
        <v>1008</v>
      </c>
      <c r="G12" s="4">
        <f t="shared" si="1"/>
        <v>30</v>
      </c>
      <c r="H12" s="9">
        <v>9060</v>
      </c>
      <c r="I12" s="4">
        <f t="shared" si="2"/>
        <v>39</v>
      </c>
      <c r="J12" s="53">
        <f>Table336[[#This Row],[PPF]]/Table336[[#This Row],[Total]]</f>
        <v>8.9880952380952372</v>
      </c>
      <c r="K12" s="10">
        <v>0.42399999999999999</v>
      </c>
      <c r="L12" s="10">
        <v>0.22900000000000001</v>
      </c>
      <c r="M12" s="10">
        <v>0.28499999999999998</v>
      </c>
      <c r="N12" s="10">
        <v>2.5000000000000001E-2</v>
      </c>
      <c r="O12" s="10">
        <v>3.0000000000000001E-3</v>
      </c>
      <c r="P12" s="10">
        <v>0.13300000000000001</v>
      </c>
      <c r="Q12" s="10">
        <v>8.6999999999999994E-2</v>
      </c>
      <c r="R12" s="10">
        <v>0.57499999999999996</v>
      </c>
      <c r="S12" s="10">
        <f>620/4426</f>
        <v>0.14008133755083596</v>
      </c>
      <c r="T12" s="11">
        <v>15.2</v>
      </c>
    </row>
    <row r="13" spans="1:20" x14ac:dyDescent="0.35">
      <c r="A13" s="2" t="s">
        <v>27</v>
      </c>
      <c r="B13" s="7">
        <v>236</v>
      </c>
      <c r="C13" s="7">
        <v>279</v>
      </c>
      <c r="D13" s="7">
        <v>222</v>
      </c>
      <c r="E13" s="7">
        <v>262</v>
      </c>
      <c r="F13" s="8">
        <f t="shared" si="0"/>
        <v>999</v>
      </c>
      <c r="G13" s="4">
        <f t="shared" si="1"/>
        <v>37</v>
      </c>
      <c r="H13" s="9">
        <v>9311</v>
      </c>
      <c r="I13" s="4">
        <f t="shared" si="2"/>
        <v>34</v>
      </c>
      <c r="J13" s="53">
        <f>Table336[[#This Row],[PPF]]/Table336[[#This Row],[Total]]</f>
        <v>9.3203203203203202</v>
      </c>
      <c r="K13" s="10">
        <v>0.441</v>
      </c>
      <c r="L13" s="10">
        <v>0.37</v>
      </c>
      <c r="M13" s="10">
        <v>0.121</v>
      </c>
      <c r="N13" s="10">
        <v>3.4000000000000002E-2</v>
      </c>
      <c r="O13" s="10">
        <v>2E-3</v>
      </c>
      <c r="P13" s="10">
        <v>0.106</v>
      </c>
      <c r="Q13" s="10">
        <v>4.9000000000000002E-2</v>
      </c>
      <c r="R13" s="10">
        <v>0.58499999999999996</v>
      </c>
      <c r="S13" s="10">
        <f>128/2467</f>
        <v>5.1884880421564653E-2</v>
      </c>
      <c r="T13" s="11">
        <v>15.1</v>
      </c>
    </row>
    <row r="14" spans="1:20" x14ac:dyDescent="0.35">
      <c r="A14" s="2" t="s">
        <v>28</v>
      </c>
      <c r="B14" s="7">
        <v>238</v>
      </c>
      <c r="C14" s="7">
        <v>279</v>
      </c>
      <c r="D14" s="7">
        <v>215</v>
      </c>
      <c r="E14" s="7">
        <v>257</v>
      </c>
      <c r="F14" s="8">
        <f t="shared" si="0"/>
        <v>989</v>
      </c>
      <c r="G14" s="4">
        <f t="shared" si="1"/>
        <v>41</v>
      </c>
      <c r="H14" s="9">
        <v>11884</v>
      </c>
      <c r="I14" s="4">
        <f t="shared" si="2"/>
        <v>17</v>
      </c>
      <c r="J14" s="53">
        <f>Table336[[#This Row],[PPF]]/Table336[[#This Row],[Total]]</f>
        <v>12.016177957532861</v>
      </c>
      <c r="K14" s="10">
        <v>0.14199999999999999</v>
      </c>
      <c r="L14" s="10">
        <v>2.4E-2</v>
      </c>
      <c r="M14" s="10">
        <v>6.4000000000000001E-2</v>
      </c>
      <c r="N14" s="10">
        <v>0.34200000000000003</v>
      </c>
      <c r="O14" s="10">
        <v>5.0000000000000001E-3</v>
      </c>
      <c r="P14" s="10">
        <v>0.107</v>
      </c>
      <c r="Q14" s="10">
        <v>0.13500000000000001</v>
      </c>
      <c r="R14" s="10">
        <v>0.49199999999999999</v>
      </c>
      <c r="S14" s="10">
        <f>31/290</f>
        <v>0.10689655172413794</v>
      </c>
      <c r="T14" s="11">
        <v>15.9</v>
      </c>
    </row>
    <row r="15" spans="1:20" x14ac:dyDescent="0.35">
      <c r="A15" s="2" t="s">
        <v>29</v>
      </c>
      <c r="B15" s="7">
        <v>239</v>
      </c>
      <c r="C15" s="7">
        <v>284</v>
      </c>
      <c r="D15" s="7">
        <v>222</v>
      </c>
      <c r="E15" s="62">
        <v>269</v>
      </c>
      <c r="F15" s="8">
        <f t="shared" si="0"/>
        <v>1014</v>
      </c>
      <c r="G15" s="4">
        <f t="shared" si="1"/>
        <v>22</v>
      </c>
      <c r="H15" s="9">
        <v>6810</v>
      </c>
      <c r="I15" s="4">
        <f t="shared" si="2"/>
        <v>50</v>
      </c>
      <c r="J15" s="53">
        <f>Table336[[#This Row],[PPF]]/Table336[[#This Row],[Total]]</f>
        <v>6.7159763313609471</v>
      </c>
      <c r="K15" s="10">
        <v>0.78</v>
      </c>
      <c r="L15" s="10">
        <v>0.01</v>
      </c>
      <c r="M15" s="10">
        <v>0.16200000000000001</v>
      </c>
      <c r="N15" s="10">
        <v>1.2999999999999999E-2</v>
      </c>
      <c r="O15" s="10">
        <v>1.2999999999999999E-2</v>
      </c>
      <c r="P15" s="10">
        <v>9.6000000000000002E-2</v>
      </c>
      <c r="Q15" s="10">
        <v>5.3999999999999999E-2</v>
      </c>
      <c r="R15" s="10">
        <v>0.48499999999999999</v>
      </c>
      <c r="S15" s="10">
        <f>46/774</f>
        <v>5.9431524547803614E-2</v>
      </c>
      <c r="T15" s="11">
        <v>17.5</v>
      </c>
    </row>
    <row r="16" spans="1:20" x14ac:dyDescent="0.35">
      <c r="A16" s="2" t="s">
        <v>31</v>
      </c>
      <c r="B16" s="7">
        <v>237</v>
      </c>
      <c r="C16" s="7">
        <v>282</v>
      </c>
      <c r="D16" s="7">
        <v>222</v>
      </c>
      <c r="E16" s="7">
        <v>267</v>
      </c>
      <c r="F16" s="8">
        <f t="shared" si="0"/>
        <v>1008</v>
      </c>
      <c r="G16" s="4">
        <f t="shared" si="1"/>
        <v>30</v>
      </c>
      <c r="H16" s="9">
        <v>11671</v>
      </c>
      <c r="I16" s="4">
        <f t="shared" si="2"/>
        <v>18</v>
      </c>
      <c r="J16" s="53">
        <f>Table336[[#This Row],[PPF]]/Table336[[#This Row],[Total]]</f>
        <v>11.578373015873016</v>
      </c>
      <c r="K16" s="10">
        <v>0.50800000000000001</v>
      </c>
      <c r="L16" s="10">
        <v>0.18</v>
      </c>
      <c r="M16" s="10">
        <v>0.23699999999999999</v>
      </c>
      <c r="N16" s="10">
        <v>4.2000000000000003E-2</v>
      </c>
      <c r="O16" s="10">
        <v>3.0000000000000001E-3</v>
      </c>
      <c r="P16" s="10">
        <v>0.14299999999999999</v>
      </c>
      <c r="Q16" s="10">
        <v>8.1000000000000003E-2</v>
      </c>
      <c r="R16" s="10">
        <v>0.48899999999999999</v>
      </c>
      <c r="S16" s="10">
        <f>52/4397</f>
        <v>1.1826245167159426E-2</v>
      </c>
      <c r="T16" s="11">
        <v>15.8</v>
      </c>
    </row>
    <row r="17" spans="1:20" x14ac:dyDescent="0.35">
      <c r="A17" s="2" t="s">
        <v>30</v>
      </c>
      <c r="B17" s="7">
        <v>248</v>
      </c>
      <c r="C17" s="7">
        <v>287</v>
      </c>
      <c r="D17" s="7">
        <v>227</v>
      </c>
      <c r="E17" s="7">
        <v>268</v>
      </c>
      <c r="F17" s="8">
        <f t="shared" si="0"/>
        <v>1030</v>
      </c>
      <c r="G17" s="4">
        <f t="shared" si="1"/>
        <v>8</v>
      </c>
      <c r="H17" s="9">
        <v>9256</v>
      </c>
      <c r="I17" s="4">
        <f t="shared" si="2"/>
        <v>35</v>
      </c>
      <c r="J17" s="53">
        <f>Table336[[#This Row],[PPF]]/Table336[[#This Row],[Total]]</f>
        <v>8.9864077669902915</v>
      </c>
      <c r="K17" s="10">
        <v>0.72399999999999998</v>
      </c>
      <c r="L17" s="10">
        <v>0.122</v>
      </c>
      <c r="M17" s="10">
        <v>8.8999999999999996E-2</v>
      </c>
      <c r="N17" s="10">
        <v>1.7000000000000001E-2</v>
      </c>
      <c r="O17" s="10">
        <v>2E-3</v>
      </c>
      <c r="P17" s="10">
        <v>0.157</v>
      </c>
      <c r="Q17" s="10">
        <v>4.9000000000000002E-2</v>
      </c>
      <c r="R17" s="10">
        <v>0.47899999999999998</v>
      </c>
      <c r="S17" s="10">
        <f>65/1967</f>
        <v>3.3045246568378241E-2</v>
      </c>
      <c r="T17" s="11">
        <v>16.7</v>
      </c>
    </row>
    <row r="18" spans="1:20" x14ac:dyDescent="0.35">
      <c r="A18" s="2" t="s">
        <v>32</v>
      </c>
      <c r="B18" s="7">
        <v>243</v>
      </c>
      <c r="C18" s="7">
        <v>286</v>
      </c>
      <c r="D18" s="7">
        <v>224</v>
      </c>
      <c r="E18" s="7">
        <v>268</v>
      </c>
      <c r="F18" s="8">
        <f t="shared" si="0"/>
        <v>1021</v>
      </c>
      <c r="G18" s="4">
        <f t="shared" si="1"/>
        <v>17</v>
      </c>
      <c r="H18" s="9">
        <v>9872</v>
      </c>
      <c r="I18" s="4">
        <f t="shared" si="2"/>
        <v>28</v>
      </c>
      <c r="J18" s="53">
        <f>Table336[[#This Row],[PPF]]/Table336[[#This Row],[Total]]</f>
        <v>9.6689520078354558</v>
      </c>
      <c r="K18" s="10">
        <v>0.80600000000000005</v>
      </c>
      <c r="L18" s="10">
        <v>5.0999999999999997E-2</v>
      </c>
      <c r="M18" s="10">
        <v>8.8999999999999996E-2</v>
      </c>
      <c r="N18" s="10">
        <v>0.02</v>
      </c>
      <c r="O18" s="10">
        <v>4.0000000000000001E-3</v>
      </c>
      <c r="P18" s="10">
        <v>0.13700000000000001</v>
      </c>
      <c r="Q18" s="10">
        <v>4.4999999999999998E-2</v>
      </c>
      <c r="R18" s="10">
        <v>0.4</v>
      </c>
      <c r="S18" s="10">
        <f>7/1452</f>
        <v>4.8209366391184574E-3</v>
      </c>
      <c r="T18" s="11">
        <v>14.3</v>
      </c>
    </row>
    <row r="19" spans="1:20" x14ac:dyDescent="0.35">
      <c r="A19" s="2" t="s">
        <v>33</v>
      </c>
      <c r="B19" s="7">
        <v>241</v>
      </c>
      <c r="C19" s="7">
        <v>284</v>
      </c>
      <c r="D19" s="7">
        <v>221</v>
      </c>
      <c r="E19" s="7">
        <v>267</v>
      </c>
      <c r="F19" s="8">
        <f t="shared" si="0"/>
        <v>1013</v>
      </c>
      <c r="G19" s="4">
        <f t="shared" si="1"/>
        <v>23</v>
      </c>
      <c r="H19" s="9">
        <v>9992</v>
      </c>
      <c r="I19" s="4">
        <f t="shared" si="2"/>
        <v>27</v>
      </c>
      <c r="J19" s="53">
        <f>Table336[[#This Row],[PPF]]/Table336[[#This Row],[Total]]</f>
        <v>9.8637709772951627</v>
      </c>
      <c r="K19" s="10">
        <v>0.67300000000000004</v>
      </c>
      <c r="L19" s="10">
        <v>7.2999999999999995E-2</v>
      </c>
      <c r="M19" s="10">
        <v>0.17100000000000001</v>
      </c>
      <c r="N19" s="10">
        <v>2.5000000000000001E-2</v>
      </c>
      <c r="O19" s="10">
        <v>1.0999999999999999E-2</v>
      </c>
      <c r="P19" s="10">
        <v>0.13400000000000001</v>
      </c>
      <c r="Q19" s="10">
        <v>8.4000000000000005E-2</v>
      </c>
      <c r="R19" s="10">
        <v>0.48799999999999999</v>
      </c>
      <c r="S19" s="10">
        <f>17/1389</f>
        <v>1.2239020878329733E-2</v>
      </c>
      <c r="T19" s="11">
        <v>13</v>
      </c>
    </row>
    <row r="20" spans="1:20" x14ac:dyDescent="0.35">
      <c r="A20" s="2" t="s">
        <v>34</v>
      </c>
      <c r="B20" s="7">
        <v>242</v>
      </c>
      <c r="C20" s="7">
        <v>278</v>
      </c>
      <c r="D20" s="7">
        <v>228</v>
      </c>
      <c r="E20" s="7">
        <v>268</v>
      </c>
      <c r="F20" s="8">
        <f t="shared" si="0"/>
        <v>1016</v>
      </c>
      <c r="G20" s="4">
        <f t="shared" si="1"/>
        <v>21</v>
      </c>
      <c r="H20" s="9">
        <v>9133</v>
      </c>
      <c r="I20" s="4">
        <f t="shared" si="2"/>
        <v>37</v>
      </c>
      <c r="J20" s="53">
        <f>Table336[[#This Row],[PPF]]/Table336[[#This Row],[Total]]</f>
        <v>8.9891732283464574</v>
      </c>
      <c r="K20" s="10">
        <v>0.81100000000000005</v>
      </c>
      <c r="L20" s="10">
        <v>0.107</v>
      </c>
      <c r="M20" s="10">
        <v>4.2999999999999997E-2</v>
      </c>
      <c r="N20" s="10">
        <v>1.2999999999999999E-2</v>
      </c>
      <c r="O20" s="10">
        <v>1E-3</v>
      </c>
      <c r="P20" s="10">
        <v>0.14399999999999999</v>
      </c>
      <c r="Q20" s="10">
        <v>2.4E-2</v>
      </c>
      <c r="R20" s="10">
        <v>0.54</v>
      </c>
      <c r="S20" s="10">
        <f>0/1571</f>
        <v>0</v>
      </c>
      <c r="T20" s="11">
        <v>16.2</v>
      </c>
    </row>
    <row r="21" spans="1:20" x14ac:dyDescent="0.35">
      <c r="A21" s="2" t="s">
        <v>35</v>
      </c>
      <c r="B21" s="7">
        <v>234</v>
      </c>
      <c r="C21" s="7">
        <v>268</v>
      </c>
      <c r="D21" s="7">
        <v>216</v>
      </c>
      <c r="E21" s="7">
        <v>255</v>
      </c>
      <c r="F21" s="8">
        <f t="shared" si="0"/>
        <v>973</v>
      </c>
      <c r="G21" s="4">
        <f t="shared" si="1"/>
        <v>48</v>
      </c>
      <c r="H21" s="9">
        <v>10887</v>
      </c>
      <c r="I21" s="4">
        <f t="shared" si="2"/>
        <v>22</v>
      </c>
      <c r="J21" s="53">
        <f>Table336[[#This Row],[PPF]]/Table336[[#This Row],[Total]]</f>
        <v>11.189105858170606</v>
      </c>
      <c r="K21" s="10">
        <v>0.47399999999999998</v>
      </c>
      <c r="L21" s="10">
        <v>0.45</v>
      </c>
      <c r="M21" s="10">
        <v>0.04</v>
      </c>
      <c r="N21" s="10">
        <v>1.4E-2</v>
      </c>
      <c r="O21" s="10">
        <v>7.0000000000000001E-3</v>
      </c>
      <c r="P21" s="10">
        <v>0.11700000000000001</v>
      </c>
      <c r="Q21" s="10">
        <v>1.7999999999999999E-2</v>
      </c>
      <c r="R21" s="10">
        <v>0.67100000000000004</v>
      </c>
      <c r="S21" s="10">
        <f>99/1486</f>
        <v>6.6621803499327059E-2</v>
      </c>
      <c r="T21" s="11">
        <v>14.4</v>
      </c>
    </row>
    <row r="22" spans="1:20" x14ac:dyDescent="0.35">
      <c r="A22" s="2" t="s">
        <v>36</v>
      </c>
      <c r="B22" s="7">
        <v>242</v>
      </c>
      <c r="C22" s="7">
        <v>285</v>
      </c>
      <c r="D22" s="7">
        <v>224</v>
      </c>
      <c r="E22" s="7">
        <v>268</v>
      </c>
      <c r="F22" s="8">
        <f t="shared" si="0"/>
        <v>1019</v>
      </c>
      <c r="G22" s="4">
        <f t="shared" si="1"/>
        <v>20</v>
      </c>
      <c r="H22" s="9">
        <v>12566</v>
      </c>
      <c r="I22" s="4">
        <f t="shared" si="2"/>
        <v>14</v>
      </c>
      <c r="J22" s="53">
        <f>Table336[[#This Row],[PPF]]/Table336[[#This Row],[Total]]</f>
        <v>12.331697742885181</v>
      </c>
      <c r="K22" s="10">
        <v>0.91700000000000004</v>
      </c>
      <c r="L22" s="10">
        <v>2.9000000000000001E-2</v>
      </c>
      <c r="M22" s="10">
        <v>1.6E-2</v>
      </c>
      <c r="N22" s="10">
        <v>1.4999999999999999E-2</v>
      </c>
      <c r="O22" s="10">
        <v>8.0000000000000002E-3</v>
      </c>
      <c r="P22" s="10">
        <v>0.155</v>
      </c>
      <c r="Q22" s="12">
        <v>2.7E-2</v>
      </c>
      <c r="R22" s="10">
        <v>0.42</v>
      </c>
      <c r="S22" s="10">
        <f>0/642</f>
        <v>0</v>
      </c>
      <c r="T22" s="11">
        <v>12.6</v>
      </c>
    </row>
    <row r="23" spans="1:20" x14ac:dyDescent="0.35">
      <c r="A23" s="2" t="s">
        <v>37</v>
      </c>
      <c r="B23" s="7">
        <v>239</v>
      </c>
      <c r="C23" s="7">
        <v>283</v>
      </c>
      <c r="D23" s="7">
        <v>223</v>
      </c>
      <c r="E23" s="7">
        <v>268</v>
      </c>
      <c r="F23" s="8">
        <f t="shared" si="0"/>
        <v>1013</v>
      </c>
      <c r="G23" s="4">
        <f t="shared" si="1"/>
        <v>23</v>
      </c>
      <c r="H23" s="9">
        <v>14186</v>
      </c>
      <c r="I23" s="4">
        <f t="shared" si="2"/>
        <v>10</v>
      </c>
      <c r="J23" s="53">
        <f>Table336[[#This Row],[PPF]]/Table336[[#This Row],[Total]]</f>
        <v>14.003948667324778</v>
      </c>
      <c r="K23" s="10">
        <v>0.42399999999999999</v>
      </c>
      <c r="L23" s="10">
        <v>0.35299999999999998</v>
      </c>
      <c r="M23" s="10">
        <v>0.121</v>
      </c>
      <c r="N23" s="10">
        <v>5.8000000000000003E-2</v>
      </c>
      <c r="O23" s="10">
        <v>3.0000000000000001E-3</v>
      </c>
      <c r="P23" s="10">
        <v>0.12</v>
      </c>
      <c r="Q23" s="12">
        <v>0.06</v>
      </c>
      <c r="R23" s="10">
        <v>0.41699999999999998</v>
      </c>
      <c r="S23" s="10">
        <f>50/1461</f>
        <v>3.4223134839151265E-2</v>
      </c>
      <c r="T23" s="11">
        <v>14.8</v>
      </c>
    </row>
    <row r="24" spans="1:20" x14ac:dyDescent="0.35">
      <c r="A24" s="2" t="s">
        <v>38</v>
      </c>
      <c r="B24" s="7">
        <v>251</v>
      </c>
      <c r="C24" s="7">
        <v>297</v>
      </c>
      <c r="D24" s="7">
        <v>235</v>
      </c>
      <c r="E24" s="7">
        <v>274</v>
      </c>
      <c r="F24" s="8">
        <f t="shared" si="0"/>
        <v>1057</v>
      </c>
      <c r="G24" s="4">
        <f t="shared" si="1"/>
        <v>1</v>
      </c>
      <c r="H24" s="9">
        <v>14262</v>
      </c>
      <c r="I24" s="4">
        <f t="shared" si="2"/>
        <v>9</v>
      </c>
      <c r="J24" s="53">
        <f>Table336[[#This Row],[PPF]]/Table336[[#This Row],[Total]]</f>
        <v>13.492904446546831</v>
      </c>
      <c r="K24" s="10">
        <v>0.67</v>
      </c>
      <c r="L24" s="10">
        <v>8.2000000000000003E-2</v>
      </c>
      <c r="M24" s="10">
        <v>0.16</v>
      </c>
      <c r="N24" s="10">
        <v>5.7000000000000002E-2</v>
      </c>
      <c r="O24" s="10">
        <v>2E-3</v>
      </c>
      <c r="P24" s="10">
        <v>0.17399999999999999</v>
      </c>
      <c r="Q24" s="10">
        <v>6.8000000000000005E-2</v>
      </c>
      <c r="R24" s="10">
        <v>0.35</v>
      </c>
      <c r="S24" s="10">
        <f>79/1859</f>
        <v>4.249596557288865E-2</v>
      </c>
      <c r="T24" s="11">
        <v>13.7</v>
      </c>
    </row>
    <row r="25" spans="1:20" x14ac:dyDescent="0.35">
      <c r="A25" s="2" t="s">
        <v>39</v>
      </c>
      <c r="B25" s="7">
        <v>236</v>
      </c>
      <c r="C25" s="7">
        <v>278</v>
      </c>
      <c r="D25" s="7">
        <v>216</v>
      </c>
      <c r="E25" s="7">
        <v>264</v>
      </c>
      <c r="F25" s="8">
        <f t="shared" si="0"/>
        <v>994</v>
      </c>
      <c r="G25" s="4">
        <f t="shared" si="1"/>
        <v>39</v>
      </c>
      <c r="H25" s="9">
        <v>10179</v>
      </c>
      <c r="I25" s="4">
        <f t="shared" si="2"/>
        <v>26</v>
      </c>
      <c r="J25" s="53">
        <f>Table336[[#This Row],[PPF]]/Table336[[#This Row],[Total]]</f>
        <v>10.240442655935613</v>
      </c>
      <c r="K25" s="10">
        <v>0.69099999999999995</v>
      </c>
      <c r="L25" s="10">
        <v>0.188</v>
      </c>
      <c r="M25" s="10">
        <v>6.2E-2</v>
      </c>
      <c r="N25" s="10">
        <v>2.7E-2</v>
      </c>
      <c r="O25" s="10">
        <v>7.0000000000000001E-3</v>
      </c>
      <c r="P25" s="10">
        <v>0.13300000000000001</v>
      </c>
      <c r="Q25" s="10">
        <v>3.6999999999999998E-2</v>
      </c>
      <c r="R25" s="10">
        <v>0.47899999999999998</v>
      </c>
      <c r="S25" s="10">
        <f>310/3696</f>
        <v>8.3874458874458879E-2</v>
      </c>
      <c r="T25" s="11">
        <v>18</v>
      </c>
    </row>
    <row r="26" spans="1:20" x14ac:dyDescent="0.35">
      <c r="A26" s="2" t="s">
        <v>40</v>
      </c>
      <c r="B26" s="7">
        <v>250</v>
      </c>
      <c r="C26" s="7">
        <v>294</v>
      </c>
      <c r="D26" s="7">
        <v>223</v>
      </c>
      <c r="E26" s="7">
        <v>270</v>
      </c>
      <c r="F26" s="8">
        <f t="shared" si="0"/>
        <v>1037</v>
      </c>
      <c r="G26" s="4">
        <f t="shared" si="1"/>
        <v>4</v>
      </c>
      <c r="H26" s="9">
        <v>10686</v>
      </c>
      <c r="I26" s="4">
        <f t="shared" si="2"/>
        <v>24</v>
      </c>
      <c r="J26" s="53">
        <f>Table336[[#This Row],[PPF]]/Table336[[#This Row],[Total]]</f>
        <v>10.304725168756027</v>
      </c>
      <c r="K26" s="10">
        <v>0.73</v>
      </c>
      <c r="L26" s="10">
        <v>9.1999999999999998E-2</v>
      </c>
      <c r="M26" s="10">
        <v>7.2999999999999995E-2</v>
      </c>
      <c r="N26" s="10">
        <v>6.2E-2</v>
      </c>
      <c r="O26" s="10">
        <v>1.7999999999999999E-2</v>
      </c>
      <c r="P26" s="10">
        <v>0.14599999999999999</v>
      </c>
      <c r="Q26" s="10">
        <v>7.1999999999999995E-2</v>
      </c>
      <c r="R26" s="10">
        <v>0.371</v>
      </c>
      <c r="S26" s="10">
        <f>178/2456</f>
        <v>7.2475570032573294E-2</v>
      </c>
      <c r="T26" s="11">
        <v>15.8</v>
      </c>
    </row>
    <row r="27" spans="1:20" x14ac:dyDescent="0.35">
      <c r="A27" s="2" t="s">
        <v>41</v>
      </c>
      <c r="B27" s="7">
        <v>234</v>
      </c>
      <c r="C27" s="7">
        <v>271</v>
      </c>
      <c r="D27" s="7">
        <v>214</v>
      </c>
      <c r="E27" s="7">
        <v>252</v>
      </c>
      <c r="F27" s="8">
        <f t="shared" si="0"/>
        <v>971</v>
      </c>
      <c r="G27" s="4">
        <f t="shared" si="1"/>
        <v>49</v>
      </c>
      <c r="H27" s="9">
        <v>7894</v>
      </c>
      <c r="I27" s="4">
        <f t="shared" si="2"/>
        <v>47</v>
      </c>
      <c r="J27" s="53">
        <f>Table336[[#This Row],[PPF]]/Table336[[#This Row],[Total]]</f>
        <v>8.1297631307929965</v>
      </c>
      <c r="K27" s="10">
        <v>0.46</v>
      </c>
      <c r="L27" s="10">
        <v>0.496</v>
      </c>
      <c r="M27" s="10">
        <v>2.5000000000000001E-2</v>
      </c>
      <c r="N27" s="10">
        <v>8.9999999999999993E-3</v>
      </c>
      <c r="O27" s="10">
        <v>2E-3</v>
      </c>
      <c r="P27" s="12">
        <v>0.13</v>
      </c>
      <c r="Q27" s="10">
        <v>1.2E-2</v>
      </c>
      <c r="R27" s="10">
        <v>0.71</v>
      </c>
      <c r="S27" s="10">
        <f>0/1087</f>
        <v>0</v>
      </c>
      <c r="T27" s="11">
        <v>15.3</v>
      </c>
    </row>
    <row r="28" spans="1:20" x14ac:dyDescent="0.35">
      <c r="A28" s="2" t="s">
        <v>42</v>
      </c>
      <c r="B28" s="7">
        <v>239</v>
      </c>
      <c r="C28" s="7">
        <v>281</v>
      </c>
      <c r="D28" s="7">
        <v>223</v>
      </c>
      <c r="E28" s="7">
        <v>267</v>
      </c>
      <c r="F28" s="8">
        <f t="shared" si="0"/>
        <v>1010</v>
      </c>
      <c r="G28" s="4">
        <f t="shared" si="1"/>
        <v>27</v>
      </c>
      <c r="H28" s="9">
        <v>9468</v>
      </c>
      <c r="I28" s="4">
        <f t="shared" si="2"/>
        <v>31</v>
      </c>
      <c r="J28" s="53">
        <f>Table336[[#This Row],[PPF]]/Table336[[#This Row],[Total]]</f>
        <v>9.3742574257425737</v>
      </c>
      <c r="K28" s="10">
        <v>0.74199999999999999</v>
      </c>
      <c r="L28" s="10">
        <v>0.16700000000000001</v>
      </c>
      <c r="M28" s="10">
        <v>4.8000000000000001E-2</v>
      </c>
      <c r="N28" s="10">
        <v>1.7999999999999999E-2</v>
      </c>
      <c r="O28" s="10">
        <v>4.0000000000000001E-3</v>
      </c>
      <c r="P28" s="10">
        <v>0.13600000000000001</v>
      </c>
      <c r="Q28" s="10">
        <v>2.7E-2</v>
      </c>
      <c r="R28" s="10">
        <v>0.44900000000000001</v>
      </c>
      <c r="S28" s="10">
        <f>62/2432</f>
        <v>2.5493421052631578E-2</v>
      </c>
      <c r="T28" s="11">
        <v>13.8</v>
      </c>
    </row>
    <row r="29" spans="1:20" x14ac:dyDescent="0.35">
      <c r="A29" s="2" t="s">
        <v>43</v>
      </c>
      <c r="B29" s="7">
        <v>241</v>
      </c>
      <c r="C29" s="7">
        <v>287</v>
      </c>
      <c r="D29" s="7">
        <v>225</v>
      </c>
      <c r="E29" s="7">
        <v>270</v>
      </c>
      <c r="F29" s="8">
        <f t="shared" si="0"/>
        <v>1023</v>
      </c>
      <c r="G29" s="4">
        <f t="shared" si="1"/>
        <v>15</v>
      </c>
      <c r="H29" s="9">
        <v>10710</v>
      </c>
      <c r="I29" s="4">
        <f t="shared" si="2"/>
        <v>23</v>
      </c>
      <c r="J29" s="53">
        <f>Table336[[#This Row],[PPF]]/Table336[[#This Row],[Total]]</f>
        <v>10.469208211143695</v>
      </c>
      <c r="K29" s="10">
        <v>0.80900000000000005</v>
      </c>
      <c r="L29" s="10">
        <v>0.01</v>
      </c>
      <c r="M29" s="10">
        <v>3.5999999999999997E-2</v>
      </c>
      <c r="N29" s="10">
        <v>8.0000000000000002E-3</v>
      </c>
      <c r="O29" s="10">
        <v>0.11600000000000001</v>
      </c>
      <c r="P29" s="10">
        <v>0.112</v>
      </c>
      <c r="Q29" s="10">
        <v>2.3E-2</v>
      </c>
      <c r="R29" s="10">
        <v>0.40200000000000002</v>
      </c>
      <c r="S29" s="10">
        <f>0/827</f>
        <v>0</v>
      </c>
      <c r="T29" s="11">
        <v>14</v>
      </c>
    </row>
    <row r="30" spans="1:20" x14ac:dyDescent="0.35">
      <c r="A30" s="2" t="s">
        <v>44</v>
      </c>
      <c r="B30" s="7">
        <v>244</v>
      </c>
      <c r="C30" s="7">
        <v>286</v>
      </c>
      <c r="D30" s="7">
        <v>227</v>
      </c>
      <c r="E30" s="7">
        <v>269</v>
      </c>
      <c r="F30" s="8">
        <f t="shared" si="0"/>
        <v>1026</v>
      </c>
      <c r="G30" s="4">
        <f t="shared" si="1"/>
        <v>9</v>
      </c>
      <c r="H30" s="9">
        <v>11638</v>
      </c>
      <c r="I30" s="4">
        <f t="shared" si="2"/>
        <v>19</v>
      </c>
      <c r="J30" s="53">
        <f>Table336[[#This Row],[PPF]]/Table336[[#This Row],[Total]]</f>
        <v>11.343079922027291</v>
      </c>
      <c r="K30" s="10">
        <v>0.70099999999999996</v>
      </c>
      <c r="L30" s="10">
        <v>6.7000000000000004E-2</v>
      </c>
      <c r="M30" s="10">
        <v>0.16400000000000001</v>
      </c>
      <c r="N30" s="10">
        <v>0.02</v>
      </c>
      <c r="O30" s="10">
        <v>1.4E-2</v>
      </c>
      <c r="P30" s="10">
        <v>0.14799999999999999</v>
      </c>
      <c r="Q30" s="10">
        <v>5.8000000000000003E-2</v>
      </c>
      <c r="R30" s="10">
        <v>0.438</v>
      </c>
      <c r="S30" s="10">
        <f>0/1113</f>
        <v>0</v>
      </c>
      <c r="T30" s="11">
        <v>13.5</v>
      </c>
    </row>
    <row r="31" spans="1:20" x14ac:dyDescent="0.35">
      <c r="A31" s="2" t="s">
        <v>45</v>
      </c>
      <c r="B31" s="7">
        <v>234</v>
      </c>
      <c r="C31" s="7">
        <v>275</v>
      </c>
      <c r="D31" s="7">
        <v>214</v>
      </c>
      <c r="E31" s="7">
        <v>259</v>
      </c>
      <c r="F31" s="8">
        <f t="shared" si="0"/>
        <v>982</v>
      </c>
      <c r="G31" s="4">
        <f t="shared" si="1"/>
        <v>44</v>
      </c>
      <c r="H31" s="9">
        <v>8572</v>
      </c>
      <c r="I31" s="4">
        <f t="shared" si="2"/>
        <v>45</v>
      </c>
      <c r="J31" s="53">
        <f>Table336[[#This Row],[PPF]]/Table336[[#This Row],[Total]]</f>
        <v>8.7291242362525452</v>
      </c>
      <c r="K31" s="10">
        <v>0.374</v>
      </c>
      <c r="L31" s="10">
        <v>9.6000000000000002E-2</v>
      </c>
      <c r="M31" s="10">
        <v>0.39600000000000002</v>
      </c>
      <c r="N31" s="10">
        <v>5.6000000000000001E-2</v>
      </c>
      <c r="O31" s="10">
        <v>1.0999999999999999E-2</v>
      </c>
      <c r="P31" s="10">
        <v>0.111</v>
      </c>
      <c r="Q31" s="10">
        <v>0.191</v>
      </c>
      <c r="R31" s="10">
        <v>0.54</v>
      </c>
      <c r="S31" s="10">
        <f>42/683</f>
        <v>6.149341142020498E-2</v>
      </c>
      <c r="T31" s="11">
        <v>20.8</v>
      </c>
    </row>
    <row r="32" spans="1:20" x14ac:dyDescent="0.35">
      <c r="A32" s="2" t="s">
        <v>46</v>
      </c>
      <c r="B32" s="7">
        <v>249</v>
      </c>
      <c r="C32" s="7">
        <v>294</v>
      </c>
      <c r="D32" s="7">
        <v>232</v>
      </c>
      <c r="E32" s="7">
        <v>275</v>
      </c>
      <c r="F32" s="8">
        <f t="shared" si="0"/>
        <v>1050</v>
      </c>
      <c r="G32" s="4">
        <f t="shared" si="1"/>
        <v>2</v>
      </c>
      <c r="H32" s="9">
        <v>13380</v>
      </c>
      <c r="I32" s="4">
        <f t="shared" si="2"/>
        <v>11</v>
      </c>
      <c r="J32" s="53">
        <f>Table336[[#This Row],[PPF]]/Table336[[#This Row],[Total]]</f>
        <v>12.742857142857142</v>
      </c>
      <c r="K32" s="10">
        <v>0.89100000000000001</v>
      </c>
      <c r="L32" s="10">
        <v>1.9E-2</v>
      </c>
      <c r="M32" s="10">
        <v>3.7999999999999999E-2</v>
      </c>
      <c r="N32" s="10">
        <v>2.8000000000000001E-2</v>
      </c>
      <c r="O32" s="10">
        <v>3.0000000000000001E-3</v>
      </c>
      <c r="P32" s="10">
        <v>0.153</v>
      </c>
      <c r="Q32" s="10">
        <v>0.02</v>
      </c>
      <c r="R32" s="10">
        <v>0.26200000000000001</v>
      </c>
      <c r="S32" s="10">
        <f>22/484</f>
        <v>4.5454545454545456E-2</v>
      </c>
      <c r="T32" s="11">
        <v>12.7</v>
      </c>
    </row>
    <row r="33" spans="1:20" x14ac:dyDescent="0.35">
      <c r="A33" s="2" t="s">
        <v>47</v>
      </c>
      <c r="B33" s="7">
        <v>245</v>
      </c>
      <c r="C33" s="7">
        <v>293</v>
      </c>
      <c r="D33" s="7">
        <v>229</v>
      </c>
      <c r="E33" s="62">
        <v>271</v>
      </c>
      <c r="F33" s="8">
        <f t="shared" si="0"/>
        <v>1038</v>
      </c>
      <c r="G33" s="4">
        <f t="shared" si="1"/>
        <v>3</v>
      </c>
      <c r="H33" s="9">
        <v>16933</v>
      </c>
      <c r="I33" s="4">
        <f t="shared" si="2"/>
        <v>3</v>
      </c>
      <c r="J33" s="53">
        <f>Table336[[#This Row],[PPF]]/Table336[[#This Row],[Total]]</f>
        <v>16.313102119460503</v>
      </c>
      <c r="K33" s="10">
        <v>0.51100000000000001</v>
      </c>
      <c r="L33" s="10">
        <v>0.16200000000000001</v>
      </c>
      <c r="M33" s="10">
        <v>0.224</v>
      </c>
      <c r="N33" s="10">
        <v>8.8999999999999996E-2</v>
      </c>
      <c r="O33" s="10">
        <v>1E-3</v>
      </c>
      <c r="P33" s="10">
        <v>0.16200000000000001</v>
      </c>
      <c r="Q33" s="10">
        <v>3.9E-2</v>
      </c>
      <c r="R33" s="10">
        <v>0.34499999999999997</v>
      </c>
      <c r="S33" s="10">
        <f>90/2642</f>
        <v>3.4065102195306583E-2</v>
      </c>
      <c r="T33" s="11">
        <v>12.3</v>
      </c>
    </row>
    <row r="34" spans="1:20" x14ac:dyDescent="0.35">
      <c r="A34" s="2" t="s">
        <v>48</v>
      </c>
      <c r="B34" s="7">
        <v>231</v>
      </c>
      <c r="C34" s="7">
        <v>271</v>
      </c>
      <c r="D34" s="7">
        <v>207</v>
      </c>
      <c r="E34" s="7">
        <v>253</v>
      </c>
      <c r="F34" s="8">
        <f t="shared" si="0"/>
        <v>962</v>
      </c>
      <c r="G34" s="4">
        <f t="shared" si="1"/>
        <v>50</v>
      </c>
      <c r="H34" s="9">
        <v>9351</v>
      </c>
      <c r="I34" s="4">
        <f t="shared" si="2"/>
        <v>32</v>
      </c>
      <c r="J34" s="53">
        <f>Table336[[#This Row],[PPF]]/Table336[[#This Row],[Total]]</f>
        <v>9.7203742203742198</v>
      </c>
      <c r="K34" s="10">
        <v>0.25900000000000001</v>
      </c>
      <c r="L34" s="10">
        <v>0.02</v>
      </c>
      <c r="M34" s="10">
        <v>0.59399999999999997</v>
      </c>
      <c r="N34" s="10">
        <v>1.2E-2</v>
      </c>
      <c r="O34" s="10">
        <v>0.10100000000000001</v>
      </c>
      <c r="P34" s="10">
        <v>0.13800000000000001</v>
      </c>
      <c r="Q34" s="12">
        <v>0.159</v>
      </c>
      <c r="R34" s="10">
        <v>0.68</v>
      </c>
      <c r="S34" s="10">
        <f>84/868</f>
        <v>9.6774193548387094E-2</v>
      </c>
      <c r="T34" s="11">
        <v>15.3</v>
      </c>
    </row>
    <row r="35" spans="1:20" x14ac:dyDescent="0.35">
      <c r="A35" s="61" t="s">
        <v>49</v>
      </c>
      <c r="B35" s="62">
        <v>237</v>
      </c>
      <c r="C35" s="62">
        <v>280</v>
      </c>
      <c r="D35" s="62">
        <v>223</v>
      </c>
      <c r="E35" s="62">
        <v>263</v>
      </c>
      <c r="F35" s="8">
        <f t="shared" ref="F35:F53" si="3">SUM(B35:E35)</f>
        <v>1003</v>
      </c>
      <c r="G35" s="4">
        <f t="shared" ref="G35:G53" si="4">RANK(F35,F$3:F$53)</f>
        <v>34</v>
      </c>
      <c r="H35" s="63">
        <v>18621</v>
      </c>
      <c r="I35" s="4">
        <f t="shared" ref="I35:I53" si="5">RANK(H35,H$3:H$53)</f>
        <v>2</v>
      </c>
      <c r="J35" s="73">
        <f>Table336[[#This Row],[PPF]]/Table336[[#This Row],[Total]]</f>
        <v>18.565304087736788</v>
      </c>
      <c r="K35" s="64">
        <v>0.48199999999999998</v>
      </c>
      <c r="L35" s="64">
        <v>0.184</v>
      </c>
      <c r="M35" s="64">
        <v>0.23300000000000001</v>
      </c>
      <c r="N35" s="64">
        <v>8.3000000000000004E-2</v>
      </c>
      <c r="O35" s="64">
        <v>5.0000000000000001E-3</v>
      </c>
      <c r="P35" s="64">
        <v>0.16600000000000001</v>
      </c>
      <c r="Q35" s="64">
        <v>7.5999999999999998E-2</v>
      </c>
      <c r="R35" s="64">
        <v>0.49299999999999999</v>
      </c>
      <c r="S35" s="64">
        <f>183/4817</f>
        <v>3.7990450487855515E-2</v>
      </c>
      <c r="T35" s="65">
        <v>12.9</v>
      </c>
    </row>
    <row r="36" spans="1:20" x14ac:dyDescent="0.35">
      <c r="A36" s="2" t="s">
        <v>50</v>
      </c>
      <c r="B36" s="7">
        <v>244</v>
      </c>
      <c r="C36" s="7">
        <v>281</v>
      </c>
      <c r="D36" s="7">
        <v>226</v>
      </c>
      <c r="E36" s="7">
        <v>261</v>
      </c>
      <c r="F36" s="8">
        <f t="shared" si="3"/>
        <v>1012</v>
      </c>
      <c r="G36" s="4">
        <f t="shared" si="4"/>
        <v>25</v>
      </c>
      <c r="H36" s="9">
        <v>8306</v>
      </c>
      <c r="I36" s="4">
        <f t="shared" si="5"/>
        <v>46</v>
      </c>
      <c r="J36" s="53">
        <f>Table336[[#This Row],[PPF]]/Table336[[#This Row],[Total]]</f>
        <v>8.2075098814229257</v>
      </c>
      <c r="K36" s="10">
        <v>0.52400000000000002</v>
      </c>
      <c r="L36" s="10">
        <v>0.26300000000000001</v>
      </c>
      <c r="M36" s="10">
        <v>0.13500000000000001</v>
      </c>
      <c r="N36" s="10">
        <v>2.5000000000000001E-2</v>
      </c>
      <c r="O36" s="10">
        <v>1.4E-2</v>
      </c>
      <c r="P36" s="10">
        <v>0.124</v>
      </c>
      <c r="Q36" s="10">
        <v>6.5000000000000002E-2</v>
      </c>
      <c r="R36" s="10">
        <v>0.52300000000000002</v>
      </c>
      <c r="S36" s="10">
        <f>108/2613</f>
        <v>4.1331802525832378E-2</v>
      </c>
      <c r="T36" s="11">
        <v>15.5</v>
      </c>
    </row>
    <row r="37" spans="1:20" x14ac:dyDescent="0.35">
      <c r="A37" s="2" t="s">
        <v>51</v>
      </c>
      <c r="B37" s="7">
        <v>245</v>
      </c>
      <c r="C37" s="7">
        <v>288</v>
      </c>
      <c r="D37" s="7">
        <v>225</v>
      </c>
      <c r="E37" s="7">
        <v>267</v>
      </c>
      <c r="F37" s="8">
        <f t="shared" si="3"/>
        <v>1025</v>
      </c>
      <c r="G37" s="4">
        <f t="shared" si="4"/>
        <v>11</v>
      </c>
      <c r="H37" s="9">
        <v>11041</v>
      </c>
      <c r="I37" s="4">
        <f t="shared" si="5"/>
        <v>21</v>
      </c>
      <c r="J37" s="53">
        <f>Table336[[#This Row],[PPF]]/Table336[[#This Row],[Total]]</f>
        <v>10.771707317073171</v>
      </c>
      <c r="K37" s="10">
        <v>0.83199999999999996</v>
      </c>
      <c r="L37" s="10">
        <v>2.5999999999999999E-2</v>
      </c>
      <c r="M37" s="10">
        <v>2.8000000000000001E-2</v>
      </c>
      <c r="N37" s="10">
        <v>1.0999999999999999E-2</v>
      </c>
      <c r="O37" s="10">
        <v>0.09</v>
      </c>
      <c r="P37" s="10">
        <v>0.13600000000000001</v>
      </c>
      <c r="Q37" s="10">
        <v>2.7E-2</v>
      </c>
      <c r="R37" s="10">
        <v>0.32300000000000001</v>
      </c>
      <c r="S37" s="10">
        <f>0/521</f>
        <v>0</v>
      </c>
      <c r="T37" s="11">
        <v>11.4</v>
      </c>
    </row>
    <row r="38" spans="1:20" x14ac:dyDescent="0.35">
      <c r="A38" s="2" t="s">
        <v>52</v>
      </c>
      <c r="B38" s="7">
        <v>244</v>
      </c>
      <c r="C38" s="7">
        <v>285</v>
      </c>
      <c r="D38" s="7">
        <v>225</v>
      </c>
      <c r="E38" s="7">
        <v>266</v>
      </c>
      <c r="F38" s="8">
        <f t="shared" si="3"/>
        <v>1020</v>
      </c>
      <c r="G38" s="4">
        <f t="shared" si="4"/>
        <v>18</v>
      </c>
      <c r="H38" s="9">
        <v>11329</v>
      </c>
      <c r="I38" s="4">
        <f t="shared" si="5"/>
        <v>20</v>
      </c>
      <c r="J38" s="53">
        <f>Table336[[#This Row],[PPF]]/Table336[[#This Row],[Total]]</f>
        <v>11.10686274509804</v>
      </c>
      <c r="K38" s="10">
        <v>0.73699999999999999</v>
      </c>
      <c r="L38" s="10">
        <v>0.16200000000000001</v>
      </c>
      <c r="M38" s="10">
        <v>3.7999999999999999E-2</v>
      </c>
      <c r="N38" s="10">
        <v>1.7000000000000001E-2</v>
      </c>
      <c r="O38" s="10">
        <v>1E-3</v>
      </c>
      <c r="P38" s="10">
        <v>0.14799999999999999</v>
      </c>
      <c r="Q38" s="10">
        <v>2.1999999999999999E-2</v>
      </c>
      <c r="R38" s="10">
        <v>0.436</v>
      </c>
      <c r="S38" s="10">
        <f>387/3794</f>
        <v>0.10200316288877175</v>
      </c>
      <c r="T38" s="11">
        <v>16.100000000000001</v>
      </c>
    </row>
    <row r="39" spans="1:20" x14ac:dyDescent="0.35">
      <c r="A39" s="61" t="s">
        <v>53</v>
      </c>
      <c r="B39" s="62">
        <v>240</v>
      </c>
      <c r="C39" s="62">
        <v>275</v>
      </c>
      <c r="D39" s="62">
        <v>222</v>
      </c>
      <c r="E39" s="62">
        <v>263</v>
      </c>
      <c r="F39" s="8">
        <f t="shared" si="3"/>
        <v>1000</v>
      </c>
      <c r="G39" s="4">
        <f t="shared" si="4"/>
        <v>36</v>
      </c>
      <c r="H39" s="63">
        <v>7690</v>
      </c>
      <c r="I39" s="4">
        <f t="shared" si="5"/>
        <v>49</v>
      </c>
      <c r="J39" s="73">
        <f>Table336[[#This Row],[PPF]]/Table336[[#This Row],[Total]]</f>
        <v>7.69</v>
      </c>
      <c r="K39" s="64">
        <v>0.53600000000000003</v>
      </c>
      <c r="L39" s="64">
        <v>9.7000000000000003E-2</v>
      </c>
      <c r="M39" s="64">
        <v>0.13100000000000001</v>
      </c>
      <c r="N39" s="64">
        <v>1.7999999999999999E-2</v>
      </c>
      <c r="O39" s="64">
        <v>0.16600000000000001</v>
      </c>
      <c r="P39" s="74">
        <v>0.14799999999999999</v>
      </c>
      <c r="Q39" s="74">
        <v>6.7000000000000004E-2</v>
      </c>
      <c r="R39" s="64">
        <v>0.61099999999999999</v>
      </c>
      <c r="S39" s="64">
        <f>21/1803</f>
        <v>1.1647254575707155E-2</v>
      </c>
      <c r="T39" s="65">
        <v>16.100000000000001</v>
      </c>
    </row>
    <row r="40" spans="1:20" x14ac:dyDescent="0.35">
      <c r="A40" s="2" t="s">
        <v>54</v>
      </c>
      <c r="B40" s="7">
        <v>238</v>
      </c>
      <c r="C40" s="7">
        <v>283</v>
      </c>
      <c r="D40" s="7">
        <v>220</v>
      </c>
      <c r="E40" s="7">
        <v>268</v>
      </c>
      <c r="F40" s="8">
        <f t="shared" si="3"/>
        <v>1009</v>
      </c>
      <c r="G40" s="4">
        <f t="shared" si="4"/>
        <v>28</v>
      </c>
      <c r="H40" s="9">
        <v>9317</v>
      </c>
      <c r="I40" s="4">
        <f t="shared" si="5"/>
        <v>33</v>
      </c>
      <c r="J40" s="53">
        <f>Table336[[#This Row],[PPF]]/Table336[[#This Row],[Total]]</f>
        <v>9.2338949454905848</v>
      </c>
      <c r="K40" s="10">
        <v>0.65300000000000002</v>
      </c>
      <c r="L40" s="10">
        <v>2.5000000000000001E-2</v>
      </c>
      <c r="M40" s="10">
        <v>0.21</v>
      </c>
      <c r="N40" s="10">
        <v>3.9E-2</v>
      </c>
      <c r="O40" s="10">
        <v>1.7999999999999999E-2</v>
      </c>
      <c r="P40" s="10">
        <v>0.14199999999999999</v>
      </c>
      <c r="Q40" s="10">
        <v>0.112</v>
      </c>
      <c r="R40" s="10">
        <v>0.51900000000000002</v>
      </c>
      <c r="S40" s="10">
        <f>115/1304</f>
        <v>8.8190184049079759E-2</v>
      </c>
      <c r="T40" s="11">
        <v>21.2</v>
      </c>
    </row>
    <row r="41" spans="1:20" x14ac:dyDescent="0.35">
      <c r="A41" s="2" t="s">
        <v>55</v>
      </c>
      <c r="B41" s="7">
        <v>243</v>
      </c>
      <c r="C41" s="7">
        <v>284</v>
      </c>
      <c r="D41" s="7">
        <v>227</v>
      </c>
      <c r="E41" s="7">
        <v>269</v>
      </c>
      <c r="F41" s="8">
        <f t="shared" si="3"/>
        <v>1023</v>
      </c>
      <c r="G41" s="4">
        <f t="shared" si="4"/>
        <v>15</v>
      </c>
      <c r="H41" s="9">
        <v>13149</v>
      </c>
      <c r="I41" s="4">
        <f t="shared" si="5"/>
        <v>12</v>
      </c>
      <c r="J41" s="53">
        <f>Table336[[#This Row],[PPF]]/Table336[[#This Row],[Total]]</f>
        <v>12.853372434017595</v>
      </c>
      <c r="K41" s="10">
        <v>0.70599999999999996</v>
      </c>
      <c r="L41" s="10">
        <v>0.153</v>
      </c>
      <c r="M41" s="10">
        <v>8.5999999999999993E-2</v>
      </c>
      <c r="N41" s="10">
        <v>3.2000000000000001E-2</v>
      </c>
      <c r="O41" s="10">
        <v>1E-3</v>
      </c>
      <c r="P41" s="10">
        <v>0.16600000000000001</v>
      </c>
      <c r="Q41" s="10">
        <v>2.5999999999999999E-2</v>
      </c>
      <c r="R41" s="10">
        <v>0.39800000000000002</v>
      </c>
      <c r="S41" s="10">
        <f>162/3287</f>
        <v>4.9285062366899911E-2</v>
      </c>
      <c r="T41" s="11">
        <v>14.2</v>
      </c>
    </row>
    <row r="42" spans="1:20" x14ac:dyDescent="0.35">
      <c r="A42" s="2" t="s">
        <v>56</v>
      </c>
      <c r="B42" s="7">
        <v>238</v>
      </c>
      <c r="C42" s="7">
        <v>281</v>
      </c>
      <c r="D42" s="7">
        <v>225</v>
      </c>
      <c r="E42" s="7">
        <v>265</v>
      </c>
      <c r="F42" s="8">
        <f t="shared" si="3"/>
        <v>1009</v>
      </c>
      <c r="G42" s="4">
        <f t="shared" si="4"/>
        <v>28</v>
      </c>
      <c r="H42" s="9">
        <v>14811</v>
      </c>
      <c r="I42" s="4">
        <f t="shared" si="5"/>
        <v>8</v>
      </c>
      <c r="J42" s="53">
        <f>Table336[[#This Row],[PPF]]/Table336[[#This Row],[Total]]</f>
        <v>14.678889990089198</v>
      </c>
      <c r="K42" s="10">
        <v>0.63900000000000001</v>
      </c>
      <c r="L42" s="10">
        <v>8.1000000000000003E-2</v>
      </c>
      <c r="M42" s="10">
        <v>0.215</v>
      </c>
      <c r="N42" s="10">
        <v>2.8000000000000001E-2</v>
      </c>
      <c r="O42" s="10">
        <v>6.0000000000000001E-3</v>
      </c>
      <c r="P42" s="10">
        <v>0.17299999999999999</v>
      </c>
      <c r="Q42" s="12">
        <v>5.8000000000000003E-2</v>
      </c>
      <c r="R42" s="10">
        <v>0.438</v>
      </c>
      <c r="S42" s="10">
        <f>18/318</f>
        <v>5.6603773584905662E-2</v>
      </c>
      <c r="T42" s="11">
        <v>12.5</v>
      </c>
    </row>
    <row r="43" spans="1:20" x14ac:dyDescent="0.35">
      <c r="A43" s="2" t="s">
        <v>57</v>
      </c>
      <c r="B43" s="7">
        <v>237</v>
      </c>
      <c r="C43" s="7">
        <v>276</v>
      </c>
      <c r="D43" s="7">
        <v>218</v>
      </c>
      <c r="E43" s="7">
        <v>260</v>
      </c>
      <c r="F43" s="8">
        <f t="shared" si="3"/>
        <v>991</v>
      </c>
      <c r="G43" s="4">
        <f t="shared" si="4"/>
        <v>40</v>
      </c>
      <c r="H43" s="9">
        <v>8935</v>
      </c>
      <c r="I43" s="4">
        <f t="shared" si="5"/>
        <v>40</v>
      </c>
      <c r="J43" s="53">
        <f>Table336[[#This Row],[PPF]]/Table336[[#This Row],[Total]]</f>
        <v>9.0161453077699285</v>
      </c>
      <c r="K43" s="10">
        <v>0.53200000000000003</v>
      </c>
      <c r="L43" s="10">
        <v>0.35599999999999998</v>
      </c>
      <c r="M43" s="10">
        <v>6.6000000000000003E-2</v>
      </c>
      <c r="N43" s="10">
        <v>1.2999999999999999E-2</v>
      </c>
      <c r="O43" s="10">
        <v>2E-3</v>
      </c>
      <c r="P43" s="10">
        <v>0.13700000000000001</v>
      </c>
      <c r="Q43" s="10">
        <v>5.2999999999999999E-2</v>
      </c>
      <c r="R43" s="10">
        <v>0.56799999999999995</v>
      </c>
      <c r="S43" s="10">
        <f>52/1245</f>
        <v>4.1767068273092373E-2</v>
      </c>
      <c r="T43" s="11">
        <v>15.5</v>
      </c>
    </row>
    <row r="44" spans="1:20" x14ac:dyDescent="0.35">
      <c r="A44" s="2" t="s">
        <v>58</v>
      </c>
      <c r="B44" s="7">
        <v>240</v>
      </c>
      <c r="C44" s="7">
        <v>285</v>
      </c>
      <c r="D44" s="7">
        <v>220</v>
      </c>
      <c r="E44" s="7">
        <v>267</v>
      </c>
      <c r="F44" s="8">
        <f t="shared" si="3"/>
        <v>1012</v>
      </c>
      <c r="G44" s="4">
        <f t="shared" si="4"/>
        <v>25</v>
      </c>
      <c r="H44" s="9">
        <v>9105</v>
      </c>
      <c r="I44" s="4">
        <f t="shared" si="5"/>
        <v>38</v>
      </c>
      <c r="J44" s="53">
        <f>Table336[[#This Row],[PPF]]/Table336[[#This Row],[Total]]</f>
        <v>8.9970355731225293</v>
      </c>
      <c r="K44" s="10">
        <v>0.78400000000000003</v>
      </c>
      <c r="L44" s="10">
        <v>2.5999999999999999E-2</v>
      </c>
      <c r="M44" s="10">
        <v>3.9E-2</v>
      </c>
      <c r="N44" s="10">
        <v>1.4999999999999999E-2</v>
      </c>
      <c r="O44" s="10">
        <v>0.11600000000000001</v>
      </c>
      <c r="P44" s="10">
        <v>0.14000000000000001</v>
      </c>
      <c r="Q44" s="10">
        <v>3.6999999999999998E-2</v>
      </c>
      <c r="R44" s="10">
        <v>0.38600000000000001</v>
      </c>
      <c r="S44" s="10">
        <f>0/713</f>
        <v>0</v>
      </c>
      <c r="T44" s="11">
        <v>13.8</v>
      </c>
    </row>
    <row r="45" spans="1:20" x14ac:dyDescent="0.35">
      <c r="A45" s="2" t="s">
        <v>59</v>
      </c>
      <c r="B45" s="7">
        <v>241</v>
      </c>
      <c r="C45" s="7">
        <v>278</v>
      </c>
      <c r="D45" s="7">
        <v>219</v>
      </c>
      <c r="E45" s="62">
        <v>265</v>
      </c>
      <c r="F45" s="8">
        <f t="shared" si="3"/>
        <v>1003</v>
      </c>
      <c r="G45" s="4">
        <f t="shared" si="4"/>
        <v>34</v>
      </c>
      <c r="H45" s="9">
        <v>8614</v>
      </c>
      <c r="I45" s="4">
        <f t="shared" si="5"/>
        <v>44</v>
      </c>
      <c r="J45" s="53">
        <f>Table336[[#This Row],[PPF]]/Table336[[#This Row],[Total]]</f>
        <v>8.5882352941176467</v>
      </c>
      <c r="K45" s="10">
        <v>0.67</v>
      </c>
      <c r="L45" s="10">
        <v>0.23300000000000001</v>
      </c>
      <c r="M45" s="10">
        <v>6.6000000000000003E-2</v>
      </c>
      <c r="N45" s="10">
        <v>1.6E-2</v>
      </c>
      <c r="O45" s="10">
        <v>1E-3</v>
      </c>
      <c r="P45" s="10">
        <v>0.123</v>
      </c>
      <c r="Q45" s="10">
        <v>3.1E-2</v>
      </c>
      <c r="R45" s="10">
        <v>0.56100000000000005</v>
      </c>
      <c r="S45" s="10">
        <f>40/1816</f>
        <v>2.2026431718061675E-2</v>
      </c>
      <c r="T45" s="11">
        <v>15</v>
      </c>
    </row>
    <row r="46" spans="1:20" x14ac:dyDescent="0.35">
      <c r="A46" s="2" t="s">
        <v>60</v>
      </c>
      <c r="B46" s="7">
        <v>244</v>
      </c>
      <c r="C46" s="7">
        <v>284</v>
      </c>
      <c r="D46" s="7">
        <v>218</v>
      </c>
      <c r="E46" s="7">
        <v>261</v>
      </c>
      <c r="F46" s="8">
        <f t="shared" si="3"/>
        <v>1007</v>
      </c>
      <c r="G46" s="4">
        <f t="shared" si="4"/>
        <v>32</v>
      </c>
      <c r="H46" s="9">
        <v>8837</v>
      </c>
      <c r="I46" s="4">
        <f t="shared" si="5"/>
        <v>42</v>
      </c>
      <c r="J46" s="53">
        <f>Table336[[#This Row],[PPF]]/Table336[[#This Row],[Total]]</f>
        <v>8.7755710029791452</v>
      </c>
      <c r="K46" s="10">
        <v>0.30499999999999999</v>
      </c>
      <c r="L46" s="10">
        <v>0.128</v>
      </c>
      <c r="M46" s="10">
        <v>0.50800000000000001</v>
      </c>
      <c r="N46" s="10">
        <v>3.5000000000000003E-2</v>
      </c>
      <c r="O46" s="10">
        <v>4.0000000000000001E-3</v>
      </c>
      <c r="P46" s="10">
        <v>8.6999999999999994E-2</v>
      </c>
      <c r="Q46" s="10">
        <v>0.14899999999999999</v>
      </c>
      <c r="R46" s="10">
        <v>0.51</v>
      </c>
      <c r="S46" s="10">
        <f>618/9317</f>
        <v>6.6330363851025004E-2</v>
      </c>
      <c r="T46" s="11">
        <v>15.4</v>
      </c>
    </row>
    <row r="47" spans="1:20" x14ac:dyDescent="0.35">
      <c r="A47" s="61" t="s">
        <v>61</v>
      </c>
      <c r="B47" s="62">
        <v>243</v>
      </c>
      <c r="C47" s="62">
        <v>286</v>
      </c>
      <c r="D47" s="62">
        <v>226</v>
      </c>
      <c r="E47" s="62">
        <v>269</v>
      </c>
      <c r="F47" s="8">
        <f t="shared" si="3"/>
        <v>1024</v>
      </c>
      <c r="G47" s="4">
        <f t="shared" si="4"/>
        <v>14</v>
      </c>
      <c r="H47" s="63">
        <v>6575</v>
      </c>
      <c r="I47" s="4">
        <f t="shared" si="5"/>
        <v>51</v>
      </c>
      <c r="J47" s="73">
        <f>Table336[[#This Row],[PPF]]/Table336[[#This Row],[Total]]</f>
        <v>6.4208984375</v>
      </c>
      <c r="K47" s="64">
        <v>0.77400000000000002</v>
      </c>
      <c r="L47" s="64">
        <v>1.2999999999999999E-2</v>
      </c>
      <c r="M47" s="64">
        <v>0.153</v>
      </c>
      <c r="N47" s="64">
        <v>1.7000000000000001E-2</v>
      </c>
      <c r="O47" s="64">
        <v>1.2E-2</v>
      </c>
      <c r="P47" s="64">
        <v>0.11899999999999999</v>
      </c>
      <c r="Q47" s="64">
        <v>5.6000000000000001E-2</v>
      </c>
      <c r="R47" s="64">
        <v>0.47599999999999998</v>
      </c>
      <c r="S47" s="64">
        <f>97/1052</f>
        <v>9.2205323193916347E-2</v>
      </c>
      <c r="T47" s="65">
        <v>23</v>
      </c>
    </row>
    <row r="48" spans="1:20" x14ac:dyDescent="0.35">
      <c r="A48" s="2" t="s">
        <v>62</v>
      </c>
      <c r="B48" s="7">
        <v>243</v>
      </c>
      <c r="C48" s="7">
        <v>290</v>
      </c>
      <c r="D48" s="7">
        <v>230</v>
      </c>
      <c r="E48" s="7">
        <v>274</v>
      </c>
      <c r="F48" s="8">
        <f t="shared" si="3"/>
        <v>1037</v>
      </c>
      <c r="G48" s="4">
        <f t="shared" si="4"/>
        <v>4</v>
      </c>
      <c r="H48" s="9">
        <v>15576</v>
      </c>
      <c r="I48" s="4">
        <f t="shared" si="5"/>
        <v>7</v>
      </c>
      <c r="J48" s="53">
        <f>Table336[[#This Row],[PPF]]/Table336[[#This Row],[Total]]</f>
        <v>15.020250723240116</v>
      </c>
      <c r="K48" s="10">
        <v>0.92400000000000004</v>
      </c>
      <c r="L48" s="10">
        <v>1.9E-2</v>
      </c>
      <c r="M48" s="10">
        <v>1.4E-2</v>
      </c>
      <c r="N48" s="10">
        <v>1.6E-2</v>
      </c>
      <c r="O48" s="10">
        <v>3.0000000000000001E-3</v>
      </c>
      <c r="P48" s="10">
        <v>0.154</v>
      </c>
      <c r="Q48" s="10">
        <v>1.6E-2</v>
      </c>
      <c r="R48" s="10">
        <v>0.38900000000000001</v>
      </c>
      <c r="S48" s="10">
        <f>0/320</f>
        <v>0</v>
      </c>
      <c r="T48" s="11">
        <v>10.7</v>
      </c>
    </row>
    <row r="49" spans="1:20" x14ac:dyDescent="0.35">
      <c r="A49" s="2" t="s">
        <v>63</v>
      </c>
      <c r="B49" s="7">
        <v>247</v>
      </c>
      <c r="C49" s="7">
        <v>288</v>
      </c>
      <c r="D49" s="7">
        <v>229</v>
      </c>
      <c r="E49" s="7">
        <v>267</v>
      </c>
      <c r="F49" s="8">
        <f t="shared" si="3"/>
        <v>1031</v>
      </c>
      <c r="G49" s="4">
        <f t="shared" si="4"/>
        <v>6</v>
      </c>
      <c r="H49" s="9">
        <v>10413</v>
      </c>
      <c r="I49" s="4">
        <f t="shared" si="5"/>
        <v>25</v>
      </c>
      <c r="J49" s="53">
        <f>Table336[[#This Row],[PPF]]/Table336[[#This Row],[Total]]</f>
        <v>10.099903006789525</v>
      </c>
      <c r="K49" s="10">
        <v>0.53500000000000003</v>
      </c>
      <c r="L49" s="10">
        <v>0.23699999999999999</v>
      </c>
      <c r="M49" s="10">
        <v>0.11799999999999999</v>
      </c>
      <c r="N49" s="10">
        <v>0.06</v>
      </c>
      <c r="O49" s="10">
        <v>3.0000000000000001E-3</v>
      </c>
      <c r="P49" s="10">
        <v>0.128</v>
      </c>
      <c r="Q49" s="10">
        <v>7.1999999999999995E-2</v>
      </c>
      <c r="R49" s="10">
        <v>0.38300000000000001</v>
      </c>
      <c r="S49" s="10">
        <f>4/2192</f>
        <v>1.8248175182481751E-3</v>
      </c>
      <c r="T49" s="11">
        <v>13.8</v>
      </c>
    </row>
    <row r="50" spans="1:20" x14ac:dyDescent="0.35">
      <c r="A50" s="2" t="s">
        <v>64</v>
      </c>
      <c r="B50" s="7">
        <v>245</v>
      </c>
      <c r="C50" s="7">
        <v>287</v>
      </c>
      <c r="D50" s="7">
        <v>226</v>
      </c>
      <c r="E50" s="7">
        <v>267</v>
      </c>
      <c r="F50" s="8">
        <f t="shared" si="3"/>
        <v>1025</v>
      </c>
      <c r="G50" s="4">
        <f t="shared" si="4"/>
        <v>11</v>
      </c>
      <c r="H50" s="9">
        <v>9697</v>
      </c>
      <c r="I50" s="4">
        <f t="shared" si="5"/>
        <v>29</v>
      </c>
      <c r="J50" s="53">
        <f>Table336[[#This Row],[PPF]]/Table336[[#This Row],[Total]]</f>
        <v>9.4604878048780492</v>
      </c>
      <c r="K50" s="10">
        <v>0.60199999999999998</v>
      </c>
      <c r="L50" s="10">
        <v>4.4999999999999998E-2</v>
      </c>
      <c r="M50" s="10">
        <v>0.19600000000000001</v>
      </c>
      <c r="N50" s="10">
        <v>7.0999999999999994E-2</v>
      </c>
      <c r="O50" s="10">
        <v>1.4999999999999999E-2</v>
      </c>
      <c r="P50" s="10">
        <v>0.123</v>
      </c>
      <c r="Q50" s="10">
        <v>7.8E-2</v>
      </c>
      <c r="R50" s="10">
        <v>0.443</v>
      </c>
      <c r="S50" s="10">
        <f>0/2377</f>
        <v>0</v>
      </c>
      <c r="T50" s="11">
        <v>19.600000000000001</v>
      </c>
    </row>
    <row r="51" spans="1:20" x14ac:dyDescent="0.35">
      <c r="A51" s="2" t="s">
        <v>65</v>
      </c>
      <c r="B51" s="7">
        <v>235</v>
      </c>
      <c r="C51" s="7">
        <v>271</v>
      </c>
      <c r="D51" s="7">
        <v>216</v>
      </c>
      <c r="E51" s="7">
        <v>260</v>
      </c>
      <c r="F51" s="8">
        <f t="shared" si="3"/>
        <v>982</v>
      </c>
      <c r="G51" s="4">
        <f t="shared" si="4"/>
        <v>44</v>
      </c>
      <c r="H51" s="9">
        <v>11987</v>
      </c>
      <c r="I51" s="4">
        <f t="shared" si="5"/>
        <v>15</v>
      </c>
      <c r="J51" s="53">
        <f>Table336[[#This Row],[PPF]]/Table336[[#This Row],[Total]]</f>
        <v>12.206720977596742</v>
      </c>
      <c r="K51" s="10">
        <v>0.91700000000000004</v>
      </c>
      <c r="L51" s="10">
        <v>0.05</v>
      </c>
      <c r="M51" s="10">
        <v>1.0999999999999999E-2</v>
      </c>
      <c r="N51" s="10">
        <v>7.0000000000000001E-3</v>
      </c>
      <c r="O51" s="10">
        <v>1E-3</v>
      </c>
      <c r="P51" s="10">
        <v>0.156</v>
      </c>
      <c r="Q51" s="10">
        <v>6.0000000000000001E-3</v>
      </c>
      <c r="R51" s="10">
        <v>0.52800000000000002</v>
      </c>
      <c r="S51" s="10">
        <f>0/772</f>
        <v>0</v>
      </c>
      <c r="T51" s="11">
        <v>13.9</v>
      </c>
    </row>
    <row r="52" spans="1:20" x14ac:dyDescent="0.35">
      <c r="A52" s="2" t="s">
        <v>66</v>
      </c>
      <c r="B52" s="7">
        <v>243</v>
      </c>
      <c r="C52" s="7">
        <v>289</v>
      </c>
      <c r="D52" s="7">
        <v>223</v>
      </c>
      <c r="E52" s="7">
        <v>270</v>
      </c>
      <c r="F52" s="8">
        <f t="shared" si="3"/>
        <v>1025</v>
      </c>
      <c r="G52" s="4">
        <f t="shared" si="4"/>
        <v>11</v>
      </c>
      <c r="H52" s="9">
        <v>11930</v>
      </c>
      <c r="I52" s="4">
        <f t="shared" si="5"/>
        <v>16</v>
      </c>
      <c r="J52" s="53">
        <f>Table336[[#This Row],[PPF]]/Table336[[#This Row],[Total]]</f>
        <v>11.639024390243902</v>
      </c>
      <c r="K52" s="10">
        <v>0.73699999999999999</v>
      </c>
      <c r="L52" s="10">
        <v>9.8000000000000004E-2</v>
      </c>
      <c r="M52" s="10">
        <v>9.7000000000000003E-2</v>
      </c>
      <c r="N52" s="10">
        <v>3.5000000000000003E-2</v>
      </c>
      <c r="O52" s="10">
        <v>1.2E-2</v>
      </c>
      <c r="P52" s="10">
        <v>0.14199999999999999</v>
      </c>
      <c r="Q52" s="10">
        <v>5.0999999999999997E-2</v>
      </c>
      <c r="R52" s="10">
        <v>0.40699999999999997</v>
      </c>
      <c r="S52" s="10">
        <f>241/2295</f>
        <v>0.10501089324618737</v>
      </c>
      <c r="T52" s="11">
        <v>15.4</v>
      </c>
    </row>
    <row r="53" spans="1:20" ht="16" thickBot="1" x14ac:dyDescent="0.4">
      <c r="A53" s="2" t="s">
        <v>67</v>
      </c>
      <c r="B53" s="7">
        <v>247</v>
      </c>
      <c r="C53" s="7">
        <v>287</v>
      </c>
      <c r="D53" s="7">
        <v>228</v>
      </c>
      <c r="E53" s="7">
        <v>269</v>
      </c>
      <c r="F53" s="8">
        <f t="shared" si="3"/>
        <v>1031</v>
      </c>
      <c r="G53" s="4">
        <f t="shared" si="4"/>
        <v>6</v>
      </c>
      <c r="H53" s="9">
        <v>15960</v>
      </c>
      <c r="I53" s="4">
        <f t="shared" si="5"/>
        <v>6</v>
      </c>
      <c r="J53" s="53">
        <f>Table336[[#This Row],[PPF]]/Table336[[#This Row],[Total]]</f>
        <v>15.480116391852571</v>
      </c>
      <c r="K53" s="10">
        <v>0.80400000000000005</v>
      </c>
      <c r="L53" s="10">
        <v>0.01</v>
      </c>
      <c r="M53" s="10">
        <v>0.125</v>
      </c>
      <c r="N53" s="10">
        <v>7.0000000000000001E-3</v>
      </c>
      <c r="O53" s="10">
        <v>3.2000000000000001E-2</v>
      </c>
      <c r="P53" s="10">
        <v>0.14199999999999999</v>
      </c>
      <c r="Q53" s="10">
        <v>0.03</v>
      </c>
      <c r="R53" s="10">
        <v>0.36799999999999999</v>
      </c>
      <c r="S53" s="10">
        <f>4/370</f>
        <v>1.0810810810810811E-2</v>
      </c>
      <c r="T53" s="11">
        <v>11.4</v>
      </c>
    </row>
    <row r="54" spans="1:20" x14ac:dyDescent="0.35">
      <c r="A54" s="2" t="s">
        <v>125</v>
      </c>
      <c r="B54" s="7">
        <f>AVERAGE(B3:B53)</f>
        <v>240.27450980392157</v>
      </c>
      <c r="C54" s="7">
        <f>AVERAGE(C3:C53)</f>
        <v>281.72549019607845</v>
      </c>
      <c r="D54" s="7">
        <f>AVERAGE(D3:D53)</f>
        <v>222.09803921568627</v>
      </c>
      <c r="E54" s="50">
        <f>AVERAGE(E3:E53)</f>
        <v>264.84313725490193</v>
      </c>
      <c r="F54" s="62">
        <f>AVERAGE(F3:F53)</f>
        <v>1008.9411764705883</v>
      </c>
      <c r="H54" s="48">
        <f>AVERAGE(H3:H53)</f>
        <v>11189.392156862745</v>
      </c>
      <c r="J54" s="52">
        <f t="shared" ref="J54:T54" si="6">AVERAGE(J3:J53)</f>
        <v>11.088435246521124</v>
      </c>
      <c r="K54" s="39">
        <f t="shared" si="6"/>
        <v>0.60409803921568617</v>
      </c>
      <c r="L54" s="39">
        <f t="shared" si="6"/>
        <v>0.14837254901960784</v>
      </c>
      <c r="M54" s="39">
        <f t="shared" si="6"/>
        <v>0.15021568627450982</v>
      </c>
      <c r="N54" s="39">
        <f t="shared" si="6"/>
        <v>3.7215686274509788E-2</v>
      </c>
      <c r="O54" s="39">
        <f t="shared" si="6"/>
        <v>3.4431372549019588E-2</v>
      </c>
      <c r="P54" s="39">
        <f t="shared" si="6"/>
        <v>0.13509803921568628</v>
      </c>
      <c r="Q54" s="39">
        <f t="shared" si="6"/>
        <v>6.3647058823529404E-2</v>
      </c>
      <c r="R54" s="39">
        <f t="shared" si="6"/>
        <v>0.47039215686274505</v>
      </c>
      <c r="S54" s="39">
        <f t="shared" si="6"/>
        <v>5.4654929586325854E-2</v>
      </c>
      <c r="T54" s="49">
        <f t="shared" si="6"/>
        <v>15.327450980392157</v>
      </c>
    </row>
    <row r="55" spans="1:20" x14ac:dyDescent="0.35">
      <c r="A55" s="2" t="s">
        <v>126</v>
      </c>
      <c r="B55" s="7">
        <f>MAX(B3:B53)-MIN(B3:B53)</f>
        <v>20</v>
      </c>
      <c r="C55" s="7">
        <f>MAX(C3:C53)-MIN(C3:C53)</f>
        <v>34</v>
      </c>
      <c r="D55" s="7">
        <f>MAX(D3:D53)-MIN(D3:D53)</f>
        <v>28</v>
      </c>
      <c r="E55" s="51">
        <f>MAX(E3:E53)-MIN(E3:E53)</f>
        <v>27</v>
      </c>
      <c r="F55" s="62">
        <f>MAX(F3:F53)-MIN(F3:F53)</f>
        <v>103</v>
      </c>
      <c r="H55" s="48">
        <f>MAX(H3:H53)-MIN(H3:H53)</f>
        <v>14772</v>
      </c>
      <c r="J55" s="52">
        <f t="shared" ref="J55:T55" si="7">MAX(J3:J53)-MIN(J3:J53)</f>
        <v>15.955411835036688</v>
      </c>
      <c r="K55" s="39">
        <f t="shared" si="7"/>
        <v>0.84700000000000009</v>
      </c>
      <c r="L55" s="39">
        <f t="shared" si="7"/>
        <v>0.754</v>
      </c>
      <c r="M55" s="39">
        <f t="shared" si="7"/>
        <v>0.58299999999999996</v>
      </c>
      <c r="N55" s="39">
        <f t="shared" si="7"/>
        <v>0.33500000000000002</v>
      </c>
      <c r="O55" s="39">
        <f t="shared" si="7"/>
        <v>0.6</v>
      </c>
      <c r="P55" s="39">
        <f t="shared" si="7"/>
        <v>8.6999999999999994E-2</v>
      </c>
      <c r="Q55" s="39">
        <f t="shared" si="7"/>
        <v>0.224</v>
      </c>
      <c r="R55" s="39">
        <f t="shared" si="7"/>
        <v>0.46499999999999997</v>
      </c>
      <c r="S55" s="39">
        <f t="shared" si="7"/>
        <v>0.44672131147540983</v>
      </c>
      <c r="T55" s="49">
        <f t="shared" si="7"/>
        <v>12.7</v>
      </c>
    </row>
    <row r="56" spans="1:20" x14ac:dyDescent="0.35">
      <c r="A56" s="61" t="s">
        <v>127</v>
      </c>
      <c r="B56" s="70">
        <f>_xlfn.STDEV.P(B3:B53)</f>
        <v>4.9072912194660905</v>
      </c>
      <c r="C56" s="70">
        <f>_xlfn.STDEV.P(C3:C53)</f>
        <v>7.0518484056436126</v>
      </c>
      <c r="D56" s="70">
        <f>_xlfn.STDEV.P(D3:D53)</f>
        <v>5.7197795856366751</v>
      </c>
      <c r="E56" s="54">
        <f>_xlfn.STDEV.P(E3:E53)</f>
        <v>5.6961374908348592</v>
      </c>
      <c r="F56" s="70">
        <f>_xlfn.STDEV.P(F3:F53)</f>
        <v>21.753892385272909</v>
      </c>
      <c r="H56" s="71">
        <f>_xlfn.STDEV.P(H3:H53)</f>
        <v>3125.9324574542452</v>
      </c>
      <c r="J56" s="71">
        <f t="shared" ref="J56:T56" si="8">_xlfn.STDEV.P(J3:J53)</f>
        <v>3.1160563139472819</v>
      </c>
      <c r="K56" s="67">
        <f t="shared" si="8"/>
        <v>0.19462817792707784</v>
      </c>
      <c r="L56" s="67">
        <f t="shared" si="8"/>
        <v>0.14939879002900242</v>
      </c>
      <c r="M56" s="67">
        <f t="shared" si="8"/>
        <v>0.1347491953085202</v>
      </c>
      <c r="N56" s="67">
        <f t="shared" si="8"/>
        <v>4.8775722716222401E-2</v>
      </c>
      <c r="O56" s="67">
        <f t="shared" si="8"/>
        <v>9.2154655793348902E-2</v>
      </c>
      <c r="P56" s="67">
        <f t="shared" si="8"/>
        <v>2.0241923978500616E-2</v>
      </c>
      <c r="Q56" s="67">
        <f t="shared" si="8"/>
        <v>4.5343492314455135E-2</v>
      </c>
      <c r="R56" s="67">
        <f t="shared" si="8"/>
        <v>0.10044217503977354</v>
      </c>
      <c r="S56" s="67">
        <f t="shared" si="8"/>
        <v>7.1914082575118471E-2</v>
      </c>
      <c r="T56" s="70">
        <f t="shared" si="8"/>
        <v>2.8065105283316094</v>
      </c>
    </row>
  </sheetData>
  <pageMargins left="0.75" right="0.75" top="1" bottom="1" header="0.5" footer="0.5"/>
  <pageSetup scale="76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6"/>
  <sheetViews>
    <sheetView workbookViewId="0"/>
  </sheetViews>
  <sheetFormatPr defaultColWidth="10.6640625" defaultRowHeight="15.5" x14ac:dyDescent="0.35"/>
  <cols>
    <col min="1" max="1" width="18" style="2" customWidth="1"/>
    <col min="2" max="3" width="11.33203125" style="4" customWidth="1"/>
    <col min="4" max="5" width="13.5" style="4" customWidth="1"/>
    <col min="6" max="7" width="10.83203125" style="4"/>
    <col min="8" max="8" width="11.5" style="4" bestFit="1" customWidth="1"/>
    <col min="9" max="9" width="10.83203125" style="4"/>
    <col min="10" max="10" width="11.5" style="4" customWidth="1"/>
    <col min="11" max="18" width="10.83203125" style="4"/>
    <col min="19" max="19" width="11.83203125" style="4" customWidth="1"/>
    <col min="20" max="20" width="10.83203125" style="4"/>
  </cols>
  <sheetData>
    <row r="1" spans="1:20" x14ac:dyDescent="0.35">
      <c r="F1" s="4" t="s">
        <v>94</v>
      </c>
      <c r="H1" s="4" t="s">
        <v>6</v>
      </c>
      <c r="K1" s="5"/>
      <c r="L1" s="5"/>
      <c r="M1" s="5"/>
      <c r="N1" s="5" t="s">
        <v>16</v>
      </c>
      <c r="O1" s="5"/>
      <c r="P1" s="5"/>
      <c r="Q1" s="5"/>
      <c r="R1" s="5"/>
      <c r="T1" s="4" t="s">
        <v>160</v>
      </c>
    </row>
    <row r="2" spans="1:20" ht="16" thickBot="1" x14ac:dyDescent="0.4">
      <c r="A2" s="1" t="s">
        <v>206</v>
      </c>
      <c r="B2" s="3" t="s">
        <v>0</v>
      </c>
      <c r="C2" s="3" t="s">
        <v>1</v>
      </c>
      <c r="D2" s="3" t="s">
        <v>2</v>
      </c>
      <c r="E2" s="3" t="s">
        <v>3</v>
      </c>
      <c r="F2" s="6" t="s">
        <v>4</v>
      </c>
      <c r="G2" s="3" t="s">
        <v>175</v>
      </c>
      <c r="H2" s="3" t="s">
        <v>5</v>
      </c>
      <c r="I2" s="3" t="s">
        <v>174</v>
      </c>
      <c r="J2" s="3" t="s">
        <v>162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95</v>
      </c>
      <c r="Q2" s="3" t="s">
        <v>12</v>
      </c>
      <c r="R2" s="3" t="s">
        <v>13</v>
      </c>
      <c r="S2" s="3" t="s">
        <v>14</v>
      </c>
      <c r="T2" s="3" t="s">
        <v>15</v>
      </c>
    </row>
    <row r="3" spans="1:20" x14ac:dyDescent="0.35">
      <c r="A3" s="2" t="s">
        <v>17</v>
      </c>
      <c r="B3" s="7">
        <v>232</v>
      </c>
      <c r="C3" s="7">
        <v>268</v>
      </c>
      <c r="D3" s="7">
        <v>216</v>
      </c>
      <c r="E3" s="7">
        <v>258</v>
      </c>
      <c r="F3" s="8">
        <f t="shared" ref="F3:F34" si="0">SUM(B3:E3)</f>
        <v>974</v>
      </c>
      <c r="G3" s="4">
        <f t="shared" ref="G3:G34" si="1">RANK(F3,F$3:F$53)</f>
        <v>47</v>
      </c>
      <c r="H3" s="9">
        <v>9146</v>
      </c>
      <c r="I3" s="4">
        <f t="shared" ref="I3:I34" si="2">RANK(H3,H$3:H$53)</f>
        <v>40</v>
      </c>
      <c r="J3" s="53">
        <f>Table3369[[#This Row],[PPF]]/Table3369[[#This Row],[Total]]</f>
        <v>9.3901437371663246</v>
      </c>
      <c r="K3" s="10">
        <v>0.55610000000000004</v>
      </c>
      <c r="L3" s="10">
        <v>0.33239999999999997</v>
      </c>
      <c r="M3" s="10">
        <v>6.8199999999999997E-2</v>
      </c>
      <c r="N3" s="10">
        <v>1.4E-2</v>
      </c>
      <c r="O3" s="10">
        <v>8.8000000000000005E-3</v>
      </c>
      <c r="P3" s="10">
        <v>7.4800000000000005E-2</v>
      </c>
      <c r="Q3" s="10">
        <v>2.7199999999999998E-2</v>
      </c>
      <c r="R3" s="10">
        <v>0.51029999999999998</v>
      </c>
      <c r="S3" s="10">
        <f>0/1619</f>
        <v>0</v>
      </c>
      <c r="T3" s="11">
        <v>18.25</v>
      </c>
    </row>
    <row r="4" spans="1:20" x14ac:dyDescent="0.35">
      <c r="A4" s="2" t="s">
        <v>18</v>
      </c>
      <c r="B4" s="7">
        <v>230</v>
      </c>
      <c r="C4" s="7">
        <v>277</v>
      </c>
      <c r="D4" s="7">
        <v>207</v>
      </c>
      <c r="E4" s="7">
        <v>258</v>
      </c>
      <c r="F4" s="8">
        <f t="shared" si="0"/>
        <v>972</v>
      </c>
      <c r="G4" s="4">
        <f t="shared" si="1"/>
        <v>48</v>
      </c>
      <c r="H4" s="9">
        <v>20191</v>
      </c>
      <c r="I4" s="4">
        <f t="shared" si="2"/>
        <v>3</v>
      </c>
      <c r="J4" s="53">
        <f>Table3369[[#This Row],[PPF]]/Table3369[[#This Row],[Total]]</f>
        <v>20.772633744855966</v>
      </c>
      <c r="K4" s="10">
        <v>0.48149999999999998</v>
      </c>
      <c r="L4" s="10">
        <v>3.1600000000000003E-2</v>
      </c>
      <c r="M4" s="10">
        <v>6.6600000000000006E-2</v>
      </c>
      <c r="N4" s="10">
        <v>5.9400000000000001E-2</v>
      </c>
      <c r="O4" s="10">
        <v>0.2306</v>
      </c>
      <c r="P4" s="10">
        <v>0.13880000000000001</v>
      </c>
      <c r="Q4" s="10" t="s">
        <v>205</v>
      </c>
      <c r="R4" s="10">
        <v>0.4274</v>
      </c>
      <c r="S4" s="10">
        <f>28/508</f>
        <v>5.5118110236220472E-2</v>
      </c>
      <c r="T4" s="11">
        <v>16.91</v>
      </c>
    </row>
    <row r="5" spans="1:20" x14ac:dyDescent="0.35">
      <c r="A5" s="2" t="s">
        <v>19</v>
      </c>
      <c r="B5" s="7">
        <v>234</v>
      </c>
      <c r="C5" s="7">
        <v>282</v>
      </c>
      <c r="D5" s="7">
        <v>215</v>
      </c>
      <c r="E5" s="7">
        <v>263</v>
      </c>
      <c r="F5" s="8">
        <f t="shared" si="0"/>
        <v>994</v>
      </c>
      <c r="G5" s="4">
        <f t="shared" si="1"/>
        <v>38</v>
      </c>
      <c r="H5" s="9">
        <v>7590</v>
      </c>
      <c r="I5" s="4">
        <f t="shared" si="2"/>
        <v>49</v>
      </c>
      <c r="J5" s="53">
        <f>Table3369[[#This Row],[PPF]]/Table3369[[#This Row],[Total]]</f>
        <v>7.6358148893360163</v>
      </c>
      <c r="K5" s="10">
        <v>0.3947</v>
      </c>
      <c r="L5" s="10">
        <v>5.2900000000000003E-2</v>
      </c>
      <c r="M5" s="10">
        <v>0.44900000000000001</v>
      </c>
      <c r="N5" s="10">
        <v>2.8000000000000001E-2</v>
      </c>
      <c r="O5" s="10">
        <v>4.5400000000000003E-2</v>
      </c>
      <c r="P5" s="10">
        <v>0.1193</v>
      </c>
      <c r="Q5" s="10" t="s">
        <v>205</v>
      </c>
      <c r="R5" s="10" t="s">
        <v>205</v>
      </c>
      <c r="S5" s="10">
        <f>553/2285</f>
        <v>0.24201312910284464</v>
      </c>
      <c r="T5" s="11">
        <v>23.13</v>
      </c>
    </row>
    <row r="6" spans="1:20" x14ac:dyDescent="0.35">
      <c r="A6" s="2" t="s">
        <v>20</v>
      </c>
      <c r="B6" s="7">
        <v>234</v>
      </c>
      <c r="C6" s="7">
        <v>274</v>
      </c>
      <c r="D6" s="7">
        <v>216</v>
      </c>
      <c r="E6" s="7">
        <v>260</v>
      </c>
      <c r="F6" s="8">
        <f t="shared" si="0"/>
        <v>984</v>
      </c>
      <c r="G6" s="4">
        <f t="shared" si="1"/>
        <v>43</v>
      </c>
      <c r="H6" s="9">
        <v>9805</v>
      </c>
      <c r="I6" s="4">
        <f t="shared" si="2"/>
        <v>34</v>
      </c>
      <c r="J6" s="53">
        <f>Table3369[[#This Row],[PPF]]/Table3369[[#This Row],[Total]]</f>
        <v>9.9644308943089435</v>
      </c>
      <c r="K6" s="10">
        <v>0.61829999999999996</v>
      </c>
      <c r="L6" s="10">
        <v>0.2077</v>
      </c>
      <c r="M6" s="10">
        <v>0.1232</v>
      </c>
      <c r="N6" s="10">
        <v>1.55E-2</v>
      </c>
      <c r="O6" s="10">
        <v>6.4000000000000003E-3</v>
      </c>
      <c r="P6" s="10">
        <v>0.13850000000000001</v>
      </c>
      <c r="Q6" s="10" t="s">
        <v>205</v>
      </c>
      <c r="R6" s="10">
        <v>0.63490000000000002</v>
      </c>
      <c r="S6" s="10">
        <f>65/1088</f>
        <v>5.9742647058823532E-2</v>
      </c>
      <c r="T6" s="11">
        <v>13.75</v>
      </c>
    </row>
    <row r="7" spans="1:20" x14ac:dyDescent="0.35">
      <c r="A7" s="2" t="s">
        <v>21</v>
      </c>
      <c r="B7" s="7">
        <v>232</v>
      </c>
      <c r="C7" s="7">
        <v>277</v>
      </c>
      <c r="D7" s="7">
        <v>215</v>
      </c>
      <c r="E7" s="7">
        <v>263</v>
      </c>
      <c r="F7" s="8">
        <f t="shared" si="0"/>
        <v>987</v>
      </c>
      <c r="G7" s="4">
        <f t="shared" si="1"/>
        <v>41</v>
      </c>
      <c r="H7" s="9">
        <v>10449</v>
      </c>
      <c r="I7" s="4">
        <f t="shared" si="2"/>
        <v>30</v>
      </c>
      <c r="J7" s="53">
        <f>Table3369[[#This Row],[PPF]]/Table3369[[#This Row],[Total]]</f>
        <v>10.586626139817628</v>
      </c>
      <c r="K7" s="10">
        <v>0.24099999999999999</v>
      </c>
      <c r="L7" s="10">
        <v>5.8099999999999999E-2</v>
      </c>
      <c r="M7" s="10">
        <v>0.53969999999999996</v>
      </c>
      <c r="N7" s="10">
        <v>0.11360000000000001</v>
      </c>
      <c r="O7" s="10">
        <v>5.6000000000000001E-2</v>
      </c>
      <c r="P7" s="10">
        <v>0.11650000000000001</v>
      </c>
      <c r="Q7" s="10">
        <v>0.21</v>
      </c>
      <c r="R7" s="10">
        <v>0.58740000000000003</v>
      </c>
      <c r="S7" s="10">
        <f>1224/10303</f>
        <v>0.1188003494127924</v>
      </c>
      <c r="T7" s="11">
        <v>23.63</v>
      </c>
    </row>
    <row r="8" spans="1:20" x14ac:dyDescent="0.35">
      <c r="A8" s="2" t="s">
        <v>22</v>
      </c>
      <c r="B8" s="7">
        <v>241</v>
      </c>
      <c r="C8" s="7">
        <v>286</v>
      </c>
      <c r="D8" s="7">
        <v>225</v>
      </c>
      <c r="E8" s="7">
        <v>270</v>
      </c>
      <c r="F8" s="8">
        <f t="shared" si="0"/>
        <v>1022</v>
      </c>
      <c r="G8" s="4">
        <f t="shared" si="1"/>
        <v>14</v>
      </c>
      <c r="H8" s="9">
        <v>9292</v>
      </c>
      <c r="I8" s="4">
        <f t="shared" si="2"/>
        <v>39</v>
      </c>
      <c r="J8" s="53">
        <f>Table3369[[#This Row],[PPF]]/Table3369[[#This Row],[Total]]</f>
        <v>9.09197651663405</v>
      </c>
      <c r="K8" s="10">
        <v>0.54139999999999999</v>
      </c>
      <c r="L8" s="10">
        <v>4.6199999999999998E-2</v>
      </c>
      <c r="M8" s="10">
        <v>0.33379999999999999</v>
      </c>
      <c r="N8" s="10">
        <v>3.0800000000000001E-2</v>
      </c>
      <c r="O8" s="10">
        <v>7.0999999999999994E-2</v>
      </c>
      <c r="P8" s="10" t="s">
        <v>205</v>
      </c>
      <c r="Q8" s="10">
        <v>0.11600000000000001</v>
      </c>
      <c r="R8" s="10">
        <v>0.41839999999999999</v>
      </c>
      <c r="S8" s="10">
        <f>226/1862</f>
        <v>0.12137486573576799</v>
      </c>
      <c r="T8" s="11">
        <v>17.36</v>
      </c>
    </row>
    <row r="9" spans="1:20" x14ac:dyDescent="0.35">
      <c r="A9" s="2" t="s">
        <v>23</v>
      </c>
      <c r="B9" s="7">
        <v>239</v>
      </c>
      <c r="C9" s="7">
        <v>284</v>
      </c>
      <c r="D9" s="7">
        <v>228</v>
      </c>
      <c r="E9" s="7">
        <v>273</v>
      </c>
      <c r="F9" s="8">
        <f t="shared" si="0"/>
        <v>1024</v>
      </c>
      <c r="G9" s="4">
        <f t="shared" si="1"/>
        <v>11</v>
      </c>
      <c r="H9" s="9">
        <v>19020</v>
      </c>
      <c r="I9" s="4">
        <f t="shared" si="2"/>
        <v>4</v>
      </c>
      <c r="J9" s="53">
        <f>Table3369[[#This Row],[PPF]]/Table3369[[#This Row],[Total]]</f>
        <v>18.57421875</v>
      </c>
      <c r="K9" s="10">
        <v>0.56020000000000003</v>
      </c>
      <c r="L9" s="10">
        <v>0.12820000000000001</v>
      </c>
      <c r="M9" s="10">
        <v>0.23069999999999999</v>
      </c>
      <c r="N9" s="10">
        <v>4.9799999999999997E-2</v>
      </c>
      <c r="O9" s="10">
        <v>2.7000000000000001E-3</v>
      </c>
      <c r="P9" s="10">
        <v>0.13950000000000001</v>
      </c>
      <c r="Q9" s="10">
        <v>6.5199999999999994E-2</v>
      </c>
      <c r="R9" s="10">
        <v>0.37880000000000003</v>
      </c>
      <c r="S9" s="10">
        <f>24/1369</f>
        <v>1.7531044558071585E-2</v>
      </c>
      <c r="T9" s="11">
        <v>12.29</v>
      </c>
    </row>
    <row r="10" spans="1:20" x14ac:dyDescent="0.35">
      <c r="A10" s="61" t="s">
        <v>25</v>
      </c>
      <c r="B10" s="62">
        <v>231</v>
      </c>
      <c r="C10" s="62">
        <v>266</v>
      </c>
      <c r="D10" s="62">
        <v>213</v>
      </c>
      <c r="E10" s="62">
        <v>247</v>
      </c>
      <c r="F10" s="8">
        <f t="shared" si="0"/>
        <v>957</v>
      </c>
      <c r="G10" s="4">
        <f t="shared" si="1"/>
        <v>51</v>
      </c>
      <c r="H10" s="63">
        <v>20610</v>
      </c>
      <c r="I10" s="4">
        <f t="shared" si="2"/>
        <v>2</v>
      </c>
      <c r="J10" s="73">
        <f>Table3369[[#This Row],[PPF]]/Table3369[[#This Row],[Total]]</f>
        <v>21.536050156739812</v>
      </c>
      <c r="K10" s="64">
        <v>0.1023</v>
      </c>
      <c r="L10" s="64">
        <v>0.70889999999999997</v>
      </c>
      <c r="M10" s="64">
        <v>0.1535</v>
      </c>
      <c r="N10" s="64">
        <v>1.44E-2</v>
      </c>
      <c r="O10" s="64">
        <v>1.5E-3</v>
      </c>
      <c r="P10" s="64">
        <v>0.1459</v>
      </c>
      <c r="Q10" s="64" t="s">
        <v>205</v>
      </c>
      <c r="R10" s="64">
        <v>0.74160000000000004</v>
      </c>
      <c r="S10" s="64">
        <f>115/228</f>
        <v>0.50438596491228072</v>
      </c>
      <c r="T10" s="65">
        <v>12.38</v>
      </c>
    </row>
    <row r="11" spans="1:20" x14ac:dyDescent="0.35">
      <c r="A11" s="2" t="s">
        <v>24</v>
      </c>
      <c r="B11" s="7">
        <v>236</v>
      </c>
      <c r="C11" s="7">
        <v>278</v>
      </c>
      <c r="D11" s="7">
        <v>221</v>
      </c>
      <c r="E11" s="7">
        <v>263</v>
      </c>
      <c r="F11" s="8">
        <f t="shared" si="0"/>
        <v>998</v>
      </c>
      <c r="G11" s="4">
        <f t="shared" si="1"/>
        <v>35</v>
      </c>
      <c r="H11" s="9">
        <v>13882</v>
      </c>
      <c r="I11" s="4">
        <f t="shared" si="2"/>
        <v>15</v>
      </c>
      <c r="J11" s="53">
        <f>Table3369[[#This Row],[PPF]]/Table3369[[#This Row],[Total]]</f>
        <v>13.909819639278558</v>
      </c>
      <c r="K11" s="10">
        <v>0.46039999999999998</v>
      </c>
      <c r="L11" s="10">
        <v>0.30640000000000001</v>
      </c>
      <c r="M11" s="10">
        <v>0.15970000000000001</v>
      </c>
      <c r="N11" s="10">
        <v>3.6900000000000002E-2</v>
      </c>
      <c r="O11" s="10">
        <v>3.7999999999999999E-2</v>
      </c>
      <c r="P11" s="10">
        <v>0.15379999999999999</v>
      </c>
      <c r="Q11" s="10">
        <v>7.1999999999999995E-2</v>
      </c>
      <c r="R11" s="10">
        <v>0.37419999999999998</v>
      </c>
      <c r="S11" s="10">
        <f>28/223</f>
        <v>0.12556053811659193</v>
      </c>
      <c r="T11" s="11">
        <v>15.05</v>
      </c>
    </row>
    <row r="12" spans="1:20" x14ac:dyDescent="0.35">
      <c r="A12" s="2" t="s">
        <v>26</v>
      </c>
      <c r="B12" s="7">
        <v>246</v>
      </c>
      <c r="C12" s="7">
        <v>279</v>
      </c>
      <c r="D12" s="7">
        <v>228</v>
      </c>
      <c r="E12" s="7">
        <v>267</v>
      </c>
      <c r="F12" s="8">
        <f t="shared" si="0"/>
        <v>1020</v>
      </c>
      <c r="G12" s="4">
        <f t="shared" si="1"/>
        <v>16</v>
      </c>
      <c r="H12" s="9">
        <v>9113</v>
      </c>
      <c r="I12" s="4">
        <f t="shared" si="2"/>
        <v>41</v>
      </c>
      <c r="J12" s="53">
        <f>Table3369[[#This Row],[PPF]]/Table3369[[#This Row],[Total]]</f>
        <v>8.9343137254901954</v>
      </c>
      <c r="K12" s="10">
        <v>0.39460000000000001</v>
      </c>
      <c r="L12" s="10">
        <v>0.22520000000000001</v>
      </c>
      <c r="M12" s="10">
        <v>0.3155</v>
      </c>
      <c r="N12" s="10">
        <v>2.64E-2</v>
      </c>
      <c r="O12" s="10">
        <v>3.2000000000000002E-3</v>
      </c>
      <c r="P12" s="10">
        <v>0.1331</v>
      </c>
      <c r="Q12" s="10">
        <v>9.6000000000000002E-2</v>
      </c>
      <c r="R12" s="10">
        <v>0.58830000000000005</v>
      </c>
      <c r="S12" s="10">
        <f>653/4322</f>
        <v>0.15108745950948635</v>
      </c>
      <c r="T12" s="11">
        <v>15.29</v>
      </c>
    </row>
    <row r="13" spans="1:20" x14ac:dyDescent="0.35">
      <c r="A13" s="2" t="s">
        <v>27</v>
      </c>
      <c r="B13" s="7">
        <v>236</v>
      </c>
      <c r="C13" s="7">
        <v>281</v>
      </c>
      <c r="D13" s="7">
        <v>220</v>
      </c>
      <c r="E13" s="7">
        <v>266</v>
      </c>
      <c r="F13" s="8">
        <f t="shared" si="0"/>
        <v>1003</v>
      </c>
      <c r="G13" s="4">
        <f t="shared" si="1"/>
        <v>32</v>
      </c>
      <c r="H13" s="9">
        <v>9476</v>
      </c>
      <c r="I13" s="4">
        <f t="shared" si="2"/>
        <v>38</v>
      </c>
      <c r="J13" s="53">
        <f>Table3369[[#This Row],[PPF]]/Table3369[[#This Row],[Total]]</f>
        <v>9.4476570289132606</v>
      </c>
      <c r="K13" s="10">
        <v>0.41039999999999999</v>
      </c>
      <c r="L13" s="10">
        <v>0.36919999999999997</v>
      </c>
      <c r="M13" s="10">
        <v>0.1457</v>
      </c>
      <c r="N13" s="10">
        <v>3.78E-2</v>
      </c>
      <c r="O13" s="10">
        <v>2E-3</v>
      </c>
      <c r="P13" s="10">
        <v>0.11509999999999999</v>
      </c>
      <c r="Q13" s="10">
        <v>6.3700000000000007E-2</v>
      </c>
      <c r="R13" s="10">
        <v>0.62390000000000001</v>
      </c>
      <c r="S13" s="10">
        <f>82/2297</f>
        <v>3.5698737483674359E-2</v>
      </c>
      <c r="T13" s="11">
        <v>15.55</v>
      </c>
    </row>
    <row r="14" spans="1:20" x14ac:dyDescent="0.35">
      <c r="A14" s="2" t="s">
        <v>28</v>
      </c>
      <c r="B14" s="7">
        <v>238</v>
      </c>
      <c r="C14" s="7">
        <v>277</v>
      </c>
      <c r="D14" s="7">
        <v>216</v>
      </c>
      <c r="E14" s="7">
        <v>261</v>
      </c>
      <c r="F14" s="8">
        <f t="shared" si="0"/>
        <v>992</v>
      </c>
      <c r="G14" s="4">
        <f t="shared" si="1"/>
        <v>39</v>
      </c>
      <c r="H14" s="9">
        <v>12855</v>
      </c>
      <c r="I14" s="4">
        <f t="shared" si="2"/>
        <v>17</v>
      </c>
      <c r="J14" s="53">
        <f>Table3369[[#This Row],[PPF]]/Table3369[[#This Row],[Total]]</f>
        <v>12.95866935483871</v>
      </c>
      <c r="K14" s="10">
        <v>0.1285</v>
      </c>
      <c r="L14" s="10">
        <v>1.9300000000000001E-2</v>
      </c>
      <c r="M14" s="10">
        <v>0.1195</v>
      </c>
      <c r="N14" s="10">
        <v>0.30259999999999998</v>
      </c>
      <c r="O14" s="10">
        <v>3.2000000000000002E-3</v>
      </c>
      <c r="P14" s="10">
        <v>0.1056</v>
      </c>
      <c r="Q14" s="10">
        <v>7.4800000000000005E-2</v>
      </c>
      <c r="R14" s="10">
        <v>0.49619999999999997</v>
      </c>
      <c r="S14" s="10">
        <f>34/290</f>
        <v>0.11724137931034483</v>
      </c>
      <c r="T14" s="11">
        <v>15.49</v>
      </c>
    </row>
    <row r="15" spans="1:20" x14ac:dyDescent="0.35">
      <c r="A15" s="2" t="s">
        <v>29</v>
      </c>
      <c r="B15" s="7">
        <v>240</v>
      </c>
      <c r="C15" s="7">
        <v>284</v>
      </c>
      <c r="D15" s="7">
        <v>223</v>
      </c>
      <c r="E15" s="62">
        <v>270</v>
      </c>
      <c r="F15" s="8">
        <f t="shared" si="0"/>
        <v>1017</v>
      </c>
      <c r="G15" s="4">
        <f t="shared" si="1"/>
        <v>19</v>
      </c>
      <c r="H15" s="9">
        <v>6899</v>
      </c>
      <c r="I15" s="4">
        <f t="shared" si="2"/>
        <v>50</v>
      </c>
      <c r="J15" s="53">
        <f>Table3369[[#This Row],[PPF]]/Table3369[[#This Row],[Total]]</f>
        <v>6.7836774827925268</v>
      </c>
      <c r="K15" s="10">
        <v>0.76019999999999999</v>
      </c>
      <c r="L15" s="10">
        <v>1.0200000000000001E-2</v>
      </c>
      <c r="M15" s="10">
        <v>0.17660000000000001</v>
      </c>
      <c r="N15" s="10">
        <v>1.2200000000000001E-2</v>
      </c>
      <c r="O15" s="10">
        <v>1.41E-2</v>
      </c>
      <c r="P15" s="10">
        <v>0.1017</v>
      </c>
      <c r="Q15" s="10" t="s">
        <v>205</v>
      </c>
      <c r="R15" s="10">
        <v>0.46929999999999999</v>
      </c>
      <c r="S15" s="10">
        <f>54/744</f>
        <v>7.2580645161290328E-2</v>
      </c>
      <c r="T15" s="11">
        <v>18.670000000000002</v>
      </c>
    </row>
    <row r="16" spans="1:20" x14ac:dyDescent="0.35">
      <c r="A16" s="2" t="s">
        <v>31</v>
      </c>
      <c r="B16" s="7">
        <v>238</v>
      </c>
      <c r="C16" s="7">
        <v>282</v>
      </c>
      <c r="D16" s="7">
        <v>220</v>
      </c>
      <c r="E16" s="7">
        <v>267</v>
      </c>
      <c r="F16" s="8">
        <f t="shared" si="0"/>
        <v>1007</v>
      </c>
      <c r="G16" s="4">
        <f t="shared" si="1"/>
        <v>28</v>
      </c>
      <c r="H16" s="9">
        <v>13935</v>
      </c>
      <c r="I16" s="4">
        <f t="shared" si="2"/>
        <v>14</v>
      </c>
      <c r="J16" s="53">
        <f>Table3369[[#This Row],[PPF]]/Table3369[[#This Row],[Total]]</f>
        <v>13.838133068520358</v>
      </c>
      <c r="K16" s="10">
        <v>0.48820000000000002</v>
      </c>
      <c r="L16" s="10">
        <v>0.17330000000000001</v>
      </c>
      <c r="M16" s="10">
        <v>0.25540000000000002</v>
      </c>
      <c r="N16" s="10">
        <v>4.7199999999999999E-2</v>
      </c>
      <c r="O16" s="10">
        <v>2.7000000000000001E-3</v>
      </c>
      <c r="P16" s="10">
        <v>0.1454</v>
      </c>
      <c r="Q16" s="10" t="s">
        <v>205</v>
      </c>
      <c r="R16" s="10">
        <v>0.49320000000000003</v>
      </c>
      <c r="S16" s="10">
        <f>64/4175</f>
        <v>1.5329341317365269E-2</v>
      </c>
      <c r="T16" s="11">
        <v>15.71</v>
      </c>
    </row>
    <row r="17" spans="1:20" x14ac:dyDescent="0.35">
      <c r="A17" s="2" t="s">
        <v>30</v>
      </c>
      <c r="B17" s="7">
        <v>247</v>
      </c>
      <c r="C17" s="7">
        <v>288</v>
      </c>
      <c r="D17" s="7">
        <v>226</v>
      </c>
      <c r="E17" s="7">
        <v>272</v>
      </c>
      <c r="F17" s="8">
        <f t="shared" si="0"/>
        <v>1033</v>
      </c>
      <c r="G17" s="4">
        <f t="shared" si="1"/>
        <v>6</v>
      </c>
      <c r="H17" s="9">
        <v>9529</v>
      </c>
      <c r="I17" s="4">
        <f t="shared" si="2"/>
        <v>37</v>
      </c>
      <c r="J17" s="53">
        <f>Table3369[[#This Row],[PPF]]/Table3369[[#This Row],[Total]]</f>
        <v>9.2245885769603095</v>
      </c>
      <c r="K17" s="10">
        <v>0.69330000000000003</v>
      </c>
      <c r="L17" s="10">
        <v>0.1241</v>
      </c>
      <c r="M17" s="10">
        <v>0.1114</v>
      </c>
      <c r="N17" s="10">
        <v>2.1499999999999998E-2</v>
      </c>
      <c r="O17" s="10">
        <v>2.2000000000000001E-3</v>
      </c>
      <c r="P17" s="10">
        <v>0.16370000000000001</v>
      </c>
      <c r="Q17" s="10">
        <v>4.8500000000000001E-2</v>
      </c>
      <c r="R17" s="10">
        <v>0.48220000000000002</v>
      </c>
      <c r="S17" s="10">
        <f>88/1921</f>
        <v>4.5809474232170744E-2</v>
      </c>
      <c r="T17" s="11">
        <v>18.149999999999999</v>
      </c>
    </row>
    <row r="18" spans="1:20" x14ac:dyDescent="0.35">
      <c r="A18" s="2" t="s">
        <v>32</v>
      </c>
      <c r="B18" s="7">
        <v>243</v>
      </c>
      <c r="C18" s="7">
        <v>286</v>
      </c>
      <c r="D18" s="7">
        <v>222</v>
      </c>
      <c r="E18" s="7">
        <v>268</v>
      </c>
      <c r="F18" s="8">
        <f t="shared" si="0"/>
        <v>1019</v>
      </c>
      <c r="G18" s="4">
        <f t="shared" si="1"/>
        <v>17</v>
      </c>
      <c r="H18" s="9">
        <v>10938</v>
      </c>
      <c r="I18" s="4">
        <f t="shared" si="2"/>
        <v>27</v>
      </c>
      <c r="J18" s="53">
        <f>Table3369[[#This Row],[PPF]]/Table3369[[#This Row],[Total]]</f>
        <v>10.73405299313052</v>
      </c>
      <c r="K18" s="10">
        <v>0.77559999999999996</v>
      </c>
      <c r="L18" s="10">
        <v>5.6300000000000003E-2</v>
      </c>
      <c r="M18" s="10">
        <v>0.1026</v>
      </c>
      <c r="N18" s="10">
        <v>2.3900000000000001E-2</v>
      </c>
      <c r="O18" s="10">
        <v>3.7000000000000002E-3</v>
      </c>
      <c r="P18" s="10">
        <v>0.12529999999999999</v>
      </c>
      <c r="Q18" s="10" t="s">
        <v>205</v>
      </c>
      <c r="R18" s="10">
        <v>0.40770000000000001</v>
      </c>
      <c r="S18" s="10">
        <f>3/1349</f>
        <v>2.223869532987398E-3</v>
      </c>
      <c r="T18" s="11">
        <v>14.24</v>
      </c>
    </row>
    <row r="19" spans="1:20" x14ac:dyDescent="0.35">
      <c r="A19" s="2" t="s">
        <v>33</v>
      </c>
      <c r="B19" s="7">
        <v>241</v>
      </c>
      <c r="C19" s="7">
        <v>285</v>
      </c>
      <c r="D19" s="7">
        <v>223</v>
      </c>
      <c r="E19" s="7">
        <v>267</v>
      </c>
      <c r="F19" s="8">
        <f t="shared" si="0"/>
        <v>1016</v>
      </c>
      <c r="G19" s="4">
        <f t="shared" si="1"/>
        <v>22</v>
      </c>
      <c r="H19" s="9">
        <v>10329</v>
      </c>
      <c r="I19" s="4">
        <f t="shared" si="2"/>
        <v>31</v>
      </c>
      <c r="J19" s="53">
        <f>Table3369[[#This Row],[PPF]]/Table3369[[#This Row],[Total]]</f>
        <v>10.166338582677165</v>
      </c>
      <c r="K19" s="10">
        <v>0.64949999999999997</v>
      </c>
      <c r="L19" s="10">
        <v>7.0499999999999993E-2</v>
      </c>
      <c r="M19" s="10">
        <v>0.19259999999999999</v>
      </c>
      <c r="N19" s="10">
        <v>2.7300000000000001E-2</v>
      </c>
      <c r="O19" s="10">
        <v>9.2999999999999992E-3</v>
      </c>
      <c r="P19" s="10">
        <v>0.14269999999999999</v>
      </c>
      <c r="Q19" s="10" t="s">
        <v>205</v>
      </c>
      <c r="R19" s="10">
        <v>0.4844</v>
      </c>
      <c r="S19" s="10">
        <f>10/1320</f>
        <v>7.575757575757576E-3</v>
      </c>
      <c r="T19" s="11">
        <v>12.39</v>
      </c>
    </row>
    <row r="20" spans="1:20" x14ac:dyDescent="0.35">
      <c r="A20" s="2" t="s">
        <v>34</v>
      </c>
      <c r="B20" s="7">
        <v>239</v>
      </c>
      <c r="C20" s="7">
        <v>278</v>
      </c>
      <c r="D20" s="7">
        <v>224</v>
      </c>
      <c r="E20" s="7">
        <v>265</v>
      </c>
      <c r="F20" s="8">
        <f t="shared" si="0"/>
        <v>1006</v>
      </c>
      <c r="G20" s="4">
        <f t="shared" si="1"/>
        <v>29</v>
      </c>
      <c r="H20" s="9">
        <v>9560</v>
      </c>
      <c r="I20" s="4">
        <f t="shared" si="2"/>
        <v>36</v>
      </c>
      <c r="J20" s="53">
        <f>Table3369[[#This Row],[PPF]]/Table3369[[#This Row],[Total]]</f>
        <v>9.502982107355864</v>
      </c>
      <c r="K20" s="10">
        <v>0.78239999999999998</v>
      </c>
      <c r="L20" s="10">
        <v>0.10589999999999999</v>
      </c>
      <c r="M20" s="10">
        <v>5.9700000000000003E-2</v>
      </c>
      <c r="N20" s="10">
        <v>1.6E-2</v>
      </c>
      <c r="O20" s="10">
        <v>0.12</v>
      </c>
      <c r="P20" s="10">
        <v>0.14460000000000001</v>
      </c>
      <c r="Q20" s="10">
        <v>3.2099999999999997E-2</v>
      </c>
      <c r="R20" s="10">
        <v>0.59430000000000005</v>
      </c>
      <c r="S20" s="10">
        <f>0/1571</f>
        <v>0</v>
      </c>
      <c r="T20" s="11">
        <v>16.39</v>
      </c>
    </row>
    <row r="21" spans="1:20" x14ac:dyDescent="0.35">
      <c r="A21" s="2" t="s">
        <v>35</v>
      </c>
      <c r="B21" s="7">
        <v>229</v>
      </c>
      <c r="C21" s="7">
        <v>267</v>
      </c>
      <c r="D21" s="7">
        <v>212</v>
      </c>
      <c r="E21" s="7">
        <v>257</v>
      </c>
      <c r="F21" s="8">
        <f t="shared" si="0"/>
        <v>965</v>
      </c>
      <c r="G21" s="4">
        <f t="shared" si="1"/>
        <v>49</v>
      </c>
      <c r="H21" s="9">
        <v>11106</v>
      </c>
      <c r="I21" s="4">
        <f t="shared" si="2"/>
        <v>24</v>
      </c>
      <c r="J21" s="53">
        <f>Table3369[[#This Row],[PPF]]/Table3369[[#This Row],[Total]]</f>
        <v>11.508808290155441</v>
      </c>
      <c r="K21" s="10">
        <v>0.4551</v>
      </c>
      <c r="L21" s="10">
        <v>0.44240000000000002</v>
      </c>
      <c r="M21" s="10">
        <v>5.9299999999999999E-2</v>
      </c>
      <c r="N21" s="10">
        <v>1.52E-2</v>
      </c>
      <c r="O21" s="10">
        <v>6.9000000000000006E-2</v>
      </c>
      <c r="P21" s="10">
        <v>0.1336</v>
      </c>
      <c r="Q21" s="10" t="s">
        <v>205</v>
      </c>
      <c r="R21" s="10">
        <v>0.58340000000000003</v>
      </c>
      <c r="S21" s="10">
        <f>138/1390</f>
        <v>9.9280575539568344E-2</v>
      </c>
      <c r="T21" s="11">
        <v>12.29</v>
      </c>
    </row>
    <row r="22" spans="1:20" x14ac:dyDescent="0.35">
      <c r="A22" s="2" t="s">
        <v>36</v>
      </c>
      <c r="B22" s="7">
        <v>240</v>
      </c>
      <c r="C22" s="7">
        <v>284</v>
      </c>
      <c r="D22" s="7">
        <v>221</v>
      </c>
      <c r="E22" s="7">
        <v>269</v>
      </c>
      <c r="F22" s="8">
        <f t="shared" si="0"/>
        <v>1014</v>
      </c>
      <c r="G22" s="4">
        <f t="shared" si="1"/>
        <v>24</v>
      </c>
      <c r="H22" s="9">
        <v>13976</v>
      </c>
      <c r="I22" s="4">
        <f t="shared" si="2"/>
        <v>13</v>
      </c>
      <c r="J22" s="53">
        <f>Table3369[[#This Row],[PPF]]/Table3369[[#This Row],[Total]]</f>
        <v>13.783037475345168</v>
      </c>
      <c r="K22" s="10">
        <v>0.90210000000000001</v>
      </c>
      <c r="L22" s="10">
        <v>3.3099999999999997E-2</v>
      </c>
      <c r="M22" s="10">
        <v>2.0199999999999999E-2</v>
      </c>
      <c r="N22" s="10">
        <v>1.47E-2</v>
      </c>
      <c r="O22" s="10">
        <v>8.5000000000000006E-3</v>
      </c>
      <c r="P22" s="10">
        <v>0.16719999999999999</v>
      </c>
      <c r="Q22" s="12" t="s">
        <v>205</v>
      </c>
      <c r="R22" s="10">
        <v>0.44700000000000001</v>
      </c>
      <c r="S22" s="10">
        <f>7/611</f>
        <v>1.1456628477905073E-2</v>
      </c>
      <c r="T22" s="11">
        <v>12.22</v>
      </c>
    </row>
    <row r="23" spans="1:20" x14ac:dyDescent="0.35">
      <c r="A23" s="2" t="s">
        <v>37</v>
      </c>
      <c r="B23" s="7">
        <v>241</v>
      </c>
      <c r="C23" s="7">
        <v>281</v>
      </c>
      <c r="D23" s="7">
        <v>225</v>
      </c>
      <c r="E23" s="7">
        <v>267</v>
      </c>
      <c r="F23" s="8">
        <f t="shared" si="0"/>
        <v>1014</v>
      </c>
      <c r="G23" s="4">
        <f t="shared" si="1"/>
        <v>24</v>
      </c>
      <c r="H23" s="9">
        <v>14431</v>
      </c>
      <c r="I23" s="4">
        <f t="shared" si="2"/>
        <v>11</v>
      </c>
      <c r="J23" s="53">
        <f>Table3369[[#This Row],[PPF]]/Table3369[[#This Row],[Total]]</f>
        <v>14.231755424063117</v>
      </c>
      <c r="K23" s="10">
        <v>0.39090000000000003</v>
      </c>
      <c r="L23" s="10">
        <v>0.34379999999999999</v>
      </c>
      <c r="M23" s="10">
        <v>0.15459999999999999</v>
      </c>
      <c r="N23" s="10">
        <v>6.3E-2</v>
      </c>
      <c r="O23" s="10">
        <v>2.8999999999999998E-3</v>
      </c>
      <c r="P23" s="10">
        <v>0.11890000000000001</v>
      </c>
      <c r="Q23" s="12">
        <v>7.1999999999999995E-2</v>
      </c>
      <c r="R23" s="10">
        <v>0.45</v>
      </c>
      <c r="S23" s="10">
        <f>50/1437</f>
        <v>3.4794711203897009E-2</v>
      </c>
      <c r="T23" s="11">
        <v>14.8</v>
      </c>
    </row>
    <row r="24" spans="1:20" x14ac:dyDescent="0.35">
      <c r="A24" s="2" t="s">
        <v>38</v>
      </c>
      <c r="B24" s="7">
        <v>249</v>
      </c>
      <c r="C24" s="7">
        <v>297</v>
      </c>
      <c r="D24" s="7">
        <v>236</v>
      </c>
      <c r="E24" s="7">
        <v>278</v>
      </c>
      <c r="F24" s="8">
        <f t="shared" si="0"/>
        <v>1060</v>
      </c>
      <c r="G24" s="4">
        <f t="shared" si="1"/>
        <v>1</v>
      </c>
      <c r="H24" s="9">
        <v>16566</v>
      </c>
      <c r="I24" s="4">
        <f t="shared" si="2"/>
        <v>7</v>
      </c>
      <c r="J24" s="53">
        <f>Table3369[[#This Row],[PPF]]/Table3369[[#This Row],[Total]]</f>
        <v>15.628301886792453</v>
      </c>
      <c r="K24" s="10">
        <v>0.62749999999999995</v>
      </c>
      <c r="L24" s="10">
        <v>8.7499999999999994E-2</v>
      </c>
      <c r="M24" s="10">
        <v>0.18509999999999999</v>
      </c>
      <c r="N24" s="10">
        <v>6.4199999999999993E-2</v>
      </c>
      <c r="O24" s="10">
        <v>2.3E-3</v>
      </c>
      <c r="P24" s="10">
        <v>0.17449999999999999</v>
      </c>
      <c r="Q24" s="10">
        <v>8.5900000000000004E-2</v>
      </c>
      <c r="R24" s="10" t="s">
        <v>205</v>
      </c>
      <c r="S24" s="10">
        <f>81/1862</f>
        <v>4.3501611170784105E-2</v>
      </c>
      <c r="T24" s="11">
        <v>13.39</v>
      </c>
    </row>
    <row r="25" spans="1:20" x14ac:dyDescent="0.35">
      <c r="A25" s="2" t="s">
        <v>39</v>
      </c>
      <c r="B25" s="7">
        <v>236</v>
      </c>
      <c r="C25" s="7">
        <v>280</v>
      </c>
      <c r="D25" s="7">
        <v>218</v>
      </c>
      <c r="E25" s="7">
        <v>265</v>
      </c>
      <c r="F25" s="8">
        <f t="shared" si="0"/>
        <v>999</v>
      </c>
      <c r="G25" s="4">
        <f t="shared" si="1"/>
        <v>33</v>
      </c>
      <c r="H25" s="9">
        <v>10956</v>
      </c>
      <c r="I25" s="4">
        <f t="shared" si="2"/>
        <v>26</v>
      </c>
      <c r="J25" s="53">
        <f>Table3369[[#This Row],[PPF]]/Table3369[[#This Row],[Total]]</f>
        <v>10.966966966966966</v>
      </c>
      <c r="K25" s="10">
        <v>0.67110000000000003</v>
      </c>
      <c r="L25" s="10">
        <v>0.182</v>
      </c>
      <c r="M25" s="10">
        <v>7.3999999999999996E-2</v>
      </c>
      <c r="N25" s="10">
        <v>3.1399999999999997E-2</v>
      </c>
      <c r="O25" s="10">
        <v>6.7000000000000002E-3</v>
      </c>
      <c r="P25" s="10">
        <v>0.12839999999999999</v>
      </c>
      <c r="Q25" s="10" t="s">
        <v>205</v>
      </c>
      <c r="R25" s="10">
        <v>0.4461</v>
      </c>
      <c r="S25" s="10">
        <f>371/3469</f>
        <v>0.106947247045258</v>
      </c>
      <c r="T25" s="11">
        <v>18.25</v>
      </c>
    </row>
    <row r="26" spans="1:20" x14ac:dyDescent="0.35">
      <c r="A26" s="2" t="s">
        <v>40</v>
      </c>
      <c r="B26" s="7">
        <v>249</v>
      </c>
      <c r="C26" s="7">
        <v>294</v>
      </c>
      <c r="D26" s="7">
        <v>225</v>
      </c>
      <c r="E26" s="7">
        <v>269</v>
      </c>
      <c r="F26" s="8">
        <f t="shared" si="0"/>
        <v>1037</v>
      </c>
      <c r="G26" s="4">
        <f t="shared" si="1"/>
        <v>4</v>
      </c>
      <c r="H26" s="9">
        <v>11924</v>
      </c>
      <c r="I26" s="4">
        <f t="shared" si="2"/>
        <v>19</v>
      </c>
      <c r="J26" s="53">
        <f>Table3369[[#This Row],[PPF]]/Table3369[[#This Row],[Total]]</f>
        <v>11.498553519768564</v>
      </c>
      <c r="K26" s="10">
        <v>0.68579999999999997</v>
      </c>
      <c r="L26" s="10">
        <v>0.1032</v>
      </c>
      <c r="M26" s="10">
        <v>8.77E-2</v>
      </c>
      <c r="N26" s="10">
        <v>6.5299999999999997E-2</v>
      </c>
      <c r="O26" s="10">
        <v>1.6799999999999999E-2</v>
      </c>
      <c r="P26" s="10">
        <v>0.14829999999999999</v>
      </c>
      <c r="Q26" s="10" t="s">
        <v>205</v>
      </c>
      <c r="R26" s="10">
        <v>0.38090000000000002</v>
      </c>
      <c r="S26" s="10">
        <f>216/2478</f>
        <v>8.7167070217917669E-2</v>
      </c>
      <c r="T26" s="11">
        <v>15.44</v>
      </c>
    </row>
    <row r="27" spans="1:20" x14ac:dyDescent="0.35">
      <c r="A27" s="2" t="s">
        <v>41</v>
      </c>
      <c r="B27" s="7">
        <v>235</v>
      </c>
      <c r="C27" s="7">
        <v>271</v>
      </c>
      <c r="D27" s="7">
        <v>215</v>
      </c>
      <c r="E27" s="7">
        <v>256</v>
      </c>
      <c r="F27" s="8">
        <f t="shared" si="0"/>
        <v>977</v>
      </c>
      <c r="G27" s="4">
        <f t="shared" si="1"/>
        <v>46</v>
      </c>
      <c r="H27" s="9">
        <v>8445</v>
      </c>
      <c r="I27" s="4">
        <f t="shared" si="2"/>
        <v>47</v>
      </c>
      <c r="J27" s="53">
        <f>Table3369[[#This Row],[PPF]]/Table3369[[#This Row],[Total]]</f>
        <v>8.6438075742067557</v>
      </c>
      <c r="K27" s="10">
        <v>0.4476</v>
      </c>
      <c r="L27" s="10">
        <v>0.49209999999999998</v>
      </c>
      <c r="M27" s="10">
        <v>3.39E-2</v>
      </c>
      <c r="N27" s="10">
        <v>1.04E-2</v>
      </c>
      <c r="O27" s="10">
        <v>2.3999999999999998E-3</v>
      </c>
      <c r="P27" s="12">
        <v>0.1351</v>
      </c>
      <c r="Q27" s="10" t="s">
        <v>205</v>
      </c>
      <c r="R27" s="10">
        <v>0.74939999999999996</v>
      </c>
      <c r="S27" s="10">
        <f>2/1076</f>
        <v>1.8587360594795538E-3</v>
      </c>
      <c r="T27" s="11">
        <v>15.14</v>
      </c>
    </row>
    <row r="28" spans="1:20" x14ac:dyDescent="0.35">
      <c r="A28" s="2" t="s">
        <v>42</v>
      </c>
      <c r="B28" s="7">
        <v>240</v>
      </c>
      <c r="C28" s="7">
        <v>281</v>
      </c>
      <c r="D28" s="7">
        <v>223</v>
      </c>
      <c r="E28" s="7">
        <v>266</v>
      </c>
      <c r="F28" s="8">
        <f t="shared" si="0"/>
        <v>1010</v>
      </c>
      <c r="G28" s="4">
        <f t="shared" si="1"/>
        <v>26</v>
      </c>
      <c r="H28" s="9">
        <v>10231</v>
      </c>
      <c r="I28" s="4">
        <f t="shared" si="2"/>
        <v>32</v>
      </c>
      <c r="J28" s="53">
        <f>Table3369[[#This Row],[PPF]]/Table3369[[#This Row],[Total]]</f>
        <v>10.12970297029703</v>
      </c>
      <c r="K28" s="10">
        <v>0.72160000000000002</v>
      </c>
      <c r="L28" s="10">
        <v>0.1615</v>
      </c>
      <c r="M28" s="10">
        <v>5.8799999999999998E-2</v>
      </c>
      <c r="N28" s="10">
        <v>1.9400000000000001E-2</v>
      </c>
      <c r="O28" s="10">
        <v>4.0000000000000001E-3</v>
      </c>
      <c r="P28" s="10">
        <v>0.13739999999999999</v>
      </c>
      <c r="Q28" s="10" t="s">
        <v>205</v>
      </c>
      <c r="R28" s="10">
        <v>0.50039999999999996</v>
      </c>
      <c r="S28" s="10">
        <f>70/3424</f>
        <v>2.0443925233644859E-2</v>
      </c>
      <c r="T28" s="11">
        <v>13.59</v>
      </c>
    </row>
    <row r="29" spans="1:20" x14ac:dyDescent="0.35">
      <c r="A29" s="2" t="s">
        <v>43</v>
      </c>
      <c r="B29" s="7">
        <v>241</v>
      </c>
      <c r="C29" s="7">
        <v>286</v>
      </c>
      <c r="D29" s="7">
        <v>222</v>
      </c>
      <c r="E29" s="7">
        <v>267</v>
      </c>
      <c r="F29" s="8">
        <f t="shared" si="0"/>
        <v>1016</v>
      </c>
      <c r="G29" s="4">
        <f t="shared" si="1"/>
        <v>22</v>
      </c>
      <c r="H29" s="9">
        <v>11078</v>
      </c>
      <c r="I29" s="4">
        <f t="shared" si="2"/>
        <v>25</v>
      </c>
      <c r="J29" s="53">
        <f>Table3369[[#This Row],[PPF]]/Table3369[[#This Row],[Total]]</f>
        <v>10.903543307086615</v>
      </c>
      <c r="K29" s="10">
        <v>0.79159999999999997</v>
      </c>
      <c r="L29" s="10">
        <v>8.8000000000000005E-3</v>
      </c>
      <c r="M29" s="10">
        <v>4.4699999999999997E-2</v>
      </c>
      <c r="N29" s="10">
        <v>8.0999999999999996E-3</v>
      </c>
      <c r="O29" s="10">
        <v>0.1137</v>
      </c>
      <c r="P29" s="10">
        <v>0.12</v>
      </c>
      <c r="Q29" s="10" t="s">
        <v>205</v>
      </c>
      <c r="R29" s="10">
        <v>0.44790000000000002</v>
      </c>
      <c r="S29" s="10">
        <f>0/827</f>
        <v>0</v>
      </c>
      <c r="T29" s="11">
        <v>13.96</v>
      </c>
    </row>
    <row r="30" spans="1:20" x14ac:dyDescent="0.35">
      <c r="A30" s="2" t="s">
        <v>44</v>
      </c>
      <c r="B30" s="7">
        <v>246</v>
      </c>
      <c r="C30" s="7">
        <v>288</v>
      </c>
      <c r="D30" s="7">
        <v>224</v>
      </c>
      <c r="E30" s="7">
        <v>269</v>
      </c>
      <c r="F30" s="8">
        <f t="shared" si="0"/>
        <v>1027</v>
      </c>
      <c r="G30" s="4">
        <f t="shared" si="1"/>
        <v>9</v>
      </c>
      <c r="H30" s="9">
        <v>12174</v>
      </c>
      <c r="I30" s="4">
        <f t="shared" si="2"/>
        <v>18</v>
      </c>
      <c r="J30" s="53">
        <f>Table3369[[#This Row],[PPF]]/Table3369[[#This Row],[Total]]</f>
        <v>11.853943524829601</v>
      </c>
      <c r="K30" s="10">
        <v>0.67700000000000005</v>
      </c>
      <c r="L30" s="10">
        <v>6.6900000000000001E-2</v>
      </c>
      <c r="M30" s="10">
        <v>0.18079999999999999</v>
      </c>
      <c r="N30" s="10">
        <v>2.5499999999999998E-2</v>
      </c>
      <c r="O30" s="10">
        <v>1.38E-2</v>
      </c>
      <c r="P30" s="10">
        <v>0.1512</v>
      </c>
      <c r="Q30" s="10" t="s">
        <v>205</v>
      </c>
      <c r="R30" s="10">
        <v>0.44169999999999998</v>
      </c>
      <c r="S30" s="10">
        <f>0/1113</f>
        <v>0</v>
      </c>
      <c r="T30" s="11">
        <v>13.56</v>
      </c>
    </row>
    <row r="31" spans="1:20" x14ac:dyDescent="0.35">
      <c r="A31" s="2" t="s">
        <v>45</v>
      </c>
      <c r="B31" s="7">
        <v>232</v>
      </c>
      <c r="C31" s="7">
        <v>275</v>
      </c>
      <c r="D31" s="7">
        <v>215</v>
      </c>
      <c r="E31" s="7">
        <v>260</v>
      </c>
      <c r="F31" s="8">
        <f t="shared" si="0"/>
        <v>982</v>
      </c>
      <c r="G31" s="4">
        <f t="shared" si="1"/>
        <v>44</v>
      </c>
      <c r="H31" s="9">
        <v>8451</v>
      </c>
      <c r="I31" s="4">
        <f t="shared" si="2"/>
        <v>46</v>
      </c>
      <c r="J31" s="53">
        <f>Table3369[[#This Row],[PPF]]/Table3369[[#This Row],[Total]]</f>
        <v>8.6059063136456206</v>
      </c>
      <c r="K31" s="10">
        <v>0.33979999999999999</v>
      </c>
      <c r="L31" s="10">
        <v>0.1047</v>
      </c>
      <c r="M31" s="10">
        <v>0.41689999999999999</v>
      </c>
      <c r="N31" s="10">
        <v>5.4800000000000001E-2</v>
      </c>
      <c r="O31" s="10">
        <v>9.4999999999999998E-3</v>
      </c>
      <c r="P31" s="10">
        <v>0.1186</v>
      </c>
      <c r="Q31" s="10">
        <v>0.16769999999999999</v>
      </c>
      <c r="R31" s="10">
        <v>0.57279999999999998</v>
      </c>
      <c r="S31" s="10">
        <f>47/662</f>
        <v>7.0996978851963752E-2</v>
      </c>
      <c r="T31" s="11">
        <v>20.59</v>
      </c>
    </row>
    <row r="32" spans="1:20" x14ac:dyDescent="0.35">
      <c r="A32" s="2" t="s">
        <v>46</v>
      </c>
      <c r="B32" s="7">
        <v>245</v>
      </c>
      <c r="C32" s="7">
        <v>293</v>
      </c>
      <c r="D32" s="7">
        <v>229</v>
      </c>
      <c r="E32" s="7">
        <v>275</v>
      </c>
      <c r="F32" s="8">
        <f t="shared" si="0"/>
        <v>1042</v>
      </c>
      <c r="G32" s="4">
        <f t="shared" si="1"/>
        <v>3</v>
      </c>
      <c r="H32" s="9">
        <v>14969</v>
      </c>
      <c r="I32" s="4">
        <f t="shared" si="2"/>
        <v>10</v>
      </c>
      <c r="J32" s="53">
        <f>Table3369[[#This Row],[PPF]]/Table3369[[#This Row],[Total]]</f>
        <v>14.365642994241842</v>
      </c>
      <c r="K32" s="10">
        <v>0.86799999999999999</v>
      </c>
      <c r="L32" s="10">
        <v>1.9099999999999999E-2</v>
      </c>
      <c r="M32" s="10">
        <v>4.9599999999999998E-2</v>
      </c>
      <c r="N32" s="10">
        <v>3.1699999999999999E-2</v>
      </c>
      <c r="O32" s="10">
        <v>2.8E-3</v>
      </c>
      <c r="P32" s="10" t="s">
        <v>205</v>
      </c>
      <c r="Q32" s="10" t="s">
        <v>205</v>
      </c>
      <c r="R32" s="10">
        <v>0.28139999999999998</v>
      </c>
      <c r="S32" s="10">
        <f>31/490</f>
        <v>6.3265306122448975E-2</v>
      </c>
      <c r="T32" s="11">
        <v>12.35</v>
      </c>
    </row>
    <row r="33" spans="1:20" x14ac:dyDescent="0.35">
      <c r="A33" s="2" t="s">
        <v>47</v>
      </c>
      <c r="B33" s="7">
        <v>248</v>
      </c>
      <c r="C33" s="7">
        <v>292</v>
      </c>
      <c r="D33" s="7">
        <v>233</v>
      </c>
      <c r="E33" s="62">
        <v>275</v>
      </c>
      <c r="F33" s="8">
        <f t="shared" si="0"/>
        <v>1048</v>
      </c>
      <c r="G33" s="4">
        <f t="shared" si="1"/>
        <v>2</v>
      </c>
      <c r="H33" s="9">
        <v>18838</v>
      </c>
      <c r="I33" s="4">
        <f t="shared" si="2"/>
        <v>5</v>
      </c>
      <c r="J33" s="53">
        <f>Table3369[[#This Row],[PPF]]/Table3369[[#This Row],[Total]]</f>
        <v>17.975190839694658</v>
      </c>
      <c r="K33" s="10">
        <v>0.48780000000000001</v>
      </c>
      <c r="L33" s="10">
        <v>0.16070000000000001</v>
      </c>
      <c r="M33" s="10">
        <v>0.2671</v>
      </c>
      <c r="N33" s="10">
        <v>9.5399999999999999E-2</v>
      </c>
      <c r="O33" s="10">
        <v>1.1999999999999999E-3</v>
      </c>
      <c r="P33" s="10">
        <v>0.16470000000000001</v>
      </c>
      <c r="Q33" s="10" t="s">
        <v>205</v>
      </c>
      <c r="R33" s="10">
        <v>0.36509999999999998</v>
      </c>
      <c r="S33" s="10">
        <f>89/2588</f>
        <v>3.4389489953632148E-2</v>
      </c>
      <c r="T33" s="11">
        <v>12.25</v>
      </c>
    </row>
    <row r="34" spans="1:20" x14ac:dyDescent="0.35">
      <c r="A34" s="2" t="s">
        <v>48</v>
      </c>
      <c r="B34" s="7">
        <v>230</v>
      </c>
      <c r="C34" s="7">
        <v>269</v>
      </c>
      <c r="D34" s="7">
        <v>208</v>
      </c>
      <c r="E34" s="7">
        <v>256</v>
      </c>
      <c r="F34" s="8">
        <f t="shared" si="0"/>
        <v>963</v>
      </c>
      <c r="G34" s="4">
        <f t="shared" si="1"/>
        <v>50</v>
      </c>
      <c r="H34" s="9">
        <v>9724</v>
      </c>
      <c r="I34" s="4">
        <f t="shared" si="2"/>
        <v>35</v>
      </c>
      <c r="J34" s="53">
        <f>Table3369[[#This Row],[PPF]]/Table3369[[#This Row],[Total]]</f>
        <v>10.097611630321911</v>
      </c>
      <c r="K34" s="10">
        <v>0.2364</v>
      </c>
      <c r="L34" s="10">
        <v>1.9300000000000001E-2</v>
      </c>
      <c r="M34" s="10">
        <v>0.61319999999999997</v>
      </c>
      <c r="N34" s="10">
        <v>1.14E-2</v>
      </c>
      <c r="O34" s="10">
        <v>0.1019</v>
      </c>
      <c r="P34" s="10">
        <v>0.14799999999999999</v>
      </c>
      <c r="Q34" s="12">
        <v>0.1573</v>
      </c>
      <c r="R34" s="10">
        <v>0.71360000000000001</v>
      </c>
      <c r="S34" s="10">
        <f>99/884</f>
        <v>0.11199095022624435</v>
      </c>
      <c r="T34" s="11">
        <v>15.45</v>
      </c>
    </row>
    <row r="35" spans="1:20" x14ac:dyDescent="0.35">
      <c r="A35" s="61" t="s">
        <v>49</v>
      </c>
      <c r="B35" s="62">
        <v>236</v>
      </c>
      <c r="C35" s="62">
        <v>282</v>
      </c>
      <c r="D35" s="62">
        <v>222</v>
      </c>
      <c r="E35" s="62">
        <v>264</v>
      </c>
      <c r="F35" s="8">
        <f t="shared" ref="F35:F53" si="3">SUM(B35:E35)</f>
        <v>1004</v>
      </c>
      <c r="G35" s="4">
        <f t="shared" ref="G35:G53" si="4">RANK(F35,F$3:F$53)</f>
        <v>30</v>
      </c>
      <c r="H35" s="63">
        <v>20744</v>
      </c>
      <c r="I35" s="4">
        <f t="shared" ref="I35:I53" si="5">RANK(H35,H$3:H$53)</f>
        <v>1</v>
      </c>
      <c r="J35" s="73">
        <f>Table3369[[#This Row],[PPF]]/Table3369[[#This Row],[Total]]</f>
        <v>20.661354581673308</v>
      </c>
      <c r="K35" s="64">
        <v>0.44679999999999997</v>
      </c>
      <c r="L35" s="64">
        <v>0.17660000000000001</v>
      </c>
      <c r="M35" s="64">
        <v>0.25929999999999997</v>
      </c>
      <c r="N35" s="64">
        <v>9.0899999999999995E-2</v>
      </c>
      <c r="O35" s="64">
        <v>6.4999999999999997E-3</v>
      </c>
      <c r="P35" s="64" t="s">
        <v>205</v>
      </c>
      <c r="Q35" s="64">
        <v>7.9799999999999996E-2</v>
      </c>
      <c r="R35" s="64">
        <v>0.48570000000000002</v>
      </c>
      <c r="S35" s="64">
        <f>256/4824</f>
        <v>5.306799336650083E-2</v>
      </c>
      <c r="T35" s="65">
        <v>13.16</v>
      </c>
    </row>
    <row r="36" spans="1:20" x14ac:dyDescent="0.35">
      <c r="A36" s="2" t="s">
        <v>50</v>
      </c>
      <c r="B36" s="7">
        <v>241</v>
      </c>
      <c r="C36" s="7">
        <v>282</v>
      </c>
      <c r="D36" s="7">
        <v>224</v>
      </c>
      <c r="E36" s="7">
        <v>263</v>
      </c>
      <c r="F36" s="8">
        <f t="shared" si="3"/>
        <v>1010</v>
      </c>
      <c r="G36" s="4">
        <f t="shared" si="4"/>
        <v>26</v>
      </c>
      <c r="H36" s="9">
        <v>8529</v>
      </c>
      <c r="I36" s="4">
        <f t="shared" si="5"/>
        <v>45</v>
      </c>
      <c r="J36" s="53">
        <f>Table3369[[#This Row],[PPF]]/Table3369[[#This Row],[Total]]</f>
        <v>8.4445544554455445</v>
      </c>
      <c r="K36" s="10">
        <v>0.49769999999999998</v>
      </c>
      <c r="L36" s="10">
        <v>0.25779999999999997</v>
      </c>
      <c r="M36" s="10">
        <v>0.16200000000000001</v>
      </c>
      <c r="N36" s="10">
        <v>0.03</v>
      </c>
      <c r="O36" s="10">
        <v>1.32E-2</v>
      </c>
      <c r="P36" s="10">
        <v>0.12870000000000001</v>
      </c>
      <c r="Q36" s="10">
        <v>6.6100000000000006E-2</v>
      </c>
      <c r="R36" s="10">
        <v>0.5736</v>
      </c>
      <c r="S36" s="10">
        <f>158/2603</f>
        <v>6.0699193238570877E-2</v>
      </c>
      <c r="T36" s="11">
        <v>15.55</v>
      </c>
    </row>
    <row r="37" spans="1:20" x14ac:dyDescent="0.35">
      <c r="A37" s="2" t="s">
        <v>51</v>
      </c>
      <c r="B37" s="7">
        <v>244</v>
      </c>
      <c r="C37" s="7">
        <v>288</v>
      </c>
      <c r="D37" s="7">
        <v>222</v>
      </c>
      <c r="E37" s="7">
        <v>265</v>
      </c>
      <c r="F37" s="8">
        <f t="shared" si="3"/>
        <v>1019</v>
      </c>
      <c r="G37" s="4">
        <f t="shared" si="4"/>
        <v>17</v>
      </c>
      <c r="H37" s="9">
        <v>12909</v>
      </c>
      <c r="I37" s="4">
        <f t="shared" si="5"/>
        <v>16</v>
      </c>
      <c r="J37" s="53">
        <f>Table3369[[#This Row],[PPF]]/Table3369[[#This Row],[Total]]</f>
        <v>12.668302257114819</v>
      </c>
      <c r="K37" s="10">
        <v>0.78779999999999994</v>
      </c>
      <c r="L37" s="10">
        <v>4.2200000000000001E-2</v>
      </c>
      <c r="M37" s="10">
        <v>4.5999999999999999E-2</v>
      </c>
      <c r="N37" s="10">
        <v>1.47E-2</v>
      </c>
      <c r="O37" s="10">
        <v>8.7900000000000006E-2</v>
      </c>
      <c r="P37" s="10" t="s">
        <v>205</v>
      </c>
      <c r="Q37" s="10" t="s">
        <v>205</v>
      </c>
      <c r="R37" s="10">
        <v>0.31009999999999999</v>
      </c>
      <c r="S37" s="10">
        <f>0/521</f>
        <v>0</v>
      </c>
      <c r="T37" s="11">
        <v>11.81</v>
      </c>
    </row>
    <row r="38" spans="1:20" x14ac:dyDescent="0.35">
      <c r="A38" s="2" t="s">
        <v>52</v>
      </c>
      <c r="B38" s="7">
        <v>241</v>
      </c>
      <c r="C38" s="7">
        <v>288</v>
      </c>
      <c r="D38" s="7">
        <v>225</v>
      </c>
      <c r="E38" s="7">
        <v>268</v>
      </c>
      <c r="F38" s="8">
        <f t="shared" si="3"/>
        <v>1022</v>
      </c>
      <c r="G38" s="4">
        <f t="shared" si="4"/>
        <v>14</v>
      </c>
      <c r="H38" s="9">
        <v>11730</v>
      </c>
      <c r="I38" s="4">
        <f t="shared" si="5"/>
        <v>20</v>
      </c>
      <c r="J38" s="53">
        <f>Table3369[[#This Row],[PPF]]/Table3369[[#This Row],[Total]]</f>
        <v>11.477495107632095</v>
      </c>
      <c r="K38" s="10">
        <v>0.71299999999999997</v>
      </c>
      <c r="L38" s="10">
        <v>0.16420000000000001</v>
      </c>
      <c r="M38" s="10">
        <v>5.1400000000000001E-2</v>
      </c>
      <c r="N38" s="10">
        <v>2.1399999999999999E-2</v>
      </c>
      <c r="O38" s="10">
        <v>1.2999999999999999E-3</v>
      </c>
      <c r="P38" s="10">
        <v>0.1479</v>
      </c>
      <c r="Q38" s="10" t="s">
        <v>205</v>
      </c>
      <c r="R38" s="10">
        <v>0.44650000000000001</v>
      </c>
      <c r="S38" s="10">
        <f>373/3619</f>
        <v>0.10306714562033711</v>
      </c>
      <c r="T38" s="11">
        <v>16.87</v>
      </c>
    </row>
    <row r="39" spans="1:20" x14ac:dyDescent="0.35">
      <c r="A39" s="61" t="s">
        <v>53</v>
      </c>
      <c r="B39" s="62">
        <v>237</v>
      </c>
      <c r="C39" s="62">
        <v>275</v>
      </c>
      <c r="D39" s="62">
        <v>217</v>
      </c>
      <c r="E39" s="62">
        <v>261</v>
      </c>
      <c r="F39" s="8">
        <f t="shared" si="3"/>
        <v>990</v>
      </c>
      <c r="G39" s="4">
        <f t="shared" si="4"/>
        <v>40</v>
      </c>
      <c r="H39" s="63">
        <v>8075</v>
      </c>
      <c r="I39" s="4">
        <f t="shared" si="5"/>
        <v>48</v>
      </c>
      <c r="J39" s="73">
        <f>Table3369[[#This Row],[PPF]]/Table3369[[#This Row],[Total]]</f>
        <v>8.1565656565656557</v>
      </c>
      <c r="K39" s="64">
        <v>0.5</v>
      </c>
      <c r="L39" s="64">
        <v>8.8700000000000001E-2</v>
      </c>
      <c r="M39" s="64">
        <v>0.16209999999999999</v>
      </c>
      <c r="N39" s="64">
        <v>1.9300000000000001E-2</v>
      </c>
      <c r="O39" s="64">
        <v>0.14280000000000001</v>
      </c>
      <c r="P39" s="74">
        <v>0.1565</v>
      </c>
      <c r="Q39" s="74" t="s">
        <v>205</v>
      </c>
      <c r="R39" s="64">
        <v>0.6129</v>
      </c>
      <c r="S39" s="64">
        <f>45/1800</f>
        <v>2.5000000000000001E-2</v>
      </c>
      <c r="T39" s="65">
        <v>16.32</v>
      </c>
    </row>
    <row r="40" spans="1:20" x14ac:dyDescent="0.35">
      <c r="A40" s="2" t="s">
        <v>54</v>
      </c>
      <c r="B40" s="7">
        <v>233</v>
      </c>
      <c r="C40" s="7">
        <v>282</v>
      </c>
      <c r="D40" s="7">
        <v>218</v>
      </c>
      <c r="E40" s="7">
        <v>266</v>
      </c>
      <c r="F40" s="8">
        <f t="shared" si="3"/>
        <v>999</v>
      </c>
      <c r="G40" s="4">
        <f t="shared" si="4"/>
        <v>33</v>
      </c>
      <c r="H40" s="9">
        <v>10457</v>
      </c>
      <c r="I40" s="4">
        <f t="shared" si="5"/>
        <v>29</v>
      </c>
      <c r="J40" s="53">
        <f>Table3369[[#This Row],[PPF]]/Table3369[[#This Row],[Total]]</f>
        <v>10.467467467467467</v>
      </c>
      <c r="K40" s="10">
        <v>0.63429999999999997</v>
      </c>
      <c r="L40" s="10">
        <v>2.3800000000000002E-2</v>
      </c>
      <c r="M40" s="10">
        <v>0.22450000000000001</v>
      </c>
      <c r="N40" s="10">
        <v>3.9399999999999998E-2</v>
      </c>
      <c r="O40" s="10">
        <v>1.44E-2</v>
      </c>
      <c r="P40" s="10">
        <v>0.14560000000000001</v>
      </c>
      <c r="Q40" s="10" t="s">
        <v>205</v>
      </c>
      <c r="R40" s="10">
        <v>0.49009999999999998</v>
      </c>
      <c r="S40" s="10">
        <f>126/1242</f>
        <v>0.10144927536231885</v>
      </c>
      <c r="T40" s="11">
        <v>19.82</v>
      </c>
    </row>
    <row r="41" spans="1:20" x14ac:dyDescent="0.35">
      <c r="A41" s="2" t="s">
        <v>55</v>
      </c>
      <c r="B41" s="7">
        <v>242</v>
      </c>
      <c r="C41" s="7">
        <v>286</v>
      </c>
      <c r="D41" s="7">
        <v>225</v>
      </c>
      <c r="E41" s="7">
        <v>270</v>
      </c>
      <c r="F41" s="8">
        <f t="shared" si="3"/>
        <v>1023</v>
      </c>
      <c r="G41" s="4">
        <f t="shared" si="4"/>
        <v>12</v>
      </c>
      <c r="H41" s="9">
        <v>14405</v>
      </c>
      <c r="I41" s="4">
        <f t="shared" si="5"/>
        <v>12</v>
      </c>
      <c r="J41" s="53">
        <f>Table3369[[#This Row],[PPF]]/Table3369[[#This Row],[Total]]</f>
        <v>14.081133919843598</v>
      </c>
      <c r="K41" s="10">
        <v>0.67500000000000004</v>
      </c>
      <c r="L41" s="10">
        <v>0.1482</v>
      </c>
      <c r="M41" s="10">
        <v>0.10440000000000001</v>
      </c>
      <c r="N41" s="10">
        <v>3.6600000000000001E-2</v>
      </c>
      <c r="O41" s="10">
        <v>1.5E-3</v>
      </c>
      <c r="P41" s="10">
        <v>0.1762</v>
      </c>
      <c r="Q41" s="10" t="s">
        <v>205</v>
      </c>
      <c r="R41" s="10">
        <v>0.46700000000000003</v>
      </c>
      <c r="S41" s="10">
        <f>175/3019</f>
        <v>5.7966213978138455E-2</v>
      </c>
      <c r="T41" s="11">
        <v>14.21</v>
      </c>
    </row>
    <row r="42" spans="1:20" x14ac:dyDescent="0.35">
      <c r="A42" s="2" t="s">
        <v>56</v>
      </c>
      <c r="B42" s="7">
        <v>238</v>
      </c>
      <c r="C42" s="7">
        <v>277</v>
      </c>
      <c r="D42" s="7">
        <v>223</v>
      </c>
      <c r="E42" s="7">
        <v>266</v>
      </c>
      <c r="F42" s="8">
        <f t="shared" si="3"/>
        <v>1004</v>
      </c>
      <c r="G42" s="4">
        <f t="shared" si="4"/>
        <v>30</v>
      </c>
      <c r="H42" s="9">
        <v>15797</v>
      </c>
      <c r="I42" s="4">
        <f t="shared" si="5"/>
        <v>9</v>
      </c>
      <c r="J42" s="53">
        <f>Table3369[[#This Row],[PPF]]/Table3369[[#This Row],[Total]]</f>
        <v>15.73406374501992</v>
      </c>
      <c r="K42" s="10">
        <v>0.59750000000000003</v>
      </c>
      <c r="L42" s="10">
        <v>8.1900000000000001E-2</v>
      </c>
      <c r="M42" s="10">
        <v>0.2417</v>
      </c>
      <c r="N42" s="10">
        <v>3.2300000000000002E-2</v>
      </c>
      <c r="O42" s="10">
        <v>7.1000000000000004E-3</v>
      </c>
      <c r="P42" s="10">
        <v>0.16520000000000001</v>
      </c>
      <c r="Q42" s="12">
        <v>7.4300000000000005E-2</v>
      </c>
      <c r="R42" s="10">
        <v>0.4647</v>
      </c>
      <c r="S42" s="10">
        <f>29/313</f>
        <v>9.2651757188498399E-2</v>
      </c>
      <c r="T42" s="11">
        <v>13.36</v>
      </c>
    </row>
    <row r="43" spans="1:20" x14ac:dyDescent="0.35">
      <c r="A43" s="2" t="s">
        <v>57</v>
      </c>
      <c r="B43" s="7">
        <v>234</v>
      </c>
      <c r="C43" s="7">
        <v>275</v>
      </c>
      <c r="D43" s="7">
        <v>213</v>
      </c>
      <c r="E43" s="7">
        <v>260</v>
      </c>
      <c r="F43" s="8">
        <f t="shared" si="3"/>
        <v>982</v>
      </c>
      <c r="G43" s="4">
        <f t="shared" si="4"/>
        <v>44</v>
      </c>
      <c r="H43" s="9">
        <v>9831</v>
      </c>
      <c r="I43" s="4">
        <f t="shared" si="5"/>
        <v>33</v>
      </c>
      <c r="J43" s="53">
        <f>Table3369[[#This Row],[PPF]]/Table3369[[#This Row],[Total]]</f>
        <v>10.011201629327902</v>
      </c>
      <c r="K43" s="10">
        <v>0.51659999999999995</v>
      </c>
      <c r="L43" s="10">
        <v>0.34379999999999999</v>
      </c>
      <c r="M43" s="10">
        <v>8.5000000000000006E-2</v>
      </c>
      <c r="N43" s="10">
        <v>1.4800000000000001E-2</v>
      </c>
      <c r="O43" s="10">
        <v>3.2000000000000002E-3</v>
      </c>
      <c r="P43" s="10">
        <v>0.1333</v>
      </c>
      <c r="Q43" s="10">
        <v>5.5800000000000002E-2</v>
      </c>
      <c r="R43" s="10">
        <v>0.60019999999999996</v>
      </c>
      <c r="S43" s="10">
        <f>68/1248</f>
        <v>5.4487179487179488E-2</v>
      </c>
      <c r="T43" s="11">
        <v>15.2</v>
      </c>
    </row>
    <row r="44" spans="1:20" x14ac:dyDescent="0.35">
      <c r="A44" s="2" t="s">
        <v>58</v>
      </c>
      <c r="B44" s="7">
        <v>242</v>
      </c>
      <c r="C44" s="7">
        <v>286</v>
      </c>
      <c r="D44" s="7">
        <v>222</v>
      </c>
      <c r="E44" s="7">
        <v>267</v>
      </c>
      <c r="F44" s="8">
        <f t="shared" si="3"/>
        <v>1017</v>
      </c>
      <c r="G44" s="4">
        <f t="shared" si="4"/>
        <v>19</v>
      </c>
      <c r="H44" s="9">
        <v>9103</v>
      </c>
      <c r="I44" s="4">
        <f t="shared" si="5"/>
        <v>42</v>
      </c>
      <c r="J44" s="53">
        <f>Table3369[[#This Row],[PPF]]/Table3369[[#This Row],[Total]]</f>
        <v>8.9508357915437564</v>
      </c>
      <c r="K44" s="10">
        <v>0.75380000000000003</v>
      </c>
      <c r="L44" s="10">
        <v>2.93E-2</v>
      </c>
      <c r="M44" s="10">
        <v>5.16E-2</v>
      </c>
      <c r="N44" s="10">
        <v>1.7399999999999999E-2</v>
      </c>
      <c r="O44" s="10">
        <v>0.11269999999999999</v>
      </c>
      <c r="P44" s="10">
        <v>0.1454</v>
      </c>
      <c r="Q44" s="10" t="s">
        <v>205</v>
      </c>
      <c r="R44" s="10">
        <v>0.41499999999999998</v>
      </c>
      <c r="S44" s="10">
        <f>0/713</f>
        <v>0</v>
      </c>
      <c r="T44" s="11">
        <v>13.93</v>
      </c>
    </row>
    <row r="45" spans="1:20" x14ac:dyDescent="0.35">
      <c r="A45" s="2" t="s">
        <v>59</v>
      </c>
      <c r="B45" s="7">
        <v>237</v>
      </c>
      <c r="C45" s="7">
        <v>279</v>
      </c>
      <c r="D45" s="7">
        <v>219</v>
      </c>
      <c r="E45" s="62">
        <v>262</v>
      </c>
      <c r="F45" s="8">
        <f t="shared" si="3"/>
        <v>997</v>
      </c>
      <c r="G45" s="4">
        <f t="shared" si="4"/>
        <v>37</v>
      </c>
      <c r="H45" s="9">
        <v>8759</v>
      </c>
      <c r="I45" s="4">
        <f t="shared" si="5"/>
        <v>44</v>
      </c>
      <c r="J45" s="53">
        <f>Table3369[[#This Row],[PPF]]/Table3369[[#This Row],[Total]]</f>
        <v>8.7853560682046137</v>
      </c>
      <c r="K45" s="10">
        <v>0.64029999999999998</v>
      </c>
      <c r="L45" s="10">
        <v>0.22509999999999999</v>
      </c>
      <c r="M45" s="10">
        <v>9.0300000000000005E-2</v>
      </c>
      <c r="N45" s="10">
        <v>1.8599999999999998E-2</v>
      </c>
      <c r="O45" s="10">
        <v>1.6000000000000001E-3</v>
      </c>
      <c r="P45" s="10">
        <v>0.1288</v>
      </c>
      <c r="Q45" s="10">
        <v>4.0599999999999997E-2</v>
      </c>
      <c r="R45" s="10">
        <v>0.5726</v>
      </c>
      <c r="S45" s="10">
        <f>100/1859</f>
        <v>5.3792361484669177E-2</v>
      </c>
      <c r="T45" s="11">
        <v>15.06</v>
      </c>
    </row>
    <row r="46" spans="1:20" x14ac:dyDescent="0.35">
      <c r="A46" s="2" t="s">
        <v>60</v>
      </c>
      <c r="B46" s="7">
        <v>241</v>
      </c>
      <c r="C46" s="7">
        <v>282</v>
      </c>
      <c r="D46" s="7">
        <v>215</v>
      </c>
      <c r="E46" s="7">
        <v>260</v>
      </c>
      <c r="F46" s="8">
        <f t="shared" si="3"/>
        <v>998</v>
      </c>
      <c r="G46" s="4">
        <f t="shared" si="4"/>
        <v>35</v>
      </c>
      <c r="H46" s="9">
        <v>9081</v>
      </c>
      <c r="I46" s="4">
        <f t="shared" si="5"/>
        <v>43</v>
      </c>
      <c r="J46" s="53">
        <f>Table3369[[#This Row],[PPF]]/Table3369[[#This Row],[Total]]</f>
        <v>9.0991983967935877</v>
      </c>
      <c r="K46" s="10">
        <v>0.28549999999999998</v>
      </c>
      <c r="L46" s="10">
        <v>0.12620000000000001</v>
      </c>
      <c r="M46" s="10">
        <v>0.5222</v>
      </c>
      <c r="N46" s="10">
        <v>4.0300000000000002E-2</v>
      </c>
      <c r="O46" s="10">
        <v>3.8999999999999998E-3</v>
      </c>
      <c r="P46" s="10">
        <v>8.7400000000000005E-2</v>
      </c>
      <c r="Q46" s="10">
        <v>0.16830000000000001</v>
      </c>
      <c r="R46" s="10">
        <v>0.58919999999999995</v>
      </c>
      <c r="S46" s="10">
        <f>702/8826</f>
        <v>7.9537729435757987E-2</v>
      </c>
      <c r="T46" s="11">
        <v>15.26</v>
      </c>
    </row>
    <row r="47" spans="1:20" x14ac:dyDescent="0.35">
      <c r="A47" s="61" t="s">
        <v>61</v>
      </c>
      <c r="B47" s="62">
        <v>242</v>
      </c>
      <c r="C47" s="62">
        <v>287</v>
      </c>
      <c r="D47" s="62">
        <v>225</v>
      </c>
      <c r="E47" s="62">
        <v>269</v>
      </c>
      <c r="F47" s="8">
        <f t="shared" si="3"/>
        <v>1023</v>
      </c>
      <c r="G47" s="4">
        <f t="shared" si="4"/>
        <v>12</v>
      </c>
      <c r="H47" s="63">
        <v>6751</v>
      </c>
      <c r="I47" s="4">
        <f t="shared" si="5"/>
        <v>51</v>
      </c>
      <c r="J47" s="73">
        <f>Table3369[[#This Row],[PPF]]/Table3369[[#This Row],[Total]]</f>
        <v>6.5992179863147609</v>
      </c>
      <c r="K47" s="64">
        <v>0.75290000000000001</v>
      </c>
      <c r="L47" s="64">
        <v>1.37E-2</v>
      </c>
      <c r="M47" s="64">
        <v>0.1661</v>
      </c>
      <c r="N47" s="64">
        <v>1.7000000000000001E-2</v>
      </c>
      <c r="O47" s="64">
        <v>1.14E-2</v>
      </c>
      <c r="P47" s="64">
        <v>0.1234</v>
      </c>
      <c r="Q47" s="64" t="s">
        <v>205</v>
      </c>
      <c r="R47" s="64">
        <v>0.36409999999999998</v>
      </c>
      <c r="S47" s="64">
        <f>117/1033</f>
        <v>0.1132623426911907</v>
      </c>
      <c r="T47" s="65">
        <v>22.85</v>
      </c>
    </row>
    <row r="48" spans="1:20" x14ac:dyDescent="0.35">
      <c r="A48" s="2" t="s">
        <v>62</v>
      </c>
      <c r="B48" s="7">
        <v>241</v>
      </c>
      <c r="C48" s="7">
        <v>288</v>
      </c>
      <c r="D48" s="7">
        <v>226</v>
      </c>
      <c r="E48" s="7">
        <v>273</v>
      </c>
      <c r="F48" s="8">
        <f t="shared" si="3"/>
        <v>1028</v>
      </c>
      <c r="G48" s="4">
        <f t="shared" si="4"/>
        <v>8</v>
      </c>
      <c r="H48" s="9">
        <v>18769</v>
      </c>
      <c r="I48" s="4">
        <f t="shared" si="5"/>
        <v>6</v>
      </c>
      <c r="J48" s="53">
        <f>Table3369[[#This Row],[PPF]]/Table3369[[#This Row],[Total]]</f>
        <v>18.257782101167315</v>
      </c>
      <c r="K48" s="10">
        <v>0.90969999999999995</v>
      </c>
      <c r="L48" s="10">
        <v>1.9800000000000002E-2</v>
      </c>
      <c r="M48" s="10">
        <v>1.7600000000000001E-2</v>
      </c>
      <c r="N48" s="10">
        <v>1.9800000000000002E-2</v>
      </c>
      <c r="O48" s="10">
        <v>2.3E-3</v>
      </c>
      <c r="P48" s="10">
        <v>0.15840000000000001</v>
      </c>
      <c r="Q48" s="10" t="s">
        <v>205</v>
      </c>
      <c r="R48" s="10">
        <v>0.36820000000000003</v>
      </c>
      <c r="S48" s="10">
        <f>0/320</f>
        <v>0</v>
      </c>
      <c r="T48" s="11">
        <v>10.54</v>
      </c>
    </row>
    <row r="49" spans="1:20" x14ac:dyDescent="0.35">
      <c r="A49" s="2" t="s">
        <v>63</v>
      </c>
      <c r="B49" s="7">
        <v>248</v>
      </c>
      <c r="C49" s="7">
        <v>290</v>
      </c>
      <c r="D49" s="7">
        <v>228</v>
      </c>
      <c r="E49" s="7">
        <v>268</v>
      </c>
      <c r="F49" s="8">
        <f t="shared" si="3"/>
        <v>1034</v>
      </c>
      <c r="G49" s="4">
        <f t="shared" si="4"/>
        <v>5</v>
      </c>
      <c r="H49" s="9">
        <v>11235</v>
      </c>
      <c r="I49" s="4">
        <f t="shared" si="5"/>
        <v>23</v>
      </c>
      <c r="J49" s="53">
        <f>Table3369[[#This Row],[PPF]]/Table3369[[#This Row],[Total]]</f>
        <v>10.865570599613152</v>
      </c>
      <c r="K49" s="10">
        <v>0.505</v>
      </c>
      <c r="L49" s="10">
        <v>0.22900000000000001</v>
      </c>
      <c r="M49" s="10">
        <v>0.1439</v>
      </c>
      <c r="N49" s="10">
        <v>6.6500000000000004E-2</v>
      </c>
      <c r="O49" s="10">
        <v>2.8999999999999998E-3</v>
      </c>
      <c r="P49" s="10" t="s">
        <v>205</v>
      </c>
      <c r="Q49" s="10">
        <v>8.5000000000000006E-2</v>
      </c>
      <c r="R49" s="10">
        <v>0.40820000000000001</v>
      </c>
      <c r="S49" s="10">
        <f>7/2133</f>
        <v>3.2817627754336614E-3</v>
      </c>
      <c r="T49" s="11">
        <v>14.22</v>
      </c>
    </row>
    <row r="50" spans="1:20" x14ac:dyDescent="0.35">
      <c r="A50" s="2" t="s">
        <v>64</v>
      </c>
      <c r="B50" s="7">
        <v>242</v>
      </c>
      <c r="C50" s="7">
        <v>289</v>
      </c>
      <c r="D50" s="7">
        <v>223</v>
      </c>
      <c r="E50" s="7">
        <v>272</v>
      </c>
      <c r="F50" s="8">
        <f t="shared" si="3"/>
        <v>1026</v>
      </c>
      <c r="G50" s="4">
        <f t="shared" si="4"/>
        <v>10</v>
      </c>
      <c r="H50" s="9">
        <v>10684</v>
      </c>
      <c r="I50" s="4">
        <f t="shared" si="5"/>
        <v>28</v>
      </c>
      <c r="J50" s="53">
        <f>Table3369[[#This Row],[PPF]]/Table3369[[#This Row],[Total]]</f>
        <v>10.413255360623781</v>
      </c>
      <c r="K50" s="10">
        <v>0.5615</v>
      </c>
      <c r="L50" s="10">
        <v>4.41E-2</v>
      </c>
      <c r="M50" s="10">
        <v>0.224</v>
      </c>
      <c r="N50" s="10">
        <v>7.3300000000000004E-2</v>
      </c>
      <c r="O50" s="10">
        <v>1.29E-2</v>
      </c>
      <c r="P50" s="10">
        <v>0.1249</v>
      </c>
      <c r="Q50" s="10" t="s">
        <v>205</v>
      </c>
      <c r="R50" s="10">
        <v>0.45350000000000001</v>
      </c>
      <c r="S50" s="10">
        <f>9/2427</f>
        <v>3.708281829419036E-3</v>
      </c>
      <c r="T50" s="11">
        <v>18.760000000000002</v>
      </c>
    </row>
    <row r="51" spans="1:20" x14ac:dyDescent="0.35">
      <c r="A51" s="2" t="s">
        <v>65</v>
      </c>
      <c r="B51" s="7">
        <v>236</v>
      </c>
      <c r="C51" s="7">
        <v>273</v>
      </c>
      <c r="D51" s="7">
        <v>217</v>
      </c>
      <c r="E51" s="7">
        <v>259</v>
      </c>
      <c r="F51" s="8">
        <f t="shared" si="3"/>
        <v>985</v>
      </c>
      <c r="G51" s="4">
        <f t="shared" si="4"/>
        <v>42</v>
      </c>
      <c r="H51" s="9">
        <v>11512</v>
      </c>
      <c r="I51" s="4">
        <f t="shared" si="5"/>
        <v>22</v>
      </c>
      <c r="J51" s="53">
        <f>Table3369[[#This Row],[PPF]]/Table3369[[#This Row],[Total]]</f>
        <v>11.687309644670052</v>
      </c>
      <c r="K51" s="10">
        <v>0.90549999999999997</v>
      </c>
      <c r="L51" s="10">
        <v>4.4499999999999998E-2</v>
      </c>
      <c r="M51" s="10">
        <v>1.5699999999999999E-2</v>
      </c>
      <c r="N51" s="10">
        <v>6.6E-3</v>
      </c>
      <c r="O51" s="10">
        <v>1E-3</v>
      </c>
      <c r="P51" s="10">
        <v>0.1633</v>
      </c>
      <c r="Q51" s="10">
        <v>1.01E-2</v>
      </c>
      <c r="R51" s="10">
        <v>0.49440000000000001</v>
      </c>
      <c r="S51" s="10">
        <f>0/772</f>
        <v>0</v>
      </c>
      <c r="T51" s="11">
        <v>14.11</v>
      </c>
    </row>
    <row r="52" spans="1:20" x14ac:dyDescent="0.35">
      <c r="A52" s="2" t="s">
        <v>66</v>
      </c>
      <c r="B52" s="7">
        <v>240</v>
      </c>
      <c r="C52" s="7">
        <v>288</v>
      </c>
      <c r="D52" s="7">
        <v>220</v>
      </c>
      <c r="E52" s="7">
        <v>269</v>
      </c>
      <c r="F52" s="8">
        <f t="shared" si="3"/>
        <v>1017</v>
      </c>
      <c r="G52" s="4">
        <f t="shared" si="4"/>
        <v>19</v>
      </c>
      <c r="H52" s="9">
        <v>11538</v>
      </c>
      <c r="I52" s="4">
        <f t="shared" si="5"/>
        <v>21</v>
      </c>
      <c r="J52" s="53">
        <f>Table3369[[#This Row],[PPF]]/Table3369[[#This Row],[Total]]</f>
        <v>11.345132743362832</v>
      </c>
      <c r="K52" s="10">
        <v>0.71209999999999996</v>
      </c>
      <c r="L52" s="10">
        <v>9.4700000000000006E-2</v>
      </c>
      <c r="M52" s="10">
        <v>0.1128</v>
      </c>
      <c r="N52" s="10">
        <v>3.7699999999999997E-2</v>
      </c>
      <c r="O52" s="10">
        <v>1.2E-2</v>
      </c>
      <c r="P52" s="10">
        <v>0.13919999999999999</v>
      </c>
      <c r="Q52" s="10">
        <v>5.2600000000000001E-2</v>
      </c>
      <c r="R52" s="10">
        <v>0.39439999999999997</v>
      </c>
      <c r="S52" s="10">
        <f>242/2255</f>
        <v>0.10731707317073171</v>
      </c>
      <c r="T52" s="11">
        <v>14.91</v>
      </c>
    </row>
    <row r="53" spans="1:20" ht="16" thickBot="1" x14ac:dyDescent="0.4">
      <c r="A53" s="2" t="s">
        <v>67</v>
      </c>
      <c r="B53" s="7">
        <v>248</v>
      </c>
      <c r="C53" s="7">
        <v>289</v>
      </c>
      <c r="D53" s="7">
        <v>227</v>
      </c>
      <c r="E53" s="7">
        <v>269</v>
      </c>
      <c r="F53" s="8">
        <f t="shared" si="3"/>
        <v>1033</v>
      </c>
      <c r="G53" s="4">
        <f t="shared" si="4"/>
        <v>6</v>
      </c>
      <c r="H53" s="9">
        <v>16047</v>
      </c>
      <c r="I53" s="4">
        <f t="shared" si="5"/>
        <v>8</v>
      </c>
      <c r="J53" s="53">
        <f>Table3369[[#This Row],[PPF]]/Table3369[[#This Row],[Total]]</f>
        <v>15.534365924491771</v>
      </c>
      <c r="K53" s="10">
        <v>0.78090000000000004</v>
      </c>
      <c r="L53" s="10">
        <v>1.14E-2</v>
      </c>
      <c r="M53" s="10">
        <v>0.1411</v>
      </c>
      <c r="N53" s="10">
        <v>8.3999999999999995E-3</v>
      </c>
      <c r="O53" s="10">
        <v>3.5499999999999997E-2</v>
      </c>
      <c r="P53" s="10">
        <v>0.1381</v>
      </c>
      <c r="Q53" s="10">
        <v>3.1300000000000001E-2</v>
      </c>
      <c r="R53" s="10">
        <v>0.3745</v>
      </c>
      <c r="S53" s="10">
        <v>0</v>
      </c>
      <c r="T53" s="11">
        <v>12.38</v>
      </c>
    </row>
    <row r="54" spans="1:20" x14ac:dyDescent="0.35">
      <c r="A54" s="2" t="s">
        <v>125</v>
      </c>
      <c r="B54" s="7">
        <f>AVERAGE(B3:B53)</f>
        <v>239.23529411764707</v>
      </c>
      <c r="C54" s="7">
        <f>AVERAGE(C3:C53)</f>
        <v>281.88235294117646</v>
      </c>
      <c r="D54" s="7">
        <f>AVERAGE(D3:D53)</f>
        <v>221.07843137254903</v>
      </c>
      <c r="E54" s="50">
        <f>AVERAGE(E3:E53)</f>
        <v>265.45098039215685</v>
      </c>
      <c r="F54" s="62">
        <f>AVERAGE(F3:F53)</f>
        <v>1007.6470588235294</v>
      </c>
      <c r="H54" s="48">
        <f>AVERAGE(H3:H53)</f>
        <v>11989.098039215687</v>
      </c>
      <c r="J54" s="52">
        <f t="shared" ref="J54:T54" si="6">AVERAGE(J3:J53)</f>
        <v>11.891863991041332</v>
      </c>
      <c r="K54" s="39">
        <f t="shared" si="6"/>
        <v>0.57876078431372546</v>
      </c>
      <c r="L54" s="39">
        <f t="shared" si="6"/>
        <v>0.14542156862745101</v>
      </c>
      <c r="M54" s="39">
        <f t="shared" si="6"/>
        <v>0.17001960784313722</v>
      </c>
      <c r="N54" s="39">
        <f t="shared" si="6"/>
        <v>3.9074509803921575E-2</v>
      </c>
      <c r="O54" s="39">
        <f t="shared" si="6"/>
        <v>2.8439215686274513E-2</v>
      </c>
      <c r="P54" s="39">
        <f t="shared" si="6"/>
        <v>0.13722826086956524</v>
      </c>
      <c r="Q54" s="39">
        <f t="shared" si="6"/>
        <v>8.1345833333333353E-2</v>
      </c>
      <c r="R54" s="39">
        <f t="shared" si="6"/>
        <v>0.48932857142857145</v>
      </c>
      <c r="S54" s="39">
        <f t="shared" si="6"/>
        <v>6.4459899078195312E-2</v>
      </c>
      <c r="T54" s="49">
        <f t="shared" si="6"/>
        <v>15.416274509803921</v>
      </c>
    </row>
    <row r="55" spans="1:20" x14ac:dyDescent="0.35">
      <c r="A55" s="2" t="s">
        <v>126</v>
      </c>
      <c r="B55" s="7">
        <f>MAX(B3:B53)-MIN(B3:B53)</f>
        <v>20</v>
      </c>
      <c r="C55" s="7">
        <f>MAX(C3:C53)-MIN(C3:C53)</f>
        <v>31</v>
      </c>
      <c r="D55" s="7">
        <f>MAX(D3:D53)-MIN(D3:D53)</f>
        <v>29</v>
      </c>
      <c r="E55" s="51">
        <f>MAX(E3:E53)-MIN(E3:E53)</f>
        <v>31</v>
      </c>
      <c r="F55" s="62">
        <f>MAX(F3:F53)-MIN(F3:F53)</f>
        <v>103</v>
      </c>
      <c r="H55" s="48">
        <f>MAX(H3:H53)-MIN(H3:H53)</f>
        <v>13993</v>
      </c>
      <c r="J55" s="52">
        <f t="shared" ref="J55:T55" si="7">MAX(J3:J53)-MIN(J3:J53)</f>
        <v>14.936832170425051</v>
      </c>
      <c r="K55" s="39">
        <f t="shared" si="7"/>
        <v>0.8073999999999999</v>
      </c>
      <c r="L55" s="39">
        <f t="shared" si="7"/>
        <v>0.70009999999999994</v>
      </c>
      <c r="M55" s="39">
        <f t="shared" si="7"/>
        <v>0.59749999999999992</v>
      </c>
      <c r="N55" s="39">
        <f t="shared" si="7"/>
        <v>0.29599999999999999</v>
      </c>
      <c r="O55" s="39">
        <f t="shared" si="7"/>
        <v>0.2296</v>
      </c>
      <c r="P55" s="39">
        <f t="shared" si="7"/>
        <v>0.10139999999999999</v>
      </c>
      <c r="Q55" s="39">
        <f t="shared" si="7"/>
        <v>0.19989999999999999</v>
      </c>
      <c r="R55" s="39">
        <f t="shared" si="7"/>
        <v>0.46799999999999997</v>
      </c>
      <c r="S55" s="39">
        <f t="shared" si="7"/>
        <v>0.50438596491228072</v>
      </c>
      <c r="T55" s="49">
        <f t="shared" si="7"/>
        <v>13.09</v>
      </c>
    </row>
    <row r="56" spans="1:20" x14ac:dyDescent="0.35">
      <c r="A56" s="61" t="s">
        <v>127</v>
      </c>
      <c r="B56" s="70">
        <f>_xlfn.STDEV.P(B3:B53)</f>
        <v>5.2527797880484322</v>
      </c>
      <c r="C56" s="70">
        <f>_xlfn.STDEV.P(C3:C53)</f>
        <v>7.0144027147049366</v>
      </c>
      <c r="D56" s="70">
        <f>_xlfn.STDEV.P(D3:D53)</f>
        <v>5.7729699335033269</v>
      </c>
      <c r="E56" s="54">
        <f>_xlfn.STDEV.P(E3:E53)</f>
        <v>5.6924915303533794</v>
      </c>
      <c r="F56" s="70">
        <f>_xlfn.STDEV.P(F3:F53)</f>
        <v>22.293781362252396</v>
      </c>
      <c r="H56" s="71">
        <f>_xlfn.STDEV.P(H3:H53)</f>
        <v>3629.8273024057594</v>
      </c>
      <c r="J56" s="71">
        <f t="shared" ref="J56:T56" si="8">_xlfn.STDEV.P(J3:J53)</f>
        <v>3.589694593579297</v>
      </c>
      <c r="K56" s="67">
        <f t="shared" si="8"/>
        <v>0.19214416572697282</v>
      </c>
      <c r="L56" s="67">
        <f t="shared" si="8"/>
        <v>0.14290529198028593</v>
      </c>
      <c r="M56" s="67">
        <f t="shared" si="8"/>
        <v>0.13694674937563178</v>
      </c>
      <c r="N56" s="67">
        <f t="shared" si="8"/>
        <v>4.4228191005982471E-2</v>
      </c>
      <c r="O56" s="67">
        <f t="shared" si="8"/>
        <v>4.6507853346658162E-2</v>
      </c>
      <c r="P56" s="67">
        <f t="shared" si="8"/>
        <v>2.1040082482929223E-2</v>
      </c>
      <c r="Q56" s="67">
        <f t="shared" si="8"/>
        <v>4.8741785454633819E-2</v>
      </c>
      <c r="R56" s="67">
        <f t="shared" si="8"/>
        <v>0.10511978784186342</v>
      </c>
      <c r="S56" s="67">
        <f t="shared" si="8"/>
        <v>8.0435369507444218E-2</v>
      </c>
      <c r="T56" s="70">
        <f t="shared" si="8"/>
        <v>2.9091592753491922</v>
      </c>
    </row>
  </sheetData>
  <pageMargins left="0.75" right="0.75" top="1" bottom="1" header="0.5" footer="0.5"/>
  <pageSetup scale="76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3"/>
  <sheetViews>
    <sheetView topLeftCell="A8" workbookViewId="0">
      <selection activeCell="A8" sqref="A8"/>
    </sheetView>
  </sheetViews>
  <sheetFormatPr defaultColWidth="10.6640625" defaultRowHeight="15.5" x14ac:dyDescent="0.35"/>
  <cols>
    <col min="1" max="1" width="18" style="2" customWidth="1"/>
    <col min="2" max="7" width="12.33203125" style="4" customWidth="1"/>
    <col min="8" max="9" width="17.33203125" style="4" customWidth="1"/>
    <col min="10" max="10" width="15" style="4" customWidth="1"/>
    <col min="11" max="12" width="15.83203125" style="4" customWidth="1"/>
    <col min="13" max="13" width="15" style="4" customWidth="1"/>
  </cols>
  <sheetData>
    <row r="1" spans="1:13" x14ac:dyDescent="0.35">
      <c r="A1" s="2" t="s">
        <v>225</v>
      </c>
      <c r="B1" s="2" t="s">
        <v>235</v>
      </c>
    </row>
    <row r="2" spans="1:13" x14ac:dyDescent="0.35">
      <c r="B2" s="2" t="s">
        <v>236</v>
      </c>
    </row>
    <row r="3" spans="1:13" x14ac:dyDescent="0.35">
      <c r="B3" s="2" t="s">
        <v>237</v>
      </c>
    </row>
    <row r="4" spans="1:13" x14ac:dyDescent="0.35">
      <c r="B4" s="2" t="s">
        <v>238</v>
      </c>
    </row>
    <row r="5" spans="1:13" x14ac:dyDescent="0.35">
      <c r="B5" s="2" t="s">
        <v>241</v>
      </c>
    </row>
    <row r="6" spans="1:13" x14ac:dyDescent="0.35">
      <c r="B6" s="2"/>
    </row>
    <row r="8" spans="1:13" x14ac:dyDescent="0.35">
      <c r="B8" s="4">
        <v>2009</v>
      </c>
      <c r="C8" s="4">
        <v>2011</v>
      </c>
      <c r="D8" s="138" t="s">
        <v>176</v>
      </c>
      <c r="E8" s="4">
        <v>2009</v>
      </c>
      <c r="F8" s="4">
        <v>2011</v>
      </c>
      <c r="G8" s="138" t="s">
        <v>176</v>
      </c>
    </row>
    <row r="9" spans="1:13" ht="16" thickBot="1" x14ac:dyDescent="0.4">
      <c r="A9" s="1" t="s">
        <v>164</v>
      </c>
      <c r="B9" s="3" t="s">
        <v>175</v>
      </c>
      <c r="C9" s="3" t="s">
        <v>177</v>
      </c>
      <c r="D9" s="3" t="s">
        <v>169</v>
      </c>
      <c r="E9" s="3" t="s">
        <v>174</v>
      </c>
      <c r="F9" s="3" t="s">
        <v>178</v>
      </c>
      <c r="G9" s="3" t="s">
        <v>170</v>
      </c>
      <c r="H9" s="6" t="s">
        <v>165</v>
      </c>
      <c r="I9" s="6" t="s">
        <v>166</v>
      </c>
      <c r="J9" s="3" t="s">
        <v>179</v>
      </c>
      <c r="K9" s="3" t="s">
        <v>167</v>
      </c>
      <c r="L9" s="3" t="s">
        <v>168</v>
      </c>
      <c r="M9" s="3" t="s">
        <v>180</v>
      </c>
    </row>
    <row r="10" spans="1:13" x14ac:dyDescent="0.35">
      <c r="A10" s="2" t="s">
        <v>17</v>
      </c>
      <c r="B10" s="8">
        <f t="shared" ref="B10:B41" si="0">RANK(H10,H$10:H$60)</f>
        <v>46</v>
      </c>
      <c r="C10" s="8">
        <f t="shared" ref="C10:C41" si="1">RANK(I10,I$10:I$60)</f>
        <v>45</v>
      </c>
      <c r="D10" s="8">
        <f t="shared" ref="D10:D41" si="2">RANK(J10,J$10:J$60)</f>
        <v>6</v>
      </c>
      <c r="E10" s="8">
        <f t="shared" ref="E10:E41" si="3">RANK(K10,K$10:K$60)</f>
        <v>34</v>
      </c>
      <c r="F10" s="8">
        <f t="shared" ref="F10:F41" si="4">RANK(L10,L$10:L$60)</f>
        <v>37</v>
      </c>
      <c r="G10" s="8">
        <f t="shared" ref="G10:G41" si="5">RANK(M10,M$10:M$60)</f>
        <v>46</v>
      </c>
      <c r="H10" s="8">
        <v>968</v>
      </c>
      <c r="I10" s="8">
        <v>978</v>
      </c>
      <c r="J10" s="159">
        <f t="shared" ref="J10:J41" si="6">I10-H10</f>
        <v>10</v>
      </c>
      <c r="K10" s="9">
        <v>9187</v>
      </c>
      <c r="L10" s="9">
        <v>8996</v>
      </c>
      <c r="M10" s="134">
        <f t="shared" ref="M10:M41" si="7">L10-K10</f>
        <v>-191</v>
      </c>
    </row>
    <row r="11" spans="1:13" x14ac:dyDescent="0.35">
      <c r="A11" s="2" t="s">
        <v>18</v>
      </c>
      <c r="B11" s="8">
        <f t="shared" si="0"/>
        <v>37</v>
      </c>
      <c r="C11" s="8">
        <f t="shared" si="1"/>
        <v>40</v>
      </c>
      <c r="D11" s="8">
        <f t="shared" si="2"/>
        <v>43</v>
      </c>
      <c r="E11" s="8">
        <f t="shared" si="3"/>
        <v>5</v>
      </c>
      <c r="F11" s="8">
        <f t="shared" si="4"/>
        <v>4</v>
      </c>
      <c r="G11" s="8">
        <f t="shared" si="5"/>
        <v>4</v>
      </c>
      <c r="H11" s="8">
        <v>990</v>
      </c>
      <c r="I11" s="8">
        <v>988</v>
      </c>
      <c r="J11" s="159">
        <f t="shared" si="6"/>
        <v>-2</v>
      </c>
      <c r="K11" s="9">
        <v>14466</v>
      </c>
      <c r="L11" s="9">
        <v>15310</v>
      </c>
      <c r="M11" s="134">
        <f t="shared" si="7"/>
        <v>844</v>
      </c>
    </row>
    <row r="12" spans="1:13" x14ac:dyDescent="0.35">
      <c r="A12" s="2" t="s">
        <v>19</v>
      </c>
      <c r="B12" s="8">
        <f t="shared" si="0"/>
        <v>43</v>
      </c>
      <c r="C12" s="8">
        <f t="shared" si="1"/>
        <v>42</v>
      </c>
      <c r="D12" s="8">
        <f t="shared" si="2"/>
        <v>5</v>
      </c>
      <c r="E12" s="8">
        <f t="shared" si="3"/>
        <v>46</v>
      </c>
      <c r="F12" s="8">
        <f t="shared" si="4"/>
        <v>48</v>
      </c>
      <c r="G12" s="8">
        <f t="shared" si="5"/>
        <v>43</v>
      </c>
      <c r="H12" s="8">
        <v>975</v>
      </c>
      <c r="I12" s="8">
        <v>986</v>
      </c>
      <c r="J12" s="159">
        <f t="shared" si="6"/>
        <v>11</v>
      </c>
      <c r="K12" s="9">
        <v>7889</v>
      </c>
      <c r="L12" s="9">
        <v>7931</v>
      </c>
      <c r="M12" s="134">
        <f t="shared" si="7"/>
        <v>42</v>
      </c>
    </row>
    <row r="13" spans="1:13" x14ac:dyDescent="0.35">
      <c r="A13" s="2" t="s">
        <v>20</v>
      </c>
      <c r="B13" s="8">
        <f t="shared" si="0"/>
        <v>40</v>
      </c>
      <c r="C13" s="8">
        <f t="shared" si="1"/>
        <v>37</v>
      </c>
      <c r="D13" s="8">
        <f t="shared" si="2"/>
        <v>19</v>
      </c>
      <c r="E13" s="8">
        <f t="shared" si="3"/>
        <v>40</v>
      </c>
      <c r="F13" s="8">
        <f t="shared" si="4"/>
        <v>40</v>
      </c>
      <c r="G13" s="8">
        <f t="shared" si="5"/>
        <v>38</v>
      </c>
      <c r="H13" s="8">
        <v>988</v>
      </c>
      <c r="I13" s="8">
        <v>993</v>
      </c>
      <c r="J13" s="159">
        <f t="shared" si="6"/>
        <v>5</v>
      </c>
      <c r="K13" s="9">
        <v>8724</v>
      </c>
      <c r="L13" s="9">
        <v>8853</v>
      </c>
      <c r="M13" s="134">
        <f t="shared" si="7"/>
        <v>129</v>
      </c>
    </row>
    <row r="14" spans="1:13" x14ac:dyDescent="0.35">
      <c r="A14" s="2" t="s">
        <v>21</v>
      </c>
      <c r="B14" s="8">
        <f t="shared" si="0"/>
        <v>47</v>
      </c>
      <c r="C14" s="8">
        <f t="shared" si="1"/>
        <v>47</v>
      </c>
      <c r="D14" s="8">
        <f t="shared" si="2"/>
        <v>8</v>
      </c>
      <c r="E14" s="8">
        <f t="shared" si="3"/>
        <v>29</v>
      </c>
      <c r="F14" s="8">
        <f t="shared" si="4"/>
        <v>34</v>
      </c>
      <c r="G14" s="8">
        <f t="shared" si="5"/>
        <v>44</v>
      </c>
      <c r="H14" s="8">
        <v>965</v>
      </c>
      <c r="I14" s="8">
        <v>973</v>
      </c>
      <c r="J14" s="159">
        <f t="shared" si="6"/>
        <v>8</v>
      </c>
      <c r="K14" s="9">
        <v>9610</v>
      </c>
      <c r="L14" s="9">
        <v>9471</v>
      </c>
      <c r="M14" s="134">
        <f t="shared" si="7"/>
        <v>-139</v>
      </c>
    </row>
    <row r="15" spans="1:13" x14ac:dyDescent="0.35">
      <c r="A15" s="2" t="s">
        <v>22</v>
      </c>
      <c r="B15" s="8">
        <f t="shared" si="0"/>
        <v>14</v>
      </c>
      <c r="C15" s="8">
        <f t="shared" si="1"/>
        <v>10</v>
      </c>
      <c r="D15" s="8">
        <f t="shared" si="2"/>
        <v>8</v>
      </c>
      <c r="E15" s="8">
        <f t="shared" si="3"/>
        <v>33</v>
      </c>
      <c r="F15" s="8">
        <f t="shared" si="4"/>
        <v>38</v>
      </c>
      <c r="G15" s="8">
        <f t="shared" si="5"/>
        <v>48</v>
      </c>
      <c r="H15" s="8">
        <v>1022</v>
      </c>
      <c r="I15" s="8">
        <v>1030</v>
      </c>
      <c r="J15" s="159">
        <f t="shared" si="6"/>
        <v>8</v>
      </c>
      <c r="K15" s="9">
        <v>9242</v>
      </c>
      <c r="L15" s="9">
        <v>8963</v>
      </c>
      <c r="M15" s="134">
        <f t="shared" si="7"/>
        <v>-279</v>
      </c>
    </row>
    <row r="16" spans="1:13" x14ac:dyDescent="0.35">
      <c r="A16" s="2" t="s">
        <v>23</v>
      </c>
      <c r="B16" s="8">
        <f t="shared" si="0"/>
        <v>6</v>
      </c>
      <c r="C16" s="8">
        <f t="shared" si="1"/>
        <v>9</v>
      </c>
      <c r="D16" s="8">
        <f t="shared" si="2"/>
        <v>44</v>
      </c>
      <c r="E16" s="8">
        <f t="shared" si="3"/>
        <v>4</v>
      </c>
      <c r="F16" s="8">
        <f t="shared" si="4"/>
        <v>5</v>
      </c>
      <c r="G16" s="8">
        <f t="shared" si="5"/>
        <v>8</v>
      </c>
      <c r="H16" s="8">
        <v>1035</v>
      </c>
      <c r="I16" s="8">
        <v>1031</v>
      </c>
      <c r="J16" s="159">
        <f t="shared" si="6"/>
        <v>-4</v>
      </c>
      <c r="K16" s="9">
        <v>14496</v>
      </c>
      <c r="L16" s="9">
        <v>15260</v>
      </c>
      <c r="M16" s="134">
        <f t="shared" si="7"/>
        <v>764</v>
      </c>
    </row>
    <row r="17" spans="1:13" x14ac:dyDescent="0.35">
      <c r="A17" s="61" t="s">
        <v>25</v>
      </c>
      <c r="B17" s="8">
        <f t="shared" si="0"/>
        <v>51</v>
      </c>
      <c r="C17" s="8">
        <f t="shared" si="1"/>
        <v>51</v>
      </c>
      <c r="D17" s="8">
        <f t="shared" si="2"/>
        <v>8</v>
      </c>
      <c r="E17" s="8">
        <f t="shared" si="3"/>
        <v>1</v>
      </c>
      <c r="F17" s="8">
        <f t="shared" si="4"/>
        <v>2</v>
      </c>
      <c r="G17" s="8">
        <f t="shared" si="5"/>
        <v>50</v>
      </c>
      <c r="H17" s="8">
        <v>917</v>
      </c>
      <c r="I17" s="8">
        <v>925</v>
      </c>
      <c r="J17" s="159">
        <f t="shared" si="6"/>
        <v>8</v>
      </c>
      <c r="K17" s="63">
        <v>17603</v>
      </c>
      <c r="L17" s="63">
        <v>17251</v>
      </c>
      <c r="M17" s="134">
        <f t="shared" si="7"/>
        <v>-352</v>
      </c>
    </row>
    <row r="18" spans="1:13" x14ac:dyDescent="0.35">
      <c r="A18" s="2" t="s">
        <v>24</v>
      </c>
      <c r="B18" s="8">
        <f t="shared" si="0"/>
        <v>22</v>
      </c>
      <c r="C18" s="8">
        <f t="shared" si="1"/>
        <v>24</v>
      </c>
      <c r="D18" s="8">
        <f t="shared" si="2"/>
        <v>38</v>
      </c>
      <c r="E18" s="8">
        <f t="shared" si="3"/>
        <v>11</v>
      </c>
      <c r="F18" s="8">
        <f t="shared" si="4"/>
        <v>12</v>
      </c>
      <c r="G18" s="8">
        <f t="shared" si="5"/>
        <v>34</v>
      </c>
      <c r="H18" s="8">
        <v>1014</v>
      </c>
      <c r="I18" s="8">
        <v>1014</v>
      </c>
      <c r="J18" s="159">
        <f t="shared" si="6"/>
        <v>0</v>
      </c>
      <c r="K18" s="9">
        <v>12184</v>
      </c>
      <c r="L18" s="9">
        <v>12390</v>
      </c>
      <c r="M18" s="134">
        <f t="shared" si="7"/>
        <v>206</v>
      </c>
    </row>
    <row r="19" spans="1:13" x14ac:dyDescent="0.35">
      <c r="A19" s="2" t="s">
        <v>26</v>
      </c>
      <c r="B19" s="8">
        <f t="shared" si="0"/>
        <v>27</v>
      </c>
      <c r="C19" s="8">
        <f t="shared" si="1"/>
        <v>33</v>
      </c>
      <c r="D19" s="8">
        <f t="shared" si="2"/>
        <v>48</v>
      </c>
      <c r="E19" s="8">
        <f t="shared" si="3"/>
        <v>38</v>
      </c>
      <c r="F19" s="8">
        <f t="shared" si="4"/>
        <v>42</v>
      </c>
      <c r="G19" s="8">
        <f t="shared" si="5"/>
        <v>49</v>
      </c>
      <c r="H19" s="8">
        <v>1011</v>
      </c>
      <c r="I19" s="8">
        <v>1005</v>
      </c>
      <c r="J19" s="159">
        <f t="shared" si="6"/>
        <v>-6</v>
      </c>
      <c r="K19" s="9">
        <v>9067</v>
      </c>
      <c r="L19" s="9">
        <v>8747</v>
      </c>
      <c r="M19" s="134">
        <f t="shared" si="7"/>
        <v>-320</v>
      </c>
    </row>
    <row r="20" spans="1:13" x14ac:dyDescent="0.35">
      <c r="A20" s="2" t="s">
        <v>27</v>
      </c>
      <c r="B20" s="8">
        <f t="shared" si="0"/>
        <v>36</v>
      </c>
      <c r="C20" s="8">
        <f t="shared" si="1"/>
        <v>36</v>
      </c>
      <c r="D20" s="8">
        <f t="shared" si="2"/>
        <v>14</v>
      </c>
      <c r="E20" s="8">
        <f t="shared" si="3"/>
        <v>26</v>
      </c>
      <c r="F20" s="8">
        <f t="shared" si="4"/>
        <v>31</v>
      </c>
      <c r="G20" s="8">
        <f t="shared" si="5"/>
        <v>45</v>
      </c>
      <c r="H20" s="8">
        <v>992</v>
      </c>
      <c r="I20" s="8">
        <v>999</v>
      </c>
      <c r="J20" s="159">
        <f t="shared" si="6"/>
        <v>7</v>
      </c>
      <c r="K20" s="9">
        <v>9839</v>
      </c>
      <c r="L20" s="9">
        <v>9685</v>
      </c>
      <c r="M20" s="134">
        <f t="shared" si="7"/>
        <v>-154</v>
      </c>
    </row>
    <row r="21" spans="1:13" x14ac:dyDescent="0.35">
      <c r="A21" s="2" t="s">
        <v>28</v>
      </c>
      <c r="B21" s="8">
        <f t="shared" si="0"/>
        <v>42</v>
      </c>
      <c r="C21" s="8">
        <f t="shared" si="1"/>
        <v>40</v>
      </c>
      <c r="D21" s="8">
        <f t="shared" si="2"/>
        <v>1</v>
      </c>
      <c r="E21" s="8">
        <f t="shared" si="3"/>
        <v>14</v>
      </c>
      <c r="F21" s="8">
        <f t="shared" si="4"/>
        <v>13</v>
      </c>
      <c r="G21" s="8">
        <f t="shared" si="5"/>
        <v>12</v>
      </c>
      <c r="H21" s="8">
        <v>976</v>
      </c>
      <c r="I21" s="8">
        <v>988</v>
      </c>
      <c r="J21" s="159">
        <f t="shared" si="6"/>
        <v>12</v>
      </c>
      <c r="K21" s="9">
        <v>11745</v>
      </c>
      <c r="L21" s="9">
        <v>12370</v>
      </c>
      <c r="M21" s="134">
        <f t="shared" si="7"/>
        <v>625</v>
      </c>
    </row>
    <row r="22" spans="1:13" x14ac:dyDescent="0.35">
      <c r="A22" s="2" t="s">
        <v>29</v>
      </c>
      <c r="B22" s="8">
        <f t="shared" si="0"/>
        <v>22</v>
      </c>
      <c r="C22" s="8">
        <f t="shared" si="1"/>
        <v>21</v>
      </c>
      <c r="D22" s="8">
        <f t="shared" si="2"/>
        <v>31</v>
      </c>
      <c r="E22" s="8">
        <f t="shared" si="3"/>
        <v>50</v>
      </c>
      <c r="F22" s="8">
        <f t="shared" si="4"/>
        <v>50</v>
      </c>
      <c r="G22" s="8">
        <f t="shared" si="5"/>
        <v>40</v>
      </c>
      <c r="H22" s="8">
        <v>1014</v>
      </c>
      <c r="I22" s="8">
        <v>1016</v>
      </c>
      <c r="J22" s="159">
        <f t="shared" si="6"/>
        <v>2</v>
      </c>
      <c r="K22" s="9">
        <v>7074</v>
      </c>
      <c r="L22" s="9">
        <v>7194</v>
      </c>
      <c r="M22" s="134">
        <f t="shared" si="7"/>
        <v>120</v>
      </c>
    </row>
    <row r="23" spans="1:13" x14ac:dyDescent="0.35">
      <c r="A23" s="2" t="s">
        <v>31</v>
      </c>
      <c r="B23" s="8">
        <f t="shared" si="0"/>
        <v>33</v>
      </c>
      <c r="C23" s="8">
        <f t="shared" si="1"/>
        <v>31</v>
      </c>
      <c r="D23" s="8">
        <f t="shared" si="2"/>
        <v>28</v>
      </c>
      <c r="E23" s="8">
        <f t="shared" si="3"/>
        <v>19</v>
      </c>
      <c r="F23" s="8">
        <f t="shared" si="4"/>
        <v>17</v>
      </c>
      <c r="G23" s="8">
        <f t="shared" si="5"/>
        <v>7</v>
      </c>
      <c r="H23" s="8">
        <v>1004</v>
      </c>
      <c r="I23" s="8">
        <v>1007</v>
      </c>
      <c r="J23" s="159">
        <f t="shared" si="6"/>
        <v>3</v>
      </c>
      <c r="K23" s="9">
        <v>10326</v>
      </c>
      <c r="L23" s="9">
        <v>11120</v>
      </c>
      <c r="M23" s="134">
        <f t="shared" si="7"/>
        <v>794</v>
      </c>
    </row>
    <row r="24" spans="1:13" x14ac:dyDescent="0.35">
      <c r="A24" s="2" t="s">
        <v>30</v>
      </c>
      <c r="B24" s="8">
        <f t="shared" si="0"/>
        <v>17</v>
      </c>
      <c r="C24" s="8">
        <f t="shared" si="1"/>
        <v>22</v>
      </c>
      <c r="D24" s="8">
        <f t="shared" si="2"/>
        <v>44</v>
      </c>
      <c r="E24" s="8">
        <f t="shared" si="3"/>
        <v>39</v>
      </c>
      <c r="F24" s="8">
        <f t="shared" si="4"/>
        <v>36</v>
      </c>
      <c r="G24" s="8">
        <f t="shared" si="5"/>
        <v>24</v>
      </c>
      <c r="H24" s="8">
        <v>1019</v>
      </c>
      <c r="I24" s="8">
        <v>1015</v>
      </c>
      <c r="J24" s="159">
        <f t="shared" si="6"/>
        <v>-4</v>
      </c>
      <c r="K24" s="9">
        <v>8874</v>
      </c>
      <c r="L24" s="9">
        <v>9248</v>
      </c>
      <c r="M24" s="134">
        <f t="shared" si="7"/>
        <v>374</v>
      </c>
    </row>
    <row r="25" spans="1:13" x14ac:dyDescent="0.35">
      <c r="A25" s="2" t="s">
        <v>32</v>
      </c>
      <c r="B25" s="8">
        <f t="shared" si="0"/>
        <v>24</v>
      </c>
      <c r="C25" s="8">
        <f t="shared" si="1"/>
        <v>24</v>
      </c>
      <c r="D25" s="8">
        <f t="shared" si="2"/>
        <v>34</v>
      </c>
      <c r="E25" s="8">
        <f t="shared" si="3"/>
        <v>31</v>
      </c>
      <c r="F25" s="8">
        <f t="shared" si="4"/>
        <v>27</v>
      </c>
      <c r="G25" s="8">
        <f t="shared" si="5"/>
        <v>11</v>
      </c>
      <c r="H25" s="8">
        <v>1013</v>
      </c>
      <c r="I25" s="8">
        <v>1014</v>
      </c>
      <c r="J25" s="159">
        <f t="shared" si="6"/>
        <v>1</v>
      </c>
      <c r="K25" s="9">
        <v>9346</v>
      </c>
      <c r="L25" s="9">
        <v>10010</v>
      </c>
      <c r="M25" s="134">
        <f t="shared" si="7"/>
        <v>664</v>
      </c>
    </row>
    <row r="26" spans="1:13" x14ac:dyDescent="0.35">
      <c r="A26" s="2" t="s">
        <v>33</v>
      </c>
      <c r="B26" s="8">
        <f t="shared" si="0"/>
        <v>10</v>
      </c>
      <c r="C26" s="8">
        <f t="shared" si="1"/>
        <v>11</v>
      </c>
      <c r="D26" s="8">
        <f t="shared" si="2"/>
        <v>31</v>
      </c>
      <c r="E26" s="8">
        <f t="shared" si="3"/>
        <v>25</v>
      </c>
      <c r="F26" s="8">
        <f t="shared" si="4"/>
        <v>24</v>
      </c>
      <c r="G26" s="8">
        <f t="shared" si="5"/>
        <v>21</v>
      </c>
      <c r="H26" s="8">
        <v>1025</v>
      </c>
      <c r="I26" s="8">
        <v>1027</v>
      </c>
      <c r="J26" s="159">
        <f t="shared" si="6"/>
        <v>2</v>
      </c>
      <c r="K26" s="9">
        <v>9857</v>
      </c>
      <c r="L26" s="9">
        <v>10261</v>
      </c>
      <c r="M26" s="134">
        <f t="shared" si="7"/>
        <v>404</v>
      </c>
    </row>
    <row r="27" spans="1:13" x14ac:dyDescent="0.35">
      <c r="A27" s="2" t="s">
        <v>34</v>
      </c>
      <c r="B27" s="8">
        <f t="shared" si="0"/>
        <v>27</v>
      </c>
      <c r="C27" s="8">
        <f t="shared" si="1"/>
        <v>20</v>
      </c>
      <c r="D27" s="8">
        <f t="shared" si="2"/>
        <v>16</v>
      </c>
      <c r="E27" s="8">
        <f t="shared" si="3"/>
        <v>42</v>
      </c>
      <c r="F27" s="8">
        <f t="shared" si="4"/>
        <v>41</v>
      </c>
      <c r="G27" s="8">
        <f t="shared" si="5"/>
        <v>29</v>
      </c>
      <c r="H27" s="8">
        <v>1011</v>
      </c>
      <c r="I27" s="8">
        <v>1017</v>
      </c>
      <c r="J27" s="159">
        <f t="shared" si="6"/>
        <v>6</v>
      </c>
      <c r="K27" s="9">
        <v>8522</v>
      </c>
      <c r="L27" s="9">
        <v>8836</v>
      </c>
      <c r="M27" s="134">
        <f t="shared" si="7"/>
        <v>314</v>
      </c>
    </row>
    <row r="28" spans="1:13" x14ac:dyDescent="0.35">
      <c r="A28" s="2" t="s">
        <v>35</v>
      </c>
      <c r="B28" s="8">
        <f t="shared" si="0"/>
        <v>49</v>
      </c>
      <c r="C28" s="8">
        <f t="shared" si="1"/>
        <v>49</v>
      </c>
      <c r="D28" s="8">
        <f t="shared" si="2"/>
        <v>8</v>
      </c>
      <c r="E28" s="8">
        <f t="shared" si="3"/>
        <v>21</v>
      </c>
      <c r="F28" s="8">
        <f t="shared" si="4"/>
        <v>22</v>
      </c>
      <c r="G28" s="8">
        <f t="shared" si="5"/>
        <v>14</v>
      </c>
      <c r="H28" s="8">
        <v>961</v>
      </c>
      <c r="I28" s="8">
        <v>969</v>
      </c>
      <c r="J28" s="159">
        <f t="shared" si="6"/>
        <v>8</v>
      </c>
      <c r="K28" s="9">
        <v>10082</v>
      </c>
      <c r="L28" s="9">
        <v>10684</v>
      </c>
      <c r="M28" s="134">
        <f t="shared" si="7"/>
        <v>602</v>
      </c>
    </row>
    <row r="29" spans="1:13" x14ac:dyDescent="0.35">
      <c r="A29" s="2" t="s">
        <v>36</v>
      </c>
      <c r="B29" s="8">
        <f t="shared" si="0"/>
        <v>14</v>
      </c>
      <c r="C29" s="8">
        <f t="shared" si="1"/>
        <v>15</v>
      </c>
      <c r="D29" s="8">
        <f t="shared" si="2"/>
        <v>28</v>
      </c>
      <c r="E29" s="8">
        <f t="shared" si="3"/>
        <v>12</v>
      </c>
      <c r="F29" s="8">
        <f t="shared" si="4"/>
        <v>15</v>
      </c>
      <c r="G29" s="8">
        <f t="shared" si="5"/>
        <v>42</v>
      </c>
      <c r="H29" s="8">
        <v>1022</v>
      </c>
      <c r="I29" s="8">
        <v>1025</v>
      </c>
      <c r="J29" s="159">
        <f t="shared" si="6"/>
        <v>3</v>
      </c>
      <c r="K29" s="9">
        <v>11898</v>
      </c>
      <c r="L29" s="9">
        <v>11977</v>
      </c>
      <c r="M29" s="134">
        <f t="shared" si="7"/>
        <v>79</v>
      </c>
    </row>
    <row r="30" spans="1:13" x14ac:dyDescent="0.35">
      <c r="A30" s="2" t="s">
        <v>37</v>
      </c>
      <c r="B30" s="8">
        <f t="shared" si="0"/>
        <v>10</v>
      </c>
      <c r="C30" s="8">
        <f t="shared" si="1"/>
        <v>5</v>
      </c>
      <c r="D30" s="8">
        <f t="shared" si="2"/>
        <v>1</v>
      </c>
      <c r="E30" s="8">
        <f t="shared" si="3"/>
        <v>10</v>
      </c>
      <c r="F30" s="8">
        <f t="shared" si="4"/>
        <v>10</v>
      </c>
      <c r="G30" s="8">
        <f t="shared" si="5"/>
        <v>16</v>
      </c>
      <c r="H30" s="8">
        <v>1025</v>
      </c>
      <c r="I30" s="8">
        <v>1037</v>
      </c>
      <c r="J30" s="159">
        <f t="shared" si="6"/>
        <v>12</v>
      </c>
      <c r="K30" s="9">
        <v>13142</v>
      </c>
      <c r="L30" s="9">
        <v>13706</v>
      </c>
      <c r="M30" s="134">
        <f t="shared" si="7"/>
        <v>564</v>
      </c>
    </row>
    <row r="31" spans="1:13" x14ac:dyDescent="0.35">
      <c r="A31" s="61" t="s">
        <v>38</v>
      </c>
      <c r="B31" s="8">
        <f t="shared" si="0"/>
        <v>1</v>
      </c>
      <c r="C31" s="8">
        <f t="shared" si="1"/>
        <v>1</v>
      </c>
      <c r="D31" s="8">
        <f t="shared" si="2"/>
        <v>19</v>
      </c>
      <c r="E31" s="8">
        <f t="shared" si="3"/>
        <v>9</v>
      </c>
      <c r="F31" s="8">
        <f t="shared" si="4"/>
        <v>9</v>
      </c>
      <c r="G31" s="8">
        <f t="shared" si="5"/>
        <v>3</v>
      </c>
      <c r="H31" s="8">
        <v>1059</v>
      </c>
      <c r="I31" s="8">
        <v>1064</v>
      </c>
      <c r="J31" s="159">
        <f t="shared" si="6"/>
        <v>5</v>
      </c>
      <c r="K31" s="63">
        <v>13586</v>
      </c>
      <c r="L31" s="9">
        <v>14478</v>
      </c>
      <c r="M31" s="134">
        <f t="shared" si="7"/>
        <v>892</v>
      </c>
    </row>
    <row r="32" spans="1:13" x14ac:dyDescent="0.35">
      <c r="A32" s="2" t="s">
        <v>39</v>
      </c>
      <c r="B32" s="8">
        <f t="shared" si="0"/>
        <v>35</v>
      </c>
      <c r="C32" s="8">
        <f t="shared" si="1"/>
        <v>34</v>
      </c>
      <c r="D32" s="8">
        <f t="shared" si="2"/>
        <v>16</v>
      </c>
      <c r="E32" s="8">
        <f t="shared" si="3"/>
        <v>24</v>
      </c>
      <c r="F32" s="8">
        <f t="shared" si="4"/>
        <v>25</v>
      </c>
      <c r="G32" s="8">
        <f t="shared" si="5"/>
        <v>31</v>
      </c>
      <c r="H32" s="8">
        <v>994</v>
      </c>
      <c r="I32" s="8">
        <v>1000</v>
      </c>
      <c r="J32" s="159">
        <f t="shared" si="6"/>
        <v>6</v>
      </c>
      <c r="K32" s="9">
        <v>9945</v>
      </c>
      <c r="L32" s="9">
        <v>10171</v>
      </c>
      <c r="M32" s="134">
        <f t="shared" si="7"/>
        <v>226</v>
      </c>
    </row>
    <row r="33" spans="1:13" x14ac:dyDescent="0.35">
      <c r="A33" s="2" t="s">
        <v>40</v>
      </c>
      <c r="B33" s="8">
        <f t="shared" si="0"/>
        <v>5</v>
      </c>
      <c r="C33" s="8">
        <f t="shared" si="1"/>
        <v>6</v>
      </c>
      <c r="D33" s="8">
        <f t="shared" si="2"/>
        <v>38</v>
      </c>
      <c r="E33" s="8">
        <f t="shared" si="3"/>
        <v>23</v>
      </c>
      <c r="F33" s="8">
        <f t="shared" si="4"/>
        <v>18</v>
      </c>
      <c r="G33" s="8">
        <f t="shared" si="5"/>
        <v>2</v>
      </c>
      <c r="H33" s="8">
        <v>1036</v>
      </c>
      <c r="I33" s="8">
        <v>1036</v>
      </c>
      <c r="J33" s="159">
        <f t="shared" si="6"/>
        <v>0</v>
      </c>
      <c r="K33" s="9">
        <v>10012</v>
      </c>
      <c r="L33" s="9">
        <v>11067</v>
      </c>
      <c r="M33" s="134">
        <f t="shared" si="7"/>
        <v>1055</v>
      </c>
    </row>
    <row r="34" spans="1:13" x14ac:dyDescent="0.35">
      <c r="A34" s="2" t="s">
        <v>41</v>
      </c>
      <c r="B34" s="8">
        <f t="shared" si="0"/>
        <v>50</v>
      </c>
      <c r="C34" s="8">
        <f t="shared" si="1"/>
        <v>50</v>
      </c>
      <c r="D34" s="8">
        <f t="shared" si="2"/>
        <v>8</v>
      </c>
      <c r="E34" s="8">
        <f t="shared" si="3"/>
        <v>47</v>
      </c>
      <c r="F34" s="8">
        <f t="shared" si="4"/>
        <v>47</v>
      </c>
      <c r="G34" s="8">
        <f t="shared" si="5"/>
        <v>37</v>
      </c>
      <c r="H34" s="8">
        <v>954</v>
      </c>
      <c r="I34" s="8">
        <v>962</v>
      </c>
      <c r="J34" s="159">
        <f t="shared" si="6"/>
        <v>8</v>
      </c>
      <c r="K34" s="9">
        <v>7875</v>
      </c>
      <c r="L34" s="9">
        <v>8028</v>
      </c>
      <c r="M34" s="134">
        <f t="shared" si="7"/>
        <v>153</v>
      </c>
    </row>
    <row r="35" spans="1:13" x14ac:dyDescent="0.35">
      <c r="A35" s="2" t="s">
        <v>42</v>
      </c>
      <c r="B35" s="8">
        <f t="shared" si="0"/>
        <v>20</v>
      </c>
      <c r="C35" s="8">
        <f t="shared" si="1"/>
        <v>30</v>
      </c>
      <c r="D35" s="8">
        <f t="shared" si="2"/>
        <v>51</v>
      </c>
      <c r="E35" s="8">
        <f t="shared" si="3"/>
        <v>30</v>
      </c>
      <c r="F35" s="8">
        <f t="shared" si="4"/>
        <v>28</v>
      </c>
      <c r="G35" s="8">
        <f t="shared" si="5"/>
        <v>23</v>
      </c>
      <c r="H35" s="8">
        <v>1018</v>
      </c>
      <c r="I35" s="8">
        <v>1009</v>
      </c>
      <c r="J35" s="159">
        <f t="shared" si="6"/>
        <v>-9</v>
      </c>
      <c r="K35" s="9">
        <v>9480</v>
      </c>
      <c r="L35" s="9">
        <v>9868</v>
      </c>
      <c r="M35" s="134">
        <f t="shared" si="7"/>
        <v>388</v>
      </c>
    </row>
    <row r="36" spans="1:13" x14ac:dyDescent="0.35">
      <c r="A36" s="2" t="s">
        <v>43</v>
      </c>
      <c r="B36" s="8">
        <f t="shared" si="0"/>
        <v>8</v>
      </c>
      <c r="C36" s="8">
        <f t="shared" si="1"/>
        <v>7</v>
      </c>
      <c r="D36" s="8">
        <f t="shared" si="2"/>
        <v>23</v>
      </c>
      <c r="E36" s="8">
        <f t="shared" si="3"/>
        <v>27</v>
      </c>
      <c r="F36" s="8">
        <f t="shared" si="4"/>
        <v>26</v>
      </c>
      <c r="G36" s="8">
        <f t="shared" si="5"/>
        <v>22</v>
      </c>
      <c r="H36" s="8">
        <v>1031</v>
      </c>
      <c r="I36" s="8">
        <v>1035</v>
      </c>
      <c r="J36" s="159">
        <f t="shared" si="6"/>
        <v>4</v>
      </c>
      <c r="K36" s="9">
        <v>9695</v>
      </c>
      <c r="L36" s="9">
        <v>10092</v>
      </c>
      <c r="M36" s="134">
        <f t="shared" si="7"/>
        <v>397</v>
      </c>
    </row>
    <row r="37" spans="1:13" x14ac:dyDescent="0.35">
      <c r="A37" s="2" t="s">
        <v>44</v>
      </c>
      <c r="B37" s="8">
        <f t="shared" si="0"/>
        <v>24</v>
      </c>
      <c r="C37" s="8">
        <f t="shared" si="1"/>
        <v>24</v>
      </c>
      <c r="D37" s="8">
        <f t="shared" si="2"/>
        <v>34</v>
      </c>
      <c r="E37" s="8">
        <f t="shared" si="3"/>
        <v>18</v>
      </c>
      <c r="F37" s="8">
        <f t="shared" si="4"/>
        <v>20</v>
      </c>
      <c r="G37" s="8">
        <f t="shared" si="5"/>
        <v>30</v>
      </c>
      <c r="H37" s="8">
        <v>1013</v>
      </c>
      <c r="I37" s="8">
        <v>1014</v>
      </c>
      <c r="J37" s="159">
        <f t="shared" si="6"/>
        <v>1</v>
      </c>
      <c r="K37" s="9">
        <v>10583</v>
      </c>
      <c r="L37" s="9">
        <v>10860</v>
      </c>
      <c r="M37" s="134">
        <f t="shared" si="7"/>
        <v>277</v>
      </c>
    </row>
    <row r="38" spans="1:13" x14ac:dyDescent="0.35">
      <c r="A38" s="2" t="s">
        <v>45</v>
      </c>
      <c r="B38" s="8">
        <f t="shared" si="0"/>
        <v>44</v>
      </c>
      <c r="C38" s="8">
        <f t="shared" si="1"/>
        <v>42</v>
      </c>
      <c r="D38" s="8">
        <f t="shared" si="2"/>
        <v>1</v>
      </c>
      <c r="E38" s="8">
        <f t="shared" si="3"/>
        <v>44</v>
      </c>
      <c r="F38" s="8">
        <f t="shared" si="4"/>
        <v>45</v>
      </c>
      <c r="G38" s="8">
        <f t="shared" si="5"/>
        <v>41</v>
      </c>
      <c r="H38" s="8">
        <v>974</v>
      </c>
      <c r="I38" s="8">
        <v>986</v>
      </c>
      <c r="J38" s="159">
        <f t="shared" si="6"/>
        <v>12</v>
      </c>
      <c r="K38" s="9">
        <v>8285</v>
      </c>
      <c r="L38" s="9">
        <v>8398</v>
      </c>
      <c r="M38" s="134">
        <f t="shared" si="7"/>
        <v>113</v>
      </c>
    </row>
    <row r="39" spans="1:13" x14ac:dyDescent="0.35">
      <c r="A39" s="2" t="s">
        <v>46</v>
      </c>
      <c r="B39" s="8">
        <f t="shared" si="0"/>
        <v>2</v>
      </c>
      <c r="C39" s="8">
        <f t="shared" si="1"/>
        <v>3</v>
      </c>
      <c r="D39" s="8">
        <f t="shared" si="2"/>
        <v>28</v>
      </c>
      <c r="E39" s="8">
        <f t="shared" si="3"/>
        <v>13</v>
      </c>
      <c r="F39" s="8">
        <f t="shared" si="4"/>
        <v>11</v>
      </c>
      <c r="G39" s="8">
        <f t="shared" si="5"/>
        <v>13</v>
      </c>
      <c r="H39" s="8">
        <v>1043</v>
      </c>
      <c r="I39" s="8">
        <v>1046</v>
      </c>
      <c r="J39" s="159">
        <f t="shared" si="6"/>
        <v>3</v>
      </c>
      <c r="K39" s="9">
        <v>11787</v>
      </c>
      <c r="L39" s="9">
        <v>12405</v>
      </c>
      <c r="M39" s="134">
        <f t="shared" si="7"/>
        <v>618</v>
      </c>
    </row>
    <row r="40" spans="1:13" x14ac:dyDescent="0.35">
      <c r="A40" s="2" t="s">
        <v>47</v>
      </c>
      <c r="B40" s="8">
        <f t="shared" si="0"/>
        <v>3</v>
      </c>
      <c r="C40" s="8">
        <f t="shared" si="1"/>
        <v>2</v>
      </c>
      <c r="D40" s="8">
        <f t="shared" si="2"/>
        <v>16</v>
      </c>
      <c r="E40" s="8">
        <f t="shared" si="3"/>
        <v>2</v>
      </c>
      <c r="F40" s="8">
        <f t="shared" si="4"/>
        <v>3</v>
      </c>
      <c r="G40" s="8">
        <f t="shared" si="5"/>
        <v>51</v>
      </c>
      <c r="H40" s="8">
        <v>1042</v>
      </c>
      <c r="I40" s="8">
        <v>1048</v>
      </c>
      <c r="J40" s="159">
        <f t="shared" si="6"/>
        <v>6</v>
      </c>
      <c r="K40" s="9">
        <v>17537</v>
      </c>
      <c r="L40" s="9">
        <v>17064</v>
      </c>
      <c r="M40" s="134">
        <f t="shared" si="7"/>
        <v>-473</v>
      </c>
    </row>
    <row r="41" spans="1:13" x14ac:dyDescent="0.35">
      <c r="A41" s="2" t="s">
        <v>48</v>
      </c>
      <c r="B41" s="8">
        <f t="shared" si="0"/>
        <v>48</v>
      </c>
      <c r="C41" s="8">
        <f t="shared" si="1"/>
        <v>48</v>
      </c>
      <c r="D41" s="8">
        <f t="shared" si="2"/>
        <v>7</v>
      </c>
      <c r="E41" s="8">
        <f t="shared" si="3"/>
        <v>32</v>
      </c>
      <c r="F41" s="8">
        <f t="shared" si="4"/>
        <v>32</v>
      </c>
      <c r="G41" s="8">
        <f t="shared" si="5"/>
        <v>25</v>
      </c>
      <c r="H41" s="8">
        <v>962</v>
      </c>
      <c r="I41" s="8">
        <v>971</v>
      </c>
      <c r="J41" s="159">
        <f t="shared" si="6"/>
        <v>9</v>
      </c>
      <c r="K41" s="9">
        <v>9314</v>
      </c>
      <c r="L41" s="9">
        <v>9683</v>
      </c>
      <c r="M41" s="134">
        <f t="shared" si="7"/>
        <v>369</v>
      </c>
    </row>
    <row r="42" spans="1:13" x14ac:dyDescent="0.35">
      <c r="A42" s="61" t="s">
        <v>49</v>
      </c>
      <c r="B42" s="8">
        <f t="shared" ref="B42:B60" si="8">RANK(H42,H$10:H$60)</f>
        <v>26</v>
      </c>
      <c r="C42" s="8">
        <f t="shared" ref="C42:C60" si="9">RANK(I42,I$10:I$60)</f>
        <v>32</v>
      </c>
      <c r="D42" s="8">
        <f t="shared" ref="D42:D60" si="10">RANK(J42,J$10:J$60)</f>
        <v>48</v>
      </c>
      <c r="E42" s="8">
        <f t="shared" ref="E42:E60" si="11">RANK(K42,K$10:K$60)</f>
        <v>3</v>
      </c>
      <c r="F42" s="8">
        <f t="shared" ref="F42:F60" si="12">RANK(L42,L$10:L$60)</f>
        <v>1</v>
      </c>
      <c r="G42" s="8">
        <f t="shared" ref="G42:G60" si="13">RANK(M42,M$10:M$60)</f>
        <v>1</v>
      </c>
      <c r="H42" s="8">
        <v>1012</v>
      </c>
      <c r="I42" s="8">
        <v>1006</v>
      </c>
      <c r="J42" s="158">
        <f t="shared" ref="J42:J60" si="14">I42-H42</f>
        <v>-6</v>
      </c>
      <c r="K42" s="63">
        <v>16529</v>
      </c>
      <c r="L42" s="63">
        <v>17586</v>
      </c>
      <c r="M42" s="135">
        <f t="shared" ref="M42:M60" si="15">L42-K42</f>
        <v>1057</v>
      </c>
    </row>
    <row r="43" spans="1:13" x14ac:dyDescent="0.35">
      <c r="A43" s="2" t="s">
        <v>50</v>
      </c>
      <c r="B43" s="8">
        <f t="shared" si="8"/>
        <v>30</v>
      </c>
      <c r="C43" s="8">
        <f t="shared" si="9"/>
        <v>22</v>
      </c>
      <c r="D43" s="8">
        <f t="shared" si="10"/>
        <v>8</v>
      </c>
      <c r="E43" s="8">
        <f t="shared" si="11"/>
        <v>45</v>
      </c>
      <c r="F43" s="8">
        <f t="shared" si="12"/>
        <v>44</v>
      </c>
      <c r="G43" s="8">
        <f t="shared" si="13"/>
        <v>18</v>
      </c>
      <c r="H43" s="8">
        <v>1007</v>
      </c>
      <c r="I43" s="8">
        <v>1015</v>
      </c>
      <c r="J43" s="159">
        <f t="shared" si="14"/>
        <v>8</v>
      </c>
      <c r="K43" s="9">
        <v>8041</v>
      </c>
      <c r="L43" s="9">
        <v>8468</v>
      </c>
      <c r="M43" s="134">
        <f t="shared" si="15"/>
        <v>427</v>
      </c>
    </row>
    <row r="44" spans="1:13" x14ac:dyDescent="0.35">
      <c r="A44" s="2" t="s">
        <v>51</v>
      </c>
      <c r="B44" s="8">
        <f t="shared" si="8"/>
        <v>7</v>
      </c>
      <c r="C44" s="8">
        <f t="shared" si="9"/>
        <v>8</v>
      </c>
      <c r="D44" s="8">
        <f t="shared" si="10"/>
        <v>42</v>
      </c>
      <c r="E44" s="8">
        <f t="shared" si="11"/>
        <v>36</v>
      </c>
      <c r="F44" s="8">
        <f t="shared" si="12"/>
        <v>30</v>
      </c>
      <c r="G44" s="8">
        <f t="shared" si="13"/>
        <v>15</v>
      </c>
      <c r="H44" s="8">
        <v>1033</v>
      </c>
      <c r="I44" s="8">
        <v>1032</v>
      </c>
      <c r="J44" s="159">
        <f t="shared" si="14"/>
        <v>-1</v>
      </c>
      <c r="K44" s="9">
        <v>9168</v>
      </c>
      <c r="L44" s="9">
        <v>9767</v>
      </c>
      <c r="M44" s="134">
        <f t="shared" si="15"/>
        <v>599</v>
      </c>
    </row>
    <row r="45" spans="1:13" x14ac:dyDescent="0.35">
      <c r="A45" s="2" t="s">
        <v>52</v>
      </c>
      <c r="B45" s="8">
        <f t="shared" si="8"/>
        <v>13</v>
      </c>
      <c r="C45" s="8">
        <f t="shared" si="9"/>
        <v>15</v>
      </c>
      <c r="D45" s="8">
        <f t="shared" si="10"/>
        <v>34</v>
      </c>
      <c r="E45" s="8">
        <f t="shared" si="11"/>
        <v>20</v>
      </c>
      <c r="F45" s="8">
        <f t="shared" si="12"/>
        <v>23</v>
      </c>
      <c r="G45" s="8">
        <f t="shared" si="13"/>
        <v>27</v>
      </c>
      <c r="H45" s="8">
        <v>1024</v>
      </c>
      <c r="I45" s="8">
        <v>1025</v>
      </c>
      <c r="J45" s="159">
        <f t="shared" si="14"/>
        <v>1</v>
      </c>
      <c r="K45" s="9">
        <v>10289</v>
      </c>
      <c r="L45" s="9">
        <v>10616</v>
      </c>
      <c r="M45" s="134">
        <f t="shared" si="15"/>
        <v>327</v>
      </c>
    </row>
    <row r="46" spans="1:13" x14ac:dyDescent="0.35">
      <c r="A46" s="61" t="s">
        <v>53</v>
      </c>
      <c r="B46" s="8">
        <f t="shared" si="8"/>
        <v>38</v>
      </c>
      <c r="C46" s="8">
        <f t="shared" si="9"/>
        <v>39</v>
      </c>
      <c r="D46" s="8">
        <f t="shared" si="10"/>
        <v>31</v>
      </c>
      <c r="E46" s="8">
        <f t="shared" si="11"/>
        <v>48</v>
      </c>
      <c r="F46" s="8">
        <f t="shared" si="12"/>
        <v>49</v>
      </c>
      <c r="G46" s="8">
        <f t="shared" si="13"/>
        <v>35</v>
      </c>
      <c r="H46" s="8">
        <v>989</v>
      </c>
      <c r="I46" s="8">
        <v>991</v>
      </c>
      <c r="J46" s="159">
        <f t="shared" si="14"/>
        <v>2</v>
      </c>
      <c r="K46" s="63">
        <v>7715</v>
      </c>
      <c r="L46" s="63">
        <v>7915</v>
      </c>
      <c r="M46" s="134">
        <f t="shared" si="15"/>
        <v>200</v>
      </c>
    </row>
    <row r="47" spans="1:13" x14ac:dyDescent="0.35">
      <c r="A47" s="2" t="s">
        <v>54</v>
      </c>
      <c r="B47" s="8">
        <f t="shared" si="8"/>
        <v>31</v>
      </c>
      <c r="C47" s="8">
        <f t="shared" si="9"/>
        <v>34</v>
      </c>
      <c r="D47" s="8">
        <f t="shared" si="10"/>
        <v>48</v>
      </c>
      <c r="E47" s="8">
        <f t="shared" si="11"/>
        <v>28</v>
      </c>
      <c r="F47" s="8">
        <f t="shared" si="12"/>
        <v>29</v>
      </c>
      <c r="G47" s="8">
        <f t="shared" si="13"/>
        <v>36</v>
      </c>
      <c r="H47" s="8">
        <v>1006</v>
      </c>
      <c r="I47" s="8">
        <v>1000</v>
      </c>
      <c r="J47" s="159">
        <f t="shared" si="14"/>
        <v>-6</v>
      </c>
      <c r="K47" s="9">
        <v>9615</v>
      </c>
      <c r="L47" s="9">
        <v>9777</v>
      </c>
      <c r="M47" s="134">
        <f t="shared" si="15"/>
        <v>162</v>
      </c>
    </row>
    <row r="48" spans="1:13" x14ac:dyDescent="0.35">
      <c r="A48" s="2" t="s">
        <v>55</v>
      </c>
      <c r="B48" s="8">
        <f t="shared" si="8"/>
        <v>9</v>
      </c>
      <c r="C48" s="8">
        <f t="shared" si="9"/>
        <v>11</v>
      </c>
      <c r="D48" s="8">
        <f t="shared" si="10"/>
        <v>38</v>
      </c>
      <c r="E48" s="8">
        <f t="shared" si="11"/>
        <v>15</v>
      </c>
      <c r="F48" s="8">
        <f t="shared" si="12"/>
        <v>14</v>
      </c>
      <c r="G48" s="8">
        <f t="shared" si="13"/>
        <v>6</v>
      </c>
      <c r="H48" s="8">
        <v>1027</v>
      </c>
      <c r="I48" s="8">
        <v>1027</v>
      </c>
      <c r="J48" s="159">
        <f t="shared" si="14"/>
        <v>0</v>
      </c>
      <c r="K48" s="9">
        <v>11307</v>
      </c>
      <c r="L48" s="9">
        <v>12115</v>
      </c>
      <c r="M48" s="134">
        <f t="shared" si="15"/>
        <v>808</v>
      </c>
    </row>
    <row r="49" spans="1:13" x14ac:dyDescent="0.35">
      <c r="A49" s="61" t="s">
        <v>56</v>
      </c>
      <c r="B49" s="8">
        <f t="shared" si="8"/>
        <v>34</v>
      </c>
      <c r="C49" s="8">
        <f t="shared" si="9"/>
        <v>28</v>
      </c>
      <c r="D49" s="8">
        <f t="shared" si="10"/>
        <v>1</v>
      </c>
      <c r="E49" s="8">
        <f t="shared" si="11"/>
        <v>7</v>
      </c>
      <c r="F49" s="8">
        <f t="shared" si="12"/>
        <v>8</v>
      </c>
      <c r="G49" s="8">
        <f t="shared" si="13"/>
        <v>20</v>
      </c>
      <c r="H49" s="8">
        <v>1000</v>
      </c>
      <c r="I49" s="8">
        <v>1012</v>
      </c>
      <c r="J49" s="158">
        <f t="shared" si="14"/>
        <v>12</v>
      </c>
      <c r="K49" s="63">
        <v>14079</v>
      </c>
      <c r="L49" s="63">
        <v>14491</v>
      </c>
      <c r="M49" s="135">
        <f t="shared" si="15"/>
        <v>412</v>
      </c>
    </row>
    <row r="50" spans="1:13" x14ac:dyDescent="0.35">
      <c r="A50" s="2" t="s">
        <v>57</v>
      </c>
      <c r="B50" s="8">
        <f t="shared" si="8"/>
        <v>38</v>
      </c>
      <c r="C50" s="8">
        <f t="shared" si="9"/>
        <v>37</v>
      </c>
      <c r="D50" s="8">
        <f t="shared" si="10"/>
        <v>23</v>
      </c>
      <c r="E50" s="8">
        <f t="shared" si="11"/>
        <v>35</v>
      </c>
      <c r="F50" s="8">
        <f t="shared" si="12"/>
        <v>35</v>
      </c>
      <c r="G50" s="8">
        <f t="shared" si="13"/>
        <v>39</v>
      </c>
      <c r="H50" s="8">
        <v>989</v>
      </c>
      <c r="I50" s="8">
        <v>993</v>
      </c>
      <c r="J50" s="159">
        <f t="shared" si="14"/>
        <v>4</v>
      </c>
      <c r="K50" s="9">
        <v>9178</v>
      </c>
      <c r="L50" s="9">
        <v>9303</v>
      </c>
      <c r="M50" s="134">
        <f t="shared" si="15"/>
        <v>125</v>
      </c>
    </row>
    <row r="51" spans="1:13" x14ac:dyDescent="0.35">
      <c r="A51" s="2" t="s">
        <v>58</v>
      </c>
      <c r="B51" s="8">
        <f t="shared" si="8"/>
        <v>10</v>
      </c>
      <c r="C51" s="8">
        <f t="shared" si="9"/>
        <v>18</v>
      </c>
      <c r="D51" s="8">
        <f t="shared" si="10"/>
        <v>44</v>
      </c>
      <c r="E51" s="8">
        <f t="shared" si="11"/>
        <v>41</v>
      </c>
      <c r="F51" s="8">
        <f t="shared" si="12"/>
        <v>39</v>
      </c>
      <c r="G51" s="8">
        <f t="shared" si="13"/>
        <v>28</v>
      </c>
      <c r="H51" s="8">
        <v>1025</v>
      </c>
      <c r="I51" s="8">
        <v>1021</v>
      </c>
      <c r="J51" s="159">
        <f t="shared" si="14"/>
        <v>-4</v>
      </c>
      <c r="K51" s="9">
        <v>8566</v>
      </c>
      <c r="L51" s="9">
        <v>8881</v>
      </c>
      <c r="M51" s="134">
        <f t="shared" si="15"/>
        <v>315</v>
      </c>
    </row>
    <row r="52" spans="1:13" x14ac:dyDescent="0.35">
      <c r="A52" s="2" t="s">
        <v>59</v>
      </c>
      <c r="B52" s="8">
        <f t="shared" si="8"/>
        <v>41</v>
      </c>
      <c r="C52" s="8">
        <f t="shared" si="9"/>
        <v>44</v>
      </c>
      <c r="D52" s="8">
        <f t="shared" si="10"/>
        <v>44</v>
      </c>
      <c r="E52" s="8">
        <f t="shared" si="11"/>
        <v>49</v>
      </c>
      <c r="F52" s="8">
        <f t="shared" si="12"/>
        <v>46</v>
      </c>
      <c r="G52" s="8">
        <f t="shared" si="13"/>
        <v>26</v>
      </c>
      <c r="H52" s="8">
        <v>985</v>
      </c>
      <c r="I52" s="8">
        <v>981</v>
      </c>
      <c r="J52" s="159">
        <f t="shared" si="14"/>
        <v>-4</v>
      </c>
      <c r="K52" s="9">
        <v>7707</v>
      </c>
      <c r="L52" s="9">
        <v>8055</v>
      </c>
      <c r="M52" s="134">
        <f t="shared" si="15"/>
        <v>348</v>
      </c>
    </row>
    <row r="53" spans="1:13" x14ac:dyDescent="0.35">
      <c r="A53" s="2" t="s">
        <v>60</v>
      </c>
      <c r="B53" s="8">
        <f t="shared" si="8"/>
        <v>31</v>
      </c>
      <c r="C53" s="8">
        <f t="shared" si="9"/>
        <v>29</v>
      </c>
      <c r="D53" s="8">
        <f t="shared" si="10"/>
        <v>23</v>
      </c>
      <c r="E53" s="8">
        <f t="shared" si="11"/>
        <v>43</v>
      </c>
      <c r="F53" s="8">
        <f t="shared" si="12"/>
        <v>43</v>
      </c>
      <c r="G53" s="8">
        <f t="shared" si="13"/>
        <v>33</v>
      </c>
      <c r="H53" s="8">
        <v>1006</v>
      </c>
      <c r="I53" s="8">
        <v>1010</v>
      </c>
      <c r="J53" s="159">
        <f t="shared" si="14"/>
        <v>4</v>
      </c>
      <c r="K53" s="9">
        <v>8486</v>
      </c>
      <c r="L53" s="9">
        <v>8703</v>
      </c>
      <c r="M53" s="134">
        <f t="shared" si="15"/>
        <v>217</v>
      </c>
    </row>
    <row r="54" spans="1:13" x14ac:dyDescent="0.35">
      <c r="A54" s="61" t="s">
        <v>61</v>
      </c>
      <c r="B54" s="8">
        <f t="shared" si="8"/>
        <v>29</v>
      </c>
      <c r="C54" s="8">
        <f t="shared" si="9"/>
        <v>27</v>
      </c>
      <c r="D54" s="8">
        <f t="shared" si="10"/>
        <v>23</v>
      </c>
      <c r="E54" s="8">
        <f t="shared" si="11"/>
        <v>51</v>
      </c>
      <c r="F54" s="8">
        <f t="shared" si="12"/>
        <v>51</v>
      </c>
      <c r="G54" s="8">
        <f t="shared" si="13"/>
        <v>47</v>
      </c>
      <c r="H54" s="8">
        <v>1009</v>
      </c>
      <c r="I54" s="8">
        <v>1013</v>
      </c>
      <c r="J54" s="159">
        <f t="shared" si="14"/>
        <v>4</v>
      </c>
      <c r="K54" s="63">
        <v>6579</v>
      </c>
      <c r="L54" s="63">
        <v>6314</v>
      </c>
      <c r="M54" s="134">
        <f t="shared" si="15"/>
        <v>-265</v>
      </c>
    </row>
    <row r="55" spans="1:13" x14ac:dyDescent="0.35">
      <c r="A55" s="2" t="s">
        <v>62</v>
      </c>
      <c r="B55" s="8">
        <f t="shared" si="8"/>
        <v>3</v>
      </c>
      <c r="C55" s="8">
        <f t="shared" si="9"/>
        <v>4</v>
      </c>
      <c r="D55" s="8">
        <f t="shared" si="10"/>
        <v>38</v>
      </c>
      <c r="E55" s="8">
        <f t="shared" si="11"/>
        <v>6</v>
      </c>
      <c r="F55" s="8">
        <f t="shared" si="12"/>
        <v>6</v>
      </c>
      <c r="G55" s="8">
        <f t="shared" si="13"/>
        <v>5</v>
      </c>
      <c r="H55" s="8">
        <v>1042</v>
      </c>
      <c r="I55" s="8">
        <v>1042</v>
      </c>
      <c r="J55" s="159">
        <f t="shared" si="14"/>
        <v>0</v>
      </c>
      <c r="K55" s="9">
        <v>14215</v>
      </c>
      <c r="L55" s="9">
        <v>15029</v>
      </c>
      <c r="M55" s="134">
        <f t="shared" si="15"/>
        <v>814</v>
      </c>
    </row>
    <row r="56" spans="1:13" x14ac:dyDescent="0.35">
      <c r="A56" s="2" t="s">
        <v>63</v>
      </c>
      <c r="B56" s="8">
        <f t="shared" si="8"/>
        <v>14</v>
      </c>
      <c r="C56" s="8">
        <f t="shared" si="9"/>
        <v>11</v>
      </c>
      <c r="D56" s="8">
        <f t="shared" si="10"/>
        <v>19</v>
      </c>
      <c r="E56" s="8">
        <f t="shared" si="11"/>
        <v>16</v>
      </c>
      <c r="F56" s="8">
        <f t="shared" si="12"/>
        <v>19</v>
      </c>
      <c r="G56" s="8">
        <f t="shared" si="13"/>
        <v>32</v>
      </c>
      <c r="H56" s="8">
        <v>1022</v>
      </c>
      <c r="I56" s="8">
        <v>1027</v>
      </c>
      <c r="J56" s="159">
        <f t="shared" si="14"/>
        <v>5</v>
      </c>
      <c r="K56" s="9">
        <v>10754</v>
      </c>
      <c r="L56" s="9">
        <v>10972</v>
      </c>
      <c r="M56" s="134">
        <f t="shared" si="15"/>
        <v>218</v>
      </c>
    </row>
    <row r="57" spans="1:13" x14ac:dyDescent="0.35">
      <c r="A57" s="2" t="s">
        <v>64</v>
      </c>
      <c r="B57" s="8">
        <f t="shared" si="8"/>
        <v>17</v>
      </c>
      <c r="C57" s="8">
        <f t="shared" si="9"/>
        <v>19</v>
      </c>
      <c r="D57" s="8">
        <f t="shared" si="10"/>
        <v>34</v>
      </c>
      <c r="E57" s="8">
        <f t="shared" si="11"/>
        <v>37</v>
      </c>
      <c r="F57" s="8">
        <f t="shared" si="12"/>
        <v>33</v>
      </c>
      <c r="G57" s="8">
        <f t="shared" si="13"/>
        <v>17</v>
      </c>
      <c r="H57" s="8">
        <v>1019</v>
      </c>
      <c r="I57" s="8">
        <v>1020</v>
      </c>
      <c r="J57" s="159">
        <f t="shared" si="14"/>
        <v>1</v>
      </c>
      <c r="K57" s="9">
        <v>9088</v>
      </c>
      <c r="L57" s="9">
        <v>9648</v>
      </c>
      <c r="M57" s="134">
        <f t="shared" si="15"/>
        <v>560</v>
      </c>
    </row>
    <row r="58" spans="1:13" x14ac:dyDescent="0.35">
      <c r="A58" s="2" t="s">
        <v>65</v>
      </c>
      <c r="B58" s="8">
        <f t="shared" si="8"/>
        <v>45</v>
      </c>
      <c r="C58" s="8">
        <f t="shared" si="9"/>
        <v>45</v>
      </c>
      <c r="D58" s="8">
        <f t="shared" si="10"/>
        <v>19</v>
      </c>
      <c r="E58" s="8">
        <f t="shared" si="11"/>
        <v>22</v>
      </c>
      <c r="F58" s="8">
        <f t="shared" si="12"/>
        <v>21</v>
      </c>
      <c r="G58" s="8">
        <f t="shared" si="13"/>
        <v>9</v>
      </c>
      <c r="H58" s="8">
        <v>973</v>
      </c>
      <c r="I58" s="8">
        <v>978</v>
      </c>
      <c r="J58" s="159">
        <f t="shared" si="14"/>
        <v>5</v>
      </c>
      <c r="K58" s="9">
        <v>10080</v>
      </c>
      <c r="L58" s="9">
        <v>10828</v>
      </c>
      <c r="M58" s="134">
        <f t="shared" si="15"/>
        <v>748</v>
      </c>
    </row>
    <row r="59" spans="1:13" x14ac:dyDescent="0.35">
      <c r="A59" s="2" t="s">
        <v>66</v>
      </c>
      <c r="B59" s="8">
        <f t="shared" si="8"/>
        <v>20</v>
      </c>
      <c r="C59" s="8">
        <f t="shared" si="9"/>
        <v>17</v>
      </c>
      <c r="D59" s="8">
        <f t="shared" si="10"/>
        <v>23</v>
      </c>
      <c r="E59" s="8">
        <f t="shared" si="11"/>
        <v>17</v>
      </c>
      <c r="F59" s="8">
        <f t="shared" si="12"/>
        <v>16</v>
      </c>
      <c r="G59" s="8">
        <f t="shared" si="13"/>
        <v>19</v>
      </c>
      <c r="H59" s="8">
        <v>1018</v>
      </c>
      <c r="I59" s="8">
        <v>1022</v>
      </c>
      <c r="J59" s="159">
        <f t="shared" si="14"/>
        <v>4</v>
      </c>
      <c r="K59" s="9">
        <v>10752</v>
      </c>
      <c r="L59" s="9">
        <v>11171</v>
      </c>
      <c r="M59" s="134">
        <f t="shared" si="15"/>
        <v>419</v>
      </c>
    </row>
    <row r="60" spans="1:13" x14ac:dyDescent="0.35">
      <c r="A60" s="61" t="s">
        <v>67</v>
      </c>
      <c r="B60" s="8">
        <f t="shared" si="8"/>
        <v>17</v>
      </c>
      <c r="C60" s="8">
        <f t="shared" si="9"/>
        <v>14</v>
      </c>
      <c r="D60" s="8">
        <f t="shared" si="10"/>
        <v>14</v>
      </c>
      <c r="E60" s="8">
        <f t="shared" si="11"/>
        <v>8</v>
      </c>
      <c r="F60" s="8">
        <f t="shared" si="12"/>
        <v>7</v>
      </c>
      <c r="G60" s="8">
        <f t="shared" si="13"/>
        <v>10</v>
      </c>
      <c r="H60" s="8">
        <v>1019</v>
      </c>
      <c r="I60" s="8">
        <v>1026</v>
      </c>
      <c r="J60" s="158">
        <f t="shared" si="14"/>
        <v>7</v>
      </c>
      <c r="K60" s="63">
        <v>14058</v>
      </c>
      <c r="L60" s="63">
        <v>14747</v>
      </c>
      <c r="M60" s="135">
        <f t="shared" si="15"/>
        <v>689</v>
      </c>
    </row>
    <row r="61" spans="1:13" x14ac:dyDescent="0.35">
      <c r="A61" s="61" t="s">
        <v>125</v>
      </c>
      <c r="H61" s="62">
        <f t="shared" ref="H61:I61" si="16">AVERAGE(H10:H60)</f>
        <v>1005.4509803921569</v>
      </c>
      <c r="I61" s="62">
        <f t="shared" si="16"/>
        <v>1008.8039215686274</v>
      </c>
      <c r="J61" s="62">
        <f t="shared" ref="J61" si="17">AVERAGE(J10:J60)</f>
        <v>3.3529411764705883</v>
      </c>
      <c r="K61" s="126">
        <f t="shared" ref="K61:M61" si="18">AVERAGE(K10:K60)</f>
        <v>10538.784313725489</v>
      </c>
      <c r="L61" s="48">
        <f t="shared" si="18"/>
        <v>10877.705882352941</v>
      </c>
      <c r="M61" s="135">
        <f t="shared" si="18"/>
        <v>338.92156862745099</v>
      </c>
    </row>
    <row r="62" spans="1:13" x14ac:dyDescent="0.35">
      <c r="A62" s="2" t="s">
        <v>126</v>
      </c>
      <c r="H62" s="62">
        <f t="shared" ref="H62:I62" si="19">MAX(H10:H60)-MIN(H10:H60)</f>
        <v>142</v>
      </c>
      <c r="I62" s="62">
        <f t="shared" si="19"/>
        <v>139</v>
      </c>
      <c r="J62" s="62">
        <f t="shared" ref="J62" si="20">MAX(J10:J60)-MIN(J10:J60)</f>
        <v>21</v>
      </c>
      <c r="K62" s="48">
        <f t="shared" ref="K62:M62" si="21">MAX(K10:K60)-MIN(K10:K60)</f>
        <v>11024</v>
      </c>
      <c r="L62" s="48">
        <f t="shared" si="21"/>
        <v>11272</v>
      </c>
      <c r="M62" s="135">
        <f t="shared" si="21"/>
        <v>1530</v>
      </c>
    </row>
    <row r="63" spans="1:13" x14ac:dyDescent="0.35">
      <c r="A63" s="61" t="s">
        <v>127</v>
      </c>
      <c r="H63" s="70">
        <f t="shared" ref="H63:I63" si="22">_xlfn.STDEV.P(H10:H60)</f>
        <v>27.024544925874252</v>
      </c>
      <c r="I63" s="70">
        <f t="shared" si="22"/>
        <v>25.250136561729828</v>
      </c>
      <c r="J63" s="70">
        <f t="shared" ref="J63" si="23">_xlfn.STDEV.P(J10:J60)</f>
        <v>5.1935991125266714</v>
      </c>
      <c r="K63" s="71">
        <f t="shared" ref="K63:M63" si="24">_xlfn.STDEV.P(K10:K60)</f>
        <v>2566.8871994413589</v>
      </c>
      <c r="L63" s="71">
        <f t="shared" si="24"/>
        <v>2674.0229976434725</v>
      </c>
      <c r="M63" s="135">
        <f t="shared" si="24"/>
        <v>365.43381918134094</v>
      </c>
    </row>
  </sheetData>
  <phoneticPr fontId="12" type="noConversion"/>
  <pageMargins left="0.75" right="0.75" top="1" bottom="1" header="0.5" footer="0.5"/>
  <pageSetup scale="73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3"/>
  <sheetViews>
    <sheetView topLeftCell="A7" workbookViewId="0">
      <selection activeCell="A7" sqref="A7"/>
    </sheetView>
  </sheetViews>
  <sheetFormatPr defaultColWidth="10.6640625" defaultRowHeight="15.5" x14ac:dyDescent="0.35"/>
  <cols>
    <col min="1" max="1" width="18" style="2" customWidth="1"/>
    <col min="2" max="7" width="12.33203125" style="4" customWidth="1"/>
    <col min="8" max="9" width="17.33203125" style="4" customWidth="1"/>
    <col min="10" max="10" width="15" style="4" customWidth="1"/>
    <col min="11" max="12" width="15.83203125" style="4" customWidth="1"/>
    <col min="13" max="13" width="15" style="4" customWidth="1"/>
  </cols>
  <sheetData>
    <row r="1" spans="1:13" x14ac:dyDescent="0.35">
      <c r="A1" s="2" t="s">
        <v>225</v>
      </c>
      <c r="B1" s="2" t="s">
        <v>229</v>
      </c>
    </row>
    <row r="2" spans="1:13" x14ac:dyDescent="0.35">
      <c r="B2" s="2" t="s">
        <v>230</v>
      </c>
    </row>
    <row r="3" spans="1:13" x14ac:dyDescent="0.35">
      <c r="B3" s="2" t="s">
        <v>231</v>
      </c>
    </row>
    <row r="4" spans="1:13" x14ac:dyDescent="0.35">
      <c r="B4" s="2" t="s">
        <v>240</v>
      </c>
    </row>
    <row r="5" spans="1:13" x14ac:dyDescent="0.35">
      <c r="B5" s="2" t="s">
        <v>239</v>
      </c>
    </row>
    <row r="6" spans="1:13" x14ac:dyDescent="0.35">
      <c r="B6" s="2"/>
    </row>
    <row r="7" spans="1:13" x14ac:dyDescent="0.35">
      <c r="B7" s="2"/>
    </row>
    <row r="8" spans="1:13" x14ac:dyDescent="0.35">
      <c r="B8" s="4">
        <v>2011</v>
      </c>
      <c r="C8" s="4">
        <v>2013</v>
      </c>
      <c r="D8" s="138" t="s">
        <v>184</v>
      </c>
      <c r="E8" s="4">
        <v>2011</v>
      </c>
      <c r="F8" s="4">
        <v>2013</v>
      </c>
      <c r="G8" s="138" t="s">
        <v>184</v>
      </c>
    </row>
    <row r="9" spans="1:13" ht="16" thickBot="1" x14ac:dyDescent="0.4">
      <c r="A9" s="1" t="s">
        <v>164</v>
      </c>
      <c r="B9" s="3" t="s">
        <v>175</v>
      </c>
      <c r="C9" s="3" t="s">
        <v>177</v>
      </c>
      <c r="D9" s="3" t="s">
        <v>169</v>
      </c>
      <c r="E9" s="3" t="s">
        <v>174</v>
      </c>
      <c r="F9" s="3" t="s">
        <v>178</v>
      </c>
      <c r="G9" s="3" t="s">
        <v>170</v>
      </c>
      <c r="H9" s="6" t="s">
        <v>166</v>
      </c>
      <c r="I9" s="6" t="s">
        <v>172</v>
      </c>
      <c r="J9" s="3" t="s">
        <v>181</v>
      </c>
      <c r="K9" s="3" t="s">
        <v>168</v>
      </c>
      <c r="L9" s="3" t="s">
        <v>173</v>
      </c>
      <c r="M9" s="3" t="s">
        <v>182</v>
      </c>
    </row>
    <row r="10" spans="1:13" x14ac:dyDescent="0.35">
      <c r="A10" s="2" t="s">
        <v>17</v>
      </c>
      <c r="B10" s="8">
        <f t="shared" ref="B10:B41" si="0">RANK(H10,H$10:H$60)</f>
        <v>45</v>
      </c>
      <c r="C10" s="8">
        <f t="shared" ref="C10:C41" si="1">RANK(I10,I$10:I$60)</f>
        <v>47</v>
      </c>
      <c r="D10" s="8">
        <f t="shared" ref="D10:D41" si="2">RANK(J10,J$10:J$60)</f>
        <v>39</v>
      </c>
      <c r="E10" s="8">
        <f t="shared" ref="E10:E41" si="3">RANK(K10,K$10:K$60)</f>
        <v>37</v>
      </c>
      <c r="F10" s="8">
        <f t="shared" ref="F10:F41" si="4">RANK(L10,L$10:L$60)</f>
        <v>41</v>
      </c>
      <c r="G10" s="8">
        <f t="shared" ref="G10:G41" si="5">RANK(M10,M$10:M$60)</f>
        <v>36</v>
      </c>
      <c r="H10" s="8">
        <v>978</v>
      </c>
      <c r="I10" s="8">
        <v>978</v>
      </c>
      <c r="J10" s="159">
        <f t="shared" ref="J10:J41" si="6">I10-H10</f>
        <v>0</v>
      </c>
      <c r="K10" s="9">
        <v>8996</v>
      </c>
      <c r="L10" s="9">
        <v>8945</v>
      </c>
      <c r="M10" s="134">
        <f t="shared" ref="M10:M41" si="7">L10-K10</f>
        <v>-51</v>
      </c>
    </row>
    <row r="11" spans="1:13" x14ac:dyDescent="0.35">
      <c r="A11" s="2" t="s">
        <v>18</v>
      </c>
      <c r="B11" s="8">
        <f t="shared" si="0"/>
        <v>40</v>
      </c>
      <c r="C11" s="8">
        <f t="shared" si="1"/>
        <v>44</v>
      </c>
      <c r="D11" s="8">
        <f t="shared" si="2"/>
        <v>39</v>
      </c>
      <c r="E11" s="8">
        <f t="shared" si="3"/>
        <v>4</v>
      </c>
      <c r="F11" s="8">
        <f t="shared" si="4"/>
        <v>4</v>
      </c>
      <c r="G11" s="8">
        <f t="shared" si="5"/>
        <v>8</v>
      </c>
      <c r="H11" s="8">
        <v>988</v>
      </c>
      <c r="I11" s="8">
        <v>988</v>
      </c>
      <c r="J11" s="159">
        <f t="shared" si="6"/>
        <v>0</v>
      </c>
      <c r="K11" s="9">
        <v>15310</v>
      </c>
      <c r="L11" s="9">
        <v>15949</v>
      </c>
      <c r="M11" s="134">
        <f t="shared" si="7"/>
        <v>639</v>
      </c>
    </row>
    <row r="12" spans="1:13" x14ac:dyDescent="0.35">
      <c r="A12" s="2" t="s">
        <v>19</v>
      </c>
      <c r="B12" s="8">
        <f t="shared" si="0"/>
        <v>42</v>
      </c>
      <c r="C12" s="8">
        <f t="shared" si="1"/>
        <v>41</v>
      </c>
      <c r="D12" s="8">
        <f t="shared" si="2"/>
        <v>12</v>
      </c>
      <c r="E12" s="8">
        <f t="shared" si="3"/>
        <v>48</v>
      </c>
      <c r="F12" s="8">
        <f t="shared" si="4"/>
        <v>49</v>
      </c>
      <c r="G12" s="8">
        <f t="shared" si="5"/>
        <v>35</v>
      </c>
      <c r="H12" s="8">
        <v>986</v>
      </c>
      <c r="I12" s="8">
        <v>993</v>
      </c>
      <c r="J12" s="159">
        <f t="shared" si="6"/>
        <v>7</v>
      </c>
      <c r="K12" s="9">
        <v>7931</v>
      </c>
      <c r="L12" s="9">
        <v>7894</v>
      </c>
      <c r="M12" s="134">
        <f t="shared" si="7"/>
        <v>-37</v>
      </c>
    </row>
    <row r="13" spans="1:13" x14ac:dyDescent="0.35">
      <c r="A13" s="2" t="s">
        <v>20</v>
      </c>
      <c r="B13" s="8">
        <f t="shared" si="0"/>
        <v>37</v>
      </c>
      <c r="C13" s="8">
        <f t="shared" si="1"/>
        <v>38</v>
      </c>
      <c r="D13" s="8">
        <f t="shared" si="2"/>
        <v>15</v>
      </c>
      <c r="E13" s="8">
        <f t="shared" si="3"/>
        <v>40</v>
      </c>
      <c r="F13" s="8">
        <f t="shared" si="4"/>
        <v>35</v>
      </c>
      <c r="G13" s="8">
        <f t="shared" si="5"/>
        <v>14</v>
      </c>
      <c r="H13" s="8">
        <v>993</v>
      </c>
      <c r="I13" s="8">
        <v>999</v>
      </c>
      <c r="J13" s="159">
        <f t="shared" si="6"/>
        <v>6</v>
      </c>
      <c r="K13" s="9">
        <v>8853</v>
      </c>
      <c r="L13" s="9">
        <v>9311</v>
      </c>
      <c r="M13" s="134">
        <f t="shared" si="7"/>
        <v>458</v>
      </c>
    </row>
    <row r="14" spans="1:13" x14ac:dyDescent="0.35">
      <c r="A14" s="2" t="s">
        <v>21</v>
      </c>
      <c r="B14" s="8">
        <f t="shared" si="0"/>
        <v>47</v>
      </c>
      <c r="C14" s="8">
        <f t="shared" si="1"/>
        <v>45</v>
      </c>
      <c r="D14" s="8">
        <f t="shared" si="2"/>
        <v>5</v>
      </c>
      <c r="E14" s="8">
        <f t="shared" si="3"/>
        <v>34</v>
      </c>
      <c r="F14" s="8">
        <f t="shared" si="4"/>
        <v>36</v>
      </c>
      <c r="G14" s="8">
        <f t="shared" si="5"/>
        <v>46</v>
      </c>
      <c r="H14" s="8">
        <v>973</v>
      </c>
      <c r="I14" s="8">
        <v>985</v>
      </c>
      <c r="J14" s="159">
        <f t="shared" si="6"/>
        <v>12</v>
      </c>
      <c r="K14" s="9">
        <v>9471</v>
      </c>
      <c r="L14" s="9">
        <v>9212</v>
      </c>
      <c r="M14" s="134">
        <f t="shared" si="7"/>
        <v>-259</v>
      </c>
    </row>
    <row r="15" spans="1:13" x14ac:dyDescent="0.35">
      <c r="A15" s="2" t="s">
        <v>22</v>
      </c>
      <c r="B15" s="8">
        <f t="shared" si="0"/>
        <v>10</v>
      </c>
      <c r="C15" s="8">
        <f t="shared" si="1"/>
        <v>7</v>
      </c>
      <c r="D15" s="8">
        <f t="shared" si="2"/>
        <v>19</v>
      </c>
      <c r="E15" s="8">
        <f t="shared" si="3"/>
        <v>38</v>
      </c>
      <c r="F15" s="8">
        <f t="shared" si="4"/>
        <v>39</v>
      </c>
      <c r="G15" s="8">
        <f t="shared" si="5"/>
        <v>29</v>
      </c>
      <c r="H15" s="8">
        <v>1030</v>
      </c>
      <c r="I15" s="8">
        <v>1035</v>
      </c>
      <c r="J15" s="159">
        <f t="shared" si="6"/>
        <v>5</v>
      </c>
      <c r="K15" s="9">
        <v>8963</v>
      </c>
      <c r="L15" s="9">
        <v>9077</v>
      </c>
      <c r="M15" s="134">
        <f t="shared" si="7"/>
        <v>114</v>
      </c>
    </row>
    <row r="16" spans="1:13" x14ac:dyDescent="0.35">
      <c r="A16" s="2" t="s">
        <v>23</v>
      </c>
      <c r="B16" s="8">
        <f t="shared" si="0"/>
        <v>9</v>
      </c>
      <c r="C16" s="8">
        <f t="shared" si="1"/>
        <v>9</v>
      </c>
      <c r="D16" s="8">
        <f t="shared" si="2"/>
        <v>35</v>
      </c>
      <c r="E16" s="8">
        <f t="shared" si="3"/>
        <v>5</v>
      </c>
      <c r="F16" s="8">
        <f t="shared" si="4"/>
        <v>6</v>
      </c>
      <c r="G16" s="8">
        <f t="shared" si="5"/>
        <v>16</v>
      </c>
      <c r="H16" s="8">
        <v>1031</v>
      </c>
      <c r="I16" s="8">
        <v>1032</v>
      </c>
      <c r="J16" s="159">
        <f t="shared" si="6"/>
        <v>1</v>
      </c>
      <c r="K16" s="9">
        <v>15260</v>
      </c>
      <c r="L16" s="9">
        <v>15608</v>
      </c>
      <c r="M16" s="134">
        <f t="shared" si="7"/>
        <v>348</v>
      </c>
    </row>
    <row r="17" spans="1:13" x14ac:dyDescent="0.35">
      <c r="A17" s="61" t="s">
        <v>25</v>
      </c>
      <c r="B17" s="8">
        <f t="shared" si="0"/>
        <v>51</v>
      </c>
      <c r="C17" s="8">
        <f t="shared" si="1"/>
        <v>51</v>
      </c>
      <c r="D17" s="8">
        <f t="shared" si="2"/>
        <v>1</v>
      </c>
      <c r="E17" s="8">
        <f t="shared" si="3"/>
        <v>2</v>
      </c>
      <c r="F17" s="8">
        <f t="shared" si="4"/>
        <v>1</v>
      </c>
      <c r="G17" s="8">
        <f t="shared" si="5"/>
        <v>1</v>
      </c>
      <c r="H17" s="8">
        <v>925</v>
      </c>
      <c r="I17" s="8">
        <v>948</v>
      </c>
      <c r="J17" s="159">
        <f t="shared" si="6"/>
        <v>23</v>
      </c>
      <c r="K17" s="63">
        <v>17251</v>
      </c>
      <c r="L17" s="63">
        <v>21139</v>
      </c>
      <c r="M17" s="134">
        <f t="shared" si="7"/>
        <v>3888</v>
      </c>
    </row>
    <row r="18" spans="1:13" x14ac:dyDescent="0.35">
      <c r="A18" s="2" t="s">
        <v>24</v>
      </c>
      <c r="B18" s="8">
        <f t="shared" si="0"/>
        <v>24</v>
      </c>
      <c r="C18" s="8">
        <f t="shared" si="1"/>
        <v>24</v>
      </c>
      <c r="D18" s="8">
        <f t="shared" si="2"/>
        <v>26</v>
      </c>
      <c r="E18" s="8">
        <f t="shared" si="3"/>
        <v>12</v>
      </c>
      <c r="F18" s="8">
        <f t="shared" si="4"/>
        <v>13</v>
      </c>
      <c r="G18" s="8">
        <f t="shared" si="5"/>
        <v>34</v>
      </c>
      <c r="H18" s="8">
        <v>1014</v>
      </c>
      <c r="I18" s="8">
        <v>1017</v>
      </c>
      <c r="J18" s="159">
        <f t="shared" si="6"/>
        <v>3</v>
      </c>
      <c r="K18" s="9">
        <v>12390</v>
      </c>
      <c r="L18" s="9">
        <v>12355</v>
      </c>
      <c r="M18" s="134">
        <f t="shared" si="7"/>
        <v>-35</v>
      </c>
    </row>
    <row r="19" spans="1:13" x14ac:dyDescent="0.35">
      <c r="A19" s="2" t="s">
        <v>26</v>
      </c>
      <c r="B19" s="8">
        <f t="shared" si="0"/>
        <v>33</v>
      </c>
      <c r="C19" s="8">
        <f t="shared" si="1"/>
        <v>25</v>
      </c>
      <c r="D19" s="8">
        <f t="shared" si="2"/>
        <v>6</v>
      </c>
      <c r="E19" s="8">
        <f t="shared" si="3"/>
        <v>42</v>
      </c>
      <c r="F19" s="8">
        <f t="shared" si="4"/>
        <v>42</v>
      </c>
      <c r="G19" s="8">
        <f t="shared" si="5"/>
        <v>28</v>
      </c>
      <c r="H19" s="8">
        <v>1005</v>
      </c>
      <c r="I19" s="8">
        <v>1016</v>
      </c>
      <c r="J19" s="159">
        <f t="shared" si="6"/>
        <v>11</v>
      </c>
      <c r="K19" s="9">
        <v>8747</v>
      </c>
      <c r="L19" s="9">
        <v>8874</v>
      </c>
      <c r="M19" s="134">
        <f t="shared" si="7"/>
        <v>127</v>
      </c>
    </row>
    <row r="20" spans="1:13" x14ac:dyDescent="0.35">
      <c r="A20" s="2" t="s">
        <v>27</v>
      </c>
      <c r="B20" s="8">
        <f t="shared" si="0"/>
        <v>36</v>
      </c>
      <c r="C20" s="8">
        <f t="shared" si="1"/>
        <v>35</v>
      </c>
      <c r="D20" s="8">
        <f t="shared" si="2"/>
        <v>12</v>
      </c>
      <c r="E20" s="8">
        <f t="shared" si="3"/>
        <v>31</v>
      </c>
      <c r="F20" s="8">
        <f t="shared" si="4"/>
        <v>31</v>
      </c>
      <c r="G20" s="8">
        <f t="shared" si="5"/>
        <v>44</v>
      </c>
      <c r="H20" s="8">
        <v>999</v>
      </c>
      <c r="I20" s="8">
        <v>1006</v>
      </c>
      <c r="J20" s="159">
        <f t="shared" si="6"/>
        <v>7</v>
      </c>
      <c r="K20" s="9">
        <v>9685</v>
      </c>
      <c r="L20" s="9">
        <v>9500</v>
      </c>
      <c r="M20" s="134">
        <f t="shared" si="7"/>
        <v>-185</v>
      </c>
    </row>
    <row r="21" spans="1:13" x14ac:dyDescent="0.35">
      <c r="A21" s="61" t="s">
        <v>28</v>
      </c>
      <c r="B21" s="8">
        <f t="shared" si="0"/>
        <v>40</v>
      </c>
      <c r="C21" s="8">
        <f t="shared" si="1"/>
        <v>38</v>
      </c>
      <c r="D21" s="8">
        <f t="shared" si="2"/>
        <v>6</v>
      </c>
      <c r="E21" s="8">
        <f t="shared" si="3"/>
        <v>13</v>
      </c>
      <c r="F21" s="8">
        <f t="shared" si="4"/>
        <v>15</v>
      </c>
      <c r="G21" s="8">
        <f t="shared" si="5"/>
        <v>51</v>
      </c>
      <c r="H21" s="8">
        <v>988</v>
      </c>
      <c r="I21" s="8">
        <v>999</v>
      </c>
      <c r="J21" s="159">
        <f t="shared" si="6"/>
        <v>11</v>
      </c>
      <c r="K21" s="9">
        <v>12370</v>
      </c>
      <c r="L21" s="9">
        <v>11761</v>
      </c>
      <c r="M21" s="134">
        <f t="shared" si="7"/>
        <v>-609</v>
      </c>
    </row>
    <row r="22" spans="1:13" x14ac:dyDescent="0.35">
      <c r="A22" s="2" t="s">
        <v>29</v>
      </c>
      <c r="B22" s="8">
        <f t="shared" si="0"/>
        <v>21</v>
      </c>
      <c r="C22" s="8">
        <f t="shared" si="1"/>
        <v>25</v>
      </c>
      <c r="D22" s="8">
        <f t="shared" si="2"/>
        <v>39</v>
      </c>
      <c r="E22" s="8">
        <f t="shared" si="3"/>
        <v>50</v>
      </c>
      <c r="F22" s="8">
        <f t="shared" si="4"/>
        <v>50</v>
      </c>
      <c r="G22" s="8">
        <f t="shared" si="5"/>
        <v>38</v>
      </c>
      <c r="H22" s="8">
        <v>1016</v>
      </c>
      <c r="I22" s="8">
        <v>1016</v>
      </c>
      <c r="J22" s="159">
        <f t="shared" si="6"/>
        <v>0</v>
      </c>
      <c r="K22" s="9">
        <v>7194</v>
      </c>
      <c r="L22" s="9">
        <v>7132</v>
      </c>
      <c r="M22" s="134">
        <f t="shared" si="7"/>
        <v>-62</v>
      </c>
    </row>
    <row r="23" spans="1:13" x14ac:dyDescent="0.35">
      <c r="A23" s="2" t="s">
        <v>31</v>
      </c>
      <c r="B23" s="8">
        <f t="shared" si="0"/>
        <v>31</v>
      </c>
      <c r="C23" s="8">
        <f t="shared" si="1"/>
        <v>34</v>
      </c>
      <c r="D23" s="8">
        <f t="shared" si="2"/>
        <v>26</v>
      </c>
      <c r="E23" s="8">
        <f t="shared" si="3"/>
        <v>17</v>
      </c>
      <c r="F23" s="8">
        <f t="shared" si="4"/>
        <v>17</v>
      </c>
      <c r="G23" s="8">
        <f t="shared" si="5"/>
        <v>11</v>
      </c>
      <c r="H23" s="8">
        <v>1007</v>
      </c>
      <c r="I23" s="8">
        <v>1010</v>
      </c>
      <c r="J23" s="159">
        <f t="shared" si="6"/>
        <v>3</v>
      </c>
      <c r="K23" s="9">
        <v>11120</v>
      </c>
      <c r="L23" s="9">
        <v>11663</v>
      </c>
      <c r="M23" s="134">
        <f t="shared" si="7"/>
        <v>543</v>
      </c>
    </row>
    <row r="24" spans="1:13" x14ac:dyDescent="0.35">
      <c r="A24" s="2" t="s">
        <v>30</v>
      </c>
      <c r="B24" s="8">
        <f t="shared" si="0"/>
        <v>22</v>
      </c>
      <c r="C24" s="8">
        <f t="shared" si="1"/>
        <v>13</v>
      </c>
      <c r="D24" s="8">
        <f t="shared" si="2"/>
        <v>3</v>
      </c>
      <c r="E24" s="8">
        <f t="shared" si="3"/>
        <v>36</v>
      </c>
      <c r="F24" s="8">
        <f t="shared" si="4"/>
        <v>32</v>
      </c>
      <c r="G24" s="8">
        <f t="shared" si="5"/>
        <v>22</v>
      </c>
      <c r="H24" s="8">
        <v>1015</v>
      </c>
      <c r="I24" s="8">
        <v>1029</v>
      </c>
      <c r="J24" s="159">
        <f t="shared" si="6"/>
        <v>14</v>
      </c>
      <c r="K24" s="9">
        <v>9248</v>
      </c>
      <c r="L24" s="9">
        <v>9483</v>
      </c>
      <c r="M24" s="134">
        <f t="shared" si="7"/>
        <v>235</v>
      </c>
    </row>
    <row r="25" spans="1:13" x14ac:dyDescent="0.35">
      <c r="A25" s="2" t="s">
        <v>32</v>
      </c>
      <c r="B25" s="8">
        <f t="shared" si="0"/>
        <v>24</v>
      </c>
      <c r="C25" s="8">
        <f t="shared" si="1"/>
        <v>19</v>
      </c>
      <c r="D25" s="8">
        <f t="shared" si="2"/>
        <v>9</v>
      </c>
      <c r="E25" s="8">
        <f t="shared" si="3"/>
        <v>27</v>
      </c>
      <c r="F25" s="8">
        <f t="shared" si="4"/>
        <v>28</v>
      </c>
      <c r="G25" s="8">
        <f t="shared" si="5"/>
        <v>43</v>
      </c>
      <c r="H25" s="8">
        <v>1014</v>
      </c>
      <c r="I25" s="8">
        <v>1024</v>
      </c>
      <c r="J25" s="159">
        <f t="shared" si="6"/>
        <v>10</v>
      </c>
      <c r="K25" s="9">
        <v>10010</v>
      </c>
      <c r="L25" s="9">
        <v>9833</v>
      </c>
      <c r="M25" s="134">
        <f t="shared" si="7"/>
        <v>-177</v>
      </c>
    </row>
    <row r="26" spans="1:13" x14ac:dyDescent="0.35">
      <c r="A26" s="2" t="s">
        <v>33</v>
      </c>
      <c r="B26" s="8">
        <f t="shared" si="0"/>
        <v>11</v>
      </c>
      <c r="C26" s="8">
        <f t="shared" si="1"/>
        <v>18</v>
      </c>
      <c r="D26" s="8">
        <f t="shared" si="2"/>
        <v>44</v>
      </c>
      <c r="E26" s="8">
        <f t="shared" si="3"/>
        <v>24</v>
      </c>
      <c r="F26" s="8">
        <f t="shared" si="4"/>
        <v>27</v>
      </c>
      <c r="G26" s="8">
        <f t="shared" si="5"/>
        <v>45</v>
      </c>
      <c r="H26" s="8">
        <v>1027</v>
      </c>
      <c r="I26" s="8">
        <v>1026</v>
      </c>
      <c r="J26" s="159">
        <f t="shared" si="6"/>
        <v>-1</v>
      </c>
      <c r="K26" s="9">
        <v>10261</v>
      </c>
      <c r="L26" s="9">
        <v>10044</v>
      </c>
      <c r="M26" s="134">
        <f t="shared" si="7"/>
        <v>-217</v>
      </c>
    </row>
    <row r="27" spans="1:13" x14ac:dyDescent="0.35">
      <c r="A27" s="2" t="s">
        <v>34</v>
      </c>
      <c r="B27" s="8">
        <f t="shared" si="0"/>
        <v>20</v>
      </c>
      <c r="C27" s="8">
        <f t="shared" si="1"/>
        <v>25</v>
      </c>
      <c r="D27" s="8">
        <f t="shared" si="2"/>
        <v>44</v>
      </c>
      <c r="E27" s="8">
        <f t="shared" si="3"/>
        <v>41</v>
      </c>
      <c r="F27" s="8">
        <f t="shared" si="4"/>
        <v>38</v>
      </c>
      <c r="G27" s="8">
        <f t="shared" si="5"/>
        <v>21</v>
      </c>
      <c r="H27" s="8">
        <v>1017</v>
      </c>
      <c r="I27" s="8">
        <v>1016</v>
      </c>
      <c r="J27" s="159">
        <f t="shared" si="6"/>
        <v>-1</v>
      </c>
      <c r="K27" s="9">
        <v>8836</v>
      </c>
      <c r="L27" s="9">
        <v>9091</v>
      </c>
      <c r="M27" s="134">
        <f t="shared" si="7"/>
        <v>255</v>
      </c>
    </row>
    <row r="28" spans="1:13" x14ac:dyDescent="0.35">
      <c r="A28" s="2" t="s">
        <v>35</v>
      </c>
      <c r="B28" s="8">
        <f t="shared" si="0"/>
        <v>49</v>
      </c>
      <c r="C28" s="8">
        <f t="shared" si="1"/>
        <v>48</v>
      </c>
      <c r="D28" s="8">
        <f t="shared" si="2"/>
        <v>33</v>
      </c>
      <c r="E28" s="8">
        <f t="shared" si="3"/>
        <v>22</v>
      </c>
      <c r="F28" s="8">
        <f t="shared" si="4"/>
        <v>21</v>
      </c>
      <c r="G28" s="8">
        <f t="shared" si="5"/>
        <v>30</v>
      </c>
      <c r="H28" s="8">
        <v>969</v>
      </c>
      <c r="I28" s="8">
        <v>971</v>
      </c>
      <c r="J28" s="159">
        <f t="shared" si="6"/>
        <v>2</v>
      </c>
      <c r="K28" s="9">
        <v>10684</v>
      </c>
      <c r="L28" s="9">
        <v>10795</v>
      </c>
      <c r="M28" s="134">
        <f t="shared" si="7"/>
        <v>111</v>
      </c>
    </row>
    <row r="29" spans="1:13" x14ac:dyDescent="0.35">
      <c r="A29" s="2" t="s">
        <v>36</v>
      </c>
      <c r="B29" s="8">
        <f t="shared" si="0"/>
        <v>15</v>
      </c>
      <c r="C29" s="8">
        <f t="shared" si="1"/>
        <v>13</v>
      </c>
      <c r="D29" s="8">
        <f t="shared" si="2"/>
        <v>22</v>
      </c>
      <c r="E29" s="8">
        <f t="shared" si="3"/>
        <v>15</v>
      </c>
      <c r="F29" s="8">
        <f t="shared" si="4"/>
        <v>14</v>
      </c>
      <c r="G29" s="8">
        <f t="shared" si="5"/>
        <v>22</v>
      </c>
      <c r="H29" s="8">
        <v>1025</v>
      </c>
      <c r="I29" s="8">
        <v>1029</v>
      </c>
      <c r="J29" s="159">
        <f t="shared" si="6"/>
        <v>4</v>
      </c>
      <c r="K29" s="9">
        <v>11977</v>
      </c>
      <c r="L29" s="9">
        <v>12212</v>
      </c>
      <c r="M29" s="134">
        <f t="shared" si="7"/>
        <v>235</v>
      </c>
    </row>
    <row r="30" spans="1:13" x14ac:dyDescent="0.35">
      <c r="A30" s="2" t="s">
        <v>37</v>
      </c>
      <c r="B30" s="8">
        <f t="shared" si="0"/>
        <v>5</v>
      </c>
      <c r="C30" s="8">
        <f t="shared" si="1"/>
        <v>6</v>
      </c>
      <c r="D30" s="8">
        <f t="shared" si="2"/>
        <v>35</v>
      </c>
      <c r="E30" s="8">
        <f t="shared" si="3"/>
        <v>10</v>
      </c>
      <c r="F30" s="8">
        <f t="shared" si="4"/>
        <v>10</v>
      </c>
      <c r="G30" s="8">
        <f t="shared" si="5"/>
        <v>15</v>
      </c>
      <c r="H30" s="8">
        <v>1037</v>
      </c>
      <c r="I30" s="8">
        <v>1038</v>
      </c>
      <c r="J30" s="159">
        <f t="shared" si="6"/>
        <v>1</v>
      </c>
      <c r="K30" s="9">
        <v>13706</v>
      </c>
      <c r="L30" s="9">
        <v>14082</v>
      </c>
      <c r="M30" s="134">
        <f t="shared" si="7"/>
        <v>376</v>
      </c>
    </row>
    <row r="31" spans="1:13" x14ac:dyDescent="0.35">
      <c r="A31" s="61" t="s">
        <v>38</v>
      </c>
      <c r="B31" s="8">
        <f t="shared" si="0"/>
        <v>1</v>
      </c>
      <c r="C31" s="8">
        <f t="shared" si="1"/>
        <v>1</v>
      </c>
      <c r="D31" s="8">
        <f t="shared" si="2"/>
        <v>44</v>
      </c>
      <c r="E31" s="8">
        <f t="shared" si="3"/>
        <v>9</v>
      </c>
      <c r="F31" s="8">
        <f t="shared" si="4"/>
        <v>9</v>
      </c>
      <c r="G31" s="8">
        <f t="shared" si="5"/>
        <v>26</v>
      </c>
      <c r="H31" s="8">
        <v>1064</v>
      </c>
      <c r="I31" s="8">
        <v>1063</v>
      </c>
      <c r="J31" s="159">
        <f t="shared" si="6"/>
        <v>-1</v>
      </c>
      <c r="K31" s="63">
        <v>14478</v>
      </c>
      <c r="L31" s="9">
        <v>14670</v>
      </c>
      <c r="M31" s="134">
        <f t="shared" si="7"/>
        <v>192</v>
      </c>
    </row>
    <row r="32" spans="1:13" x14ac:dyDescent="0.35">
      <c r="A32" s="2" t="s">
        <v>39</v>
      </c>
      <c r="B32" s="8">
        <f t="shared" si="0"/>
        <v>34</v>
      </c>
      <c r="C32" s="8">
        <f t="shared" si="1"/>
        <v>37</v>
      </c>
      <c r="D32" s="8">
        <f t="shared" si="2"/>
        <v>39</v>
      </c>
      <c r="E32" s="8">
        <f t="shared" si="3"/>
        <v>25</v>
      </c>
      <c r="F32" s="8">
        <f t="shared" si="4"/>
        <v>26</v>
      </c>
      <c r="G32" s="8">
        <f t="shared" si="5"/>
        <v>25</v>
      </c>
      <c r="H32" s="8">
        <v>1000</v>
      </c>
      <c r="I32" s="8">
        <v>1000</v>
      </c>
      <c r="J32" s="159">
        <f t="shared" si="6"/>
        <v>0</v>
      </c>
      <c r="K32" s="9">
        <v>10171</v>
      </c>
      <c r="L32" s="9">
        <v>10378</v>
      </c>
      <c r="M32" s="134">
        <f t="shared" si="7"/>
        <v>207</v>
      </c>
    </row>
    <row r="33" spans="1:13" x14ac:dyDescent="0.35">
      <c r="A33" s="61" t="s">
        <v>40</v>
      </c>
      <c r="B33" s="8">
        <f t="shared" si="0"/>
        <v>6</v>
      </c>
      <c r="C33" s="8">
        <f t="shared" si="1"/>
        <v>4</v>
      </c>
      <c r="D33" s="8">
        <f t="shared" si="2"/>
        <v>9</v>
      </c>
      <c r="E33" s="8">
        <f t="shared" si="3"/>
        <v>18</v>
      </c>
      <c r="F33" s="8">
        <f t="shared" si="4"/>
        <v>22</v>
      </c>
      <c r="G33" s="8">
        <f t="shared" si="5"/>
        <v>49</v>
      </c>
      <c r="H33" s="8">
        <v>1036</v>
      </c>
      <c r="I33" s="8">
        <v>1046</v>
      </c>
      <c r="J33" s="158">
        <f t="shared" si="6"/>
        <v>10</v>
      </c>
      <c r="K33" s="63">
        <v>11067</v>
      </c>
      <c r="L33" s="63">
        <v>10677</v>
      </c>
      <c r="M33" s="135">
        <f t="shared" si="7"/>
        <v>-390</v>
      </c>
    </row>
    <row r="34" spans="1:13" x14ac:dyDescent="0.35">
      <c r="A34" s="2" t="s">
        <v>41</v>
      </c>
      <c r="B34" s="8">
        <f t="shared" si="0"/>
        <v>50</v>
      </c>
      <c r="C34" s="8">
        <f t="shared" si="1"/>
        <v>50</v>
      </c>
      <c r="D34" s="8">
        <f t="shared" si="2"/>
        <v>33</v>
      </c>
      <c r="E34" s="8">
        <f t="shared" si="3"/>
        <v>47</v>
      </c>
      <c r="F34" s="8">
        <f t="shared" si="4"/>
        <v>47</v>
      </c>
      <c r="G34" s="8">
        <f t="shared" si="5"/>
        <v>31</v>
      </c>
      <c r="H34" s="8">
        <v>962</v>
      </c>
      <c r="I34" s="8">
        <v>964</v>
      </c>
      <c r="J34" s="159">
        <f t="shared" si="6"/>
        <v>2</v>
      </c>
      <c r="K34" s="9">
        <v>8028</v>
      </c>
      <c r="L34" s="9">
        <v>8112</v>
      </c>
      <c r="M34" s="134">
        <f t="shared" si="7"/>
        <v>84</v>
      </c>
    </row>
    <row r="35" spans="1:13" x14ac:dyDescent="0.35">
      <c r="A35" s="2" t="s">
        <v>42</v>
      </c>
      <c r="B35" s="8">
        <f t="shared" si="0"/>
        <v>30</v>
      </c>
      <c r="C35" s="8">
        <f t="shared" si="1"/>
        <v>30</v>
      </c>
      <c r="D35" s="8">
        <f t="shared" si="2"/>
        <v>26</v>
      </c>
      <c r="E35" s="8">
        <f t="shared" si="3"/>
        <v>28</v>
      </c>
      <c r="F35" s="8">
        <f t="shared" si="4"/>
        <v>30</v>
      </c>
      <c r="G35" s="8">
        <f t="shared" si="5"/>
        <v>40</v>
      </c>
      <c r="H35" s="8">
        <v>1009</v>
      </c>
      <c r="I35" s="8">
        <v>1012</v>
      </c>
      <c r="J35" s="159">
        <f t="shared" si="6"/>
        <v>3</v>
      </c>
      <c r="K35" s="9">
        <v>9868</v>
      </c>
      <c r="L35" s="9">
        <v>9721</v>
      </c>
      <c r="M35" s="134">
        <f t="shared" si="7"/>
        <v>-147</v>
      </c>
    </row>
    <row r="36" spans="1:13" x14ac:dyDescent="0.35">
      <c r="A36" s="2" t="s">
        <v>43</v>
      </c>
      <c r="B36" s="8">
        <f t="shared" si="0"/>
        <v>7</v>
      </c>
      <c r="C36" s="8">
        <f t="shared" si="1"/>
        <v>17</v>
      </c>
      <c r="D36" s="8">
        <f t="shared" si="2"/>
        <v>50</v>
      </c>
      <c r="E36" s="8">
        <f t="shared" si="3"/>
        <v>26</v>
      </c>
      <c r="F36" s="8">
        <f t="shared" si="4"/>
        <v>24</v>
      </c>
      <c r="G36" s="8">
        <f t="shared" si="5"/>
        <v>13</v>
      </c>
      <c r="H36" s="8">
        <v>1035</v>
      </c>
      <c r="I36" s="8">
        <v>1028</v>
      </c>
      <c r="J36" s="159">
        <f t="shared" si="6"/>
        <v>-7</v>
      </c>
      <c r="K36" s="9">
        <v>10092</v>
      </c>
      <c r="L36" s="9">
        <v>10558</v>
      </c>
      <c r="M36" s="134">
        <f t="shared" si="7"/>
        <v>466</v>
      </c>
    </row>
    <row r="37" spans="1:13" x14ac:dyDescent="0.35">
      <c r="A37" s="2" t="s">
        <v>44</v>
      </c>
      <c r="B37" s="8">
        <f t="shared" si="0"/>
        <v>24</v>
      </c>
      <c r="C37" s="8">
        <f t="shared" si="1"/>
        <v>21</v>
      </c>
      <c r="D37" s="8">
        <f t="shared" si="2"/>
        <v>15</v>
      </c>
      <c r="E37" s="8">
        <f t="shared" si="3"/>
        <v>20</v>
      </c>
      <c r="F37" s="8">
        <f t="shared" si="4"/>
        <v>18</v>
      </c>
      <c r="G37" s="8">
        <f t="shared" si="5"/>
        <v>6</v>
      </c>
      <c r="H37" s="8">
        <v>1014</v>
      </c>
      <c r="I37" s="8">
        <v>1020</v>
      </c>
      <c r="J37" s="159">
        <f t="shared" si="6"/>
        <v>6</v>
      </c>
      <c r="K37" s="9">
        <v>10860</v>
      </c>
      <c r="L37" s="9">
        <v>11536</v>
      </c>
      <c r="M37" s="134">
        <f t="shared" si="7"/>
        <v>676</v>
      </c>
    </row>
    <row r="38" spans="1:13" x14ac:dyDescent="0.35">
      <c r="A38" s="2" t="s">
        <v>45</v>
      </c>
      <c r="B38" s="8">
        <f t="shared" si="0"/>
        <v>42</v>
      </c>
      <c r="C38" s="8">
        <f t="shared" si="1"/>
        <v>43</v>
      </c>
      <c r="D38" s="8">
        <f t="shared" si="2"/>
        <v>22</v>
      </c>
      <c r="E38" s="8">
        <f t="shared" si="3"/>
        <v>45</v>
      </c>
      <c r="F38" s="8">
        <f t="shared" si="4"/>
        <v>44</v>
      </c>
      <c r="G38" s="8">
        <f t="shared" si="5"/>
        <v>39</v>
      </c>
      <c r="H38" s="8">
        <v>986</v>
      </c>
      <c r="I38" s="8">
        <v>990</v>
      </c>
      <c r="J38" s="159">
        <f t="shared" si="6"/>
        <v>4</v>
      </c>
      <c r="K38" s="9">
        <v>8398</v>
      </c>
      <c r="L38" s="9">
        <v>8290</v>
      </c>
      <c r="M38" s="134">
        <f t="shared" si="7"/>
        <v>-108</v>
      </c>
    </row>
    <row r="39" spans="1:13" x14ac:dyDescent="0.35">
      <c r="A39" s="2" t="s">
        <v>46</v>
      </c>
      <c r="B39" s="8">
        <f t="shared" si="0"/>
        <v>3</v>
      </c>
      <c r="C39" s="8">
        <f t="shared" si="1"/>
        <v>2</v>
      </c>
      <c r="D39" s="8">
        <f t="shared" si="2"/>
        <v>11</v>
      </c>
      <c r="E39" s="8">
        <f t="shared" si="3"/>
        <v>11</v>
      </c>
      <c r="F39" s="8">
        <f t="shared" si="4"/>
        <v>11</v>
      </c>
      <c r="G39" s="8">
        <f t="shared" si="5"/>
        <v>9</v>
      </c>
      <c r="H39" s="8">
        <v>1046</v>
      </c>
      <c r="I39" s="8">
        <v>1055</v>
      </c>
      <c r="J39" s="159">
        <f t="shared" si="6"/>
        <v>9</v>
      </c>
      <c r="K39" s="9">
        <v>12405</v>
      </c>
      <c r="L39" s="9">
        <v>13019</v>
      </c>
      <c r="M39" s="134">
        <f t="shared" si="7"/>
        <v>614</v>
      </c>
    </row>
    <row r="40" spans="1:13" x14ac:dyDescent="0.35">
      <c r="A40" s="2" t="s">
        <v>47</v>
      </c>
      <c r="B40" s="8">
        <f t="shared" si="0"/>
        <v>2</v>
      </c>
      <c r="C40" s="8">
        <f t="shared" si="1"/>
        <v>3</v>
      </c>
      <c r="D40" s="8">
        <f t="shared" si="2"/>
        <v>39</v>
      </c>
      <c r="E40" s="8">
        <f t="shared" si="3"/>
        <v>3</v>
      </c>
      <c r="F40" s="8">
        <f t="shared" si="4"/>
        <v>3</v>
      </c>
      <c r="G40" s="8">
        <f t="shared" si="5"/>
        <v>12</v>
      </c>
      <c r="H40" s="8">
        <v>1048</v>
      </c>
      <c r="I40" s="8">
        <v>1048</v>
      </c>
      <c r="J40" s="159">
        <f t="shared" si="6"/>
        <v>0</v>
      </c>
      <c r="K40" s="9">
        <v>17064</v>
      </c>
      <c r="L40" s="9">
        <v>17562</v>
      </c>
      <c r="M40" s="134">
        <f t="shared" si="7"/>
        <v>498</v>
      </c>
    </row>
    <row r="41" spans="1:13" x14ac:dyDescent="0.35">
      <c r="A41" s="2" t="s">
        <v>48</v>
      </c>
      <c r="B41" s="8">
        <f t="shared" si="0"/>
        <v>48</v>
      </c>
      <c r="C41" s="8">
        <f t="shared" si="1"/>
        <v>49</v>
      </c>
      <c r="D41" s="8">
        <f t="shared" si="2"/>
        <v>48</v>
      </c>
      <c r="E41" s="8">
        <f t="shared" si="3"/>
        <v>32</v>
      </c>
      <c r="F41" s="8">
        <f t="shared" si="4"/>
        <v>29</v>
      </c>
      <c r="G41" s="8">
        <f t="shared" si="5"/>
        <v>33</v>
      </c>
      <c r="H41" s="8">
        <v>971</v>
      </c>
      <c r="I41" s="8">
        <v>968</v>
      </c>
      <c r="J41" s="159">
        <f t="shared" si="6"/>
        <v>-3</v>
      </c>
      <c r="K41" s="9">
        <v>9683</v>
      </c>
      <c r="L41" s="9">
        <v>9742</v>
      </c>
      <c r="M41" s="134">
        <f t="shared" si="7"/>
        <v>59</v>
      </c>
    </row>
    <row r="42" spans="1:13" x14ac:dyDescent="0.35">
      <c r="A42" s="61" t="s">
        <v>49</v>
      </c>
      <c r="B42" s="8">
        <f t="shared" ref="B42:B60" si="8">RANK(H42,H$10:H$60)</f>
        <v>32</v>
      </c>
      <c r="C42" s="8">
        <f t="shared" ref="C42:C60" si="9">RANK(I42,I$10:I$60)</f>
        <v>30</v>
      </c>
      <c r="D42" s="8">
        <f t="shared" ref="D42:D60" si="10">RANK(J42,J$10:J$60)</f>
        <v>15</v>
      </c>
      <c r="E42" s="8">
        <f t="shared" ref="E42:E60" si="11">RANK(K42,K$10:K$60)</f>
        <v>1</v>
      </c>
      <c r="F42" s="8">
        <f t="shared" ref="F42:F60" si="12">RANK(L42,L$10:L$60)</f>
        <v>2</v>
      </c>
      <c r="G42" s="8">
        <f t="shared" ref="G42:G60" si="13">RANK(M42,M$10:M$60)</f>
        <v>4</v>
      </c>
      <c r="H42" s="8">
        <v>1006</v>
      </c>
      <c r="I42" s="8">
        <v>1012</v>
      </c>
      <c r="J42" s="158">
        <f t="shared" ref="J42:J60" si="14">I42-H42</f>
        <v>6</v>
      </c>
      <c r="K42" s="63">
        <v>17586</v>
      </c>
      <c r="L42" s="63">
        <v>18335</v>
      </c>
      <c r="M42" s="135">
        <f t="shared" ref="M42:M60" si="15">L42-K42</f>
        <v>749</v>
      </c>
    </row>
    <row r="43" spans="1:13" x14ac:dyDescent="0.35">
      <c r="A43" s="2" t="s">
        <v>50</v>
      </c>
      <c r="B43" s="8">
        <f t="shared" si="8"/>
        <v>22</v>
      </c>
      <c r="C43" s="8">
        <f t="shared" si="9"/>
        <v>23</v>
      </c>
      <c r="D43" s="8">
        <f t="shared" si="10"/>
        <v>26</v>
      </c>
      <c r="E43" s="8">
        <f t="shared" si="11"/>
        <v>44</v>
      </c>
      <c r="F43" s="8">
        <f t="shared" si="12"/>
        <v>45</v>
      </c>
      <c r="G43" s="8">
        <f t="shared" si="13"/>
        <v>47</v>
      </c>
      <c r="H43" s="8">
        <v>1015</v>
      </c>
      <c r="I43" s="8">
        <v>1018</v>
      </c>
      <c r="J43" s="159">
        <f t="shared" si="14"/>
        <v>3</v>
      </c>
      <c r="K43" s="9">
        <v>8468</v>
      </c>
      <c r="L43" s="9">
        <v>8195</v>
      </c>
      <c r="M43" s="134">
        <f t="shared" si="15"/>
        <v>-273</v>
      </c>
    </row>
    <row r="44" spans="1:13" x14ac:dyDescent="0.35">
      <c r="A44" s="2" t="s">
        <v>51</v>
      </c>
      <c r="B44" s="8">
        <f t="shared" si="8"/>
        <v>8</v>
      </c>
      <c r="C44" s="8">
        <f t="shared" si="9"/>
        <v>13</v>
      </c>
      <c r="D44" s="8">
        <f t="shared" si="10"/>
        <v>48</v>
      </c>
      <c r="E44" s="8">
        <f t="shared" si="11"/>
        <v>30</v>
      </c>
      <c r="F44" s="8">
        <f t="shared" si="12"/>
        <v>25</v>
      </c>
      <c r="G44" s="8">
        <f t="shared" si="13"/>
        <v>3</v>
      </c>
      <c r="H44" s="8">
        <v>1032</v>
      </c>
      <c r="I44" s="8">
        <v>1029</v>
      </c>
      <c r="J44" s="159">
        <f t="shared" si="14"/>
        <v>-3</v>
      </c>
      <c r="K44" s="9">
        <v>9767</v>
      </c>
      <c r="L44" s="9">
        <v>10557</v>
      </c>
      <c r="M44" s="134">
        <f t="shared" si="15"/>
        <v>790</v>
      </c>
    </row>
    <row r="45" spans="1:13" x14ac:dyDescent="0.35">
      <c r="A45" s="2" t="s">
        <v>52</v>
      </c>
      <c r="B45" s="8">
        <f t="shared" si="8"/>
        <v>15</v>
      </c>
      <c r="C45" s="8">
        <f t="shared" si="9"/>
        <v>13</v>
      </c>
      <c r="D45" s="8">
        <f t="shared" si="10"/>
        <v>22</v>
      </c>
      <c r="E45" s="8">
        <f t="shared" si="11"/>
        <v>23</v>
      </c>
      <c r="F45" s="8">
        <f t="shared" si="12"/>
        <v>20</v>
      </c>
      <c r="G45" s="8">
        <f t="shared" si="13"/>
        <v>20</v>
      </c>
      <c r="H45" s="8">
        <v>1025</v>
      </c>
      <c r="I45" s="8">
        <v>1029</v>
      </c>
      <c r="J45" s="159">
        <f t="shared" si="14"/>
        <v>4</v>
      </c>
      <c r="K45" s="9">
        <v>10616</v>
      </c>
      <c r="L45" s="9">
        <v>10879</v>
      </c>
      <c r="M45" s="134">
        <f t="shared" si="15"/>
        <v>263</v>
      </c>
    </row>
    <row r="46" spans="1:13" x14ac:dyDescent="0.35">
      <c r="A46" s="61" t="s">
        <v>53</v>
      </c>
      <c r="B46" s="8">
        <f t="shared" si="8"/>
        <v>39</v>
      </c>
      <c r="C46" s="8">
        <f t="shared" si="9"/>
        <v>40</v>
      </c>
      <c r="D46" s="8">
        <f t="shared" si="10"/>
        <v>26</v>
      </c>
      <c r="E46" s="8">
        <f t="shared" si="11"/>
        <v>49</v>
      </c>
      <c r="F46" s="8">
        <f t="shared" si="12"/>
        <v>48</v>
      </c>
      <c r="G46" s="8">
        <f t="shared" si="13"/>
        <v>27</v>
      </c>
      <c r="H46" s="8">
        <v>991</v>
      </c>
      <c r="I46" s="8">
        <v>994</v>
      </c>
      <c r="J46" s="159">
        <f t="shared" si="14"/>
        <v>3</v>
      </c>
      <c r="K46" s="63">
        <v>7915</v>
      </c>
      <c r="L46" s="63">
        <v>8048</v>
      </c>
      <c r="M46" s="134">
        <f t="shared" si="15"/>
        <v>133</v>
      </c>
    </row>
    <row r="47" spans="1:13" x14ac:dyDescent="0.35">
      <c r="A47" s="61" t="s">
        <v>54</v>
      </c>
      <c r="B47" s="8">
        <f t="shared" si="8"/>
        <v>34</v>
      </c>
      <c r="C47" s="8">
        <f t="shared" si="9"/>
        <v>32</v>
      </c>
      <c r="D47" s="8">
        <f t="shared" si="10"/>
        <v>6</v>
      </c>
      <c r="E47" s="8">
        <f t="shared" si="11"/>
        <v>29</v>
      </c>
      <c r="F47" s="8">
        <f t="shared" si="12"/>
        <v>34</v>
      </c>
      <c r="G47" s="8">
        <f t="shared" si="13"/>
        <v>49</v>
      </c>
      <c r="H47" s="8">
        <v>1000</v>
      </c>
      <c r="I47" s="8">
        <v>1011</v>
      </c>
      <c r="J47" s="159">
        <f t="shared" si="14"/>
        <v>11</v>
      </c>
      <c r="K47" s="9">
        <v>9777</v>
      </c>
      <c r="L47" s="9">
        <v>9387</v>
      </c>
      <c r="M47" s="134">
        <f t="shared" si="15"/>
        <v>-390</v>
      </c>
    </row>
    <row r="48" spans="1:13" x14ac:dyDescent="0.35">
      <c r="A48" s="2" t="s">
        <v>55</v>
      </c>
      <c r="B48" s="8">
        <f t="shared" si="8"/>
        <v>11</v>
      </c>
      <c r="C48" s="8">
        <f t="shared" si="9"/>
        <v>9</v>
      </c>
      <c r="D48" s="8">
        <f t="shared" si="10"/>
        <v>19</v>
      </c>
      <c r="E48" s="8">
        <f t="shared" si="11"/>
        <v>14</v>
      </c>
      <c r="F48" s="8">
        <f t="shared" si="12"/>
        <v>12</v>
      </c>
      <c r="G48" s="8">
        <f t="shared" si="13"/>
        <v>5</v>
      </c>
      <c r="H48" s="8">
        <v>1027</v>
      </c>
      <c r="I48" s="8">
        <v>1032</v>
      </c>
      <c r="J48" s="159">
        <f t="shared" si="14"/>
        <v>5</v>
      </c>
      <c r="K48" s="9">
        <v>12115</v>
      </c>
      <c r="L48" s="9">
        <v>12807</v>
      </c>
      <c r="M48" s="134">
        <f t="shared" si="15"/>
        <v>692</v>
      </c>
    </row>
    <row r="49" spans="1:13" x14ac:dyDescent="0.35">
      <c r="A49" s="61" t="s">
        <v>56</v>
      </c>
      <c r="B49" s="8">
        <f t="shared" si="8"/>
        <v>28</v>
      </c>
      <c r="C49" s="8">
        <f t="shared" si="9"/>
        <v>28</v>
      </c>
      <c r="D49" s="8">
        <f t="shared" si="10"/>
        <v>26</v>
      </c>
      <c r="E49" s="8">
        <f t="shared" si="11"/>
        <v>8</v>
      </c>
      <c r="F49" s="8">
        <f t="shared" si="12"/>
        <v>8</v>
      </c>
      <c r="G49" s="8">
        <f t="shared" si="13"/>
        <v>24</v>
      </c>
      <c r="H49" s="8">
        <v>1012</v>
      </c>
      <c r="I49" s="8">
        <v>1015</v>
      </c>
      <c r="J49" s="158">
        <f t="shared" si="14"/>
        <v>3</v>
      </c>
      <c r="K49" s="63">
        <v>14491</v>
      </c>
      <c r="L49" s="63">
        <v>14700</v>
      </c>
      <c r="M49" s="135">
        <f t="shared" si="15"/>
        <v>209</v>
      </c>
    </row>
    <row r="50" spans="1:13" x14ac:dyDescent="0.35">
      <c r="A50" s="2" t="s">
        <v>57</v>
      </c>
      <c r="B50" s="8">
        <f t="shared" si="8"/>
        <v>37</v>
      </c>
      <c r="C50" s="8">
        <f t="shared" si="9"/>
        <v>42</v>
      </c>
      <c r="D50" s="8">
        <f t="shared" si="10"/>
        <v>44</v>
      </c>
      <c r="E50" s="8">
        <f t="shared" si="11"/>
        <v>35</v>
      </c>
      <c r="F50" s="8">
        <f t="shared" si="12"/>
        <v>37</v>
      </c>
      <c r="G50" s="8">
        <f t="shared" si="13"/>
        <v>41</v>
      </c>
      <c r="H50" s="8">
        <v>993</v>
      </c>
      <c r="I50" s="8">
        <v>992</v>
      </c>
      <c r="J50" s="159">
        <f t="shared" si="14"/>
        <v>-1</v>
      </c>
      <c r="K50" s="9">
        <v>9303</v>
      </c>
      <c r="L50" s="9">
        <v>9143</v>
      </c>
      <c r="M50" s="134">
        <f t="shared" si="15"/>
        <v>-160</v>
      </c>
    </row>
    <row r="51" spans="1:13" x14ac:dyDescent="0.35">
      <c r="A51" s="2" t="s">
        <v>58</v>
      </c>
      <c r="B51" s="8">
        <f t="shared" si="8"/>
        <v>18</v>
      </c>
      <c r="C51" s="8">
        <f t="shared" si="9"/>
        <v>29</v>
      </c>
      <c r="D51" s="8">
        <f t="shared" si="10"/>
        <v>50</v>
      </c>
      <c r="E51" s="8">
        <f t="shared" si="11"/>
        <v>39</v>
      </c>
      <c r="F51" s="8">
        <f t="shared" si="12"/>
        <v>43</v>
      </c>
      <c r="G51" s="8">
        <f t="shared" si="13"/>
        <v>37</v>
      </c>
      <c r="H51" s="8">
        <v>1021</v>
      </c>
      <c r="I51" s="8">
        <v>1014</v>
      </c>
      <c r="J51" s="159">
        <f t="shared" si="14"/>
        <v>-7</v>
      </c>
      <c r="K51" s="9">
        <v>8881</v>
      </c>
      <c r="L51" s="9">
        <v>8825</v>
      </c>
      <c r="M51" s="134">
        <f t="shared" si="15"/>
        <v>-56</v>
      </c>
    </row>
    <row r="52" spans="1:13" x14ac:dyDescent="0.35">
      <c r="A52" s="2" t="s">
        <v>59</v>
      </c>
      <c r="B52" s="8">
        <f t="shared" si="8"/>
        <v>44</v>
      </c>
      <c r="C52" s="8">
        <f t="shared" si="9"/>
        <v>36</v>
      </c>
      <c r="D52" s="8">
        <f t="shared" si="10"/>
        <v>2</v>
      </c>
      <c r="E52" s="8">
        <f t="shared" si="11"/>
        <v>46</v>
      </c>
      <c r="F52" s="8">
        <f t="shared" si="12"/>
        <v>46</v>
      </c>
      <c r="G52" s="8">
        <f t="shared" si="13"/>
        <v>32</v>
      </c>
      <c r="H52" s="8">
        <v>981</v>
      </c>
      <c r="I52" s="8">
        <v>1003</v>
      </c>
      <c r="J52" s="159">
        <f t="shared" si="14"/>
        <v>22</v>
      </c>
      <c r="K52" s="9">
        <v>8055</v>
      </c>
      <c r="L52" s="9">
        <v>8122</v>
      </c>
      <c r="M52" s="134">
        <f t="shared" si="15"/>
        <v>67</v>
      </c>
    </row>
    <row r="53" spans="1:13" x14ac:dyDescent="0.35">
      <c r="A53" s="2" t="s">
        <v>60</v>
      </c>
      <c r="B53" s="8">
        <f t="shared" si="8"/>
        <v>29</v>
      </c>
      <c r="C53" s="8">
        <f t="shared" si="9"/>
        <v>32</v>
      </c>
      <c r="D53" s="8">
        <f t="shared" si="10"/>
        <v>35</v>
      </c>
      <c r="E53" s="8">
        <f t="shared" si="11"/>
        <v>43</v>
      </c>
      <c r="F53" s="8">
        <f t="shared" si="12"/>
        <v>40</v>
      </c>
      <c r="G53" s="8">
        <f t="shared" si="13"/>
        <v>19</v>
      </c>
      <c r="H53" s="8">
        <v>1010</v>
      </c>
      <c r="I53" s="8">
        <v>1011</v>
      </c>
      <c r="J53" s="159">
        <f t="shared" si="14"/>
        <v>1</v>
      </c>
      <c r="K53" s="9">
        <v>8703</v>
      </c>
      <c r="L53" s="9">
        <v>8968</v>
      </c>
      <c r="M53" s="134">
        <f t="shared" si="15"/>
        <v>265</v>
      </c>
    </row>
    <row r="54" spans="1:13" x14ac:dyDescent="0.35">
      <c r="A54" s="61" t="s">
        <v>61</v>
      </c>
      <c r="B54" s="8">
        <f t="shared" si="8"/>
        <v>27</v>
      </c>
      <c r="C54" s="8">
        <f t="shared" si="9"/>
        <v>21</v>
      </c>
      <c r="D54" s="8">
        <f t="shared" si="10"/>
        <v>12</v>
      </c>
      <c r="E54" s="8">
        <f t="shared" si="11"/>
        <v>51</v>
      </c>
      <c r="F54" s="8">
        <f t="shared" si="12"/>
        <v>51</v>
      </c>
      <c r="G54" s="8">
        <f t="shared" si="13"/>
        <v>17</v>
      </c>
      <c r="H54" s="8">
        <v>1013</v>
      </c>
      <c r="I54" s="8">
        <v>1020</v>
      </c>
      <c r="J54" s="159">
        <f t="shared" si="14"/>
        <v>7</v>
      </c>
      <c r="K54" s="63">
        <v>6314</v>
      </c>
      <c r="L54" s="63">
        <v>6605</v>
      </c>
      <c r="M54" s="134">
        <f t="shared" si="15"/>
        <v>291</v>
      </c>
    </row>
    <row r="55" spans="1:13" x14ac:dyDescent="0.35">
      <c r="A55" s="2" t="s">
        <v>62</v>
      </c>
      <c r="B55" s="8">
        <f t="shared" si="8"/>
        <v>4</v>
      </c>
      <c r="C55" s="8">
        <f t="shared" si="9"/>
        <v>5</v>
      </c>
      <c r="D55" s="8">
        <f t="shared" si="10"/>
        <v>26</v>
      </c>
      <c r="E55" s="8">
        <f t="shared" si="11"/>
        <v>6</v>
      </c>
      <c r="F55" s="8">
        <f t="shared" si="12"/>
        <v>5</v>
      </c>
      <c r="G55" s="8">
        <f t="shared" si="13"/>
        <v>10</v>
      </c>
      <c r="H55" s="8">
        <v>1042</v>
      </c>
      <c r="I55" s="8">
        <v>1045</v>
      </c>
      <c r="J55" s="159">
        <f t="shared" si="14"/>
        <v>3</v>
      </c>
      <c r="K55" s="9">
        <v>15029</v>
      </c>
      <c r="L55" s="9">
        <v>15634</v>
      </c>
      <c r="M55" s="134">
        <f t="shared" si="15"/>
        <v>605</v>
      </c>
    </row>
    <row r="56" spans="1:13" x14ac:dyDescent="0.35">
      <c r="A56" s="2" t="s">
        <v>63</v>
      </c>
      <c r="B56" s="8">
        <f t="shared" si="8"/>
        <v>11</v>
      </c>
      <c r="C56" s="8">
        <f t="shared" si="9"/>
        <v>12</v>
      </c>
      <c r="D56" s="8">
        <f t="shared" si="10"/>
        <v>22</v>
      </c>
      <c r="E56" s="8">
        <f t="shared" si="11"/>
        <v>19</v>
      </c>
      <c r="F56" s="8">
        <f t="shared" si="12"/>
        <v>23</v>
      </c>
      <c r="G56" s="8">
        <f t="shared" si="13"/>
        <v>48</v>
      </c>
      <c r="H56" s="8">
        <v>1027</v>
      </c>
      <c r="I56" s="8">
        <v>1031</v>
      </c>
      <c r="J56" s="159">
        <f t="shared" si="14"/>
        <v>4</v>
      </c>
      <c r="K56" s="9">
        <v>10972</v>
      </c>
      <c r="L56" s="9">
        <v>10676</v>
      </c>
      <c r="M56" s="134">
        <f t="shared" si="15"/>
        <v>-296</v>
      </c>
    </row>
    <row r="57" spans="1:13" x14ac:dyDescent="0.35">
      <c r="A57" s="2" t="s">
        <v>64</v>
      </c>
      <c r="B57" s="8">
        <f t="shared" si="8"/>
        <v>19</v>
      </c>
      <c r="C57" s="8">
        <f t="shared" si="9"/>
        <v>8</v>
      </c>
      <c r="D57" s="8">
        <f t="shared" si="10"/>
        <v>4</v>
      </c>
      <c r="E57" s="8">
        <f t="shared" si="11"/>
        <v>33</v>
      </c>
      <c r="F57" s="8">
        <f t="shared" si="12"/>
        <v>33</v>
      </c>
      <c r="G57" s="8">
        <f t="shared" si="13"/>
        <v>42</v>
      </c>
      <c r="H57" s="8">
        <v>1020</v>
      </c>
      <c r="I57" s="8">
        <v>1033</v>
      </c>
      <c r="J57" s="159">
        <f t="shared" si="14"/>
        <v>13</v>
      </c>
      <c r="K57" s="9">
        <v>9648</v>
      </c>
      <c r="L57" s="9">
        <v>9481</v>
      </c>
      <c r="M57" s="134">
        <f t="shared" si="15"/>
        <v>-167</v>
      </c>
    </row>
    <row r="58" spans="1:13" x14ac:dyDescent="0.35">
      <c r="A58" s="61" t="s">
        <v>65</v>
      </c>
      <c r="B58" s="8">
        <f t="shared" si="8"/>
        <v>45</v>
      </c>
      <c r="C58" s="8">
        <f t="shared" si="9"/>
        <v>46</v>
      </c>
      <c r="D58" s="8">
        <f t="shared" si="10"/>
        <v>19</v>
      </c>
      <c r="E58" s="8">
        <f t="shared" si="11"/>
        <v>21</v>
      </c>
      <c r="F58" s="8">
        <f t="shared" si="12"/>
        <v>16</v>
      </c>
      <c r="G58" s="8">
        <f t="shared" si="13"/>
        <v>2</v>
      </c>
      <c r="H58" s="8">
        <v>978</v>
      </c>
      <c r="I58" s="8">
        <v>983</v>
      </c>
      <c r="J58" s="158">
        <f t="shared" si="14"/>
        <v>5</v>
      </c>
      <c r="K58" s="63">
        <v>10828</v>
      </c>
      <c r="L58" s="63">
        <v>11727</v>
      </c>
      <c r="M58" s="135">
        <f t="shared" si="15"/>
        <v>899</v>
      </c>
    </row>
    <row r="59" spans="1:13" x14ac:dyDescent="0.35">
      <c r="A59" s="61" t="s">
        <v>66</v>
      </c>
      <c r="B59" s="8">
        <f t="shared" si="8"/>
        <v>17</v>
      </c>
      <c r="C59" s="8">
        <f t="shared" si="9"/>
        <v>20</v>
      </c>
      <c r="D59" s="8">
        <f t="shared" si="10"/>
        <v>35</v>
      </c>
      <c r="E59" s="8">
        <f t="shared" si="11"/>
        <v>16</v>
      </c>
      <c r="F59" s="8">
        <f t="shared" si="12"/>
        <v>19</v>
      </c>
      <c r="G59" s="8">
        <f t="shared" si="13"/>
        <v>18</v>
      </c>
      <c r="H59" s="8">
        <v>1022</v>
      </c>
      <c r="I59" s="8">
        <v>1023</v>
      </c>
      <c r="J59" s="159">
        <f t="shared" si="14"/>
        <v>1</v>
      </c>
      <c r="K59" s="9">
        <v>11171</v>
      </c>
      <c r="L59" s="9">
        <v>11439</v>
      </c>
      <c r="M59" s="134">
        <f t="shared" si="15"/>
        <v>268</v>
      </c>
    </row>
    <row r="60" spans="1:13" x14ac:dyDescent="0.35">
      <c r="A60" s="61" t="s">
        <v>67</v>
      </c>
      <c r="B60" s="8">
        <f t="shared" si="8"/>
        <v>14</v>
      </c>
      <c r="C60" s="8">
        <f t="shared" si="9"/>
        <v>9</v>
      </c>
      <c r="D60" s="8">
        <f t="shared" si="10"/>
        <v>15</v>
      </c>
      <c r="E60" s="8">
        <f t="shared" si="11"/>
        <v>7</v>
      </c>
      <c r="F60" s="8">
        <f t="shared" si="12"/>
        <v>7</v>
      </c>
      <c r="G60" s="8">
        <f t="shared" si="13"/>
        <v>7</v>
      </c>
      <c r="H60" s="8">
        <v>1026</v>
      </c>
      <c r="I60" s="8">
        <v>1032</v>
      </c>
      <c r="J60" s="158">
        <f t="shared" si="14"/>
        <v>6</v>
      </c>
      <c r="K60" s="63">
        <v>14747</v>
      </c>
      <c r="L60" s="63">
        <v>15392</v>
      </c>
      <c r="M60" s="135">
        <f t="shared" si="15"/>
        <v>645</v>
      </c>
    </row>
    <row r="61" spans="1:13" x14ac:dyDescent="0.35">
      <c r="A61" s="61" t="s">
        <v>125</v>
      </c>
      <c r="H61" s="62">
        <f t="shared" ref="H61:M61" si="16">AVERAGE(H10:H60)</f>
        <v>1008.8039215686274</v>
      </c>
      <c r="I61" s="62">
        <f t="shared" si="16"/>
        <v>1013.2549019607843</v>
      </c>
      <c r="J61" s="62">
        <f t="shared" si="16"/>
        <v>4.4509803921568629</v>
      </c>
      <c r="K61" s="126">
        <f t="shared" si="16"/>
        <v>10877.705882352941</v>
      </c>
      <c r="L61" s="48">
        <f t="shared" si="16"/>
        <v>11120.490196078432</v>
      </c>
      <c r="M61" s="136">
        <f t="shared" si="16"/>
        <v>242.78431372549019</v>
      </c>
    </row>
    <row r="62" spans="1:13" x14ac:dyDescent="0.35">
      <c r="A62" s="2" t="s">
        <v>126</v>
      </c>
      <c r="H62" s="62">
        <f t="shared" ref="H62:M62" si="17">MAX(H10:H60)-MIN(H10:H60)</f>
        <v>139</v>
      </c>
      <c r="I62" s="62">
        <f t="shared" si="17"/>
        <v>115</v>
      </c>
      <c r="J62" s="62">
        <f t="shared" si="17"/>
        <v>30</v>
      </c>
      <c r="K62" s="48">
        <f t="shared" si="17"/>
        <v>11272</v>
      </c>
      <c r="L62" s="48">
        <f t="shared" si="17"/>
        <v>14534</v>
      </c>
      <c r="M62" s="136">
        <f t="shared" si="17"/>
        <v>4497</v>
      </c>
    </row>
    <row r="63" spans="1:13" x14ac:dyDescent="0.35">
      <c r="A63" s="61" t="s">
        <v>127</v>
      </c>
      <c r="H63" s="70">
        <f t="shared" ref="H63:M63" si="18">_xlfn.STDEV.P(H10:H60)</f>
        <v>25.250136561729828</v>
      </c>
      <c r="I63" s="70">
        <f t="shared" si="18"/>
        <v>23.736166776160008</v>
      </c>
      <c r="J63" s="70">
        <f t="shared" si="18"/>
        <v>5.9088293040765336</v>
      </c>
      <c r="K63" s="71">
        <f t="shared" si="18"/>
        <v>2674.0229976434725</v>
      </c>
      <c r="L63" s="71">
        <f t="shared" si="18"/>
        <v>3034.6328871393662</v>
      </c>
      <c r="M63" s="136">
        <f t="shared" si="18"/>
        <v>620.30932554797528</v>
      </c>
    </row>
  </sheetData>
  <pageMargins left="0.75" right="0.75" top="1" bottom="1" header="0.5" footer="0.5"/>
  <pageSetup scale="73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2011 Total vs. Funding</vt:lpstr>
      <vt:lpstr>2011 Demographic Output</vt:lpstr>
      <vt:lpstr>2009</vt:lpstr>
      <vt:lpstr>2011</vt:lpstr>
      <vt:lpstr>2013</vt:lpstr>
      <vt:lpstr>2015</vt:lpstr>
      <vt:lpstr>2017</vt:lpstr>
      <vt:lpstr>Comparison 09-11</vt:lpstr>
      <vt:lpstr>Comparison 11-13</vt:lpstr>
      <vt:lpstr>Comparison 13-15</vt:lpstr>
      <vt:lpstr>Comparison 15-17</vt:lpstr>
      <vt:lpstr>Trend Data</vt:lpstr>
      <vt:lpstr>Voucher review</vt:lpstr>
      <vt:lpstr>'2009'!Print_Area</vt:lpstr>
      <vt:lpstr>'2011'!Print_Area</vt:lpstr>
      <vt:lpstr>'2013'!Print_Area</vt:lpstr>
      <vt:lpstr>'2015'!Print_Area</vt:lpstr>
      <vt:lpstr>'2017'!Print_Area</vt:lpstr>
      <vt:lpstr>'Comparison 09-11'!Print_Area</vt:lpstr>
      <vt:lpstr>'Comparison 11-13'!Print_Area</vt:lpstr>
      <vt:lpstr>'Comparison 13-15'!Print_Area</vt:lpstr>
      <vt:lpstr>'Comparison 15-17'!Print_Area</vt:lpstr>
      <vt:lpstr>'Trend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Jennings</dc:creator>
  <cp:lastModifiedBy>Jacob</cp:lastModifiedBy>
  <cp:lastPrinted>2013-01-22T02:22:49Z</cp:lastPrinted>
  <dcterms:created xsi:type="dcterms:W3CDTF">2011-03-29T22:11:51Z</dcterms:created>
  <dcterms:modified xsi:type="dcterms:W3CDTF">2018-07-28T03:59:28Z</dcterms:modified>
</cp:coreProperties>
</file>