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1. Personal\My Projects\Funding\"/>
    </mc:Choice>
  </mc:AlternateContent>
  <xr:revisionPtr revIDLastSave="0" documentId="8_{8635436F-457A-4494-B742-4DE6F4A36B0E}" xr6:coauthVersionLast="34" xr6:coauthVersionMax="34" xr10:uidLastSave="{00000000-0000-0000-0000-000000000000}"/>
  <bookViews>
    <workbookView xWindow="0" yWindow="0" windowWidth="38400" windowHeight="14140" xr2:uid="{004A60D4-06B0-4CBC-932E-7823DA28FB0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6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6" i="1"/>
  <c r="R56" i="1"/>
  <c r="Q56" i="1"/>
  <c r="P56" i="1"/>
  <c r="O56" i="1"/>
  <c r="N56" i="1"/>
  <c r="M56" i="1"/>
  <c r="L56" i="1"/>
  <c r="K56" i="1"/>
  <c r="F3" i="1"/>
  <c r="J3" i="1"/>
  <c r="F4" i="1"/>
  <c r="J4" i="1"/>
  <c r="F5" i="1"/>
  <c r="J5" i="1"/>
  <c r="F6" i="1"/>
  <c r="J6" i="1"/>
  <c r="F7" i="1"/>
  <c r="J7" i="1"/>
  <c r="F8" i="1"/>
  <c r="J8" i="1"/>
  <c r="F9" i="1"/>
  <c r="J9" i="1"/>
  <c r="F10" i="1"/>
  <c r="J10" i="1"/>
  <c r="F11" i="1"/>
  <c r="J11" i="1"/>
  <c r="F12" i="1"/>
  <c r="J12" i="1"/>
  <c r="F13" i="1"/>
  <c r="J13" i="1"/>
  <c r="F14" i="1"/>
  <c r="J14" i="1"/>
  <c r="F15" i="1"/>
  <c r="J15" i="1"/>
  <c r="F16" i="1"/>
  <c r="J16" i="1"/>
  <c r="F17" i="1"/>
  <c r="J17" i="1"/>
  <c r="F18" i="1"/>
  <c r="J18" i="1"/>
  <c r="F19" i="1"/>
  <c r="J19" i="1"/>
  <c r="F20" i="1"/>
  <c r="J20" i="1"/>
  <c r="F21" i="1"/>
  <c r="J21" i="1"/>
  <c r="F22" i="1"/>
  <c r="J22" i="1"/>
  <c r="F23" i="1"/>
  <c r="J23" i="1"/>
  <c r="F24" i="1"/>
  <c r="J24" i="1"/>
  <c r="F25" i="1"/>
  <c r="J25" i="1"/>
  <c r="F26" i="1"/>
  <c r="J26" i="1"/>
  <c r="F27" i="1"/>
  <c r="J27" i="1"/>
  <c r="F28" i="1"/>
  <c r="J28" i="1"/>
  <c r="F29" i="1"/>
  <c r="J29" i="1"/>
  <c r="F30" i="1"/>
  <c r="J30" i="1"/>
  <c r="F31" i="1"/>
  <c r="J31" i="1"/>
  <c r="F32" i="1"/>
  <c r="J32" i="1"/>
  <c r="F33" i="1"/>
  <c r="J33" i="1"/>
  <c r="F34" i="1"/>
  <c r="J34" i="1"/>
  <c r="F35" i="1"/>
  <c r="J35" i="1"/>
  <c r="F36" i="1"/>
  <c r="J36" i="1"/>
  <c r="F37" i="1"/>
  <c r="J37" i="1"/>
  <c r="F38" i="1"/>
  <c r="J38" i="1"/>
  <c r="F39" i="1"/>
  <c r="J39" i="1"/>
  <c r="F40" i="1"/>
  <c r="J40" i="1"/>
  <c r="F41" i="1"/>
  <c r="J41" i="1"/>
  <c r="F42" i="1"/>
  <c r="J42" i="1"/>
  <c r="F43" i="1"/>
  <c r="J43" i="1"/>
  <c r="F44" i="1"/>
  <c r="J44" i="1"/>
  <c r="F45" i="1"/>
  <c r="J45" i="1"/>
  <c r="F46" i="1"/>
  <c r="J46" i="1"/>
  <c r="F47" i="1"/>
  <c r="J47" i="1"/>
  <c r="F48" i="1"/>
  <c r="J48" i="1"/>
  <c r="F49" i="1"/>
  <c r="J49" i="1"/>
  <c r="F50" i="1"/>
  <c r="J50" i="1"/>
  <c r="F51" i="1"/>
  <c r="J51" i="1"/>
  <c r="F52" i="1"/>
  <c r="J52" i="1"/>
  <c r="F53" i="1"/>
  <c r="J53" i="1"/>
  <c r="J56" i="1"/>
  <c r="H56" i="1"/>
  <c r="F56" i="1"/>
  <c r="E56" i="1"/>
  <c r="D56" i="1"/>
  <c r="C56" i="1"/>
  <c r="B56" i="1"/>
  <c r="T55" i="1"/>
  <c r="S55" i="1"/>
  <c r="R55" i="1"/>
  <c r="Q55" i="1"/>
  <c r="P55" i="1"/>
  <c r="O55" i="1"/>
  <c r="N55" i="1"/>
  <c r="M55" i="1"/>
  <c r="L55" i="1"/>
  <c r="K55" i="1"/>
  <c r="J55" i="1"/>
  <c r="H55" i="1"/>
  <c r="F55" i="1"/>
  <c r="E55" i="1"/>
  <c r="D55" i="1"/>
  <c r="C55" i="1"/>
  <c r="B55" i="1"/>
  <c r="T54" i="1"/>
  <c r="S54" i="1"/>
  <c r="R54" i="1"/>
  <c r="Q54" i="1"/>
  <c r="P54" i="1"/>
  <c r="O54" i="1"/>
  <c r="N54" i="1"/>
  <c r="M54" i="1"/>
  <c r="L54" i="1"/>
  <c r="K54" i="1"/>
  <c r="J54" i="1"/>
  <c r="H54" i="1"/>
  <c r="F54" i="1"/>
  <c r="E54" i="1"/>
  <c r="D54" i="1"/>
  <c r="C54" i="1"/>
  <c r="B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</calcChain>
</file>

<file path=xl/sharedStrings.xml><?xml version="1.0" encoding="utf-8"?>
<sst xmlns="http://schemas.openxmlformats.org/spreadsheetml/2006/main" count="85" uniqueCount="79">
  <si>
    <t>Score</t>
  </si>
  <si>
    <t>Cost</t>
  </si>
  <si>
    <t>Demographics</t>
  </si>
  <si>
    <t>Teach./Student</t>
  </si>
  <si>
    <t>2009</t>
  </si>
  <si>
    <t>4th Math</t>
  </si>
  <si>
    <t>8th Math</t>
  </si>
  <si>
    <t>4th Reading</t>
  </si>
  <si>
    <t>8th Reading</t>
  </si>
  <si>
    <t>Total</t>
  </si>
  <si>
    <t>Score Rank</t>
  </si>
  <si>
    <t>PPF</t>
  </si>
  <si>
    <t>PPF Rank</t>
  </si>
  <si>
    <t>$ per point</t>
  </si>
  <si>
    <t>White</t>
  </si>
  <si>
    <t>Black</t>
  </si>
  <si>
    <t>Hispanic</t>
  </si>
  <si>
    <t>Asian</t>
  </si>
  <si>
    <t>Nat. Am.</t>
  </si>
  <si>
    <t>IEP</t>
  </si>
  <si>
    <t>ELL</t>
  </si>
  <si>
    <t>At-Risk</t>
  </si>
  <si>
    <t>Charter %</t>
  </si>
  <si>
    <t>Ratio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</si>
  <si>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</si>
  <si>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</si>
  <si>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</si>
  <si>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</si>
  <si>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</si>
  <si>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</si>
  <si>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</si>
  <si>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</si>
  <si>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</si>
  <si>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</si>
  <si>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</si>
  <si>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</si>
  <si>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</si>
  <si>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</si>
  <si>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</si>
  <si>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</si>
  <si>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</si>
  <si>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</si>
  <si>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</si>
  <si>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</si>
  <si>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--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</si>
  <si>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</si>
  <si>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</si>
  <si>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</si>
  <si>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</si>
  <si>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</si>
  <si>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</si>
  <si>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</si>
  <si>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</si>
  <si>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</si>
  <si>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</si>
  <si>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</si>
  <si>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</si>
  <si>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</si>
  <si>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</si>
  <si>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</si>
  <si>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</si>
  <si>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</si>
  <si>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</si>
  <si>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</si>
  <si>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</si>
  <si>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</si>
  <si>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</si>
  <si>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</si>
  <si>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</si>
  <si>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</si>
  <si>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</si>
  <si>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</si>
  <si>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</si>
  <si>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</si>
  <si>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</si>
  <si>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</si>
  <si>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Mean</t>
  </si>
  <si>
    <t>Range</t>
  </si>
  <si>
    <t>Standard Devation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</si>
</sst>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%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6" fontId="0" fillId="0" borderId="0" xfId="0" quotePrefix="1" applyNumberFormat="1" applyAlignment="1">
      <alignment horizontal="center"/>
    </xf>
    <xf numFmtId="166" fontId="0" fillId="0" borderId="0" xfId="0" quotePrefix="1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5" fontId="0" fillId="0" borderId="0" xfId="1" applyNumberFormat="1" applyFont="1" applyBorder="1" applyAlignment="1">
      <alignment horizontal="center"/>
    </xf>
    <xf numFmtId="7" fontId="0" fillId="0" borderId="0" xfId="1" applyNumberFormat="1" applyFont="1" applyBorder="1" applyAlignment="1">
      <alignment horizontal="center"/>
    </xf>
    <xf numFmtId="166" fontId="0" fillId="0" borderId="0" xfId="2" applyNumberFormat="1" applyFont="1" applyBorder="1" applyAlignment="1">
      <alignment horizontal="center"/>
    </xf>
    <xf numFmtId="167" fontId="0" fillId="0" borderId="0" xfId="2" applyNumberFormat="1" applyFont="1" applyBorder="1" applyAlignment="1">
      <alignment horizontal="center"/>
    </xf>
    <xf numFmtId="5" fontId="0" fillId="0" borderId="0" xfId="1" applyNumberFormat="1" applyFont="1" applyAlignment="1">
      <alignment horizontal="center"/>
    </xf>
    <xf numFmtId="7" fontId="0" fillId="0" borderId="0" xfId="1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3">
    <dxf>
      <numFmt numFmtId="167" formatCode="0.0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6" formatCode="0.0%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8807F-7DD9-41E5-931D-D01DAB572B27}" name="Table1" displayName="Table1" ref="A2:T53" totalsRowShown="0" headerRowDxfId="22" dataDxfId="21" headerRowBorderDxfId="20">
  <autoFilter ref="A2:T53" xr:uid="{5C2D0791-ED76-4974-B3E3-868E8C9531F5}"/>
  <sortState ref="A3:T53">
    <sortCondition ref="A2:A53"/>
  </sortState>
  <tableColumns count="20">
    <tableColumn id="1" xr3:uid="{C3B02ABE-B465-4623-9451-1273B2F6BEEF}" name="2009" dataDxfId="19"/>
    <tableColumn id="2" xr3:uid="{952E5BB0-083B-42EB-BD6F-B600C72026A2}" name="4th Math" dataDxfId="18"/>
    <tableColumn id="3" xr3:uid="{3D67A577-EFF5-4753-96BC-7F8441D97EAF}" name="8th Math" dataDxfId="17"/>
    <tableColumn id="4" xr3:uid="{D6C4CF5C-A385-414A-9370-487EE8D494D2}" name="4th Reading" dataDxfId="16"/>
    <tableColumn id="5" xr3:uid="{5D9D896A-417D-4E78-91D6-DA41A7A0A621}" name="8th Reading" dataDxfId="15"/>
    <tableColumn id="6" xr3:uid="{E8E6AB70-10E2-4002-8F92-FA494AAA5B01}" name="Total" dataDxfId="14">
      <calculatedColumnFormula>SUM(B3:E3)</calculatedColumnFormula>
    </tableColumn>
    <tableColumn id="19" xr3:uid="{2027E8B2-2C88-4774-87FC-1F12C97DA634}" name="Score Rank" dataDxfId="13">
      <calculatedColumnFormula>RANK(F3,F$3:F$53)</calculatedColumnFormula>
    </tableColumn>
    <tableColumn id="7" xr3:uid="{07E26A35-7915-4A0D-A2F1-539742974EDF}" name="PPF" dataDxfId="12"/>
    <tableColumn id="20" xr3:uid="{671EB07B-CF19-44C3-B018-9DAB17E41E69}" name="PPF Rank" dataDxfId="11">
      <calculatedColumnFormula>RANK(H3,H$3:H$53)</calculatedColumnFormula>
    </tableColumn>
    <tableColumn id="8" xr3:uid="{1138BD78-8798-4FFC-AEEC-80E89EE6A210}" name="$ per point" dataDxfId="10">
      <calculatedColumnFormula>Table1[[#This Row],[PPF]]/Table1[[#This Row],[Total]]</calculatedColumnFormula>
    </tableColumn>
    <tableColumn id="9" xr3:uid="{9A2CDAF5-4264-4727-BBEF-3EA62EF29A61}" name="White" dataDxfId="9"/>
    <tableColumn id="10" xr3:uid="{B006274B-7B15-4B96-92FC-A4430CD21FC9}" name="Black" dataDxfId="8"/>
    <tableColumn id="11" xr3:uid="{C5DA2902-A813-4E00-A95F-02F6226DA3DF}" name="Hispanic" dataDxfId="7"/>
    <tableColumn id="12" xr3:uid="{C9F72105-648D-43FE-8B73-1A465C7F4514}" name="Asian" dataDxfId="6"/>
    <tableColumn id="13" xr3:uid="{76FDA6D7-B926-40F0-A582-DF1207536C63}" name="Nat. Am." dataDxfId="5"/>
    <tableColumn id="14" xr3:uid="{602508EE-7638-46CD-BD9A-0F5CC1A2BA5E}" name="IEP" dataDxfId="4"/>
    <tableColumn id="15" xr3:uid="{CF7AF2CF-3D4F-4F0D-B4DC-D78F19B660B6}" name="ELL" dataDxfId="3"/>
    <tableColumn id="16" xr3:uid="{209D7EC2-C3AB-4F0E-AB77-87998E86E29D}" name="At-Risk" dataDxfId="2"/>
    <tableColumn id="17" xr3:uid="{77B811CE-460F-4CBA-B3A6-7115E09CAD07}" name="Charter %" dataDxfId="1"/>
    <tableColumn id="18" xr3:uid="{3ECF649F-C584-499B-A391-B2BF7E5EDD6A}" name="Rat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BF7B-F9CF-461A-93FA-457C5EDA2BE3}">
  <dimension ref="A1:T56"/>
  <sheetViews>
    <sheetView tabSelected="1" workbookViewId="0">
      <selection activeCell="C17" sqref="C17"/>
    </sheetView>
  </sheetViews>
  <sheetFormatPr defaultColWidth="11.6328125" defaultRowHeight="14.5" x14ac:dyDescent="0.35"/>
  <cols>
    <col min="1" max="1" width="19.6328125" style="1" customWidth="1"/>
    <col min="2" max="3" width="12.36328125" style="2" customWidth="1"/>
    <col min="4" max="5" width="14.7265625" style="2" customWidth="1"/>
    <col min="6" max="7" width="11.6328125" style="2"/>
    <col min="8" max="8" width="12.54296875" style="2" bestFit="1" customWidth="1"/>
    <col min="9" max="9" width="11.6328125" style="2"/>
    <col min="10" max="10" width="13.81640625" style="2" customWidth="1"/>
    <col min="11" max="18" width="11.6328125" style="2"/>
    <col min="19" max="19" width="12.90625" style="2" customWidth="1"/>
    <col min="20" max="20" width="11.6328125" style="2"/>
  </cols>
  <sheetData>
    <row r="1" spans="1:20" x14ac:dyDescent="0.35">
      <c r="F1" s="2" t="s">
        <v>0</v>
      </c>
      <c r="H1" s="2" t="s">
        <v>1</v>
      </c>
      <c r="K1" s="3"/>
      <c r="L1" s="3"/>
      <c r="M1" s="3"/>
      <c r="N1" s="3" t="s">
        <v>2</v>
      </c>
      <c r="O1" s="3"/>
      <c r="P1" s="3"/>
      <c r="Q1" s="3"/>
      <c r="R1" s="3"/>
      <c r="T1" s="2" t="s">
        <v>3</v>
      </c>
    </row>
    <row r="2" spans="1:20" ht="15" thickBot="1" x14ac:dyDescent="0.4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</row>
    <row r="3" spans="1:20" x14ac:dyDescent="0.35">
      <c r="A3" s="1" t="s">
        <v>24</v>
      </c>
      <c r="B3" s="7">
        <v>228</v>
      </c>
      <c r="C3" s="7">
        <v>269</v>
      </c>
      <c r="D3" s="7">
        <v>216</v>
      </c>
      <c r="E3" s="7">
        <v>255</v>
      </c>
      <c r="F3" s="8">
        <f t="shared" ref="F3:F53" si="0">SUM(B3:E3)</f>
        <v>968</v>
      </c>
      <c r="G3" s="2">
        <f t="shared" ref="G3:G53" si="1">RANK(F3,F$3:F$53)</f>
        <v>46</v>
      </c>
      <c r="H3" s="9">
        <v>9187</v>
      </c>
      <c r="I3" s="2">
        <f t="shared" ref="I3:I53" si="2">RANK(H3,H$3:H$53)</f>
        <v>34</v>
      </c>
      <c r="J3" s="10">
        <f>Table1[[#This Row],[PPF]]/Table1[[#This Row],[Total]]</f>
        <v>9.490702479338843</v>
      </c>
      <c r="K3" s="11">
        <v>0.58799999999999997</v>
      </c>
      <c r="L3" s="11">
        <v>0.35299999999999998</v>
      </c>
      <c r="M3" s="11">
        <v>3.9E-2</v>
      </c>
      <c r="N3" s="11">
        <v>1.2E-2</v>
      </c>
      <c r="O3" s="11">
        <v>8.0000000000000002E-3</v>
      </c>
      <c r="P3" s="11">
        <v>8.9999999999999993E-3</v>
      </c>
      <c r="Q3" s="11">
        <v>2.5999999999999999E-2</v>
      </c>
      <c r="R3" s="11">
        <v>0.52400000000000002</v>
      </c>
      <c r="S3" s="11">
        <f>0/1639</f>
        <v>0</v>
      </c>
      <c r="T3" s="12">
        <v>15.6</v>
      </c>
    </row>
    <row r="4" spans="1:20" x14ac:dyDescent="0.35">
      <c r="A4" s="1" t="s">
        <v>25</v>
      </c>
      <c r="B4" s="7">
        <v>237</v>
      </c>
      <c r="C4" s="7">
        <v>283</v>
      </c>
      <c r="D4" s="7">
        <v>211</v>
      </c>
      <c r="E4" s="7">
        <v>259</v>
      </c>
      <c r="F4" s="8">
        <f t="shared" si="0"/>
        <v>990</v>
      </c>
      <c r="G4" s="2">
        <f t="shared" si="1"/>
        <v>37</v>
      </c>
      <c r="H4" s="9">
        <v>14466</v>
      </c>
      <c r="I4" s="2">
        <f t="shared" si="2"/>
        <v>5</v>
      </c>
      <c r="J4" s="10">
        <f>Table1[[#This Row],[PPF]]/Table1[[#This Row],[Total]]</f>
        <v>14.612121212121211</v>
      </c>
      <c r="K4" s="11">
        <v>0.53300000000000003</v>
      </c>
      <c r="L4" s="11">
        <v>3.5000000000000003E-2</v>
      </c>
      <c r="M4" s="11">
        <v>5.8000000000000003E-2</v>
      </c>
      <c r="N4" s="11">
        <v>7.1999999999999995E-2</v>
      </c>
      <c r="O4" s="11">
        <v>0.23100000000000001</v>
      </c>
      <c r="P4" s="11">
        <v>0.13500000000000001</v>
      </c>
      <c r="Q4" s="11">
        <v>9.1999999999999998E-2</v>
      </c>
      <c r="R4" s="11">
        <v>0.34100000000000003</v>
      </c>
      <c r="S4" s="11">
        <f>24/516</f>
        <v>4.6511627906976744E-2</v>
      </c>
      <c r="T4" s="12">
        <v>16.5</v>
      </c>
    </row>
    <row r="5" spans="1:20" x14ac:dyDescent="0.35">
      <c r="A5" s="1" t="s">
        <v>26</v>
      </c>
      <c r="B5" s="7">
        <v>230</v>
      </c>
      <c r="C5" s="7">
        <v>277</v>
      </c>
      <c r="D5" s="7">
        <v>210</v>
      </c>
      <c r="E5" s="7">
        <v>258</v>
      </c>
      <c r="F5" s="8">
        <f t="shared" si="0"/>
        <v>975</v>
      </c>
      <c r="G5" s="2">
        <f t="shared" si="1"/>
        <v>43</v>
      </c>
      <c r="H5" s="9">
        <v>7889</v>
      </c>
      <c r="I5" s="2">
        <f t="shared" si="2"/>
        <v>46</v>
      </c>
      <c r="J5" s="10">
        <f>Table1[[#This Row],[PPF]]/Table1[[#This Row],[Total]]</f>
        <v>8.091282051282052</v>
      </c>
      <c r="K5" s="11">
        <v>0.44400000000000001</v>
      </c>
      <c r="L5" s="11">
        <v>5.8000000000000003E-2</v>
      </c>
      <c r="M5" s="11">
        <v>0.41399999999999998</v>
      </c>
      <c r="N5" s="11">
        <v>0.03</v>
      </c>
      <c r="O5" s="11">
        <v>5.5E-2</v>
      </c>
      <c r="P5" s="11">
        <v>0.114</v>
      </c>
      <c r="Q5" s="11">
        <v>0.115</v>
      </c>
      <c r="R5" s="11">
        <v>0.47499999999999998</v>
      </c>
      <c r="S5" s="11">
        <f>526/2234</f>
        <v>0.23545210384959714</v>
      </c>
      <c r="T5" s="12">
        <v>19.899999999999999</v>
      </c>
    </row>
    <row r="6" spans="1:20" x14ac:dyDescent="0.35">
      <c r="A6" s="1" t="s">
        <v>27</v>
      </c>
      <c r="B6" s="7">
        <v>238</v>
      </c>
      <c r="C6" s="7">
        <v>276</v>
      </c>
      <c r="D6" s="7">
        <v>216</v>
      </c>
      <c r="E6" s="7">
        <v>258</v>
      </c>
      <c r="F6" s="8">
        <f t="shared" si="0"/>
        <v>988</v>
      </c>
      <c r="G6" s="2">
        <f t="shared" si="1"/>
        <v>40</v>
      </c>
      <c r="H6" s="9">
        <v>8724</v>
      </c>
      <c r="I6" s="2">
        <f t="shared" si="2"/>
        <v>40</v>
      </c>
      <c r="J6" s="10">
        <f>Table1[[#This Row],[PPF]]/Table1[[#This Row],[Total]]</f>
        <v>8.8299595141700404</v>
      </c>
      <c r="K6" s="11">
        <v>0.66600000000000004</v>
      </c>
      <c r="L6" s="11">
        <v>0.224</v>
      </c>
      <c r="M6" s="11">
        <v>8.5999999999999993E-2</v>
      </c>
      <c r="N6" s="11">
        <v>1.6E-2</v>
      </c>
      <c r="O6" s="11">
        <v>7.0000000000000001E-3</v>
      </c>
      <c r="P6" s="11">
        <v>0.13500000000000001</v>
      </c>
      <c r="Q6" s="11">
        <v>5.8000000000000003E-2</v>
      </c>
      <c r="R6" s="11">
        <v>0.57099999999999995</v>
      </c>
      <c r="S6" s="11">
        <f>32/1151</f>
        <v>2.780191138140747E-2</v>
      </c>
      <c r="T6" s="12">
        <v>12.9</v>
      </c>
    </row>
    <row r="7" spans="1:20" x14ac:dyDescent="0.35">
      <c r="A7" s="1" t="s">
        <v>28</v>
      </c>
      <c r="B7" s="7">
        <v>232</v>
      </c>
      <c r="C7" s="7">
        <v>270</v>
      </c>
      <c r="D7" s="7">
        <v>210</v>
      </c>
      <c r="E7" s="7">
        <v>253</v>
      </c>
      <c r="F7" s="8">
        <f t="shared" si="0"/>
        <v>965</v>
      </c>
      <c r="G7" s="2">
        <f t="shared" si="1"/>
        <v>47</v>
      </c>
      <c r="H7" s="9">
        <v>9610</v>
      </c>
      <c r="I7" s="2">
        <f t="shared" si="2"/>
        <v>29</v>
      </c>
      <c r="J7" s="10">
        <f>Table1[[#This Row],[PPF]]/Table1[[#This Row],[Total]]</f>
        <v>9.9585492227979273</v>
      </c>
      <c r="K7" s="11">
        <v>0.27900000000000003</v>
      </c>
      <c r="L7" s="11">
        <v>7.2999999999999995E-2</v>
      </c>
      <c r="M7" s="11">
        <v>0.49</v>
      </c>
      <c r="N7" s="11">
        <v>0.11700000000000001</v>
      </c>
      <c r="O7" s="11">
        <v>7.0000000000000001E-3</v>
      </c>
      <c r="P7" s="11">
        <v>0.106</v>
      </c>
      <c r="Q7" s="11">
        <v>0.24199999999999999</v>
      </c>
      <c r="R7" s="11">
        <v>0.52400000000000002</v>
      </c>
      <c r="S7" s="11">
        <f>789/10233</f>
        <v>7.7103488712987389E-2</v>
      </c>
      <c r="T7" s="12">
        <v>20.8</v>
      </c>
    </row>
    <row r="8" spans="1:20" x14ac:dyDescent="0.35">
      <c r="A8" s="1" t="s">
        <v>29</v>
      </c>
      <c r="B8" s="7">
        <v>243</v>
      </c>
      <c r="C8" s="7">
        <v>287</v>
      </c>
      <c r="D8" s="7">
        <v>226</v>
      </c>
      <c r="E8" s="7">
        <v>266</v>
      </c>
      <c r="F8" s="8">
        <f t="shared" si="0"/>
        <v>1022</v>
      </c>
      <c r="G8" s="2">
        <f t="shared" si="1"/>
        <v>14</v>
      </c>
      <c r="H8" s="9">
        <v>9242</v>
      </c>
      <c r="I8" s="2">
        <f t="shared" si="2"/>
        <v>33</v>
      </c>
      <c r="J8" s="10">
        <f>Table1[[#This Row],[PPF]]/Table1[[#This Row],[Total]]</f>
        <v>9.0430528375733861</v>
      </c>
      <c r="K8" s="11">
        <v>0.60899999999999999</v>
      </c>
      <c r="L8" s="11">
        <v>0.06</v>
      </c>
      <c r="M8" s="11">
        <v>0.28399999999999997</v>
      </c>
      <c r="N8" s="11">
        <v>3.5999999999999997E-2</v>
      </c>
      <c r="O8" s="11">
        <v>1.2E-2</v>
      </c>
      <c r="P8" s="11">
        <v>0.10199999999999999</v>
      </c>
      <c r="Q8" s="11">
        <v>0.109</v>
      </c>
      <c r="R8" s="11">
        <v>0.35399999999999998</v>
      </c>
      <c r="S8" s="11">
        <f>153/1837</f>
        <v>8.3287969515514426E-2</v>
      </c>
      <c r="T8" s="12">
        <v>16.8</v>
      </c>
    </row>
    <row r="9" spans="1:20" x14ac:dyDescent="0.35">
      <c r="A9" s="1" t="s">
        <v>30</v>
      </c>
      <c r="B9" s="7">
        <v>245</v>
      </c>
      <c r="C9" s="7">
        <v>289</v>
      </c>
      <c r="D9" s="7">
        <v>229</v>
      </c>
      <c r="E9" s="7">
        <v>272</v>
      </c>
      <c r="F9" s="8">
        <f t="shared" si="0"/>
        <v>1035</v>
      </c>
      <c r="G9" s="2">
        <f t="shared" si="1"/>
        <v>6</v>
      </c>
      <c r="H9" s="9">
        <v>14496</v>
      </c>
      <c r="I9" s="2">
        <f t="shared" si="2"/>
        <v>4</v>
      </c>
      <c r="J9" s="10">
        <f>Table1[[#This Row],[PPF]]/Table1[[#This Row],[Total]]</f>
        <v>14.005797101449275</v>
      </c>
      <c r="K9" s="11">
        <v>0.64500000000000002</v>
      </c>
      <c r="L9" s="11">
        <v>0.13900000000000001</v>
      </c>
      <c r="M9" s="11">
        <v>0.17100000000000001</v>
      </c>
      <c r="N9" s="11">
        <v>4.2000000000000003E-2</v>
      </c>
      <c r="O9" s="11">
        <v>4.0000000000000001E-3</v>
      </c>
      <c r="P9" s="11">
        <v>0.122</v>
      </c>
      <c r="Q9" s="11">
        <v>5.1999999999999998E-2</v>
      </c>
      <c r="R9" s="11">
        <v>0.30199999999999999</v>
      </c>
      <c r="S9" s="11">
        <f>18/1163</f>
        <v>1.5477214101461736E-2</v>
      </c>
      <c r="T9" s="12">
        <v>11.7</v>
      </c>
    </row>
    <row r="10" spans="1:20" x14ac:dyDescent="0.35">
      <c r="A10" s="13" t="s">
        <v>31</v>
      </c>
      <c r="B10" s="14">
        <v>219</v>
      </c>
      <c r="C10" s="14">
        <v>254</v>
      </c>
      <c r="D10" s="14">
        <v>202</v>
      </c>
      <c r="E10" s="14">
        <v>242</v>
      </c>
      <c r="F10" s="8">
        <f t="shared" si="0"/>
        <v>917</v>
      </c>
      <c r="G10" s="2">
        <f t="shared" si="1"/>
        <v>51</v>
      </c>
      <c r="H10" s="15">
        <v>17603</v>
      </c>
      <c r="I10" s="2">
        <f t="shared" si="2"/>
        <v>1</v>
      </c>
      <c r="J10" s="16">
        <f>Table1[[#This Row],[PPF]]/Table1[[#This Row],[Total]]</f>
        <v>19.196292257360959</v>
      </c>
      <c r="K10" s="17">
        <v>0.06</v>
      </c>
      <c r="L10" s="17">
        <v>0.81499999999999995</v>
      </c>
      <c r="M10" s="17">
        <v>0.108</v>
      </c>
      <c r="N10" s="17">
        <v>1.6E-2</v>
      </c>
      <c r="O10" s="17">
        <v>1E-3</v>
      </c>
      <c r="P10" s="17">
        <v>0.155</v>
      </c>
      <c r="Q10" s="17">
        <v>8.5000000000000006E-2</v>
      </c>
      <c r="R10" s="17">
        <v>0.67100000000000004</v>
      </c>
      <c r="S10" s="17">
        <f>90/265</f>
        <v>0.33962264150943394</v>
      </c>
      <c r="T10" s="18">
        <v>12.9</v>
      </c>
    </row>
    <row r="11" spans="1:20" x14ac:dyDescent="0.35">
      <c r="A11" s="1" t="s">
        <v>32</v>
      </c>
      <c r="B11" s="7">
        <v>239</v>
      </c>
      <c r="C11" s="7">
        <v>284</v>
      </c>
      <c r="D11" s="7">
        <v>226</v>
      </c>
      <c r="E11" s="7">
        <v>265</v>
      </c>
      <c r="F11" s="8">
        <f t="shared" si="0"/>
        <v>1014</v>
      </c>
      <c r="G11" s="2">
        <f t="shared" si="1"/>
        <v>22</v>
      </c>
      <c r="H11" s="9">
        <v>12184</v>
      </c>
      <c r="I11" s="2">
        <f t="shared" si="2"/>
        <v>11</v>
      </c>
      <c r="J11" s="10">
        <f>Table1[[#This Row],[PPF]]/Table1[[#This Row],[Total]]</f>
        <v>12.01577909270217</v>
      </c>
      <c r="K11" s="11">
        <v>0.52100000000000002</v>
      </c>
      <c r="L11" s="11">
        <v>0.33200000000000002</v>
      </c>
      <c r="M11" s="11">
        <v>0.109</v>
      </c>
      <c r="N11" s="11">
        <v>3.4000000000000002E-2</v>
      </c>
      <c r="O11" s="11">
        <v>4.0000000000000001E-3</v>
      </c>
      <c r="P11" s="11">
        <v>0.151</v>
      </c>
      <c r="Q11" s="11">
        <v>5.7000000000000002E-2</v>
      </c>
      <c r="R11" s="11">
        <v>0.39500000000000002</v>
      </c>
      <c r="S11" s="11">
        <f>21/244</f>
        <v>8.6065573770491802E-2</v>
      </c>
      <c r="T11" s="12">
        <v>15.1</v>
      </c>
    </row>
    <row r="12" spans="1:20" x14ac:dyDescent="0.35">
      <c r="A12" s="1" t="s">
        <v>33</v>
      </c>
      <c r="B12" s="7">
        <v>242</v>
      </c>
      <c r="C12" s="7">
        <v>279</v>
      </c>
      <c r="D12" s="7">
        <v>226</v>
      </c>
      <c r="E12" s="7">
        <v>264</v>
      </c>
      <c r="F12" s="8">
        <f t="shared" si="0"/>
        <v>1011</v>
      </c>
      <c r="G12" s="2">
        <f t="shared" si="1"/>
        <v>27</v>
      </c>
      <c r="H12" s="9">
        <v>9067</v>
      </c>
      <c r="I12" s="2">
        <f t="shared" si="2"/>
        <v>38</v>
      </c>
      <c r="J12" s="10">
        <f>Table1[[#This Row],[PPF]]/Table1[[#This Row],[Total]]</f>
        <v>8.9683481701285857</v>
      </c>
      <c r="K12" s="11">
        <v>0.47</v>
      </c>
      <c r="L12" s="11">
        <v>0.24</v>
      </c>
      <c r="M12" s="11">
        <v>0.26100000000000001</v>
      </c>
      <c r="N12" s="11">
        <v>2.5999999999999999E-2</v>
      </c>
      <c r="O12" s="11">
        <v>3.0000000000000001E-3</v>
      </c>
      <c r="P12" s="11">
        <v>0.14599999999999999</v>
      </c>
      <c r="Q12" s="11">
        <v>8.5999999999999993E-2</v>
      </c>
      <c r="R12" s="11">
        <v>0.496</v>
      </c>
      <c r="S12" s="11">
        <f>465/4491</f>
        <v>0.10354041416165664</v>
      </c>
      <c r="T12" s="12">
        <v>14.1</v>
      </c>
    </row>
    <row r="13" spans="1:20" x14ac:dyDescent="0.35">
      <c r="A13" s="1" t="s">
        <v>34</v>
      </c>
      <c r="B13" s="7">
        <v>236</v>
      </c>
      <c r="C13" s="7">
        <v>278</v>
      </c>
      <c r="D13" s="7">
        <v>218</v>
      </c>
      <c r="E13" s="7">
        <v>260</v>
      </c>
      <c r="F13" s="8">
        <f t="shared" si="0"/>
        <v>992</v>
      </c>
      <c r="G13" s="2">
        <f t="shared" si="1"/>
        <v>36</v>
      </c>
      <c r="H13" s="9">
        <v>9839</v>
      </c>
      <c r="I13" s="2">
        <f t="shared" si="2"/>
        <v>26</v>
      </c>
      <c r="J13" s="10">
        <f>Table1[[#This Row],[PPF]]/Table1[[#This Row],[Total]]</f>
        <v>9.918346774193548</v>
      </c>
      <c r="K13" s="11">
        <v>0.47199999999999998</v>
      </c>
      <c r="L13" s="11">
        <v>0.39</v>
      </c>
      <c r="M13" s="11">
        <v>0.104</v>
      </c>
      <c r="N13" s="11">
        <v>3.3000000000000002E-2</v>
      </c>
      <c r="O13" s="11">
        <v>2E-3</v>
      </c>
      <c r="P13" s="11">
        <v>0.109</v>
      </c>
      <c r="Q13" s="11">
        <v>0.05</v>
      </c>
      <c r="R13" s="11">
        <v>0.53</v>
      </c>
      <c r="S13" s="11">
        <f>63/2600</f>
        <v>2.4230769230769229E-2</v>
      </c>
      <c r="T13" s="12">
        <v>13.9</v>
      </c>
    </row>
    <row r="14" spans="1:20" x14ac:dyDescent="0.35">
      <c r="A14" s="1" t="s">
        <v>35</v>
      </c>
      <c r="B14" s="7">
        <v>236</v>
      </c>
      <c r="C14" s="7">
        <v>274</v>
      </c>
      <c r="D14" s="7">
        <v>211</v>
      </c>
      <c r="E14" s="7">
        <v>255</v>
      </c>
      <c r="F14" s="8">
        <f t="shared" si="0"/>
        <v>976</v>
      </c>
      <c r="G14" s="2">
        <f t="shared" si="1"/>
        <v>42</v>
      </c>
      <c r="H14" s="9">
        <v>11745</v>
      </c>
      <c r="I14" s="2">
        <f t="shared" si="2"/>
        <v>14</v>
      </c>
      <c r="J14" s="10">
        <f>Table1[[#This Row],[PPF]]/Table1[[#This Row],[Total]]</f>
        <v>12.033811475409836</v>
      </c>
      <c r="K14" s="11">
        <v>0.19500000000000001</v>
      </c>
      <c r="L14" s="11">
        <v>2.3E-2</v>
      </c>
      <c r="M14" s="11">
        <v>4.5999999999999999E-2</v>
      </c>
      <c r="N14" s="11">
        <v>0.72899999999999998</v>
      </c>
      <c r="O14" s="11">
        <v>6.0000000000000001E-3</v>
      </c>
      <c r="P14" s="11">
        <v>0.112</v>
      </c>
      <c r="Q14" s="11">
        <v>0.10299999999999999</v>
      </c>
      <c r="R14" s="11">
        <v>0.41699999999999998</v>
      </c>
      <c r="S14" s="11">
        <f>31/290</f>
        <v>0.10689655172413794</v>
      </c>
      <c r="T14" s="12">
        <v>15.9</v>
      </c>
    </row>
    <row r="15" spans="1:20" x14ac:dyDescent="0.35">
      <c r="A15" s="1" t="s">
        <v>36</v>
      </c>
      <c r="B15" s="7">
        <v>241</v>
      </c>
      <c r="C15" s="7">
        <v>287</v>
      </c>
      <c r="D15" s="7">
        <v>221</v>
      </c>
      <c r="E15" s="14">
        <v>265</v>
      </c>
      <c r="F15" s="8">
        <f t="shared" si="0"/>
        <v>1014</v>
      </c>
      <c r="G15" s="2">
        <f t="shared" si="1"/>
        <v>22</v>
      </c>
      <c r="H15" s="9">
        <v>7074</v>
      </c>
      <c r="I15" s="2">
        <f t="shared" si="2"/>
        <v>50</v>
      </c>
      <c r="J15" s="10">
        <f>Table1[[#This Row],[PPF]]/Table1[[#This Row],[Total]]</f>
        <v>6.9763313609467454</v>
      </c>
      <c r="K15" s="11">
        <v>0.81200000000000006</v>
      </c>
      <c r="L15" s="11">
        <v>1.2999999999999999E-2</v>
      </c>
      <c r="M15" s="11">
        <v>0.14099999999999999</v>
      </c>
      <c r="N15" s="11">
        <v>1.7000000000000001E-2</v>
      </c>
      <c r="O15" s="11">
        <v>1.7000000000000001E-2</v>
      </c>
      <c r="P15" s="11">
        <v>0.10199999999999999</v>
      </c>
      <c r="Q15" s="11">
        <v>6.4000000000000001E-2</v>
      </c>
      <c r="R15" s="11">
        <v>0.39700000000000002</v>
      </c>
      <c r="S15" s="11">
        <f>31/764</f>
        <v>4.0575916230366493E-2</v>
      </c>
      <c r="T15" s="12">
        <v>18.2</v>
      </c>
    </row>
    <row r="16" spans="1:20" x14ac:dyDescent="0.35">
      <c r="A16" s="1" t="s">
        <v>37</v>
      </c>
      <c r="B16" s="7">
        <v>238</v>
      </c>
      <c r="C16" s="7">
        <v>282</v>
      </c>
      <c r="D16" s="7">
        <v>219</v>
      </c>
      <c r="E16" s="7">
        <v>265</v>
      </c>
      <c r="F16" s="8">
        <f t="shared" si="0"/>
        <v>1004</v>
      </c>
      <c r="G16" s="2">
        <f t="shared" si="1"/>
        <v>33</v>
      </c>
      <c r="H16" s="9">
        <v>10326</v>
      </c>
      <c r="I16" s="2">
        <f t="shared" si="2"/>
        <v>19</v>
      </c>
      <c r="J16" s="10">
        <f>Table1[[#This Row],[PPF]]/Table1[[#This Row],[Total]]</f>
        <v>10.284860557768924</v>
      </c>
      <c r="K16" s="11">
        <v>0.54300000000000004</v>
      </c>
      <c r="L16" s="11">
        <v>0.2</v>
      </c>
      <c r="M16" s="11">
        <v>0.21299999999999999</v>
      </c>
      <c r="N16" s="11">
        <v>4.2000000000000003E-2</v>
      </c>
      <c r="O16" s="11">
        <v>2E-3</v>
      </c>
      <c r="P16" s="11">
        <v>0.15</v>
      </c>
      <c r="Q16" s="11">
        <v>9.7000000000000003E-2</v>
      </c>
      <c r="R16" s="11">
        <v>0.39300000000000002</v>
      </c>
      <c r="S16" s="11">
        <f>39/4450</f>
        <v>8.7640449438202254E-3</v>
      </c>
      <c r="T16" s="12">
        <v>15.6</v>
      </c>
    </row>
    <row r="17" spans="1:20" x14ac:dyDescent="0.35">
      <c r="A17" s="1" t="s">
        <v>38</v>
      </c>
      <c r="B17" s="7">
        <v>243</v>
      </c>
      <c r="C17" s="7">
        <v>287</v>
      </c>
      <c r="D17" s="7">
        <v>223</v>
      </c>
      <c r="E17" s="7">
        <v>266</v>
      </c>
      <c r="F17" s="8">
        <f t="shared" si="0"/>
        <v>1019</v>
      </c>
      <c r="G17" s="2">
        <f t="shared" si="1"/>
        <v>17</v>
      </c>
      <c r="H17" s="9">
        <v>8874</v>
      </c>
      <c r="I17" s="2">
        <f t="shared" si="2"/>
        <v>39</v>
      </c>
      <c r="J17" s="10">
        <f>Table1[[#This Row],[PPF]]/Table1[[#This Row],[Total]]</f>
        <v>8.7085377821393521</v>
      </c>
      <c r="K17" s="11">
        <v>0.78300000000000003</v>
      </c>
      <c r="L17" s="11">
        <v>0.128</v>
      </c>
      <c r="M17" s="11">
        <v>7.0999999999999994E-2</v>
      </c>
      <c r="N17" s="11">
        <v>1.4999999999999999E-2</v>
      </c>
      <c r="O17" s="11">
        <v>3.0000000000000001E-3</v>
      </c>
      <c r="P17" s="11">
        <v>0.16800000000000001</v>
      </c>
      <c r="Q17" s="11">
        <v>4.3999999999999997E-2</v>
      </c>
      <c r="R17" s="11">
        <v>0.41799999999999998</v>
      </c>
      <c r="S17" s="11">
        <f>51/1995</f>
        <v>2.5563909774436091E-2</v>
      </c>
      <c r="T17" s="12">
        <v>16.7</v>
      </c>
    </row>
    <row r="18" spans="1:20" x14ac:dyDescent="0.35">
      <c r="A18" s="1" t="s">
        <v>39</v>
      </c>
      <c r="B18" s="7">
        <v>243</v>
      </c>
      <c r="C18" s="7">
        <v>284</v>
      </c>
      <c r="D18" s="7">
        <v>221</v>
      </c>
      <c r="E18" s="7">
        <v>265</v>
      </c>
      <c r="F18" s="8">
        <f t="shared" si="0"/>
        <v>1013</v>
      </c>
      <c r="G18" s="2">
        <f t="shared" si="1"/>
        <v>24</v>
      </c>
      <c r="H18" s="9">
        <v>9346</v>
      </c>
      <c r="I18" s="2">
        <f t="shared" si="2"/>
        <v>31</v>
      </c>
      <c r="J18" s="10">
        <f>Table1[[#This Row],[PPF]]/Table1[[#This Row],[Total]]</f>
        <v>9.2260612043435337</v>
      </c>
      <c r="K18" s="11">
        <v>0.84499999999999997</v>
      </c>
      <c r="L18" s="11">
        <v>5.8000000000000003E-2</v>
      </c>
      <c r="M18" s="11">
        <v>7.0000000000000007E-2</v>
      </c>
      <c r="N18" s="11">
        <v>2.1999999999999999E-2</v>
      </c>
      <c r="O18" s="11">
        <v>6.0000000000000001E-3</v>
      </c>
      <c r="P18" s="11">
        <v>0.13800000000000001</v>
      </c>
      <c r="Q18" s="11">
        <v>4.2000000000000003E-2</v>
      </c>
      <c r="R18" s="11">
        <v>0.34399999999999997</v>
      </c>
      <c r="S18" s="11">
        <f>9/1525</f>
        <v>5.9016393442622951E-3</v>
      </c>
      <c r="T18" s="12">
        <v>13.6</v>
      </c>
    </row>
    <row r="19" spans="1:20" x14ac:dyDescent="0.35">
      <c r="A19" s="1" t="s">
        <v>40</v>
      </c>
      <c r="B19" s="7">
        <v>245</v>
      </c>
      <c r="C19" s="7">
        <v>289</v>
      </c>
      <c r="D19" s="7">
        <v>224</v>
      </c>
      <c r="E19" s="7">
        <v>267</v>
      </c>
      <c r="F19" s="8">
        <f t="shared" si="0"/>
        <v>1025</v>
      </c>
      <c r="G19" s="2">
        <f t="shared" si="1"/>
        <v>10</v>
      </c>
      <c r="H19" s="9">
        <v>9857</v>
      </c>
      <c r="I19" s="2">
        <f t="shared" si="2"/>
        <v>25</v>
      </c>
      <c r="J19" s="10">
        <f>Table1[[#This Row],[PPF]]/Table1[[#This Row],[Total]]</f>
        <v>9.6165853658536591</v>
      </c>
      <c r="K19" s="11">
        <v>0.72799999999999998</v>
      </c>
      <c r="L19" s="11">
        <v>8.7999999999999995E-2</v>
      </c>
      <c r="M19" s="11">
        <v>0.14000000000000001</v>
      </c>
      <c r="N19" s="11">
        <v>2.8000000000000001E-2</v>
      </c>
      <c r="O19" s="11">
        <v>1.6E-2</v>
      </c>
      <c r="P19" s="11">
        <v>0.14000000000000001</v>
      </c>
      <c r="Q19" s="11">
        <v>7.1999999999999995E-2</v>
      </c>
      <c r="R19" s="11">
        <v>0.42899999999999999</v>
      </c>
      <c r="S19" s="11">
        <f>35/1447</f>
        <v>2.4187975120939877E-2</v>
      </c>
      <c r="T19" s="12">
        <v>13.1</v>
      </c>
    </row>
    <row r="20" spans="1:20" x14ac:dyDescent="0.35">
      <c r="A20" s="1" t="s">
        <v>41</v>
      </c>
      <c r="B20" s="7">
        <v>239</v>
      </c>
      <c r="C20" s="7">
        <v>279</v>
      </c>
      <c r="D20" s="7">
        <v>226</v>
      </c>
      <c r="E20" s="7">
        <v>267</v>
      </c>
      <c r="F20" s="8">
        <f t="shared" si="0"/>
        <v>1011</v>
      </c>
      <c r="G20" s="2">
        <f t="shared" si="1"/>
        <v>27</v>
      </c>
      <c r="H20" s="9">
        <v>8522</v>
      </c>
      <c r="I20" s="2">
        <f t="shared" si="2"/>
        <v>42</v>
      </c>
      <c r="J20" s="10">
        <f>Table1[[#This Row],[PPF]]/Table1[[#This Row],[Total]]</f>
        <v>8.4292779426310585</v>
      </c>
      <c r="K20" s="11">
        <v>0.84699999999999998</v>
      </c>
      <c r="L20" s="11">
        <v>0.11</v>
      </c>
      <c r="M20" s="11">
        <v>0.03</v>
      </c>
      <c r="N20" s="11">
        <v>1.0999999999999999E-2</v>
      </c>
      <c r="O20" s="11">
        <v>1E-3</v>
      </c>
      <c r="P20" s="11">
        <v>0.161</v>
      </c>
      <c r="Q20" s="11">
        <v>2.1999999999999999E-2</v>
      </c>
      <c r="R20" s="11">
        <v>0.51600000000000001</v>
      </c>
      <c r="S20" s="11">
        <f>0/1560</f>
        <v>0</v>
      </c>
      <c r="T20" s="12">
        <v>15.4</v>
      </c>
    </row>
    <row r="21" spans="1:20" x14ac:dyDescent="0.35">
      <c r="A21" s="1" t="s">
        <v>42</v>
      </c>
      <c r="B21" s="7">
        <v>229</v>
      </c>
      <c r="C21" s="7">
        <v>272</v>
      </c>
      <c r="D21" s="7">
        <v>207</v>
      </c>
      <c r="E21" s="7">
        <v>253</v>
      </c>
      <c r="F21" s="8">
        <f t="shared" si="0"/>
        <v>961</v>
      </c>
      <c r="G21" s="2">
        <f t="shared" si="1"/>
        <v>49</v>
      </c>
      <c r="H21" s="9">
        <v>10082</v>
      </c>
      <c r="I21" s="2">
        <f t="shared" si="2"/>
        <v>21</v>
      </c>
      <c r="J21" s="10">
        <f>Table1[[#This Row],[PPF]]/Table1[[#This Row],[Total]]</f>
        <v>10.491155046826222</v>
      </c>
      <c r="K21" s="11">
        <v>0.48799999999999999</v>
      </c>
      <c r="L21" s="11">
        <v>0.46100000000000002</v>
      </c>
      <c r="M21" s="11">
        <v>2.9000000000000001E-2</v>
      </c>
      <c r="N21" s="11">
        <v>1.4E-2</v>
      </c>
      <c r="O21" s="11">
        <v>8.0000000000000002E-3</v>
      </c>
      <c r="P21" s="11">
        <v>0.126</v>
      </c>
      <c r="Q21" s="11">
        <v>1.7999999999999999E-2</v>
      </c>
      <c r="R21" s="11">
        <v>0.64900000000000002</v>
      </c>
      <c r="S21" s="11">
        <f>88/1660</f>
        <v>5.3012048192771083E-2</v>
      </c>
      <c r="T21" s="12">
        <v>13.9</v>
      </c>
    </row>
    <row r="22" spans="1:20" x14ac:dyDescent="0.35">
      <c r="A22" s="1" t="s">
        <v>43</v>
      </c>
      <c r="B22" s="7">
        <v>244</v>
      </c>
      <c r="C22" s="7">
        <v>286</v>
      </c>
      <c r="D22" s="7">
        <v>224</v>
      </c>
      <c r="E22" s="7">
        <v>268</v>
      </c>
      <c r="F22" s="8">
        <f t="shared" si="0"/>
        <v>1022</v>
      </c>
      <c r="G22" s="2">
        <f t="shared" si="1"/>
        <v>14</v>
      </c>
      <c r="H22" s="9">
        <v>11898</v>
      </c>
      <c r="I22" s="2">
        <f t="shared" si="2"/>
        <v>12</v>
      </c>
      <c r="J22" s="10">
        <f>Table1[[#This Row],[PPF]]/Table1[[#This Row],[Total]]</f>
        <v>11.641878669275929</v>
      </c>
      <c r="K22" s="11">
        <v>0.93700000000000006</v>
      </c>
      <c r="L22" s="11">
        <v>2.7E-2</v>
      </c>
      <c r="M22" s="11">
        <v>1.2E-2</v>
      </c>
      <c r="N22" s="11">
        <v>1.6E-2</v>
      </c>
      <c r="O22" s="11">
        <v>8.0000000000000002E-3</v>
      </c>
      <c r="P22" s="11">
        <v>0.159</v>
      </c>
      <c r="Q22" s="19" t="s">
        <v>44</v>
      </c>
      <c r="R22" s="11">
        <v>0.38100000000000001</v>
      </c>
      <c r="S22" s="11">
        <f>0/675%</f>
        <v>0</v>
      </c>
      <c r="T22" s="12">
        <v>12.1</v>
      </c>
    </row>
    <row r="23" spans="1:20" x14ac:dyDescent="0.35">
      <c r="A23" s="1" t="s">
        <v>45</v>
      </c>
      <c r="B23" s="7">
        <v>244</v>
      </c>
      <c r="C23" s="7">
        <v>288</v>
      </c>
      <c r="D23" s="7">
        <v>226</v>
      </c>
      <c r="E23" s="7">
        <v>267</v>
      </c>
      <c r="F23" s="8">
        <f t="shared" si="0"/>
        <v>1025</v>
      </c>
      <c r="G23" s="2">
        <f t="shared" si="1"/>
        <v>10</v>
      </c>
      <c r="H23" s="9">
        <v>13142</v>
      </c>
      <c r="I23" s="2">
        <f t="shared" si="2"/>
        <v>10</v>
      </c>
      <c r="J23" s="10">
        <f>Table1[[#This Row],[PPF]]/Table1[[#This Row],[Total]]</f>
        <v>12.821463414634147</v>
      </c>
      <c r="K23" s="11">
        <v>0.46200000000000002</v>
      </c>
      <c r="L23" s="11">
        <v>0.38</v>
      </c>
      <c r="M23" s="11">
        <v>9.5000000000000001E-2</v>
      </c>
      <c r="N23" s="11">
        <v>5.8999999999999997E-2</v>
      </c>
      <c r="O23" s="11">
        <v>4.0000000000000001E-3</v>
      </c>
      <c r="P23" s="11">
        <v>0.122</v>
      </c>
      <c r="Q23" s="19" t="s">
        <v>44</v>
      </c>
      <c r="R23" s="11">
        <v>0.34699999999999998</v>
      </c>
      <c r="S23" s="11">
        <f>34/1470</f>
        <v>2.3129251700680271E-2</v>
      </c>
      <c r="T23" s="12">
        <v>14.3</v>
      </c>
    </row>
    <row r="24" spans="1:20" x14ac:dyDescent="0.35">
      <c r="A24" s="1" t="s">
        <v>46</v>
      </c>
      <c r="B24" s="7">
        <v>252</v>
      </c>
      <c r="C24" s="7">
        <v>299</v>
      </c>
      <c r="D24" s="7">
        <v>234</v>
      </c>
      <c r="E24" s="7">
        <v>274</v>
      </c>
      <c r="F24" s="8">
        <f t="shared" si="0"/>
        <v>1059</v>
      </c>
      <c r="G24" s="2">
        <f t="shared" si="1"/>
        <v>1</v>
      </c>
      <c r="H24" s="9">
        <v>13586</v>
      </c>
      <c r="I24" s="2">
        <f t="shared" si="2"/>
        <v>9</v>
      </c>
      <c r="J24" s="10">
        <f>Table1[[#This Row],[PPF]]/Table1[[#This Row],[Total]]</f>
        <v>12.829084041548631</v>
      </c>
      <c r="K24" s="11">
        <v>0.69899999999999995</v>
      </c>
      <c r="L24" s="11">
        <v>8.2000000000000003E-2</v>
      </c>
      <c r="M24" s="11">
        <v>0.14299999999999999</v>
      </c>
      <c r="N24" s="11">
        <v>5.1999999999999998E-2</v>
      </c>
      <c r="O24" s="11">
        <v>3.0000000000000001E-3</v>
      </c>
      <c r="P24" s="11">
        <v>0.17599999999999999</v>
      </c>
      <c r="Q24" s="11">
        <v>5.0999999999999997E-2</v>
      </c>
      <c r="R24" s="11">
        <v>0.307</v>
      </c>
      <c r="S24" s="11">
        <f>61/1901</f>
        <v>3.2088374539715941E-2</v>
      </c>
      <c r="T24" s="12">
        <v>13.6</v>
      </c>
    </row>
    <row r="25" spans="1:20" x14ac:dyDescent="0.35">
      <c r="A25" s="1" t="s">
        <v>47</v>
      </c>
      <c r="B25" s="7">
        <v>236</v>
      </c>
      <c r="C25" s="7">
        <v>278</v>
      </c>
      <c r="D25" s="7">
        <v>218</v>
      </c>
      <c r="E25" s="7">
        <v>262</v>
      </c>
      <c r="F25" s="8">
        <f t="shared" si="0"/>
        <v>994</v>
      </c>
      <c r="G25" s="2">
        <f t="shared" si="1"/>
        <v>35</v>
      </c>
      <c r="H25" s="9">
        <v>9945</v>
      </c>
      <c r="I25" s="2">
        <f t="shared" si="2"/>
        <v>24</v>
      </c>
      <c r="J25" s="10">
        <f>Table1[[#This Row],[PPF]]/Table1[[#This Row],[Total]]</f>
        <v>10.00503018108652</v>
      </c>
      <c r="K25" s="11">
        <v>0.71399999999999997</v>
      </c>
      <c r="L25" s="11">
        <v>0.20200000000000001</v>
      </c>
      <c r="M25" s="11">
        <v>4.8000000000000001E-2</v>
      </c>
      <c r="N25" s="11">
        <v>2.7E-2</v>
      </c>
      <c r="O25" s="11">
        <v>8.9999999999999993E-3</v>
      </c>
      <c r="P25" s="11">
        <v>0.14000000000000001</v>
      </c>
      <c r="Q25" s="11">
        <v>3.6999999999999998E-2</v>
      </c>
      <c r="R25" s="11">
        <v>0.41799999999999998</v>
      </c>
      <c r="S25" s="11">
        <f>283/4225</f>
        <v>6.6982248520710053E-2</v>
      </c>
      <c r="T25" s="12">
        <v>17.5</v>
      </c>
    </row>
    <row r="26" spans="1:20" x14ac:dyDescent="0.35">
      <c r="A26" s="1" t="s">
        <v>48</v>
      </c>
      <c r="B26" s="7">
        <v>249</v>
      </c>
      <c r="C26" s="7">
        <v>294</v>
      </c>
      <c r="D26" s="7">
        <v>223</v>
      </c>
      <c r="E26" s="7">
        <v>270</v>
      </c>
      <c r="F26" s="8">
        <f t="shared" si="0"/>
        <v>1036</v>
      </c>
      <c r="G26" s="2">
        <f t="shared" si="1"/>
        <v>5</v>
      </c>
      <c r="H26" s="9">
        <v>10012</v>
      </c>
      <c r="I26" s="2">
        <f t="shared" si="2"/>
        <v>23</v>
      </c>
      <c r="J26" s="10">
        <f>Table1[[#This Row],[PPF]]/Table1[[#This Row],[Total]]</f>
        <v>9.6640926640926637</v>
      </c>
      <c r="K26" s="11">
        <v>0.75600000000000001</v>
      </c>
      <c r="L26" s="11">
        <v>9.6000000000000002E-2</v>
      </c>
      <c r="M26" s="11">
        <v>6.4000000000000001E-2</v>
      </c>
      <c r="N26" s="11">
        <v>6.2E-2</v>
      </c>
      <c r="O26" s="11">
        <v>2.1999999999999999E-2</v>
      </c>
      <c r="P26" s="11">
        <v>0.14399999999999999</v>
      </c>
      <c r="Q26" s="11">
        <v>7.3999999999999996E-2</v>
      </c>
      <c r="R26" s="11">
        <v>0.32700000000000001</v>
      </c>
      <c r="S26" s="11">
        <f>180/2755</f>
        <v>6.5335753176043551E-2</v>
      </c>
      <c r="T26" s="12">
        <v>15.7</v>
      </c>
    </row>
    <row r="27" spans="1:20" x14ac:dyDescent="0.35">
      <c r="A27" s="1" t="s">
        <v>49</v>
      </c>
      <c r="B27" s="7">
        <v>227</v>
      </c>
      <c r="C27" s="7">
        <v>265</v>
      </c>
      <c r="D27" s="7">
        <v>211</v>
      </c>
      <c r="E27" s="7">
        <v>251</v>
      </c>
      <c r="F27" s="8">
        <f t="shared" si="0"/>
        <v>954</v>
      </c>
      <c r="G27" s="2">
        <f t="shared" si="1"/>
        <v>50</v>
      </c>
      <c r="H27" s="9">
        <v>7875</v>
      </c>
      <c r="I27" s="2">
        <f t="shared" si="2"/>
        <v>47</v>
      </c>
      <c r="J27" s="10">
        <f>Table1[[#This Row],[PPF]]/Table1[[#This Row],[Total]]</f>
        <v>8.2547169811320753</v>
      </c>
      <c r="K27" s="11">
        <v>0.46300000000000002</v>
      </c>
      <c r="L27" s="11">
        <v>0.505</v>
      </c>
      <c r="M27" s="11">
        <v>2.1000000000000001E-2</v>
      </c>
      <c r="N27" s="11">
        <v>8.9999999999999993E-3</v>
      </c>
      <c r="O27" s="11">
        <v>2E-3</v>
      </c>
      <c r="P27" s="19" t="s">
        <v>44</v>
      </c>
      <c r="Q27" s="11">
        <v>1.2999999999999999E-2</v>
      </c>
      <c r="R27" s="11">
        <v>0.68300000000000005</v>
      </c>
      <c r="S27" s="11">
        <f>1/1089</f>
        <v>9.1827364554637281E-4</v>
      </c>
      <c r="T27" s="12">
        <v>14.7</v>
      </c>
    </row>
    <row r="28" spans="1:20" x14ac:dyDescent="0.35">
      <c r="A28" s="1" t="s">
        <v>50</v>
      </c>
      <c r="B28" s="7">
        <v>241</v>
      </c>
      <c r="C28" s="7">
        <v>286</v>
      </c>
      <c r="D28" s="7">
        <v>224</v>
      </c>
      <c r="E28" s="7">
        <v>267</v>
      </c>
      <c r="F28" s="8">
        <f t="shared" si="0"/>
        <v>1018</v>
      </c>
      <c r="G28" s="2">
        <f t="shared" si="1"/>
        <v>20</v>
      </c>
      <c r="H28" s="9">
        <v>9480</v>
      </c>
      <c r="I28" s="2">
        <f t="shared" si="2"/>
        <v>30</v>
      </c>
      <c r="J28" s="10">
        <f>Table1[[#This Row],[PPF]]/Table1[[#This Row],[Total]]</f>
        <v>9.3123772102161109</v>
      </c>
      <c r="K28" s="11">
        <v>0.76</v>
      </c>
      <c r="L28" s="11">
        <v>0.17799999999999999</v>
      </c>
      <c r="M28" s="11">
        <v>3.9E-2</v>
      </c>
      <c r="N28" s="11">
        <v>1.9E-2</v>
      </c>
      <c r="O28" s="11">
        <v>4.0000000000000001E-3</v>
      </c>
      <c r="P28" s="11">
        <v>0.14499999999999999</v>
      </c>
      <c r="Q28" s="11">
        <v>1.7999999999999999E-2</v>
      </c>
      <c r="R28" s="11">
        <v>0.38700000000000001</v>
      </c>
      <c r="S28" s="11">
        <f>41/2444</f>
        <v>1.6775777414075287E-2</v>
      </c>
      <c r="T28" s="12">
        <v>13.6</v>
      </c>
    </row>
    <row r="29" spans="1:20" x14ac:dyDescent="0.35">
      <c r="A29" s="1" t="s">
        <v>51</v>
      </c>
      <c r="B29" s="7">
        <v>244</v>
      </c>
      <c r="C29" s="7">
        <v>292</v>
      </c>
      <c r="D29" s="7">
        <v>225</v>
      </c>
      <c r="E29" s="7">
        <v>270</v>
      </c>
      <c r="F29" s="8">
        <f t="shared" si="0"/>
        <v>1031</v>
      </c>
      <c r="G29" s="2">
        <f t="shared" si="1"/>
        <v>8</v>
      </c>
      <c r="H29" s="9">
        <v>9695</v>
      </c>
      <c r="I29" s="2">
        <f t="shared" si="2"/>
        <v>27</v>
      </c>
      <c r="J29" s="10">
        <f>Table1[[#This Row],[PPF]]/Table1[[#This Row],[Total]]</f>
        <v>9.4034917555771091</v>
      </c>
      <c r="K29" s="11">
        <v>0.83699999999999997</v>
      </c>
      <c r="L29" s="11">
        <v>0.01</v>
      </c>
      <c r="M29" s="11">
        <v>2.5999999999999999E-2</v>
      </c>
      <c r="N29" s="11">
        <v>1.2E-2</v>
      </c>
      <c r="O29" s="11">
        <v>0.114</v>
      </c>
      <c r="P29" s="11">
        <v>0.124</v>
      </c>
      <c r="Q29" s="11">
        <v>3.2000000000000001E-2</v>
      </c>
      <c r="R29" s="11">
        <v>0.36699999999999999</v>
      </c>
      <c r="S29" s="11">
        <f>0/833</f>
        <v>0</v>
      </c>
      <c r="T29" s="12">
        <v>13.6</v>
      </c>
    </row>
    <row r="30" spans="1:20" x14ac:dyDescent="0.35">
      <c r="A30" s="1" t="s">
        <v>52</v>
      </c>
      <c r="B30" s="7">
        <v>239</v>
      </c>
      <c r="C30" s="7">
        <v>284</v>
      </c>
      <c r="D30" s="7">
        <v>223</v>
      </c>
      <c r="E30" s="7">
        <v>267</v>
      </c>
      <c r="F30" s="8">
        <f t="shared" si="0"/>
        <v>1013</v>
      </c>
      <c r="G30" s="2">
        <f t="shared" si="1"/>
        <v>24</v>
      </c>
      <c r="H30" s="9">
        <v>10583</v>
      </c>
      <c r="I30" s="2">
        <f t="shared" si="2"/>
        <v>18</v>
      </c>
      <c r="J30" s="10">
        <f>Table1[[#This Row],[PPF]]/Table1[[#This Row],[Total]]</f>
        <v>10.447186574531095</v>
      </c>
      <c r="K30" s="11">
        <v>0.746</v>
      </c>
      <c r="L30" s="11">
        <v>8.1000000000000003E-2</v>
      </c>
      <c r="M30" s="11">
        <v>0.13500000000000001</v>
      </c>
      <c r="N30" s="11">
        <v>2.1000000000000001E-2</v>
      </c>
      <c r="O30" s="11">
        <v>1.7000000000000001E-2</v>
      </c>
      <c r="P30" s="11">
        <v>0.151</v>
      </c>
      <c r="Q30" s="11">
        <v>6.3E-2</v>
      </c>
      <c r="R30" s="11">
        <v>0.38400000000000001</v>
      </c>
      <c r="S30" s="11">
        <f>0/1158</f>
        <v>0</v>
      </c>
      <c r="T30" s="12">
        <v>13.3</v>
      </c>
    </row>
    <row r="31" spans="1:20" x14ac:dyDescent="0.35">
      <c r="A31" s="1" t="s">
        <v>53</v>
      </c>
      <c r="B31" s="7">
        <v>235</v>
      </c>
      <c r="C31" s="7">
        <v>274</v>
      </c>
      <c r="D31" s="7">
        <v>211</v>
      </c>
      <c r="E31" s="7">
        <v>254</v>
      </c>
      <c r="F31" s="8">
        <f t="shared" si="0"/>
        <v>974</v>
      </c>
      <c r="G31" s="2">
        <f t="shared" si="1"/>
        <v>44</v>
      </c>
      <c r="H31" s="9">
        <v>8285</v>
      </c>
      <c r="I31" s="2">
        <f t="shared" si="2"/>
        <v>44</v>
      </c>
      <c r="J31" s="10">
        <f>Table1[[#This Row],[PPF]]/Table1[[#This Row],[Total]]</f>
        <v>8.5061601642710478</v>
      </c>
      <c r="K31" s="11">
        <v>0.42299999999999999</v>
      </c>
      <c r="L31" s="11">
        <v>0.112</v>
      </c>
      <c r="M31" s="11">
        <v>0.36899999999999999</v>
      </c>
      <c r="N31" s="11">
        <v>8.1000000000000003E-2</v>
      </c>
      <c r="O31" s="11">
        <v>1.4999999999999999E-2</v>
      </c>
      <c r="P31" s="11">
        <v>0.111</v>
      </c>
      <c r="Q31" s="11">
        <v>0.17499999999999999</v>
      </c>
      <c r="R31" s="11">
        <v>0.39</v>
      </c>
      <c r="S31" s="11">
        <f>23/625</f>
        <v>3.6799999999999999E-2</v>
      </c>
      <c r="T31" s="12">
        <v>19.7</v>
      </c>
    </row>
    <row r="32" spans="1:20" x14ac:dyDescent="0.35">
      <c r="A32" s="1" t="s">
        <v>54</v>
      </c>
      <c r="B32" s="7">
        <v>251</v>
      </c>
      <c r="C32" s="7">
        <v>292</v>
      </c>
      <c r="D32" s="7">
        <v>229</v>
      </c>
      <c r="E32" s="7">
        <v>271</v>
      </c>
      <c r="F32" s="8">
        <f t="shared" si="0"/>
        <v>1043</v>
      </c>
      <c r="G32" s="2">
        <f t="shared" si="1"/>
        <v>2</v>
      </c>
      <c r="H32" s="9">
        <v>11787</v>
      </c>
      <c r="I32" s="2">
        <f t="shared" si="2"/>
        <v>13</v>
      </c>
      <c r="J32" s="10">
        <f>Table1[[#This Row],[PPF]]/Table1[[#This Row],[Total]]</f>
        <v>11.301054650047938</v>
      </c>
      <c r="K32" s="11">
        <v>0.91900000000000004</v>
      </c>
      <c r="L32" s="11">
        <v>2.1000000000000001E-2</v>
      </c>
      <c r="M32" s="11">
        <v>3.3000000000000002E-2</v>
      </c>
      <c r="N32" s="11">
        <v>2.4E-2</v>
      </c>
      <c r="O32" s="11">
        <v>3.0000000000000001E-3</v>
      </c>
      <c r="P32" s="11">
        <v>0.152</v>
      </c>
      <c r="Q32" s="11">
        <v>1.7999999999999999E-2</v>
      </c>
      <c r="R32" s="11">
        <v>0.20499999999999999</v>
      </c>
      <c r="S32" s="11">
        <f>15/497</f>
        <v>3.0181086519114688E-2</v>
      </c>
      <c r="T32" s="12">
        <v>12.6</v>
      </c>
    </row>
    <row r="33" spans="1:20" x14ac:dyDescent="0.35">
      <c r="A33" s="1" t="s">
        <v>55</v>
      </c>
      <c r="B33" s="7">
        <v>247</v>
      </c>
      <c r="C33" s="7">
        <v>293</v>
      </c>
      <c r="D33" s="7">
        <v>229</v>
      </c>
      <c r="E33" s="14">
        <v>273</v>
      </c>
      <c r="F33" s="8">
        <f t="shared" si="0"/>
        <v>1042</v>
      </c>
      <c r="G33" s="2">
        <f t="shared" si="1"/>
        <v>3</v>
      </c>
      <c r="H33" s="9">
        <v>17537</v>
      </c>
      <c r="I33" s="2">
        <f t="shared" si="2"/>
        <v>2</v>
      </c>
      <c r="J33" s="10">
        <f>Table1[[#This Row],[PPF]]/Table1[[#This Row],[Total]]</f>
        <v>16.830134357005758</v>
      </c>
      <c r="K33" s="11">
        <v>0.54</v>
      </c>
      <c r="L33" s="11">
        <v>0.17100000000000001</v>
      </c>
      <c r="M33" s="11">
        <v>0.19900000000000001</v>
      </c>
      <c r="N33" s="11">
        <v>8.5000000000000006E-2</v>
      </c>
      <c r="O33" s="11">
        <v>2E-3</v>
      </c>
      <c r="P33" s="11">
        <v>0.16600000000000001</v>
      </c>
      <c r="Q33" s="11">
        <v>3.9E-2</v>
      </c>
      <c r="R33" s="11">
        <v>0.3</v>
      </c>
      <c r="S33" s="11">
        <f>68/2615</f>
        <v>2.6003824091778201E-2</v>
      </c>
      <c r="T33" s="12">
        <v>12</v>
      </c>
    </row>
    <row r="34" spans="1:20" x14ac:dyDescent="0.35">
      <c r="A34" s="1" t="s">
        <v>56</v>
      </c>
      <c r="B34" s="7">
        <v>230</v>
      </c>
      <c r="C34" s="7">
        <v>270</v>
      </c>
      <c r="D34" s="7">
        <v>208</v>
      </c>
      <c r="E34" s="7">
        <v>254</v>
      </c>
      <c r="F34" s="8">
        <f t="shared" si="0"/>
        <v>962</v>
      </c>
      <c r="G34" s="2">
        <f t="shared" si="1"/>
        <v>48</v>
      </c>
      <c r="H34" s="9">
        <v>9314</v>
      </c>
      <c r="I34" s="2">
        <f t="shared" si="2"/>
        <v>32</v>
      </c>
      <c r="J34" s="10">
        <f>Table1[[#This Row],[PPF]]/Table1[[#This Row],[Total]]</f>
        <v>9.6819126819126815</v>
      </c>
      <c r="K34" s="11">
        <v>0.28899999999999998</v>
      </c>
      <c r="L34" s="11">
        <v>2.5999999999999999E-2</v>
      </c>
      <c r="M34" s="11">
        <v>0.56100000000000005</v>
      </c>
      <c r="N34" s="11">
        <v>1.4E-2</v>
      </c>
      <c r="O34" s="11">
        <v>0.11</v>
      </c>
      <c r="P34" s="11">
        <v>0.13900000000000001</v>
      </c>
      <c r="Q34" s="19" t="s">
        <v>44</v>
      </c>
      <c r="R34" s="11">
        <v>0.61699999999999999</v>
      </c>
      <c r="S34" s="11">
        <f>67/867</f>
        <v>7.7277970011534025E-2</v>
      </c>
      <c r="T34" s="12">
        <v>14.5</v>
      </c>
    </row>
    <row r="35" spans="1:20" x14ac:dyDescent="0.35">
      <c r="A35" s="13" t="s">
        <v>57</v>
      </c>
      <c r="B35" s="14">
        <v>241</v>
      </c>
      <c r="C35" s="14">
        <v>283</v>
      </c>
      <c r="D35" s="14">
        <v>224</v>
      </c>
      <c r="E35" s="14">
        <v>264</v>
      </c>
      <c r="F35" s="8">
        <f t="shared" si="0"/>
        <v>1012</v>
      </c>
      <c r="G35" s="2">
        <f t="shared" si="1"/>
        <v>26</v>
      </c>
      <c r="H35" s="15">
        <v>16529</v>
      </c>
      <c r="I35" s="2">
        <f t="shared" si="2"/>
        <v>3</v>
      </c>
      <c r="J35" s="10">
        <f>Table1[[#This Row],[PPF]]/Table1[[#This Row],[Total]]</f>
        <v>16.333003952569172</v>
      </c>
      <c r="K35" s="17">
        <v>0.51100000000000001</v>
      </c>
      <c r="L35" s="17">
        <v>0.193</v>
      </c>
      <c r="M35" s="17">
        <v>0.214</v>
      </c>
      <c r="N35" s="17">
        <v>7.6999999999999999E-2</v>
      </c>
      <c r="O35" s="17">
        <v>5.0000000000000001E-3</v>
      </c>
      <c r="P35" s="17">
        <v>0.16200000000000001</v>
      </c>
      <c r="Q35" s="17">
        <v>6.7000000000000004E-2</v>
      </c>
      <c r="R35" s="17">
        <v>0.44700000000000001</v>
      </c>
      <c r="S35" s="17">
        <f>119/4717</f>
        <v>2.5227899088403647E-2</v>
      </c>
      <c r="T35" s="18">
        <v>12.6</v>
      </c>
    </row>
    <row r="36" spans="1:20" x14ac:dyDescent="0.35">
      <c r="A36" s="1" t="s">
        <v>58</v>
      </c>
      <c r="B36" s="7">
        <v>244</v>
      </c>
      <c r="C36" s="7">
        <v>284</v>
      </c>
      <c r="D36" s="7">
        <v>219</v>
      </c>
      <c r="E36" s="7">
        <v>260</v>
      </c>
      <c r="F36" s="8">
        <f t="shared" si="0"/>
        <v>1007</v>
      </c>
      <c r="G36" s="2">
        <f t="shared" si="1"/>
        <v>30</v>
      </c>
      <c r="H36" s="9">
        <v>8041</v>
      </c>
      <c r="I36" s="2">
        <f t="shared" si="2"/>
        <v>45</v>
      </c>
      <c r="J36" s="10">
        <f>Table1[[#This Row],[PPF]]/Table1[[#This Row],[Total]]</f>
        <v>7.9851042701092352</v>
      </c>
      <c r="K36" s="11">
        <v>0.54300000000000004</v>
      </c>
      <c r="L36" s="11">
        <v>0.312</v>
      </c>
      <c r="M36" s="11">
        <v>0.106</v>
      </c>
      <c r="N36" s="11">
        <v>2.5000000000000001E-2</v>
      </c>
      <c r="O36" s="11">
        <v>1.4E-2</v>
      </c>
      <c r="P36" s="11">
        <v>0.126</v>
      </c>
      <c r="Q36" s="11">
        <v>7.5999999999999998E-2</v>
      </c>
      <c r="R36" s="11">
        <v>0.33900000000000002</v>
      </c>
      <c r="S36" s="11">
        <f>96/2583</f>
        <v>3.7166085946573751E-2</v>
      </c>
      <c r="T36" s="12">
        <v>13.6</v>
      </c>
    </row>
    <row r="37" spans="1:20" x14ac:dyDescent="0.35">
      <c r="A37" s="1" t="s">
        <v>59</v>
      </c>
      <c r="B37" s="7">
        <v>245</v>
      </c>
      <c r="C37" s="7">
        <v>293</v>
      </c>
      <c r="D37" s="7">
        <v>226</v>
      </c>
      <c r="E37" s="7">
        <v>269</v>
      </c>
      <c r="F37" s="8">
        <f t="shared" si="0"/>
        <v>1033</v>
      </c>
      <c r="G37" s="2">
        <f t="shared" si="1"/>
        <v>7</v>
      </c>
      <c r="H37" s="9">
        <v>9168</v>
      </c>
      <c r="I37" s="2">
        <f t="shared" si="2"/>
        <v>36</v>
      </c>
      <c r="J37" s="10">
        <f>Table1[[#This Row],[PPF]]/Table1[[#This Row],[Total]]</f>
        <v>8.8751210067763786</v>
      </c>
      <c r="K37" s="11">
        <v>0.85299999999999998</v>
      </c>
      <c r="L37" s="11">
        <v>2.1999999999999999E-2</v>
      </c>
      <c r="M37" s="11">
        <v>2.1999999999999999E-2</v>
      </c>
      <c r="N37" s="11">
        <v>1.0999999999999999E-2</v>
      </c>
      <c r="O37" s="11">
        <v>9.1999999999999998E-2</v>
      </c>
      <c r="P37" s="11">
        <v>0.14000000000000001</v>
      </c>
      <c r="Q37" s="11">
        <v>3.6999999999999998E-2</v>
      </c>
      <c r="R37" s="11">
        <v>0.316</v>
      </c>
      <c r="S37" s="11">
        <f>0/529</f>
        <v>0</v>
      </c>
      <c r="T37" s="12">
        <v>11.6</v>
      </c>
    </row>
    <row r="38" spans="1:20" x14ac:dyDescent="0.35">
      <c r="A38" s="1" t="s">
        <v>60</v>
      </c>
      <c r="B38" s="7">
        <v>244</v>
      </c>
      <c r="C38" s="7">
        <v>286</v>
      </c>
      <c r="D38" s="7">
        <v>225</v>
      </c>
      <c r="E38" s="7">
        <v>269</v>
      </c>
      <c r="F38" s="8">
        <f t="shared" si="0"/>
        <v>1024</v>
      </c>
      <c r="G38" s="2">
        <f t="shared" si="1"/>
        <v>13</v>
      </c>
      <c r="H38" s="9">
        <v>10289</v>
      </c>
      <c r="I38" s="2">
        <f t="shared" si="2"/>
        <v>20</v>
      </c>
      <c r="J38" s="10">
        <f>Table1[[#This Row],[PPF]]/Table1[[#This Row],[Total]]</f>
        <v>10.0478515625</v>
      </c>
      <c r="K38" s="11">
        <v>0.78400000000000003</v>
      </c>
      <c r="L38" s="11">
        <v>0.16900000000000001</v>
      </c>
      <c r="M38" s="11">
        <v>2.8000000000000001E-2</v>
      </c>
      <c r="N38" s="11">
        <v>1.7000000000000001E-2</v>
      </c>
      <c r="O38" s="11">
        <v>1E-3</v>
      </c>
      <c r="P38" s="11">
        <v>0.14599999999999999</v>
      </c>
      <c r="Q38" s="11">
        <v>0.02</v>
      </c>
      <c r="R38" s="11">
        <v>0.36399999999999999</v>
      </c>
      <c r="S38" s="11">
        <f>341/3968</f>
        <v>8.59375E-2</v>
      </c>
      <c r="T38" s="12">
        <v>16.100000000000001</v>
      </c>
    </row>
    <row r="39" spans="1:20" x14ac:dyDescent="0.35">
      <c r="A39" s="13" t="s">
        <v>61</v>
      </c>
      <c r="B39" s="14">
        <v>237</v>
      </c>
      <c r="C39" s="14">
        <v>276</v>
      </c>
      <c r="D39" s="14">
        <v>217</v>
      </c>
      <c r="E39" s="14">
        <v>259</v>
      </c>
      <c r="F39" s="8">
        <f t="shared" si="0"/>
        <v>989</v>
      </c>
      <c r="G39" s="2">
        <f t="shared" si="1"/>
        <v>38</v>
      </c>
      <c r="H39" s="15">
        <v>7715</v>
      </c>
      <c r="I39" s="2">
        <f t="shared" si="2"/>
        <v>48</v>
      </c>
      <c r="J39" s="10">
        <f>Table1[[#This Row],[PPF]]/Table1[[#This Row],[Total]]</f>
        <v>7.8008088978766432</v>
      </c>
      <c r="K39" s="17">
        <v>0.57299999999999995</v>
      </c>
      <c r="L39" s="17">
        <v>0.109</v>
      </c>
      <c r="M39" s="17">
        <v>0.105</v>
      </c>
      <c r="N39" s="17">
        <v>2.1000000000000001E-2</v>
      </c>
      <c r="O39" s="17">
        <v>0.192</v>
      </c>
      <c r="P39" s="20" t="s">
        <v>44</v>
      </c>
      <c r="Q39" s="20" t="s">
        <v>44</v>
      </c>
      <c r="R39" s="17">
        <v>0.56100000000000005</v>
      </c>
      <c r="S39" s="17">
        <f>16/1806</f>
        <v>8.8593576965669985E-3</v>
      </c>
      <c r="T39" s="18">
        <v>13.9</v>
      </c>
    </row>
    <row r="40" spans="1:20" x14ac:dyDescent="0.35">
      <c r="A40" s="1" t="s">
        <v>62</v>
      </c>
      <c r="B40" s="7">
        <v>238</v>
      </c>
      <c r="C40" s="7">
        <v>285</v>
      </c>
      <c r="D40" s="7">
        <v>218</v>
      </c>
      <c r="E40" s="7">
        <v>265</v>
      </c>
      <c r="F40" s="8">
        <f t="shared" si="0"/>
        <v>1006</v>
      </c>
      <c r="G40" s="2">
        <f t="shared" si="1"/>
        <v>31</v>
      </c>
      <c r="H40" s="9">
        <v>9615</v>
      </c>
      <c r="I40" s="2">
        <f t="shared" si="2"/>
        <v>28</v>
      </c>
      <c r="J40" s="10">
        <f>Table1[[#This Row],[PPF]]/Table1[[#This Row],[Total]]</f>
        <v>9.5576540755467203</v>
      </c>
      <c r="K40" s="11">
        <v>0.71699999999999997</v>
      </c>
      <c r="L40" s="11">
        <v>3.1E-2</v>
      </c>
      <c r="M40" s="11">
        <v>0.18099999999999999</v>
      </c>
      <c r="N40" s="11">
        <v>0.05</v>
      </c>
      <c r="O40" s="11">
        <v>2.1000000000000001E-2</v>
      </c>
      <c r="P40" s="11">
        <v>0.14099999999999999</v>
      </c>
      <c r="Q40" s="11">
        <v>0.112</v>
      </c>
      <c r="R40" s="11">
        <v>0.46</v>
      </c>
      <c r="S40" s="11">
        <f>87/1318</f>
        <v>6.6009104704097113E-2</v>
      </c>
      <c r="T40" s="12">
        <v>19.100000000000001</v>
      </c>
    </row>
    <row r="41" spans="1:20" x14ac:dyDescent="0.35">
      <c r="A41" s="1" t="s">
        <v>63</v>
      </c>
      <c r="B41" s="7">
        <v>244</v>
      </c>
      <c r="C41" s="7">
        <v>288</v>
      </c>
      <c r="D41" s="7">
        <v>224</v>
      </c>
      <c r="E41" s="7">
        <v>271</v>
      </c>
      <c r="F41" s="8">
        <f t="shared" si="0"/>
        <v>1027</v>
      </c>
      <c r="G41" s="2">
        <f t="shared" si="1"/>
        <v>9</v>
      </c>
      <c r="H41" s="9">
        <v>11307</v>
      </c>
      <c r="I41" s="2">
        <f t="shared" si="2"/>
        <v>15</v>
      </c>
      <c r="J41" s="10">
        <f>Table1[[#This Row],[PPF]]/Table1[[#This Row],[Total]]</f>
        <v>11.009737098344694</v>
      </c>
      <c r="K41" s="11">
        <v>0.73599999999999999</v>
      </c>
      <c r="L41" s="11">
        <v>0.158</v>
      </c>
      <c r="M41" s="11">
        <v>7.4999999999999997E-2</v>
      </c>
      <c r="N41" s="11">
        <v>2.9000000000000001E-2</v>
      </c>
      <c r="O41" s="11">
        <v>2E-3</v>
      </c>
      <c r="P41" s="11">
        <v>0.16700000000000001</v>
      </c>
      <c r="Q41" s="11">
        <v>2.5999999999999999E-2</v>
      </c>
      <c r="R41" s="11">
        <v>0.33400000000000002</v>
      </c>
      <c r="S41" s="11">
        <f>127/3280</f>
        <v>3.8719512195121951E-2</v>
      </c>
      <c r="T41" s="12">
        <v>13.7</v>
      </c>
    </row>
    <row r="42" spans="1:20" x14ac:dyDescent="0.35">
      <c r="A42" s="1" t="s">
        <v>64</v>
      </c>
      <c r="B42" s="7">
        <v>239</v>
      </c>
      <c r="C42" s="7">
        <v>278</v>
      </c>
      <c r="D42" s="7">
        <v>223</v>
      </c>
      <c r="E42" s="7">
        <v>260</v>
      </c>
      <c r="F42" s="8">
        <f t="shared" si="0"/>
        <v>1000</v>
      </c>
      <c r="G42" s="2">
        <f t="shared" si="1"/>
        <v>34</v>
      </c>
      <c r="H42" s="9">
        <v>14079</v>
      </c>
      <c r="I42" s="2">
        <f t="shared" si="2"/>
        <v>7</v>
      </c>
      <c r="J42" s="10">
        <f>Table1[[#This Row],[PPF]]/Table1[[#This Row],[Total]]</f>
        <v>14.079000000000001</v>
      </c>
      <c r="K42" s="11">
        <v>0.68600000000000005</v>
      </c>
      <c r="L42" s="11">
        <v>0.09</v>
      </c>
      <c r="M42" s="11">
        <v>0.185</v>
      </c>
      <c r="N42" s="11">
        <v>3.2000000000000001E-2</v>
      </c>
      <c r="O42" s="11">
        <v>7.0000000000000001E-3</v>
      </c>
      <c r="P42" s="11">
        <v>0.19</v>
      </c>
      <c r="Q42" s="19" t="s">
        <v>44</v>
      </c>
      <c r="R42" s="11">
        <v>0.39800000000000002</v>
      </c>
      <c r="S42" s="11">
        <f>12/332</f>
        <v>3.614457831325301E-2</v>
      </c>
      <c r="T42" s="12">
        <v>12.8</v>
      </c>
    </row>
    <row r="43" spans="1:20" x14ac:dyDescent="0.35">
      <c r="A43" s="1" t="s">
        <v>65</v>
      </c>
      <c r="B43" s="7">
        <v>236</v>
      </c>
      <c r="C43" s="7">
        <v>280</v>
      </c>
      <c r="D43" s="7">
        <v>216</v>
      </c>
      <c r="E43" s="7">
        <v>257</v>
      </c>
      <c r="F43" s="8">
        <f t="shared" si="0"/>
        <v>989</v>
      </c>
      <c r="G43" s="2">
        <f t="shared" si="1"/>
        <v>38</v>
      </c>
      <c r="H43" s="9">
        <v>9178</v>
      </c>
      <c r="I43" s="2">
        <f t="shared" si="2"/>
        <v>35</v>
      </c>
      <c r="J43" s="10">
        <f>Table1[[#This Row],[PPF]]/Table1[[#This Row],[Total]]</f>
        <v>9.2800808897876639</v>
      </c>
      <c r="K43" s="11">
        <v>0.53800000000000003</v>
      </c>
      <c r="L43" s="11">
        <v>0.38800000000000001</v>
      </c>
      <c r="M43" s="11">
        <v>5.5E-2</v>
      </c>
      <c r="N43" s="11">
        <v>1.6E-2</v>
      </c>
      <c r="O43" s="11">
        <v>4.0000000000000001E-3</v>
      </c>
      <c r="P43" s="11">
        <v>0.14099999999999999</v>
      </c>
      <c r="Q43" s="11">
        <v>4.3999999999999997E-2</v>
      </c>
      <c r="R43" s="11">
        <v>0.52500000000000002</v>
      </c>
      <c r="S43" s="11">
        <f>36/1219</f>
        <v>2.9532403609515995E-2</v>
      </c>
      <c r="T43" s="12">
        <v>14.4</v>
      </c>
    </row>
    <row r="44" spans="1:20" x14ac:dyDescent="0.35">
      <c r="A44" s="1" t="s">
        <v>66</v>
      </c>
      <c r="B44" s="7">
        <v>242</v>
      </c>
      <c r="C44" s="7">
        <v>291</v>
      </c>
      <c r="D44" s="7">
        <v>222</v>
      </c>
      <c r="E44" s="7">
        <v>270</v>
      </c>
      <c r="F44" s="8">
        <f t="shared" si="0"/>
        <v>1025</v>
      </c>
      <c r="G44" s="2">
        <f t="shared" si="1"/>
        <v>10</v>
      </c>
      <c r="H44" s="9">
        <v>8566</v>
      </c>
      <c r="I44" s="2">
        <f t="shared" si="2"/>
        <v>41</v>
      </c>
      <c r="J44" s="10">
        <f>Table1[[#This Row],[PPF]]/Table1[[#This Row],[Total]]</f>
        <v>8.3570731707317076</v>
      </c>
      <c r="K44" s="11">
        <v>0.81299999999999994</v>
      </c>
      <c r="L44" s="11">
        <v>2.5000000000000001E-2</v>
      </c>
      <c r="M44" s="11">
        <v>2.7E-2</v>
      </c>
      <c r="N44" s="11">
        <v>1.2999999999999999E-2</v>
      </c>
      <c r="O44" s="11">
        <v>0.122</v>
      </c>
      <c r="P44" s="11">
        <v>0.14000000000000001</v>
      </c>
      <c r="Q44" s="11">
        <v>2.8000000000000001E-2</v>
      </c>
      <c r="R44" s="11">
        <v>0.34699999999999998</v>
      </c>
      <c r="S44" s="11">
        <f>0/728</f>
        <v>0</v>
      </c>
      <c r="T44" s="12">
        <v>13.7</v>
      </c>
    </row>
    <row r="45" spans="1:20" x14ac:dyDescent="0.35">
      <c r="A45" s="1" t="s">
        <v>67</v>
      </c>
      <c r="B45" s="7">
        <v>232</v>
      </c>
      <c r="C45" s="7">
        <v>275</v>
      </c>
      <c r="D45" s="7">
        <v>217</v>
      </c>
      <c r="E45" s="14">
        <v>261</v>
      </c>
      <c r="F45" s="8">
        <f t="shared" si="0"/>
        <v>985</v>
      </c>
      <c r="G45" s="2">
        <f t="shared" si="1"/>
        <v>41</v>
      </c>
      <c r="H45" s="9">
        <v>7707</v>
      </c>
      <c r="I45" s="2">
        <f t="shared" si="2"/>
        <v>49</v>
      </c>
      <c r="J45" s="10">
        <f>Table1[[#This Row],[PPF]]/Table1[[#This Row],[Total]]</f>
        <v>7.8243654822335023</v>
      </c>
      <c r="K45" s="11">
        <v>0.68300000000000005</v>
      </c>
      <c r="L45" s="11">
        <v>0.246</v>
      </c>
      <c r="M45" s="11">
        <v>5.1999999999999998E-2</v>
      </c>
      <c r="N45" s="11">
        <v>1.6E-2</v>
      </c>
      <c r="O45" s="11">
        <v>2E-3</v>
      </c>
      <c r="P45" s="11">
        <v>0.122</v>
      </c>
      <c r="Q45" s="11">
        <v>2.8000000000000001E-2</v>
      </c>
      <c r="R45" s="11">
        <v>0.5</v>
      </c>
      <c r="S45" s="11">
        <f>14/1764</f>
        <v>7.9365079365079361E-3</v>
      </c>
      <c r="T45" s="12">
        <v>15</v>
      </c>
    </row>
    <row r="46" spans="1:20" x14ac:dyDescent="0.35">
      <c r="A46" s="1" t="s">
        <v>68</v>
      </c>
      <c r="B46" s="7">
        <v>240</v>
      </c>
      <c r="C46" s="7">
        <v>287</v>
      </c>
      <c r="D46" s="7">
        <v>219</v>
      </c>
      <c r="E46" s="7">
        <v>260</v>
      </c>
      <c r="F46" s="8">
        <f t="shared" si="0"/>
        <v>1006</v>
      </c>
      <c r="G46" s="2">
        <f t="shared" si="1"/>
        <v>31</v>
      </c>
      <c r="H46" s="9">
        <v>8486</v>
      </c>
      <c r="I46" s="2">
        <f t="shared" si="2"/>
        <v>43</v>
      </c>
      <c r="J46" s="10">
        <f>Table1[[#This Row],[PPF]]/Table1[[#This Row],[Total]]</f>
        <v>8.4353876739562619</v>
      </c>
      <c r="K46" s="11">
        <v>0.34</v>
      </c>
      <c r="L46" s="11">
        <v>0.14199999999999999</v>
      </c>
      <c r="M46" s="11">
        <v>0.47899999999999998</v>
      </c>
      <c r="N46" s="11">
        <v>3.5999999999999997E-2</v>
      </c>
      <c r="O46" s="11">
        <v>4.0000000000000001E-3</v>
      </c>
      <c r="P46" s="11">
        <v>9.5000000000000001E-2</v>
      </c>
      <c r="Q46" s="11">
        <v>0.151</v>
      </c>
      <c r="R46" s="11">
        <v>0.48799999999999999</v>
      </c>
      <c r="S46" s="11">
        <f>521/9283</f>
        <v>5.6124097813206937E-2</v>
      </c>
      <c r="T46" s="12">
        <v>14.5</v>
      </c>
    </row>
    <row r="47" spans="1:20" x14ac:dyDescent="0.35">
      <c r="A47" s="13" t="s">
        <v>69</v>
      </c>
      <c r="B47" s="14">
        <v>240</v>
      </c>
      <c r="C47" s="14">
        <v>284</v>
      </c>
      <c r="D47" s="14">
        <v>219</v>
      </c>
      <c r="E47" s="14">
        <v>266</v>
      </c>
      <c r="F47" s="8">
        <f t="shared" si="0"/>
        <v>1009</v>
      </c>
      <c r="G47" s="2">
        <f t="shared" si="1"/>
        <v>29</v>
      </c>
      <c r="H47" s="15">
        <v>6579</v>
      </c>
      <c r="I47" s="2">
        <f t="shared" si="2"/>
        <v>51</v>
      </c>
      <c r="J47" s="16">
        <f>Table1[[#This Row],[PPF]]/Table1[[#This Row],[Total]]</f>
        <v>6.5203171456888009</v>
      </c>
      <c r="K47" s="17">
        <v>0.79400000000000004</v>
      </c>
      <c r="L47" s="17">
        <v>1.4E-2</v>
      </c>
      <c r="M47" s="17">
        <v>0.14499999999999999</v>
      </c>
      <c r="N47" s="17">
        <v>3.3000000000000002E-2</v>
      </c>
      <c r="O47" s="17">
        <v>1.4E-2</v>
      </c>
      <c r="P47" s="17">
        <v>0.11600000000000001</v>
      </c>
      <c r="Q47" s="17">
        <v>7.9000000000000001E-2</v>
      </c>
      <c r="R47" s="17">
        <v>0.312</v>
      </c>
      <c r="S47" s="17">
        <f>73/1040</f>
        <v>7.0192307692307693E-2</v>
      </c>
      <c r="T47" s="18">
        <v>23.7</v>
      </c>
    </row>
    <row r="48" spans="1:20" x14ac:dyDescent="0.35">
      <c r="A48" s="1" t="s">
        <v>70</v>
      </c>
      <c r="B48" s="7">
        <v>248</v>
      </c>
      <c r="C48" s="7">
        <v>293</v>
      </c>
      <c r="D48" s="7">
        <v>229</v>
      </c>
      <c r="E48" s="7">
        <v>272</v>
      </c>
      <c r="F48" s="8">
        <f t="shared" si="0"/>
        <v>1042</v>
      </c>
      <c r="G48" s="2">
        <f t="shared" si="1"/>
        <v>3</v>
      </c>
      <c r="H48" s="9">
        <v>14215</v>
      </c>
      <c r="I48" s="2">
        <f t="shared" si="2"/>
        <v>6</v>
      </c>
      <c r="J48" s="10">
        <f>Table1[[#This Row],[PPF]]/Table1[[#This Row],[Total]]</f>
        <v>13.642034548944338</v>
      </c>
      <c r="K48" s="11">
        <v>0.93700000000000006</v>
      </c>
      <c r="L48" s="11">
        <v>1.7000000000000001E-2</v>
      </c>
      <c r="M48" s="11">
        <v>1.0999999999999999E-2</v>
      </c>
      <c r="N48" s="11">
        <v>1.7000000000000001E-2</v>
      </c>
      <c r="O48" s="11">
        <v>2E-3</v>
      </c>
      <c r="P48" s="11">
        <v>0.14199999999999999</v>
      </c>
      <c r="Q48" s="11">
        <v>1.6E-2</v>
      </c>
      <c r="R48" s="11">
        <v>0.30099999999999999</v>
      </c>
      <c r="S48" s="11">
        <f>0/330</f>
        <v>0</v>
      </c>
      <c r="T48" s="12">
        <v>10.5</v>
      </c>
    </row>
    <row r="49" spans="1:20" x14ac:dyDescent="0.35">
      <c r="A49" s="1" t="s">
        <v>71</v>
      </c>
      <c r="B49" s="7">
        <v>243</v>
      </c>
      <c r="C49" s="7">
        <v>286</v>
      </c>
      <c r="D49" s="7">
        <v>227</v>
      </c>
      <c r="E49" s="7">
        <v>266</v>
      </c>
      <c r="F49" s="8">
        <f t="shared" si="0"/>
        <v>1022</v>
      </c>
      <c r="G49" s="2">
        <f t="shared" si="1"/>
        <v>14</v>
      </c>
      <c r="H49" s="9">
        <v>10754</v>
      </c>
      <c r="I49" s="2">
        <f t="shared" si="2"/>
        <v>16</v>
      </c>
      <c r="J49" s="10">
        <f>Table1[[#This Row],[PPF]]/Table1[[#This Row],[Total]]</f>
        <v>10.522504892367905</v>
      </c>
      <c r="K49" s="11">
        <v>0.58199999999999996</v>
      </c>
      <c r="L49" s="11">
        <v>0.26400000000000001</v>
      </c>
      <c r="M49" s="11">
        <v>9.1999999999999998E-2</v>
      </c>
      <c r="N49" s="11">
        <v>5.8999999999999997E-2</v>
      </c>
      <c r="O49" s="11">
        <v>3.0000000000000001E-3</v>
      </c>
      <c r="P49" s="11">
        <v>0.13500000000000001</v>
      </c>
      <c r="Q49" s="11">
        <v>7.0000000000000007E-2</v>
      </c>
      <c r="R49" s="11">
        <v>0.33100000000000002</v>
      </c>
      <c r="S49" s="11">
        <f>5/2070</f>
        <v>2.4154589371980675E-3</v>
      </c>
      <c r="T49" s="12">
        <v>17.3</v>
      </c>
    </row>
    <row r="50" spans="1:20" x14ac:dyDescent="0.35">
      <c r="A50" s="1" t="s">
        <v>72</v>
      </c>
      <c r="B50" s="7">
        <v>242</v>
      </c>
      <c r="C50" s="7">
        <v>289</v>
      </c>
      <c r="D50" s="7">
        <v>221</v>
      </c>
      <c r="E50" s="7">
        <v>267</v>
      </c>
      <c r="F50" s="8">
        <f t="shared" si="0"/>
        <v>1019</v>
      </c>
      <c r="G50" s="2">
        <f t="shared" si="1"/>
        <v>17</v>
      </c>
      <c r="H50" s="9">
        <v>9088</v>
      </c>
      <c r="I50" s="2">
        <f t="shared" si="2"/>
        <v>37</v>
      </c>
      <c r="J50" s="10">
        <f>Table1[[#This Row],[PPF]]/Table1[[#This Row],[Total]]</f>
        <v>8.9185475956820408</v>
      </c>
      <c r="K50" s="11">
        <v>0.67100000000000004</v>
      </c>
      <c r="L50" s="11">
        <v>5.7000000000000002E-2</v>
      </c>
      <c r="M50" s="11">
        <v>0.158</v>
      </c>
      <c r="N50" s="11">
        <v>8.8999999999999996E-2</v>
      </c>
      <c r="O50" s="11">
        <v>2.5999999999999999E-2</v>
      </c>
      <c r="P50" s="11">
        <v>0.121</v>
      </c>
      <c r="Q50" s="11">
        <v>0.08</v>
      </c>
      <c r="R50" s="11">
        <v>0.38200000000000001</v>
      </c>
      <c r="S50" s="11">
        <f>0/2345</f>
        <v>0</v>
      </c>
      <c r="T50" s="12">
        <v>19.100000000000001</v>
      </c>
    </row>
    <row r="51" spans="1:20" x14ac:dyDescent="0.35">
      <c r="A51" s="1" t="s">
        <v>73</v>
      </c>
      <c r="B51" s="7">
        <v>233</v>
      </c>
      <c r="C51" s="7">
        <v>270</v>
      </c>
      <c r="D51" s="7">
        <v>215</v>
      </c>
      <c r="E51" s="7">
        <v>255</v>
      </c>
      <c r="F51" s="8">
        <f t="shared" si="0"/>
        <v>973</v>
      </c>
      <c r="G51" s="2">
        <f t="shared" si="1"/>
        <v>45</v>
      </c>
      <c r="H51" s="9">
        <v>10080</v>
      </c>
      <c r="I51" s="2">
        <f t="shared" si="2"/>
        <v>22</v>
      </c>
      <c r="J51" s="10">
        <f>Table1[[#This Row],[PPF]]/Table1[[#This Row],[Total]]</f>
        <v>10.359712230215827</v>
      </c>
      <c r="K51" s="11">
        <v>0.92800000000000005</v>
      </c>
      <c r="L51" s="11">
        <v>5.3999999999999999E-2</v>
      </c>
      <c r="M51" s="11">
        <v>8.9999999999999993E-3</v>
      </c>
      <c r="N51" s="11">
        <v>7.0000000000000001E-3</v>
      </c>
      <c r="O51" s="11">
        <v>1E-3</v>
      </c>
      <c r="P51" s="11">
        <v>0.16500000000000001</v>
      </c>
      <c r="Q51" s="11">
        <v>6.0000000000000001E-3</v>
      </c>
      <c r="R51" s="11">
        <v>0.5</v>
      </c>
      <c r="S51" s="11">
        <f>0/772</f>
        <v>0</v>
      </c>
      <c r="T51" s="12">
        <v>14</v>
      </c>
    </row>
    <row r="52" spans="1:20" x14ac:dyDescent="0.35">
      <c r="A52" s="1" t="s">
        <v>74</v>
      </c>
      <c r="B52" s="7">
        <v>244</v>
      </c>
      <c r="C52" s="7">
        <v>288</v>
      </c>
      <c r="D52" s="7">
        <v>220</v>
      </c>
      <c r="E52" s="7">
        <v>266</v>
      </c>
      <c r="F52" s="8">
        <f t="shared" si="0"/>
        <v>1018</v>
      </c>
      <c r="G52" s="2">
        <f t="shared" si="1"/>
        <v>20</v>
      </c>
      <c r="H52" s="9">
        <v>10752</v>
      </c>
      <c r="I52" s="2">
        <f t="shared" si="2"/>
        <v>17</v>
      </c>
      <c r="J52" s="10">
        <f>Table1[[#This Row],[PPF]]/Table1[[#This Row],[Total]]</f>
        <v>10.561886051080551</v>
      </c>
      <c r="K52" s="11">
        <v>0.76300000000000001</v>
      </c>
      <c r="L52" s="11">
        <v>0.105</v>
      </c>
      <c r="M52" s="11">
        <v>0.08</v>
      </c>
      <c r="N52" s="11">
        <v>3.6999999999999998E-2</v>
      </c>
      <c r="O52" s="11">
        <v>1.4999999999999999E-2</v>
      </c>
      <c r="P52" s="11">
        <v>0.14299999999999999</v>
      </c>
      <c r="Q52" s="11">
        <v>5.5E-2</v>
      </c>
      <c r="R52" s="11">
        <v>0.33500000000000002</v>
      </c>
      <c r="S52" s="11">
        <f>222/2305</f>
        <v>9.6312364425162694E-2</v>
      </c>
      <c r="T52" s="12">
        <v>14.7</v>
      </c>
    </row>
    <row r="53" spans="1:20" ht="15" thickBot="1" x14ac:dyDescent="0.4">
      <c r="A53" s="4" t="s">
        <v>75</v>
      </c>
      <c r="B53" s="21">
        <v>242</v>
      </c>
      <c r="C53" s="21">
        <v>286</v>
      </c>
      <c r="D53" s="21">
        <v>223</v>
      </c>
      <c r="E53" s="21">
        <v>268</v>
      </c>
      <c r="F53" s="22">
        <f t="shared" si="0"/>
        <v>1019</v>
      </c>
      <c r="G53" s="5">
        <f t="shared" si="1"/>
        <v>17</v>
      </c>
      <c r="H53" s="23">
        <v>14058</v>
      </c>
      <c r="I53" s="5">
        <f t="shared" si="2"/>
        <v>8</v>
      </c>
      <c r="J53" s="24">
        <f>Table1[[#This Row],[PPF]]/Table1[[#This Row],[Total]]</f>
        <v>13.795878312070657</v>
      </c>
      <c r="K53" s="25">
        <v>0.83299999999999996</v>
      </c>
      <c r="L53" s="25">
        <v>1.6E-2</v>
      </c>
      <c r="M53" s="25">
        <v>0.104</v>
      </c>
      <c r="N53" s="25">
        <v>1.0999999999999999E-2</v>
      </c>
      <c r="O53" s="25">
        <v>3.5000000000000003E-2</v>
      </c>
      <c r="P53" s="25">
        <v>0.16900000000000001</v>
      </c>
      <c r="Q53" s="25">
        <v>2.5999999999999999E-2</v>
      </c>
      <c r="R53" s="25">
        <v>0.31</v>
      </c>
      <c r="S53" s="25">
        <f>3/372</f>
        <v>8.0645161290322578E-3</v>
      </c>
      <c r="T53" s="26">
        <v>12.5</v>
      </c>
    </row>
    <row r="54" spans="1:20" x14ac:dyDescent="0.35">
      <c r="A54" s="13" t="s">
        <v>76</v>
      </c>
      <c r="B54" s="14">
        <f t="shared" ref="B54:T54" si="3">AVERAGE(B3:B53)</f>
        <v>239.52941176470588</v>
      </c>
      <c r="C54" s="14">
        <f t="shared" si="3"/>
        <v>282.41176470588238</v>
      </c>
      <c r="D54" s="14">
        <f t="shared" si="3"/>
        <v>220.21568627450981</v>
      </c>
      <c r="E54" s="27">
        <f t="shared" si="3"/>
        <v>263.29411764705884</v>
      </c>
      <c r="F54" s="14">
        <f t="shared" si="3"/>
        <v>1005.4509803921569</v>
      </c>
      <c r="H54" s="28">
        <f t="shared" si="3"/>
        <v>10538.784313725489</v>
      </c>
      <c r="J54" s="29">
        <f t="shared" si="3"/>
        <v>10.480421640212768</v>
      </c>
      <c r="K54" s="30">
        <f t="shared" si="3"/>
        <v>0.63447058823529401</v>
      </c>
      <c r="L54" s="30">
        <f t="shared" si="3"/>
        <v>0.1588823529411765</v>
      </c>
      <c r="M54" s="30">
        <f t="shared" si="3"/>
        <v>0.13209803921568627</v>
      </c>
      <c r="N54" s="30">
        <f t="shared" si="3"/>
        <v>4.6843137254901947E-2</v>
      </c>
      <c r="O54" s="30">
        <f t="shared" si="3"/>
        <v>2.4862745098039207E-2</v>
      </c>
      <c r="P54" s="30">
        <f t="shared" si="3"/>
        <v>0.13614285714285712</v>
      </c>
      <c r="Q54" s="30">
        <f t="shared" si="3"/>
        <v>6.2499999999999993E-2</v>
      </c>
      <c r="R54" s="30">
        <f t="shared" si="3"/>
        <v>0.41978431372549024</v>
      </c>
      <c r="S54" s="30">
        <f t="shared" si="3"/>
        <v>4.4080981442689758E-2</v>
      </c>
      <c r="T54" s="31">
        <f t="shared" si="3"/>
        <v>14.952941176470594</v>
      </c>
    </row>
    <row r="55" spans="1:20" x14ac:dyDescent="0.35">
      <c r="A55" s="1" t="s">
        <v>77</v>
      </c>
      <c r="B55" s="7">
        <f t="shared" ref="B55:T55" si="4">MAX(B3:B53)-MIN(B3:B53)</f>
        <v>33</v>
      </c>
      <c r="C55" s="7">
        <f t="shared" si="4"/>
        <v>45</v>
      </c>
      <c r="D55" s="7">
        <f t="shared" si="4"/>
        <v>32</v>
      </c>
      <c r="E55" s="27">
        <f t="shared" si="4"/>
        <v>32</v>
      </c>
      <c r="F55" s="14">
        <f t="shared" si="4"/>
        <v>142</v>
      </c>
      <c r="H55" s="32">
        <f t="shared" si="4"/>
        <v>11024</v>
      </c>
      <c r="J55" s="33">
        <f t="shared" si="4"/>
        <v>12.675975111672159</v>
      </c>
      <c r="K55" s="34">
        <f t="shared" si="4"/>
        <v>0.877</v>
      </c>
      <c r="L55" s="34">
        <f t="shared" si="4"/>
        <v>0.80499999999999994</v>
      </c>
      <c r="M55" s="34">
        <f t="shared" si="4"/>
        <v>0.55200000000000005</v>
      </c>
      <c r="N55" s="34">
        <f t="shared" si="4"/>
        <v>0.72199999999999998</v>
      </c>
      <c r="O55" s="34">
        <f t="shared" si="4"/>
        <v>0.23</v>
      </c>
      <c r="P55" s="34">
        <f t="shared" si="4"/>
        <v>0.18099999999999999</v>
      </c>
      <c r="Q55" s="34">
        <f t="shared" si="4"/>
        <v>0.23599999999999999</v>
      </c>
      <c r="R55" s="34">
        <f t="shared" si="4"/>
        <v>0.47800000000000009</v>
      </c>
      <c r="S55" s="34">
        <f t="shared" si="4"/>
        <v>0.33962264150943394</v>
      </c>
      <c r="T55" s="35">
        <f t="shared" si="4"/>
        <v>13.2</v>
      </c>
    </row>
    <row r="56" spans="1:20" x14ac:dyDescent="0.35">
      <c r="A56" s="13" t="s">
        <v>78</v>
      </c>
      <c r="B56" s="36">
        <f t="shared" ref="B56:T56" si="5">_xlfn.STDEV.P(B3:B53)</f>
        <v>6.3627375449364525</v>
      </c>
      <c r="C56" s="36">
        <f t="shared" si="5"/>
        <v>8.4625506528752776</v>
      </c>
      <c r="D56" s="36">
        <f t="shared" si="5"/>
        <v>6.6164196392575336</v>
      </c>
      <c r="E56" s="37">
        <f t="shared" si="5"/>
        <v>6.6222859557917646</v>
      </c>
      <c r="F56" s="36">
        <f t="shared" si="5"/>
        <v>27.024544925874252</v>
      </c>
      <c r="H56" s="29">
        <f t="shared" si="5"/>
        <v>2566.8871994413589</v>
      </c>
      <c r="J56" s="29">
        <f t="shared" si="5"/>
        <v>2.5577279066238199</v>
      </c>
      <c r="K56" s="30">
        <f t="shared" si="5"/>
        <v>0.19592599172388381</v>
      </c>
      <c r="L56" s="30">
        <f t="shared" si="5"/>
        <v>0.15745060190905108</v>
      </c>
      <c r="M56" s="30">
        <f t="shared" si="5"/>
        <v>0.12856817141904786</v>
      </c>
      <c r="N56" s="30">
        <f t="shared" si="5"/>
        <v>9.9456438892695412E-2</v>
      </c>
      <c r="O56" s="30">
        <f t="shared" si="5"/>
        <v>4.7589758169804944E-2</v>
      </c>
      <c r="P56" s="30">
        <f t="shared" si="5"/>
        <v>2.7839188353170077E-2</v>
      </c>
      <c r="Q56" s="30">
        <f t="shared" si="5"/>
        <v>4.5171532974920707E-2</v>
      </c>
      <c r="R56" s="30">
        <f t="shared" si="5"/>
        <v>0.10517293205142501</v>
      </c>
      <c r="S56" s="30">
        <f t="shared" si="5"/>
        <v>5.9112175030515614E-2</v>
      </c>
      <c r="T56" s="36">
        <f t="shared" si="5"/>
        <v>2.5845963724157053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2018-07-28T04:05:44Z</dcterms:created>
  <dcterms:modified xsi:type="dcterms:W3CDTF">2018-07-28T04:06:07Z</dcterms:modified>
</cp:coreProperties>
</file>