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10f4a09bcef627/Documents/GitHub/XD_Grad_Portfolio/models/"/>
    </mc:Choice>
  </mc:AlternateContent>
  <xr:revisionPtr revIDLastSave="624" documentId="8_{4CAA811A-3924-48A6-9DA9-F0A76AB10370}" xr6:coauthVersionLast="47" xr6:coauthVersionMax="47" xr10:uidLastSave="{FA26B62B-7EC1-47A6-ADDB-35A2C4243610}"/>
  <bookViews>
    <workbookView xWindow="-108" yWindow="-108" windowWidth="23256" windowHeight="12456" xr2:uid="{074DC5BB-03BC-4711-88CA-6F8F6CA366FE}"/>
  </bookViews>
  <sheets>
    <sheet name="DCF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2" l="1"/>
  <c r="G32" i="2"/>
  <c r="G29" i="2"/>
  <c r="G30" i="2"/>
  <c r="I35" i="2"/>
  <c r="L35" i="2" s="1"/>
  <c r="K28" i="2"/>
  <c r="L28" i="2" s="1"/>
  <c r="I28" i="2"/>
  <c r="H28" i="2"/>
  <c r="D29" i="2"/>
  <c r="B29" i="2"/>
  <c r="M8" i="2"/>
  <c r="M13" i="2" s="1"/>
  <c r="J36" i="2" l="1"/>
  <c r="J37" i="2" s="1"/>
  <c r="K37" i="2" s="1"/>
  <c r="B34" i="2"/>
  <c r="B36" i="2" s="1"/>
  <c r="I23" i="2"/>
  <c r="B20" i="2"/>
  <c r="B24" i="2"/>
  <c r="B23" i="2"/>
  <c r="B22" i="2"/>
  <c r="B21" i="2"/>
  <c r="B19" i="2"/>
  <c r="B18" i="2"/>
  <c r="B17" i="2"/>
  <c r="B16" i="2"/>
  <c r="B15" i="2"/>
  <c r="B25" i="2" l="1"/>
  <c r="L23" i="2" s="1"/>
  <c r="J24" i="2" s="1"/>
  <c r="G20" i="2"/>
  <c r="G21" i="2" s="1"/>
  <c r="G18" i="2"/>
  <c r="G17" i="2" s="1"/>
  <c r="I16" i="2"/>
  <c r="H16" i="2" s="1"/>
  <c r="K16" i="2"/>
  <c r="L16" i="2" s="1"/>
  <c r="M7" i="2"/>
  <c r="M6" i="2"/>
  <c r="M5" i="2"/>
  <c r="M2" i="2"/>
  <c r="C6" i="2"/>
  <c r="D6" i="2"/>
  <c r="E6" i="2"/>
  <c r="F6" i="2"/>
  <c r="B6" i="2"/>
  <c r="C2" i="2"/>
  <c r="D2" i="2"/>
  <c r="E2" i="2"/>
  <c r="F2" i="2"/>
  <c r="B2" i="2"/>
  <c r="J25" i="2" l="1"/>
  <c r="K25" i="2" s="1"/>
  <c r="M4" i="2"/>
  <c r="F5" i="2"/>
  <c r="E5" i="2"/>
  <c r="B5" i="2"/>
  <c r="D5" i="2" l="1"/>
  <c r="F3" i="2"/>
  <c r="D3" i="2"/>
  <c r="E3" i="2"/>
  <c r="C3" i="2"/>
  <c r="B3" i="2"/>
  <c r="C5" i="2"/>
  <c r="B4" i="2" l="1"/>
  <c r="B7" i="2" s="1"/>
  <c r="B8" i="2" s="1"/>
  <c r="C4" i="2" l="1"/>
  <c r="C7" i="2" s="1"/>
  <c r="C8" i="2" s="1"/>
  <c r="D4" i="2" l="1"/>
  <c r="D7" i="2" s="1"/>
  <c r="D8" i="2" s="1"/>
  <c r="E4" i="2" l="1"/>
  <c r="E7" i="2" s="1"/>
  <c r="E8" i="2" s="1"/>
  <c r="F4" i="2"/>
  <c r="D11" i="2" s="1"/>
  <c r="F7" i="2" l="1"/>
  <c r="B11" i="2" s="1"/>
  <c r="F8" i="2"/>
  <c r="D12" i="2" s="1"/>
  <c r="D26" i="2" l="1"/>
  <c r="D28" i="2" s="1"/>
  <c r="D30" i="2" s="1"/>
  <c r="E30" i="2" s="1"/>
  <c r="G28" i="2"/>
  <c r="B12" i="2"/>
  <c r="G16" i="2" s="1"/>
  <c r="B26" i="2" l="1"/>
  <c r="B28" i="2" l="1"/>
  <c r="B30" i="2" s="1"/>
  <c r="C30" i="2" s="1"/>
</calcChain>
</file>

<file path=xl/sharedStrings.xml><?xml version="1.0" encoding="utf-8"?>
<sst xmlns="http://schemas.openxmlformats.org/spreadsheetml/2006/main" count="60" uniqueCount="53">
  <si>
    <t>FY</t>
  </si>
  <si>
    <t>Tax Rate</t>
  </si>
  <si>
    <t>WACC</t>
  </si>
  <si>
    <t>EBIT</t>
  </si>
  <si>
    <t>Depreciation and Amortisation</t>
  </si>
  <si>
    <t>Capital Expenditure</t>
  </si>
  <si>
    <t>Change in Operating Working Capital</t>
  </si>
  <si>
    <t>Free Cash Flow</t>
  </si>
  <si>
    <t>Net Operating Profit After Tax</t>
  </si>
  <si>
    <t>Cost of Debt</t>
  </si>
  <si>
    <t>Market Value of Debt</t>
  </si>
  <si>
    <t>Cost of Equity</t>
  </si>
  <si>
    <t>Market Value of Equity</t>
  </si>
  <si>
    <t>Current Share Price</t>
  </si>
  <si>
    <t>Beta</t>
  </si>
  <si>
    <t>Equity Risk Premium</t>
  </si>
  <si>
    <t>Risk Free Rate</t>
  </si>
  <si>
    <t>Perpetuity Growth</t>
  </si>
  <si>
    <t>Discounted Value</t>
  </si>
  <si>
    <t>Enterprise Value</t>
  </si>
  <si>
    <t>Equity Value</t>
  </si>
  <si>
    <t>EV per Share</t>
  </si>
  <si>
    <t>Current price</t>
  </si>
  <si>
    <t>Upside</t>
  </si>
  <si>
    <t>Bull</t>
  </si>
  <si>
    <t>Case:</t>
  </si>
  <si>
    <t>Net Debt</t>
  </si>
  <si>
    <t>Net Debt:</t>
  </si>
  <si>
    <t>Short Term Debt</t>
  </si>
  <si>
    <t>Long Term Debt</t>
  </si>
  <si>
    <t>Current Portion of Long Term Debt</t>
  </si>
  <si>
    <t>Current Portion of Leases</t>
  </si>
  <si>
    <t>Pension and Post-Retirement Bonuses</t>
  </si>
  <si>
    <t>Other Long-Term Liabilities</t>
  </si>
  <si>
    <t>Long-Term Deffered  Tax Liabilities</t>
  </si>
  <si>
    <t>Cash and Equivalents</t>
  </si>
  <si>
    <t>Long Term Investments</t>
  </si>
  <si>
    <t>Long Term Leases</t>
  </si>
  <si>
    <t>Bear</t>
  </si>
  <si>
    <t>Central</t>
  </si>
  <si>
    <t>Equity Value:</t>
  </si>
  <si>
    <t>Enterprise Value:</t>
  </si>
  <si>
    <t>Shares Outstanding</t>
  </si>
  <si>
    <t>Impact of Dilutive Shares</t>
  </si>
  <si>
    <t>Diluted Shares Outstanding</t>
  </si>
  <si>
    <t>EV Per Share:</t>
  </si>
  <si>
    <t>Upside:</t>
  </si>
  <si>
    <t>Present Value of Terminal Value</t>
  </si>
  <si>
    <t>Perpetuity</t>
  </si>
  <si>
    <t>Multiple Method</t>
  </si>
  <si>
    <t>Perpetuity Approach</t>
  </si>
  <si>
    <t>EV/EBITDA Multiple</t>
  </si>
  <si>
    <t>EBITDA Multiple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</si>
</sst>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(0\);\-"/>
    <numFmt numFmtId="165" formatCode="[Color10]0.00%;[Red]\(0.00\)%;\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1118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2" borderId="1" xfId="1" applyFont="1"/>
    <xf numFmtId="0" fontId="2" fillId="0" borderId="0" xfId="0" applyFont="1"/>
    <xf numFmtId="0" fontId="4" fillId="3" borderId="2" xfId="0" applyFont="1" applyFill="1" applyBorder="1"/>
    <xf numFmtId="164" fontId="2" fillId="0" borderId="0" xfId="0" applyNumberFormat="1" applyFont="1"/>
    <xf numFmtId="0" fontId="2" fillId="0" borderId="3" xfId="0" applyFont="1" applyBorder="1"/>
    <xf numFmtId="164" fontId="2" fillId="0" borderId="3" xfId="0" applyNumberFormat="1" applyFont="1" applyBorder="1"/>
    <xf numFmtId="1" fontId="0" fillId="2" borderId="1" xfId="1" applyNumberFormat="1" applyFont="1"/>
    <xf numFmtId="165" fontId="3" fillId="2" borderId="1" xfId="1" applyNumberFormat="1" applyFont="1"/>
    <xf numFmtId="2" fontId="2" fillId="0" borderId="0" xfId="0" applyNumberFormat="1" applyFont="1"/>
    <xf numFmtId="165" fontId="3" fillId="4" borderId="0" xfId="1" applyNumberFormat="1" applyFont="1" applyFill="1" applyBorder="1"/>
    <xf numFmtId="0" fontId="7" fillId="0" borderId="0" xfId="0" applyFont="1"/>
    <xf numFmtId="164" fontId="5" fillId="5" borderId="5" xfId="3" applyNumberFormat="1" applyBorder="1"/>
    <xf numFmtId="164" fontId="6" fillId="6" borderId="0" xfId="4" applyNumberFormat="1" applyBorder="1"/>
    <xf numFmtId="164" fontId="6" fillId="6" borderId="2" xfId="4" applyNumberFormat="1" applyBorder="1"/>
    <xf numFmtId="164" fontId="6" fillId="6" borderId="4" xfId="4" applyNumberFormat="1" applyBorder="1"/>
    <xf numFmtId="164" fontId="6" fillId="6" borderId="7" xfId="4" applyNumberFormat="1" applyBorder="1"/>
    <xf numFmtId="164" fontId="1" fillId="2" borderId="9" xfId="1" applyNumberFormat="1" applyFont="1" applyBorder="1"/>
    <xf numFmtId="164" fontId="1" fillId="2" borderId="4" xfId="1" applyNumberFormat="1" applyFont="1" applyBorder="1"/>
    <xf numFmtId="164" fontId="1" fillId="2" borderId="7" xfId="1" applyNumberFormat="1" applyFont="1" applyBorder="1"/>
    <xf numFmtId="164" fontId="1" fillId="2" borderId="6" xfId="1" applyNumberFormat="1" applyFont="1" applyBorder="1"/>
    <xf numFmtId="164" fontId="1" fillId="2" borderId="2" xfId="1" applyNumberFormat="1" applyFont="1" applyBorder="1"/>
    <xf numFmtId="164" fontId="1" fillId="2" borderId="8" xfId="1" applyNumberFormat="1" applyFont="1" applyBorder="1"/>
    <xf numFmtId="164" fontId="1" fillId="2" borderId="10" xfId="1" applyNumberFormat="1" applyFont="1" applyBorder="1"/>
    <xf numFmtId="164" fontId="1" fillId="2" borderId="3" xfId="1" applyNumberFormat="1" applyFont="1" applyBorder="1"/>
    <xf numFmtId="10" fontId="4" fillId="3" borderId="2" xfId="2" applyNumberFormat="1" applyFont="1" applyFill="1" applyBorder="1"/>
    <xf numFmtId="1" fontId="4" fillId="3" borderId="2" xfId="0" applyNumberFormat="1" applyFont="1" applyFill="1" applyBorder="1"/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2" fontId="0" fillId="2" borderId="1" xfId="1" applyNumberFormat="1" applyFont="1"/>
    <xf numFmtId="0" fontId="8" fillId="0" borderId="0" xfId="0" applyFont="1" applyAlignment="1">
      <alignment horizontal="centerContinuous"/>
    </xf>
    <xf numFmtId="1" fontId="4" fillId="3" borderId="2" xfId="2" applyNumberFormat="1" applyFont="1" applyFill="1" applyBorder="1"/>
  </cellXfs>
  <cellStyles count="5">
    <cellStyle name="Bad" xfId="4" builtinId="27"/>
    <cellStyle name="Good" xfId="3" builtinId="26"/>
    <cellStyle name="Normal" xfId="0" builtinId="0"/>
    <cellStyle name="Note" xfId="1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b10f4a09bcef627/Documents/GitHub/XD_Grad_Portfolio/models/3_Statement_Model.xlsx" TargetMode="External"/><Relationship Id="rId1" Type="http://schemas.openxmlformats.org/officeDocument/2006/relationships/externalLinkPath" Target="3_Statement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come Statement"/>
      <sheetName val="Balance Sheet"/>
      <sheetName val="Cash Flow"/>
    </sheetNames>
    <sheetDataSet>
      <sheetData sheetId="0">
        <row r="8">
          <cell r="G8">
            <v>865.81174197145447</v>
          </cell>
          <cell r="H8">
            <v>920.46118290715049</v>
          </cell>
          <cell r="I8">
            <v>978.74063885457053</v>
          </cell>
          <cell r="J8">
            <v>1040.9023874430359</v>
          </cell>
          <cell r="K8">
            <v>1107.2169098036211</v>
          </cell>
        </row>
        <row r="24">
          <cell r="F24">
            <v>873</v>
          </cell>
        </row>
        <row r="25">
          <cell r="H25">
            <v>876</v>
          </cell>
        </row>
        <row r="39">
          <cell r="G39">
            <v>474.10524395977473</v>
          </cell>
          <cell r="H39">
            <v>504.03044047892519</v>
          </cell>
          <cell r="I39">
            <v>535.94337759950497</v>
          </cell>
          <cell r="J39">
            <v>569.98219868593901</v>
          </cell>
          <cell r="K39">
            <v>606.29501506130021</v>
          </cell>
        </row>
        <row r="41">
          <cell r="F41">
            <v>1375</v>
          </cell>
        </row>
      </sheetData>
      <sheetData sheetId="1">
        <row r="3">
          <cell r="F3">
            <v>619</v>
          </cell>
        </row>
        <row r="7">
          <cell r="N7">
            <v>0.10567499999999999</v>
          </cell>
        </row>
        <row r="12">
          <cell r="F12">
            <v>16</v>
          </cell>
        </row>
        <row r="22">
          <cell r="F22">
            <v>2</v>
          </cell>
        </row>
        <row r="23">
          <cell r="F23">
            <v>0</v>
          </cell>
        </row>
        <row r="24">
          <cell r="F24">
            <v>61</v>
          </cell>
        </row>
        <row r="28">
          <cell r="F28">
            <v>3123</v>
          </cell>
        </row>
        <row r="29">
          <cell r="F29">
            <v>135</v>
          </cell>
        </row>
        <row r="30">
          <cell r="F30">
            <v>79</v>
          </cell>
        </row>
        <row r="31">
          <cell r="F31">
            <v>31</v>
          </cell>
        </row>
        <row r="32">
          <cell r="F32">
            <v>190</v>
          </cell>
        </row>
        <row r="49">
          <cell r="F49">
            <v>2986</v>
          </cell>
        </row>
        <row r="52">
          <cell r="G52">
            <v>149.35645811619816</v>
          </cell>
        </row>
        <row r="53">
          <cell r="G53">
            <v>-477.50310262561572</v>
          </cell>
          <cell r="H53">
            <v>-507.64276964391172</v>
          </cell>
          <cell r="I53">
            <v>-539.78442317572933</v>
          </cell>
          <cell r="J53">
            <v>-574.06719664336379</v>
          </cell>
          <cell r="K53">
            <v>-610.64026286698993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E0D3-EC22-43DB-ABCF-85A4F712E8DB}">
  <dimension ref="A1:O37"/>
  <sheetViews>
    <sheetView showGridLines="0" tabSelected="1" topLeftCell="A17" workbookViewId="0">
      <pane xSplit="1" topLeftCell="B1" activePane="topRight" state="frozen"/>
      <selection pane="topRight" activeCell="M31" sqref="M31"/>
    </sheetView>
  </sheetViews>
  <sheetFormatPr defaultRowHeight="14.4" x14ac:dyDescent="0.3"/>
  <cols>
    <col min="1" max="1" width="32" bestFit="1" customWidth="1"/>
    <col min="2" max="2" width="9.77734375" customWidth="1"/>
    <col min="5" max="5" width="11.33203125" customWidth="1"/>
    <col min="6" max="6" width="8" bestFit="1" customWidth="1"/>
    <col min="7" max="7" width="9.109375" bestFit="1" customWidth="1"/>
    <col min="8" max="8" width="11.21875" bestFit="1" customWidth="1"/>
    <col min="9" max="9" width="8.109375" customWidth="1"/>
    <col min="10" max="10" width="7.109375" bestFit="1" customWidth="1"/>
    <col min="12" max="12" width="18.6640625" bestFit="1" customWidth="1"/>
    <col min="15" max="15" width="0" hidden="1" customWidth="1"/>
  </cols>
  <sheetData>
    <row r="1" spans="1:15" x14ac:dyDescent="0.3">
      <c r="A1" s="4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</row>
    <row r="2" spans="1:15" x14ac:dyDescent="0.3">
      <c r="A2" t="s">
        <v>3</v>
      </c>
      <c r="B2" s="1">
        <f>'[1]Income Statement'!G8</f>
        <v>865.81174197145447</v>
      </c>
      <c r="C2" s="1">
        <f>'[1]Income Statement'!H8</f>
        <v>920.46118290715049</v>
      </c>
      <c r="D2" s="1">
        <f>'[1]Income Statement'!I8</f>
        <v>978.74063885457053</v>
      </c>
      <c r="E2" s="1">
        <f>'[1]Income Statement'!J8</f>
        <v>1040.9023874430359</v>
      </c>
      <c r="F2" s="1">
        <f>'[1]Income Statement'!K8</f>
        <v>1107.2169098036211</v>
      </c>
      <c r="L2" s="2" t="s">
        <v>1</v>
      </c>
      <c r="M2" s="9">
        <f>'[1]Balance Sheet'!$N$7</f>
        <v>0.10567499999999999</v>
      </c>
      <c r="O2" t="s">
        <v>24</v>
      </c>
    </row>
    <row r="3" spans="1:15" x14ac:dyDescent="0.3">
      <c r="A3" s="3" t="s">
        <v>8</v>
      </c>
      <c r="B3" s="5">
        <f>B2*(1-DCF!$M$2)</f>
        <v>774.31708613862099</v>
      </c>
      <c r="C3" s="5">
        <f>C2*(1-DCF!$M$2)</f>
        <v>823.19144740343734</v>
      </c>
      <c r="D3" s="5">
        <f>D2*(1-DCF!$M$2)</f>
        <v>875.31222184361388</v>
      </c>
      <c r="E3" s="5">
        <f>E2*(1-DCF!$M$2)</f>
        <v>930.90502764999314</v>
      </c>
      <c r="F3" s="5">
        <f>F2*(1-DCF!$M$2)</f>
        <v>990.21176286012349</v>
      </c>
      <c r="L3" s="2" t="s">
        <v>16</v>
      </c>
      <c r="M3" s="9">
        <v>4.1000000000000002E-2</v>
      </c>
      <c r="O3" t="s">
        <v>39</v>
      </c>
    </row>
    <row r="4" spans="1:15" x14ac:dyDescent="0.3">
      <c r="A4" t="s">
        <v>4</v>
      </c>
      <c r="B4" s="1">
        <f>'[1]Income Statement'!G39</f>
        <v>474.10524395977473</v>
      </c>
      <c r="C4" s="1">
        <f>'[1]Income Statement'!H39</f>
        <v>504.03044047892519</v>
      </c>
      <c r="D4" s="1">
        <f>'[1]Income Statement'!I39</f>
        <v>535.94337759950497</v>
      </c>
      <c r="E4" s="1">
        <f>'[1]Income Statement'!J39</f>
        <v>569.98219868593901</v>
      </c>
      <c r="F4" s="1">
        <f>'[1]Income Statement'!K39</f>
        <v>606.29501506130021</v>
      </c>
      <c r="L4" s="2" t="s">
        <v>2</v>
      </c>
      <c r="M4" s="9">
        <f>(M5*(1-M2)*(M6/(M6+M8)))+(M7*(M7/(M7+M5)))</f>
        <v>4.0402449812245597E-2</v>
      </c>
      <c r="O4" t="s">
        <v>38</v>
      </c>
    </row>
    <row r="5" spans="1:15" x14ac:dyDescent="0.3">
      <c r="A5" t="s">
        <v>5</v>
      </c>
      <c r="B5" s="1">
        <f>'[1]Balance Sheet'!G53</f>
        <v>-477.50310262561572</v>
      </c>
      <c r="C5" s="1">
        <f>'[1]Balance Sheet'!H53</f>
        <v>-507.64276964391172</v>
      </c>
      <c r="D5" s="1">
        <f>'[1]Balance Sheet'!I53</f>
        <v>-539.78442317572933</v>
      </c>
      <c r="E5" s="1">
        <f>'[1]Balance Sheet'!J53</f>
        <v>-574.06719664336379</v>
      </c>
      <c r="F5" s="1">
        <f>'[1]Balance Sheet'!K53</f>
        <v>-610.64026286698993</v>
      </c>
      <c r="L5" s="2" t="s">
        <v>9</v>
      </c>
      <c r="M5" s="9">
        <f>0.056</f>
        <v>5.6000000000000001E-2</v>
      </c>
    </row>
    <row r="6" spans="1:15" x14ac:dyDescent="0.3">
      <c r="A6" t="s">
        <v>6</v>
      </c>
      <c r="B6" s="1">
        <f>-'[1]Balance Sheet'!$G$52</f>
        <v>-149.35645811619816</v>
      </c>
      <c r="C6" s="1">
        <f>-'[1]Balance Sheet'!$G$52</f>
        <v>-149.35645811619816</v>
      </c>
      <c r="D6" s="1">
        <f>-'[1]Balance Sheet'!$G$52</f>
        <v>-149.35645811619816</v>
      </c>
      <c r="E6" s="1">
        <f>-'[1]Balance Sheet'!$G$52</f>
        <v>-149.35645811619816</v>
      </c>
      <c r="F6" s="1">
        <f>-'[1]Balance Sheet'!$G$52</f>
        <v>-149.35645811619816</v>
      </c>
      <c r="L6" s="2" t="s">
        <v>10</v>
      </c>
      <c r="M6" s="2">
        <f>'[1]Balance Sheet'!$F$49</f>
        <v>2986</v>
      </c>
    </row>
    <row r="7" spans="1:15" x14ac:dyDescent="0.3">
      <c r="A7" s="6" t="s">
        <v>7</v>
      </c>
      <c r="B7" s="7">
        <f>SUM(B3:B6)</f>
        <v>621.56276935658195</v>
      </c>
      <c r="C7" s="7">
        <f t="shared" ref="C7:F7" si="0">SUM(C3:C6)</f>
        <v>670.22266012225271</v>
      </c>
      <c r="D7" s="7">
        <f t="shared" si="0"/>
        <v>722.11471815119137</v>
      </c>
      <c r="E7" s="7">
        <f t="shared" si="0"/>
        <v>777.46357157637021</v>
      </c>
      <c r="F7" s="7">
        <f t="shared" si="0"/>
        <v>836.51005693823561</v>
      </c>
      <c r="L7" s="2" t="s">
        <v>11</v>
      </c>
      <c r="M7" s="9">
        <f>M3+(M10*M11)</f>
        <v>6.6460000000000005E-2</v>
      </c>
    </row>
    <row r="8" spans="1:15" x14ac:dyDescent="0.3">
      <c r="A8" t="s">
        <v>18</v>
      </c>
      <c r="B8" s="1">
        <f>B7/((1+DCF!$M$4)^(DCF!B1-2024))</f>
        <v>597.42532273809161</v>
      </c>
      <c r="C8" s="1">
        <f>C7/((1+DCF!$M$4)^(DCF!C1-2024))</f>
        <v>619.17922302818999</v>
      </c>
      <c r="D8" s="1">
        <f>D7/((1+DCF!$M$4)^(DCF!D1-2024))</f>
        <v>641.21267480518929</v>
      </c>
      <c r="E8" s="1">
        <f>E7/((1+DCF!$M$4)^(DCF!E1-2024))</f>
        <v>663.55142245628178</v>
      </c>
      <c r="F8" s="1">
        <f>F7/((1+DCF!$M$4)^(DCF!F1-2024))</f>
        <v>686.22152382874856</v>
      </c>
      <c r="L8" s="2" t="s">
        <v>12</v>
      </c>
      <c r="M8" s="8">
        <f>M9*'[1]Income Statement'!$H$25</f>
        <v>31518.479999999996</v>
      </c>
    </row>
    <row r="9" spans="1:15" x14ac:dyDescent="0.3">
      <c r="B9" s="1"/>
      <c r="C9" s="1"/>
      <c r="D9" s="1"/>
      <c r="E9" s="1"/>
      <c r="F9" s="1"/>
      <c r="L9" s="2" t="s">
        <v>13</v>
      </c>
      <c r="M9" s="2">
        <v>35.979999999999997</v>
      </c>
    </row>
    <row r="10" spans="1:15" x14ac:dyDescent="0.3">
      <c r="B10" s="12" t="s">
        <v>48</v>
      </c>
      <c r="D10" s="30" t="s">
        <v>49</v>
      </c>
      <c r="L10" s="2" t="s">
        <v>14</v>
      </c>
      <c r="M10" s="2">
        <v>0.67</v>
      </c>
    </row>
    <row r="11" spans="1:15" x14ac:dyDescent="0.3">
      <c r="A11" s="3" t="s">
        <v>47</v>
      </c>
      <c r="B11" s="5">
        <f>((F7*(1+DCF!M12))/(DCF!M4-DCF!M12))/((1+M4)^5)</f>
        <v>34306.956309002388</v>
      </c>
      <c r="D11" s="5">
        <f>((F2+F4)*M13)/((1+M4)^5)</f>
        <v>32221.28582646788</v>
      </c>
      <c r="L11" s="2" t="s">
        <v>15</v>
      </c>
      <c r="M11" s="9">
        <v>3.7999999999999999E-2</v>
      </c>
    </row>
    <row r="12" spans="1:15" x14ac:dyDescent="0.3">
      <c r="A12" s="3" t="s">
        <v>19</v>
      </c>
      <c r="B12" s="5">
        <f>SUM(B8:F8)+B11</f>
        <v>37514.546475858886</v>
      </c>
      <c r="D12" s="5">
        <f>SUM(B8:F8)+D11</f>
        <v>35428.875993324378</v>
      </c>
      <c r="L12" s="2" t="s">
        <v>17</v>
      </c>
      <c r="M12" s="9">
        <v>0.02</v>
      </c>
    </row>
    <row r="13" spans="1:15" x14ac:dyDescent="0.3">
      <c r="A13" s="3"/>
      <c r="B13" s="5"/>
      <c r="L13" s="2" t="s">
        <v>51</v>
      </c>
      <c r="M13" s="32">
        <f>M8/'[1]Income Statement'!$F$41</f>
        <v>22.922530909090906</v>
      </c>
    </row>
    <row r="14" spans="1:15" x14ac:dyDescent="0.3">
      <c r="A14" s="12" t="s">
        <v>27</v>
      </c>
      <c r="B14" s="5"/>
    </row>
    <row r="15" spans="1:15" x14ac:dyDescent="0.3">
      <c r="A15" t="s">
        <v>28</v>
      </c>
      <c r="B15" s="1">
        <f>'[1]Balance Sheet'!$F$22</f>
        <v>2</v>
      </c>
      <c r="G15" s="33" t="s">
        <v>50</v>
      </c>
      <c r="H15" s="31"/>
      <c r="I15" s="31"/>
      <c r="J15" s="31"/>
      <c r="K15" s="31"/>
      <c r="L15" s="31"/>
    </row>
    <row r="16" spans="1:15" x14ac:dyDescent="0.3">
      <c r="A16" t="s">
        <v>29</v>
      </c>
      <c r="B16" s="1">
        <f>'[1]Balance Sheet'!$F$28</f>
        <v>3123</v>
      </c>
      <c r="G16" s="27">
        <f>B12</f>
        <v>37514.546475858886</v>
      </c>
      <c r="H16" s="26">
        <f>I16-0.005</f>
        <v>3.0402449812245599E-2</v>
      </c>
      <c r="I16" s="26">
        <f>J16-0.005</f>
        <v>3.54024498122456E-2</v>
      </c>
      <c r="J16" s="26">
        <v>4.0402449812245597E-2</v>
      </c>
      <c r="K16" s="26">
        <f>J16+0.005</f>
        <v>4.5402449812245595E-2</v>
      </c>
      <c r="L16" s="26">
        <f>K16+0.005</f>
        <v>5.0402449812245592E-2</v>
      </c>
    </row>
    <row r="17" spans="1:12" x14ac:dyDescent="0.3">
      <c r="A17" t="s">
        <v>30</v>
      </c>
      <c r="B17" s="1">
        <f>'[1]Balance Sheet'!$F$23</f>
        <v>0</v>
      </c>
      <c r="G17" s="26">
        <f>G18-0.005</f>
        <v>9.9999999999999985E-3</v>
      </c>
      <c r="H17" s="14">
        <f t="dataTable" ref="H17:L21" dt2D="1" dtr="1" r1="M4" r2="M12"/>
        <v>38955.738924016259</v>
      </c>
      <c r="I17" s="14">
        <v>31204.748093147573</v>
      </c>
      <c r="J17" s="14">
        <v>26004.560257992824</v>
      </c>
      <c r="K17" s="14">
        <v>22274.37262742137</v>
      </c>
      <c r="L17" s="16">
        <v>19468.401621756842</v>
      </c>
    </row>
    <row r="18" spans="1:12" x14ac:dyDescent="0.3">
      <c r="A18" t="s">
        <v>31</v>
      </c>
      <c r="B18" s="1">
        <f>'[1]Balance Sheet'!$F$24</f>
        <v>61</v>
      </c>
      <c r="G18" s="26">
        <f>G19-0.005</f>
        <v>1.4999999999999999E-2</v>
      </c>
      <c r="H18" s="14">
        <v>50762.792125788292</v>
      </c>
      <c r="I18" s="23">
        <v>38226.516443891356</v>
      </c>
      <c r="J18" s="25">
        <v>30626.789961925686</v>
      </c>
      <c r="K18" s="18">
        <v>25527.980580474767</v>
      </c>
      <c r="L18" s="16">
        <v>21870.42512103431</v>
      </c>
    </row>
    <row r="19" spans="1:12" x14ac:dyDescent="0.3">
      <c r="A19" t="s">
        <v>32</v>
      </c>
      <c r="B19" s="1">
        <f>'[1]Balance Sheet'!$F$30</f>
        <v>79</v>
      </c>
      <c r="G19" s="26">
        <v>0.02</v>
      </c>
      <c r="H19" s="14">
        <v>73920.107443579327</v>
      </c>
      <c r="I19" s="24">
        <v>49807.149414444641</v>
      </c>
      <c r="J19" s="13">
        <v>37514.546475858886</v>
      </c>
      <c r="K19" s="19">
        <v>30062.413011915662</v>
      </c>
      <c r="L19" s="16">
        <v>25062.524260305097</v>
      </c>
    </row>
    <row r="20" spans="1:12" x14ac:dyDescent="0.3">
      <c r="A20" t="s">
        <v>37</v>
      </c>
      <c r="B20" s="1">
        <f>'[1]Balance Sheet'!$F$29</f>
        <v>135</v>
      </c>
      <c r="G20" s="26">
        <f>G19+0.005</f>
        <v>2.5000000000000001E-2</v>
      </c>
      <c r="H20" s="14">
        <v>139941.89373766878</v>
      </c>
      <c r="I20" s="21">
        <v>72520.384012088427</v>
      </c>
      <c r="J20" s="22">
        <v>48874.160777283214</v>
      </c>
      <c r="K20" s="20">
        <v>36819.339542432499</v>
      </c>
      <c r="L20" s="16">
        <v>29511.234144942646</v>
      </c>
    </row>
    <row r="21" spans="1:12" x14ac:dyDescent="0.3">
      <c r="A21" t="s">
        <v>34</v>
      </c>
      <c r="B21" s="1">
        <f>'[1]Balance Sheet'!$F$31</f>
        <v>31</v>
      </c>
      <c r="G21" s="26">
        <f>G20+0.005</f>
        <v>3.0000000000000002E-2</v>
      </c>
      <c r="H21" s="15">
        <v>1846461.0609523756</v>
      </c>
      <c r="I21" s="15">
        <v>137276.09079736884</v>
      </c>
      <c r="J21" s="15">
        <v>71153.908803411527</v>
      </c>
      <c r="K21" s="15">
        <v>47963.182838063418</v>
      </c>
      <c r="L21" s="17">
        <v>36140.422318009769</v>
      </c>
    </row>
    <row r="22" spans="1:12" x14ac:dyDescent="0.3">
      <c r="A22" t="s">
        <v>33</v>
      </c>
      <c r="B22" s="1">
        <f>'[1]Balance Sheet'!$F$32</f>
        <v>190</v>
      </c>
      <c r="I22" s="29" t="s">
        <v>25</v>
      </c>
      <c r="J22" s="3" t="s">
        <v>39</v>
      </c>
    </row>
    <row r="23" spans="1:12" x14ac:dyDescent="0.3">
      <c r="A23" t="s">
        <v>35</v>
      </c>
      <c r="B23" s="1">
        <f>'[1]Balance Sheet'!$F$3</f>
        <v>619</v>
      </c>
      <c r="H23" s="29" t="s">
        <v>41</v>
      </c>
      <c r="I23">
        <f>IF(J22="Bull",I20,IF(J22="Bear",K18,IF(J22="Central",J19,"Error")))</f>
        <v>37514.546475858886</v>
      </c>
      <c r="K23" s="29" t="s">
        <v>40</v>
      </c>
      <c r="L23">
        <f>I23-B25</f>
        <v>34528.546475858886</v>
      </c>
    </row>
    <row r="24" spans="1:12" x14ac:dyDescent="0.3">
      <c r="A24" t="s">
        <v>36</v>
      </c>
      <c r="B24" s="1">
        <f>'[1]Balance Sheet'!$F$12</f>
        <v>16</v>
      </c>
      <c r="I24" s="29" t="s">
        <v>45</v>
      </c>
      <c r="J24" s="28">
        <f>L23/B36</f>
        <v>39.416148945044391</v>
      </c>
    </row>
    <row r="25" spans="1:12" x14ac:dyDescent="0.3">
      <c r="A25" s="3" t="s">
        <v>26</v>
      </c>
      <c r="B25">
        <f>SUM(B15:B22)+(-1*SUM(B23:B24))</f>
        <v>2986</v>
      </c>
      <c r="I25" s="29" t="s">
        <v>46</v>
      </c>
      <c r="J25" s="28">
        <f>J24-B29</f>
        <v>3.4361489450443941</v>
      </c>
      <c r="K25" s="11">
        <f>J25/B29</f>
        <v>9.5501638272495679E-2</v>
      </c>
    </row>
    <row r="26" spans="1:12" x14ac:dyDescent="0.3">
      <c r="A26" s="3" t="s">
        <v>20</v>
      </c>
      <c r="B26" s="5">
        <f>B12-B25</f>
        <v>34528.546475858886</v>
      </c>
      <c r="D26" s="5">
        <f>D12-B25</f>
        <v>32442.875993324378</v>
      </c>
    </row>
    <row r="27" spans="1:12" x14ac:dyDescent="0.3">
      <c r="A27" s="3"/>
      <c r="B27" s="5"/>
      <c r="G27" s="33" t="s">
        <v>52</v>
      </c>
      <c r="H27" s="31"/>
      <c r="I27" s="31"/>
      <c r="J27" s="31"/>
      <c r="K27" s="31"/>
      <c r="L27" s="31"/>
    </row>
    <row r="28" spans="1:12" x14ac:dyDescent="0.3">
      <c r="A28" s="3" t="s">
        <v>21</v>
      </c>
      <c r="B28" s="10">
        <f>B26/B36</f>
        <v>39.416148945044391</v>
      </c>
      <c r="D28" s="10">
        <f>D26/B36</f>
        <v>37.035246567721892</v>
      </c>
      <c r="G28" s="27">
        <f>D12</f>
        <v>35428.875993324378</v>
      </c>
      <c r="H28" s="26">
        <f>I28-0.005</f>
        <v>3.0402449812245599E-2</v>
      </c>
      <c r="I28" s="26">
        <f>J28-0.005</f>
        <v>3.54024498122456E-2</v>
      </c>
      <c r="J28" s="26">
        <v>4.0402449812245597E-2</v>
      </c>
      <c r="K28" s="26">
        <f>J28+0.005</f>
        <v>4.5402449812245595E-2</v>
      </c>
      <c r="L28" s="26">
        <f>K28+0.005</f>
        <v>5.0402449812245592E-2</v>
      </c>
    </row>
    <row r="29" spans="1:12" x14ac:dyDescent="0.3">
      <c r="A29" t="s">
        <v>22</v>
      </c>
      <c r="B29">
        <f>DCF!$M$9</f>
        <v>35.979999999999997</v>
      </c>
      <c r="D29">
        <f>DCF!$M$9</f>
        <v>35.979999999999997</v>
      </c>
      <c r="G29" s="34">
        <f>G30-1</f>
        <v>20.92</v>
      </c>
      <c r="H29" s="14">
        <f t="dataTable" ref="H29:L33" dt2D="1" dtr="1" r1="M4" r2="M13" ca="1"/>
        <v>34165.715863891761</v>
      </c>
      <c r="I29" s="14">
        <v>33378.766525279636</v>
      </c>
      <c r="J29" s="14">
        <v>32613.998305775287</v>
      </c>
      <c r="K29" s="14">
        <v>31870.680599620049</v>
      </c>
      <c r="L29" s="16">
        <v>31148.110245960645</v>
      </c>
    </row>
    <row r="30" spans="1:12" x14ac:dyDescent="0.3">
      <c r="A30" s="3" t="s">
        <v>23</v>
      </c>
      <c r="B30" s="10">
        <f>B28-B29</f>
        <v>3.4361489450443941</v>
      </c>
      <c r="C30" s="11">
        <f>B30/B29</f>
        <v>9.5501638272495679E-2</v>
      </c>
      <c r="D30" s="10">
        <f>D28-D29</f>
        <v>1.0552465677218947</v>
      </c>
      <c r="E30" s="11">
        <f>D30/D29</f>
        <v>2.932869838026389E-2</v>
      </c>
      <c r="G30" s="34">
        <f>G31-1</f>
        <v>21.92</v>
      </c>
      <c r="H30" s="14">
        <v>35640.922027802895</v>
      </c>
      <c r="I30" s="23">
        <v>34818.695895583951</v>
      </c>
      <c r="J30" s="25">
        <v>34019.658350656675</v>
      </c>
      <c r="K30" s="18">
        <v>33243.045378925613</v>
      </c>
      <c r="L30" s="16">
        <v>32488.121671328492</v>
      </c>
    </row>
    <row r="31" spans="1:12" x14ac:dyDescent="0.3">
      <c r="G31" s="34">
        <v>22.92</v>
      </c>
      <c r="H31" s="14">
        <v>37116.128191714037</v>
      </c>
      <c r="I31" s="24">
        <v>36258.625265888259</v>
      </c>
      <c r="J31" s="13">
        <v>35425.318395538074</v>
      </c>
      <c r="K31" s="19">
        <v>34615.410158231178</v>
      </c>
      <c r="L31" s="16">
        <v>33828.133096696336</v>
      </c>
    </row>
    <row r="32" spans="1:12" x14ac:dyDescent="0.3">
      <c r="G32" s="34">
        <f>G31+1</f>
        <v>23.92</v>
      </c>
      <c r="H32" s="14">
        <v>38591.334355625171</v>
      </c>
      <c r="I32" s="21">
        <v>37698.554636192574</v>
      </c>
      <c r="J32" s="22">
        <v>36830.978440419465</v>
      </c>
      <c r="K32" s="20">
        <v>35987.774937536749</v>
      </c>
      <c r="L32" s="16">
        <v>35168.144522064184</v>
      </c>
    </row>
    <row r="33" spans="1:12" x14ac:dyDescent="0.3">
      <c r="G33" s="34">
        <f>G32+1</f>
        <v>24.92</v>
      </c>
      <c r="H33" s="15">
        <v>40066.540519536313</v>
      </c>
      <c r="I33" s="15">
        <v>39138.484006496888</v>
      </c>
      <c r="J33" s="15">
        <v>38236.638485300857</v>
      </c>
      <c r="K33" s="15">
        <v>37360.139716842314</v>
      </c>
      <c r="L33" s="17">
        <v>36508.155947432031</v>
      </c>
    </row>
    <row r="34" spans="1:12" x14ac:dyDescent="0.3">
      <c r="A34" t="s">
        <v>42</v>
      </c>
      <c r="B34">
        <f>'[1]Income Statement'!$F$24</f>
        <v>873</v>
      </c>
      <c r="I34" s="29" t="s">
        <v>25</v>
      </c>
      <c r="J34" s="3" t="s">
        <v>39</v>
      </c>
    </row>
    <row r="35" spans="1:12" x14ac:dyDescent="0.3">
      <c r="A35" t="s">
        <v>43</v>
      </c>
      <c r="B35">
        <v>3</v>
      </c>
      <c r="H35" s="29" t="s">
        <v>41</v>
      </c>
      <c r="I35">
        <f>IF(J34="Bull",I32,IF(J34="Bear",K30,IF(J34="Central",J31,"Error")))</f>
        <v>35425.318395538074</v>
      </c>
      <c r="K35" s="29" t="s">
        <v>40</v>
      </c>
      <c r="L35">
        <f>I35-B37</f>
        <v>35425.318395538074</v>
      </c>
    </row>
    <row r="36" spans="1:12" x14ac:dyDescent="0.3">
      <c r="A36" s="3" t="s">
        <v>44</v>
      </c>
      <c r="B36" s="3">
        <f>B34+B35</f>
        <v>876</v>
      </c>
      <c r="I36" s="29" t="s">
        <v>45</v>
      </c>
      <c r="J36" s="28">
        <f>L35/B36</f>
        <v>40.439861182121092</v>
      </c>
    </row>
    <row r="37" spans="1:12" x14ac:dyDescent="0.3">
      <c r="I37" s="29" t="s">
        <v>46</v>
      </c>
      <c r="J37" s="28">
        <f>J36-B29</f>
        <v>4.4598611821210952</v>
      </c>
      <c r="K37" s="11">
        <f>J37/B29</f>
        <v>0.12395389611231505</v>
      </c>
    </row>
  </sheetData>
  <dataValidations count="1">
    <dataValidation type="list" allowBlank="1" showInputMessage="1" showErrorMessage="1" sqref="J22 J34" xr:uid="{EAB0D90E-FD11-4473-987B-7DCF4EF16CCE}">
      <formula1>$O$2:$O$4</formula1>
    </dataValidation>
  </dataValidations>
  <pageMargins left="0.7" right="0.7" top="0.75" bottom="0.75" header="0.3" footer="0.3"/>
  <ignoredErrors>
    <ignoredError sqref="C30:D3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Davis</dc:creator>
  <cp:lastModifiedBy>Xavier Davis</cp:lastModifiedBy>
  <dcterms:created xsi:type="dcterms:W3CDTF">2025-10-30T14:24:16Z</dcterms:created>
  <dcterms:modified xsi:type="dcterms:W3CDTF">2025-10-31T13:45:49Z</dcterms:modified>
</cp:coreProperties>
</file>