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Cashflows" sheetId="2" r:id="rId2"/>
    <sheet name="rNPV" sheetId="3" r:id="rId3"/>
    <sheet name="Summary" sheetId="4" r:id="rId4"/>
  </sheets>
  <calcPr calcId="124519" fullCalcOnLoad="1"/>
</workbook>
</file>

<file path=xl/sharedStrings.xml><?xml version="1.0" encoding="utf-8"?>
<sst xmlns="http://schemas.openxmlformats.org/spreadsheetml/2006/main" count="111" uniqueCount="33">
  <si>
    <t>Asset</t>
  </si>
  <si>
    <t>Indication</t>
  </si>
  <si>
    <t>Phase</t>
  </si>
  <si>
    <t>PoS (%)</t>
  </si>
  <si>
    <t>Discount Rate (%)</t>
  </si>
  <si>
    <t>Launch Year</t>
  </si>
  <si>
    <t>Last Year</t>
  </si>
  <si>
    <t>Tax Rate (%)</t>
  </si>
  <si>
    <t>Notes</t>
  </si>
  <si>
    <t>Asset A</t>
  </si>
  <si>
    <t>Indication X</t>
  </si>
  <si>
    <t>Ph II</t>
  </si>
  <si>
    <t>Edit PoS/discount to your view</t>
  </si>
  <si>
    <t>Asset B</t>
  </si>
  <si>
    <t>Indication Y</t>
  </si>
  <si>
    <t>Ph III</t>
  </si>
  <si>
    <t xml:space="preserve"> </t>
  </si>
  <si>
    <t>Year</t>
  </si>
  <si>
    <t>Cashflow (£m)</t>
  </si>
  <si>
    <t>PoS</t>
  </si>
  <si>
    <t>Disc. Rate</t>
  </si>
  <si>
    <t>t (years)</t>
  </si>
  <si>
    <t>Discount Factor</t>
  </si>
  <si>
    <t>EV Contribution (£m)</t>
  </si>
  <si>
    <t>Helper: PoS by Asset</t>
  </si>
  <si>
    <t>Helper: Disc by Asset</t>
  </si>
  <si>
    <t>Disc</t>
  </si>
  <si>
    <t>rNPV (£m)</t>
  </si>
  <si>
    <t>Enterprise Value (£m)</t>
  </si>
  <si>
    <t>Net Cash/(Debt) (£m)</t>
  </si>
  <si>
    <t>Shares Outstanding (m)</t>
  </si>
  <si>
    <t>Equity Value (£m)</t>
  </si>
  <si>
    <t>Target Price (£)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</si>
</sst>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>
        <v>35</v>
      </c>
      <c r="E2">
        <v>12</v>
      </c>
      <c r="F2">
        <v>2029</v>
      </c>
      <c r="G2">
        <v>2040</v>
      </c>
      <c r="H2">
        <v>19</v>
      </c>
      <c r="I2" t="s">
        <v>12</v>
      </c>
    </row>
    <row r="3" spans="1:9">
      <c r="A3" t="s">
        <v>13</v>
      </c>
      <c r="B3" t="s">
        <v>14</v>
      </c>
      <c r="C3" t="s">
        <v>15</v>
      </c>
      <c r="D3">
        <v>55</v>
      </c>
      <c r="E3">
        <v>12</v>
      </c>
      <c r="F3">
        <v>2027</v>
      </c>
      <c r="G3">
        <v>2040</v>
      </c>
      <c r="H3">
        <v>19</v>
      </c>
      <c r="I3" t="s">
        <v>16</v>
      </c>
    </row>
    <row r="21" spans="1:5">
      <c r="A21" t="s">
        <v>24</v>
      </c>
      <c r="D21" t="s">
        <v>25</v>
      </c>
    </row>
    <row r="22" spans="1:5">
      <c r="A22" t="s">
        <v>0</v>
      </c>
      <c r="B22" t="s">
        <v>19</v>
      </c>
      <c r="D22" t="s">
        <v>0</v>
      </c>
      <c r="E22" t="s">
        <v>26</v>
      </c>
    </row>
    <row r="23" spans="1:5">
      <c r="A23" t="s">
        <v>9</v>
      </c>
      <c r="B23">
        <f>VLOOKUP(A23,A2:E100,4,0)</f>
        <v>0</v>
      </c>
      <c r="D23" t="s">
        <v>9</v>
      </c>
      <c r="E23">
        <f>VLOOKUP(A23,A2:E100,5,0)</f>
        <v>0</v>
      </c>
    </row>
    <row r="24" spans="1:5">
      <c r="A24" t="s">
        <v>13</v>
      </c>
      <c r="B24">
        <f>VLOOKUP(A24,A2:E100,4,0)</f>
        <v>0</v>
      </c>
      <c r="D24" t="s">
        <v>13</v>
      </c>
      <c r="E24">
        <f>VLOOKUP(A24,A2:E100,5,0)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17</v>
      </c>
      <c r="B1" t="s">
        <v>0</v>
      </c>
      <c r="C1" t="s">
        <v>18</v>
      </c>
    </row>
    <row r="2" spans="1:3">
      <c r="A2">
        <v>2025</v>
      </c>
      <c r="B2" t="s">
        <v>9</v>
      </c>
    </row>
    <row r="3" spans="1:3">
      <c r="A3">
        <v>2026</v>
      </c>
      <c r="B3" t="s">
        <v>9</v>
      </c>
    </row>
    <row r="4" spans="1:3">
      <c r="A4">
        <v>2027</v>
      </c>
      <c r="B4" t="s">
        <v>9</v>
      </c>
    </row>
    <row r="5" spans="1:3">
      <c r="A5">
        <v>2028</v>
      </c>
      <c r="B5" t="s">
        <v>9</v>
      </c>
    </row>
    <row r="6" spans="1:3">
      <c r="A6">
        <v>2029</v>
      </c>
      <c r="B6" t="s">
        <v>9</v>
      </c>
    </row>
    <row r="7" spans="1:3">
      <c r="A7">
        <v>2030</v>
      </c>
      <c r="B7" t="s">
        <v>9</v>
      </c>
    </row>
    <row r="8" spans="1:3">
      <c r="A8">
        <v>2031</v>
      </c>
      <c r="B8" t="s">
        <v>9</v>
      </c>
    </row>
    <row r="9" spans="1:3">
      <c r="A9">
        <v>2032</v>
      </c>
      <c r="B9" t="s">
        <v>9</v>
      </c>
    </row>
    <row r="10" spans="1:3">
      <c r="A10">
        <v>2033</v>
      </c>
      <c r="B10" t="s">
        <v>9</v>
      </c>
    </row>
    <row r="11" spans="1:3">
      <c r="A11">
        <v>2034</v>
      </c>
      <c r="B11" t="s">
        <v>9</v>
      </c>
    </row>
    <row r="12" spans="1:3">
      <c r="A12">
        <v>2035</v>
      </c>
      <c r="B12" t="s">
        <v>9</v>
      </c>
    </row>
    <row r="13" spans="1:3">
      <c r="A13">
        <v>2036</v>
      </c>
      <c r="B13" t="s">
        <v>9</v>
      </c>
    </row>
    <row r="14" spans="1:3">
      <c r="A14">
        <v>2037</v>
      </c>
      <c r="B14" t="s">
        <v>9</v>
      </c>
    </row>
    <row r="15" spans="1:3">
      <c r="A15">
        <v>2038</v>
      </c>
      <c r="B15" t="s">
        <v>9</v>
      </c>
    </row>
    <row r="16" spans="1:3">
      <c r="A16">
        <v>2039</v>
      </c>
      <c r="B16" t="s">
        <v>9</v>
      </c>
    </row>
    <row r="17" spans="1:2">
      <c r="A17">
        <v>2040</v>
      </c>
      <c r="B17" t="s">
        <v>9</v>
      </c>
    </row>
    <row r="18" spans="1:2">
      <c r="A18">
        <v>2025</v>
      </c>
      <c r="B18" t="s">
        <v>13</v>
      </c>
    </row>
    <row r="19" spans="1:2">
      <c r="A19">
        <v>2026</v>
      </c>
      <c r="B19" t="s">
        <v>13</v>
      </c>
    </row>
    <row r="20" spans="1:2">
      <c r="A20">
        <v>2027</v>
      </c>
      <c r="B20" t="s">
        <v>13</v>
      </c>
    </row>
    <row r="21" spans="1:2">
      <c r="A21">
        <v>2028</v>
      </c>
      <c r="B21" t="s">
        <v>13</v>
      </c>
    </row>
    <row r="22" spans="1:2">
      <c r="A22">
        <v>2029</v>
      </c>
      <c r="B22" t="s">
        <v>13</v>
      </c>
    </row>
    <row r="23" spans="1:2">
      <c r="A23">
        <v>2030</v>
      </c>
      <c r="B23" t="s">
        <v>13</v>
      </c>
    </row>
    <row r="24" spans="1:2">
      <c r="A24">
        <v>2031</v>
      </c>
      <c r="B24" t="s">
        <v>13</v>
      </c>
    </row>
    <row r="25" spans="1:2">
      <c r="A25">
        <v>2032</v>
      </c>
      <c r="B25" t="s">
        <v>13</v>
      </c>
    </row>
    <row r="26" spans="1:2">
      <c r="A26">
        <v>2033</v>
      </c>
      <c r="B26" t="s">
        <v>13</v>
      </c>
    </row>
    <row r="27" spans="1:2">
      <c r="A27">
        <v>2034</v>
      </c>
      <c r="B27" t="s">
        <v>13</v>
      </c>
    </row>
    <row r="28" spans="1:2">
      <c r="A28">
        <v>2035</v>
      </c>
      <c r="B28" t="s">
        <v>13</v>
      </c>
    </row>
    <row r="29" spans="1:2">
      <c r="A29">
        <v>2036</v>
      </c>
      <c r="B29" t="s">
        <v>13</v>
      </c>
    </row>
    <row r="30" spans="1:2">
      <c r="A30">
        <v>2037</v>
      </c>
      <c r="B30" t="s">
        <v>13</v>
      </c>
    </row>
    <row r="31" spans="1:2">
      <c r="A31">
        <v>2038</v>
      </c>
      <c r="B31" t="s">
        <v>13</v>
      </c>
    </row>
    <row r="32" spans="1:2">
      <c r="A32">
        <v>2039</v>
      </c>
      <c r="B32" t="s">
        <v>13</v>
      </c>
    </row>
    <row r="33" spans="1:2">
      <c r="A33">
        <v>2040</v>
      </c>
      <c r="B3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/>
  </sheetViews>
  <sheetFormatPr defaultRowHeight="15"/>
  <sheetData>
    <row r="1" spans="1:8">
      <c r="A1" t="s">
        <v>17</v>
      </c>
      <c r="B1" t="s">
        <v>0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2025</v>
      </c>
      <c r="B2" t="s">
        <v>9</v>
      </c>
      <c r="C2">
        <f>IFERROR(INDEX(Cashflows!$C:$C, MATCH(1, (Cashflows!$A:$A=2025)*(Cashflows!$B:$B="Asset A"), 0)), "")</f>
        <v>0</v>
      </c>
      <c r="D2">
        <f>IFERROR(VLOOKUP(B2,Inputs!$A$2:$E$100,4,0)/100,"")</f>
        <v>0</v>
      </c>
      <c r="E2">
        <f>IFERROR(VLOOKUP(B2,Inputs!$A$2:$E$100,5,0)/100,"")</f>
        <v>0</v>
      </c>
      <c r="F2">
        <f>A2-2025</f>
        <v>0</v>
      </c>
      <c r="G2">
        <f>IF(1+E2=0,"",(1+E2)^F2)</f>
        <v>0</v>
      </c>
      <c r="H2">
        <f>IFERROR(C2*D2/G2,"")</f>
        <v>0</v>
      </c>
    </row>
    <row r="3" spans="1:8">
      <c r="A3">
        <v>2026</v>
      </c>
      <c r="B3" t="s">
        <v>9</v>
      </c>
      <c r="C3">
        <f>IFERROR(INDEX(Cashflows!$C:$C, MATCH(1, (Cashflows!$A:$A=2026)*(Cashflows!$B:$B="Asset A"), 0)), "")</f>
        <v>0</v>
      </c>
      <c r="D3">
        <f>IFERROR(VLOOKUP(B3,Inputs!$A$2:$E$100,4,0)/100,"")</f>
        <v>0</v>
      </c>
      <c r="E3">
        <f>IFERROR(VLOOKUP(B3,Inputs!$A$2:$E$100,5,0)/100,"")</f>
        <v>0</v>
      </c>
      <c r="F3">
        <f>A3-2025</f>
        <v>0</v>
      </c>
      <c r="G3">
        <f>IF(1+E3=0,"",(1+E3)^F3)</f>
        <v>0</v>
      </c>
      <c r="H3">
        <f>IFERROR(C3*D3/G3,"")</f>
        <v>0</v>
      </c>
    </row>
    <row r="4" spans="1:8">
      <c r="A4">
        <v>2027</v>
      </c>
      <c r="B4" t="s">
        <v>9</v>
      </c>
      <c r="C4">
        <f>IFERROR(INDEX(Cashflows!$C:$C, MATCH(1, (Cashflows!$A:$A=2027)*(Cashflows!$B:$B="Asset A"), 0)), "")</f>
        <v>0</v>
      </c>
      <c r="D4">
        <f>IFERROR(VLOOKUP(B4,Inputs!$A$2:$E$100,4,0)/100,"")</f>
        <v>0</v>
      </c>
      <c r="E4">
        <f>IFERROR(VLOOKUP(B4,Inputs!$A$2:$E$100,5,0)/100,"")</f>
        <v>0</v>
      </c>
      <c r="F4">
        <f>A4-2025</f>
        <v>0</v>
      </c>
      <c r="G4">
        <f>IF(1+E4=0,"",(1+E4)^F4)</f>
        <v>0</v>
      </c>
      <c r="H4">
        <f>IFERROR(C4*D4/G4,"")</f>
        <v>0</v>
      </c>
    </row>
    <row r="5" spans="1:8">
      <c r="A5">
        <v>2028</v>
      </c>
      <c r="B5" t="s">
        <v>9</v>
      </c>
      <c r="C5">
        <f>IFERROR(INDEX(Cashflows!$C:$C, MATCH(1, (Cashflows!$A:$A=2028)*(Cashflows!$B:$B="Asset A"), 0)), "")</f>
        <v>0</v>
      </c>
      <c r="D5">
        <f>IFERROR(VLOOKUP(B5,Inputs!$A$2:$E$100,4,0)/100,"")</f>
        <v>0</v>
      </c>
      <c r="E5">
        <f>IFERROR(VLOOKUP(B5,Inputs!$A$2:$E$100,5,0)/100,"")</f>
        <v>0</v>
      </c>
      <c r="F5">
        <f>A5-2025</f>
        <v>0</v>
      </c>
      <c r="G5">
        <f>IF(1+E5=0,"",(1+E5)^F5)</f>
        <v>0</v>
      </c>
      <c r="H5">
        <f>IFERROR(C5*D5/G5,"")</f>
        <v>0</v>
      </c>
    </row>
    <row r="6" spans="1:8">
      <c r="A6">
        <v>2029</v>
      </c>
      <c r="B6" t="s">
        <v>9</v>
      </c>
      <c r="C6">
        <f>IFERROR(INDEX(Cashflows!$C:$C, MATCH(1, (Cashflows!$A:$A=2029)*(Cashflows!$B:$B="Asset A"), 0)), "")</f>
        <v>0</v>
      </c>
      <c r="D6">
        <f>IFERROR(VLOOKUP(B6,Inputs!$A$2:$E$100,4,0)/100,"")</f>
        <v>0</v>
      </c>
      <c r="E6">
        <f>IFERROR(VLOOKUP(B6,Inputs!$A$2:$E$100,5,0)/100,"")</f>
        <v>0</v>
      </c>
      <c r="F6">
        <f>A6-2025</f>
        <v>0</v>
      </c>
      <c r="G6">
        <f>IF(1+E6=0,"",(1+E6)^F6)</f>
        <v>0</v>
      </c>
      <c r="H6">
        <f>IFERROR(C6*D6/G6,"")</f>
        <v>0</v>
      </c>
    </row>
    <row r="7" spans="1:8">
      <c r="A7">
        <v>2030</v>
      </c>
      <c r="B7" t="s">
        <v>9</v>
      </c>
      <c r="C7">
        <f>IFERROR(INDEX(Cashflows!$C:$C, MATCH(1, (Cashflows!$A:$A=2030)*(Cashflows!$B:$B="Asset A"), 0)), "")</f>
        <v>0</v>
      </c>
      <c r="D7">
        <f>IFERROR(VLOOKUP(B7,Inputs!$A$2:$E$100,4,0)/100,"")</f>
        <v>0</v>
      </c>
      <c r="E7">
        <f>IFERROR(VLOOKUP(B7,Inputs!$A$2:$E$100,5,0)/100,"")</f>
        <v>0</v>
      </c>
      <c r="F7">
        <f>A7-2025</f>
        <v>0</v>
      </c>
      <c r="G7">
        <f>IF(1+E7=0,"",(1+E7)^F7)</f>
        <v>0</v>
      </c>
      <c r="H7">
        <f>IFERROR(C7*D7/G7,"")</f>
        <v>0</v>
      </c>
    </row>
    <row r="8" spans="1:8">
      <c r="A8">
        <v>2031</v>
      </c>
      <c r="B8" t="s">
        <v>9</v>
      </c>
      <c r="C8">
        <f>IFERROR(INDEX(Cashflows!$C:$C, MATCH(1, (Cashflows!$A:$A=2031)*(Cashflows!$B:$B="Asset A"), 0)), "")</f>
        <v>0</v>
      </c>
      <c r="D8">
        <f>IFERROR(VLOOKUP(B8,Inputs!$A$2:$E$100,4,0)/100,"")</f>
        <v>0</v>
      </c>
      <c r="E8">
        <f>IFERROR(VLOOKUP(B8,Inputs!$A$2:$E$100,5,0)/100,"")</f>
        <v>0</v>
      </c>
      <c r="F8">
        <f>A8-2025</f>
        <v>0</v>
      </c>
      <c r="G8">
        <f>IF(1+E8=0,"",(1+E8)^F8)</f>
        <v>0</v>
      </c>
      <c r="H8">
        <f>IFERROR(C8*D8/G8,"")</f>
        <v>0</v>
      </c>
    </row>
    <row r="9" spans="1:8">
      <c r="A9">
        <v>2032</v>
      </c>
      <c r="B9" t="s">
        <v>9</v>
      </c>
      <c r="C9">
        <f>IFERROR(INDEX(Cashflows!$C:$C, MATCH(1, (Cashflows!$A:$A=2032)*(Cashflows!$B:$B="Asset A"), 0)), "")</f>
        <v>0</v>
      </c>
      <c r="D9">
        <f>IFERROR(VLOOKUP(B9,Inputs!$A$2:$E$100,4,0)/100,"")</f>
        <v>0</v>
      </c>
      <c r="E9">
        <f>IFERROR(VLOOKUP(B9,Inputs!$A$2:$E$100,5,0)/100,"")</f>
        <v>0</v>
      </c>
      <c r="F9">
        <f>A9-2025</f>
        <v>0</v>
      </c>
      <c r="G9">
        <f>IF(1+E9=0,"",(1+E9)^F9)</f>
        <v>0</v>
      </c>
      <c r="H9">
        <f>IFERROR(C9*D9/G9,"")</f>
        <v>0</v>
      </c>
    </row>
    <row r="10" spans="1:8">
      <c r="A10">
        <v>2033</v>
      </c>
      <c r="B10" t="s">
        <v>9</v>
      </c>
      <c r="C10">
        <f>IFERROR(INDEX(Cashflows!$C:$C, MATCH(1, (Cashflows!$A:$A=2033)*(Cashflows!$B:$B="Asset A"), 0)), "")</f>
        <v>0</v>
      </c>
      <c r="D10">
        <f>IFERROR(VLOOKUP(B10,Inputs!$A$2:$E$100,4,0)/100,"")</f>
        <v>0</v>
      </c>
      <c r="E10">
        <f>IFERROR(VLOOKUP(B10,Inputs!$A$2:$E$100,5,0)/100,"")</f>
        <v>0</v>
      </c>
      <c r="F10">
        <f>A10-2025</f>
        <v>0</v>
      </c>
      <c r="G10">
        <f>IF(1+E10=0,"",(1+E10)^F10)</f>
        <v>0</v>
      </c>
      <c r="H10">
        <f>IFERROR(C10*D10/G10,"")</f>
        <v>0</v>
      </c>
    </row>
    <row r="11" spans="1:8">
      <c r="A11">
        <v>2034</v>
      </c>
      <c r="B11" t="s">
        <v>9</v>
      </c>
      <c r="C11">
        <f>IFERROR(INDEX(Cashflows!$C:$C, MATCH(1, (Cashflows!$A:$A=2034)*(Cashflows!$B:$B="Asset A"), 0)), "")</f>
        <v>0</v>
      </c>
      <c r="D11">
        <f>IFERROR(VLOOKUP(B11,Inputs!$A$2:$E$100,4,0)/100,"")</f>
        <v>0</v>
      </c>
      <c r="E11">
        <f>IFERROR(VLOOKUP(B11,Inputs!$A$2:$E$100,5,0)/100,"")</f>
        <v>0</v>
      </c>
      <c r="F11">
        <f>A11-2025</f>
        <v>0</v>
      </c>
      <c r="G11">
        <f>IF(1+E11=0,"",(1+E11)^F11)</f>
        <v>0</v>
      </c>
      <c r="H11">
        <f>IFERROR(C11*D11/G11,"")</f>
        <v>0</v>
      </c>
    </row>
    <row r="12" spans="1:8">
      <c r="A12">
        <v>2035</v>
      </c>
      <c r="B12" t="s">
        <v>9</v>
      </c>
      <c r="C12">
        <f>IFERROR(INDEX(Cashflows!$C:$C, MATCH(1, (Cashflows!$A:$A=2035)*(Cashflows!$B:$B="Asset A"), 0)), "")</f>
        <v>0</v>
      </c>
      <c r="D12">
        <f>IFERROR(VLOOKUP(B12,Inputs!$A$2:$E$100,4,0)/100,"")</f>
        <v>0</v>
      </c>
      <c r="E12">
        <f>IFERROR(VLOOKUP(B12,Inputs!$A$2:$E$100,5,0)/100,"")</f>
        <v>0</v>
      </c>
      <c r="F12">
        <f>A12-2025</f>
        <v>0</v>
      </c>
      <c r="G12">
        <f>IF(1+E12=0,"",(1+E12)^F12)</f>
        <v>0</v>
      </c>
      <c r="H12">
        <f>IFERROR(C12*D12/G12,"")</f>
        <v>0</v>
      </c>
    </row>
    <row r="13" spans="1:8">
      <c r="A13">
        <v>2036</v>
      </c>
      <c r="B13" t="s">
        <v>9</v>
      </c>
      <c r="C13">
        <f>IFERROR(INDEX(Cashflows!$C:$C, MATCH(1, (Cashflows!$A:$A=2036)*(Cashflows!$B:$B="Asset A"), 0)), "")</f>
        <v>0</v>
      </c>
      <c r="D13">
        <f>IFERROR(VLOOKUP(B13,Inputs!$A$2:$E$100,4,0)/100,"")</f>
        <v>0</v>
      </c>
      <c r="E13">
        <f>IFERROR(VLOOKUP(B13,Inputs!$A$2:$E$100,5,0)/100,"")</f>
        <v>0</v>
      </c>
      <c r="F13">
        <f>A13-2025</f>
        <v>0</v>
      </c>
      <c r="G13">
        <f>IF(1+E13=0,"",(1+E13)^F13)</f>
        <v>0</v>
      </c>
      <c r="H13">
        <f>IFERROR(C13*D13/G13,"")</f>
        <v>0</v>
      </c>
    </row>
    <row r="14" spans="1:8">
      <c r="A14">
        <v>2037</v>
      </c>
      <c r="B14" t="s">
        <v>9</v>
      </c>
      <c r="C14">
        <f>IFERROR(INDEX(Cashflows!$C:$C, MATCH(1, (Cashflows!$A:$A=2037)*(Cashflows!$B:$B="Asset A"), 0)), "")</f>
        <v>0</v>
      </c>
      <c r="D14">
        <f>IFERROR(VLOOKUP(B14,Inputs!$A$2:$E$100,4,0)/100,"")</f>
        <v>0</v>
      </c>
      <c r="E14">
        <f>IFERROR(VLOOKUP(B14,Inputs!$A$2:$E$100,5,0)/100,"")</f>
        <v>0</v>
      </c>
      <c r="F14">
        <f>A14-2025</f>
        <v>0</v>
      </c>
      <c r="G14">
        <f>IF(1+E14=0,"",(1+E14)^F14)</f>
        <v>0</v>
      </c>
      <c r="H14">
        <f>IFERROR(C14*D14/G14,"")</f>
        <v>0</v>
      </c>
    </row>
    <row r="15" spans="1:8">
      <c r="A15">
        <v>2038</v>
      </c>
      <c r="B15" t="s">
        <v>9</v>
      </c>
      <c r="C15">
        <f>IFERROR(INDEX(Cashflows!$C:$C, MATCH(1, (Cashflows!$A:$A=2038)*(Cashflows!$B:$B="Asset A"), 0)), "")</f>
        <v>0</v>
      </c>
      <c r="D15">
        <f>IFERROR(VLOOKUP(B15,Inputs!$A$2:$E$100,4,0)/100,"")</f>
        <v>0</v>
      </c>
      <c r="E15">
        <f>IFERROR(VLOOKUP(B15,Inputs!$A$2:$E$100,5,0)/100,"")</f>
        <v>0</v>
      </c>
      <c r="F15">
        <f>A15-2025</f>
        <v>0</v>
      </c>
      <c r="G15">
        <f>IF(1+E15=0,"",(1+E15)^F15)</f>
        <v>0</v>
      </c>
      <c r="H15">
        <f>IFERROR(C15*D15/G15,"")</f>
        <v>0</v>
      </c>
    </row>
    <row r="16" spans="1:8">
      <c r="A16">
        <v>2039</v>
      </c>
      <c r="B16" t="s">
        <v>9</v>
      </c>
      <c r="C16">
        <f>IFERROR(INDEX(Cashflows!$C:$C, MATCH(1, (Cashflows!$A:$A=2039)*(Cashflows!$B:$B="Asset A"), 0)), "")</f>
        <v>0</v>
      </c>
      <c r="D16">
        <f>IFERROR(VLOOKUP(B16,Inputs!$A$2:$E$100,4,0)/100,"")</f>
        <v>0</v>
      </c>
      <c r="E16">
        <f>IFERROR(VLOOKUP(B16,Inputs!$A$2:$E$100,5,0)/100,"")</f>
        <v>0</v>
      </c>
      <c r="F16">
        <f>A16-2025</f>
        <v>0</v>
      </c>
      <c r="G16">
        <f>IF(1+E16=0,"",(1+E16)^F16)</f>
        <v>0</v>
      </c>
      <c r="H16">
        <f>IFERROR(C16*D16/G16,"")</f>
        <v>0</v>
      </c>
    </row>
    <row r="17" spans="1:8">
      <c r="A17">
        <v>2040</v>
      </c>
      <c r="B17" t="s">
        <v>9</v>
      </c>
      <c r="C17">
        <f>IFERROR(INDEX(Cashflows!$C:$C, MATCH(1, (Cashflows!$A:$A=2040)*(Cashflows!$B:$B="Asset A"), 0)), "")</f>
        <v>0</v>
      </c>
      <c r="D17">
        <f>IFERROR(VLOOKUP(B17,Inputs!$A$2:$E$100,4,0)/100,"")</f>
        <v>0</v>
      </c>
      <c r="E17">
        <f>IFERROR(VLOOKUP(B17,Inputs!$A$2:$E$100,5,0)/100,"")</f>
        <v>0</v>
      </c>
      <c r="F17">
        <f>A17-2025</f>
        <v>0</v>
      </c>
      <c r="G17">
        <f>IF(1+E17=0,"",(1+E17)^F17)</f>
        <v>0</v>
      </c>
      <c r="H17">
        <f>IFERROR(C17*D17/G17,"")</f>
        <v>0</v>
      </c>
    </row>
    <row r="18" spans="1:8">
      <c r="A18">
        <v>2025</v>
      </c>
      <c r="B18" t="s">
        <v>13</v>
      </c>
      <c r="C18">
        <f>IFERROR(INDEX(Cashflows!$C:$C, MATCH(1, (Cashflows!$A:$A=2025)*(Cashflows!$B:$B="Asset B"), 0)), "")</f>
        <v>0</v>
      </c>
      <c r="D18">
        <f>IFERROR(VLOOKUP(B18,Inputs!$A$2:$E$100,4,0)/100,"")</f>
        <v>0</v>
      </c>
      <c r="E18">
        <f>IFERROR(VLOOKUP(B18,Inputs!$A$2:$E$100,5,0)/100,"")</f>
        <v>0</v>
      </c>
      <c r="F18">
        <f>A18-2025</f>
        <v>0</v>
      </c>
      <c r="G18">
        <f>IF(1+E18=0,"",(1+E18)^F18)</f>
        <v>0</v>
      </c>
      <c r="H18">
        <f>IFERROR(C18*D18/G18,"")</f>
        <v>0</v>
      </c>
    </row>
    <row r="19" spans="1:8">
      <c r="A19">
        <v>2026</v>
      </c>
      <c r="B19" t="s">
        <v>13</v>
      </c>
      <c r="C19">
        <f>IFERROR(INDEX(Cashflows!$C:$C, MATCH(1, (Cashflows!$A:$A=2026)*(Cashflows!$B:$B="Asset B"), 0)), "")</f>
        <v>0</v>
      </c>
      <c r="D19">
        <f>IFERROR(VLOOKUP(B19,Inputs!$A$2:$E$100,4,0)/100,"")</f>
        <v>0</v>
      </c>
      <c r="E19">
        <f>IFERROR(VLOOKUP(B19,Inputs!$A$2:$E$100,5,0)/100,"")</f>
        <v>0</v>
      </c>
      <c r="F19">
        <f>A19-2025</f>
        <v>0</v>
      </c>
      <c r="G19">
        <f>IF(1+E19=0,"",(1+E19)^F19)</f>
        <v>0</v>
      </c>
      <c r="H19">
        <f>IFERROR(C19*D19/G19,"")</f>
        <v>0</v>
      </c>
    </row>
    <row r="20" spans="1:8">
      <c r="A20">
        <v>2027</v>
      </c>
      <c r="B20" t="s">
        <v>13</v>
      </c>
      <c r="C20">
        <f>IFERROR(INDEX(Cashflows!$C:$C, MATCH(1, (Cashflows!$A:$A=2027)*(Cashflows!$B:$B="Asset B"), 0)), "")</f>
        <v>0</v>
      </c>
      <c r="D20">
        <f>IFERROR(VLOOKUP(B20,Inputs!$A$2:$E$100,4,0)/100,"")</f>
        <v>0</v>
      </c>
      <c r="E20">
        <f>IFERROR(VLOOKUP(B20,Inputs!$A$2:$E$100,5,0)/100,"")</f>
        <v>0</v>
      </c>
      <c r="F20">
        <f>A20-2025</f>
        <v>0</v>
      </c>
      <c r="G20">
        <f>IF(1+E20=0,"",(1+E20)^F20)</f>
        <v>0</v>
      </c>
      <c r="H20">
        <f>IFERROR(C20*D20/G20,"")</f>
        <v>0</v>
      </c>
    </row>
    <row r="21" spans="1:8">
      <c r="A21">
        <v>2028</v>
      </c>
      <c r="B21" t="s">
        <v>13</v>
      </c>
      <c r="C21">
        <f>IFERROR(INDEX(Cashflows!$C:$C, MATCH(1, (Cashflows!$A:$A=2028)*(Cashflows!$B:$B="Asset B"), 0)), "")</f>
        <v>0</v>
      </c>
      <c r="D21">
        <f>IFERROR(VLOOKUP(B21,Inputs!$A$2:$E$100,4,0)/100,"")</f>
        <v>0</v>
      </c>
      <c r="E21">
        <f>IFERROR(VLOOKUP(B21,Inputs!$A$2:$E$100,5,0)/100,"")</f>
        <v>0</v>
      </c>
      <c r="F21">
        <f>A21-2025</f>
        <v>0</v>
      </c>
      <c r="G21">
        <f>IF(1+E21=0,"",(1+E21)^F21)</f>
        <v>0</v>
      </c>
      <c r="H21">
        <f>IFERROR(C21*D21/G21,"")</f>
        <v>0</v>
      </c>
    </row>
    <row r="22" spans="1:8">
      <c r="A22">
        <v>2029</v>
      </c>
      <c r="B22" t="s">
        <v>13</v>
      </c>
      <c r="C22">
        <f>IFERROR(INDEX(Cashflows!$C:$C, MATCH(1, (Cashflows!$A:$A=2029)*(Cashflows!$B:$B="Asset B"), 0)), "")</f>
        <v>0</v>
      </c>
      <c r="D22">
        <f>IFERROR(VLOOKUP(B22,Inputs!$A$2:$E$100,4,0)/100,"")</f>
        <v>0</v>
      </c>
      <c r="E22">
        <f>IFERROR(VLOOKUP(B22,Inputs!$A$2:$E$100,5,0)/100,"")</f>
        <v>0</v>
      </c>
      <c r="F22">
        <f>A22-2025</f>
        <v>0</v>
      </c>
      <c r="G22">
        <f>IF(1+E22=0,"",(1+E22)^F22)</f>
        <v>0</v>
      </c>
      <c r="H22">
        <f>IFERROR(C22*D22/G22,"")</f>
        <v>0</v>
      </c>
    </row>
    <row r="23" spans="1:8">
      <c r="A23">
        <v>2030</v>
      </c>
      <c r="B23" t="s">
        <v>13</v>
      </c>
      <c r="C23">
        <f>IFERROR(INDEX(Cashflows!$C:$C, MATCH(1, (Cashflows!$A:$A=2030)*(Cashflows!$B:$B="Asset B"), 0)), "")</f>
        <v>0</v>
      </c>
      <c r="D23">
        <f>IFERROR(VLOOKUP(B23,Inputs!$A$2:$E$100,4,0)/100,"")</f>
        <v>0</v>
      </c>
      <c r="E23">
        <f>IFERROR(VLOOKUP(B23,Inputs!$A$2:$E$100,5,0)/100,"")</f>
        <v>0</v>
      </c>
      <c r="F23">
        <f>A23-2025</f>
        <v>0</v>
      </c>
      <c r="G23">
        <f>IF(1+E23=0,"",(1+E23)^F23)</f>
        <v>0</v>
      </c>
      <c r="H23">
        <f>IFERROR(C23*D23/G23,"")</f>
        <v>0</v>
      </c>
    </row>
    <row r="24" spans="1:8">
      <c r="A24">
        <v>2031</v>
      </c>
      <c r="B24" t="s">
        <v>13</v>
      </c>
      <c r="C24">
        <f>IFERROR(INDEX(Cashflows!$C:$C, MATCH(1, (Cashflows!$A:$A=2031)*(Cashflows!$B:$B="Asset B"), 0)), "")</f>
        <v>0</v>
      </c>
      <c r="D24">
        <f>IFERROR(VLOOKUP(B24,Inputs!$A$2:$E$100,4,0)/100,"")</f>
        <v>0</v>
      </c>
      <c r="E24">
        <f>IFERROR(VLOOKUP(B24,Inputs!$A$2:$E$100,5,0)/100,"")</f>
        <v>0</v>
      </c>
      <c r="F24">
        <f>A24-2025</f>
        <v>0</v>
      </c>
      <c r="G24">
        <f>IF(1+E24=0,"",(1+E24)^F24)</f>
        <v>0</v>
      </c>
      <c r="H24">
        <f>IFERROR(C24*D24/G24,"")</f>
        <v>0</v>
      </c>
    </row>
    <row r="25" spans="1:8">
      <c r="A25">
        <v>2032</v>
      </c>
      <c r="B25" t="s">
        <v>13</v>
      </c>
      <c r="C25">
        <f>IFERROR(INDEX(Cashflows!$C:$C, MATCH(1, (Cashflows!$A:$A=2032)*(Cashflows!$B:$B="Asset B"), 0)), "")</f>
        <v>0</v>
      </c>
      <c r="D25">
        <f>IFERROR(VLOOKUP(B25,Inputs!$A$2:$E$100,4,0)/100,"")</f>
        <v>0</v>
      </c>
      <c r="E25">
        <f>IFERROR(VLOOKUP(B25,Inputs!$A$2:$E$100,5,0)/100,"")</f>
        <v>0</v>
      </c>
      <c r="F25">
        <f>A25-2025</f>
        <v>0</v>
      </c>
      <c r="G25">
        <f>IF(1+E25=0,"",(1+E25)^F25)</f>
        <v>0</v>
      </c>
      <c r="H25">
        <f>IFERROR(C25*D25/G25,"")</f>
        <v>0</v>
      </c>
    </row>
    <row r="26" spans="1:8">
      <c r="A26">
        <v>2033</v>
      </c>
      <c r="B26" t="s">
        <v>13</v>
      </c>
      <c r="C26">
        <f>IFERROR(INDEX(Cashflows!$C:$C, MATCH(1, (Cashflows!$A:$A=2033)*(Cashflows!$B:$B="Asset B"), 0)), "")</f>
        <v>0</v>
      </c>
      <c r="D26">
        <f>IFERROR(VLOOKUP(B26,Inputs!$A$2:$E$100,4,0)/100,"")</f>
        <v>0</v>
      </c>
      <c r="E26">
        <f>IFERROR(VLOOKUP(B26,Inputs!$A$2:$E$100,5,0)/100,"")</f>
        <v>0</v>
      </c>
      <c r="F26">
        <f>A26-2025</f>
        <v>0</v>
      </c>
      <c r="G26">
        <f>IF(1+E26=0,"",(1+E26)^F26)</f>
        <v>0</v>
      </c>
      <c r="H26">
        <f>IFERROR(C26*D26/G26,"")</f>
        <v>0</v>
      </c>
    </row>
    <row r="27" spans="1:8">
      <c r="A27">
        <v>2034</v>
      </c>
      <c r="B27" t="s">
        <v>13</v>
      </c>
      <c r="C27">
        <f>IFERROR(INDEX(Cashflows!$C:$C, MATCH(1, (Cashflows!$A:$A=2034)*(Cashflows!$B:$B="Asset B"), 0)), "")</f>
        <v>0</v>
      </c>
      <c r="D27">
        <f>IFERROR(VLOOKUP(B27,Inputs!$A$2:$E$100,4,0)/100,"")</f>
        <v>0</v>
      </c>
      <c r="E27">
        <f>IFERROR(VLOOKUP(B27,Inputs!$A$2:$E$100,5,0)/100,"")</f>
        <v>0</v>
      </c>
      <c r="F27">
        <f>A27-2025</f>
        <v>0</v>
      </c>
      <c r="G27">
        <f>IF(1+E27=0,"",(1+E27)^F27)</f>
        <v>0</v>
      </c>
      <c r="H27">
        <f>IFERROR(C27*D27/G27,"")</f>
        <v>0</v>
      </c>
    </row>
    <row r="28" spans="1:8">
      <c r="A28">
        <v>2035</v>
      </c>
      <c r="B28" t="s">
        <v>13</v>
      </c>
      <c r="C28">
        <f>IFERROR(INDEX(Cashflows!$C:$C, MATCH(1, (Cashflows!$A:$A=2035)*(Cashflows!$B:$B="Asset B"), 0)), "")</f>
        <v>0</v>
      </c>
      <c r="D28">
        <f>IFERROR(VLOOKUP(B28,Inputs!$A$2:$E$100,4,0)/100,"")</f>
        <v>0</v>
      </c>
      <c r="E28">
        <f>IFERROR(VLOOKUP(B28,Inputs!$A$2:$E$100,5,0)/100,"")</f>
        <v>0</v>
      </c>
      <c r="F28">
        <f>A28-2025</f>
        <v>0</v>
      </c>
      <c r="G28">
        <f>IF(1+E28=0,"",(1+E28)^F28)</f>
        <v>0</v>
      </c>
      <c r="H28">
        <f>IFERROR(C28*D28/G28,"")</f>
        <v>0</v>
      </c>
    </row>
    <row r="29" spans="1:8">
      <c r="A29">
        <v>2036</v>
      </c>
      <c r="B29" t="s">
        <v>13</v>
      </c>
      <c r="C29">
        <f>IFERROR(INDEX(Cashflows!$C:$C, MATCH(1, (Cashflows!$A:$A=2036)*(Cashflows!$B:$B="Asset B"), 0)), "")</f>
        <v>0</v>
      </c>
      <c r="D29">
        <f>IFERROR(VLOOKUP(B29,Inputs!$A$2:$E$100,4,0)/100,"")</f>
        <v>0</v>
      </c>
      <c r="E29">
        <f>IFERROR(VLOOKUP(B29,Inputs!$A$2:$E$100,5,0)/100,"")</f>
        <v>0</v>
      </c>
      <c r="F29">
        <f>A29-2025</f>
        <v>0</v>
      </c>
      <c r="G29">
        <f>IF(1+E29=0,"",(1+E29)^F29)</f>
        <v>0</v>
      </c>
      <c r="H29">
        <f>IFERROR(C29*D29/G29,"")</f>
        <v>0</v>
      </c>
    </row>
    <row r="30" spans="1:8">
      <c r="A30">
        <v>2037</v>
      </c>
      <c r="B30" t="s">
        <v>13</v>
      </c>
      <c r="C30">
        <f>IFERROR(INDEX(Cashflows!$C:$C, MATCH(1, (Cashflows!$A:$A=2037)*(Cashflows!$B:$B="Asset B"), 0)), "")</f>
        <v>0</v>
      </c>
      <c r="D30">
        <f>IFERROR(VLOOKUP(B30,Inputs!$A$2:$E$100,4,0)/100,"")</f>
        <v>0</v>
      </c>
      <c r="E30">
        <f>IFERROR(VLOOKUP(B30,Inputs!$A$2:$E$100,5,0)/100,"")</f>
        <v>0</v>
      </c>
      <c r="F30">
        <f>A30-2025</f>
        <v>0</v>
      </c>
      <c r="G30">
        <f>IF(1+E30=0,"",(1+E30)^F30)</f>
        <v>0</v>
      </c>
      <c r="H30">
        <f>IFERROR(C30*D30/G30,"")</f>
        <v>0</v>
      </c>
    </row>
    <row r="31" spans="1:8">
      <c r="A31">
        <v>2038</v>
      </c>
      <c r="B31" t="s">
        <v>13</v>
      </c>
      <c r="C31">
        <f>IFERROR(INDEX(Cashflows!$C:$C, MATCH(1, (Cashflows!$A:$A=2038)*(Cashflows!$B:$B="Asset B"), 0)), "")</f>
        <v>0</v>
      </c>
      <c r="D31">
        <f>IFERROR(VLOOKUP(B31,Inputs!$A$2:$E$100,4,0)/100,"")</f>
        <v>0</v>
      </c>
      <c r="E31">
        <f>IFERROR(VLOOKUP(B31,Inputs!$A$2:$E$100,5,0)/100,"")</f>
        <v>0</v>
      </c>
      <c r="F31">
        <f>A31-2025</f>
        <v>0</v>
      </c>
      <c r="G31">
        <f>IF(1+E31=0,"",(1+E31)^F31)</f>
        <v>0</v>
      </c>
      <c r="H31">
        <f>IFERROR(C31*D31/G31,"")</f>
        <v>0</v>
      </c>
    </row>
    <row r="32" spans="1:8">
      <c r="A32">
        <v>2039</v>
      </c>
      <c r="B32" t="s">
        <v>13</v>
      </c>
      <c r="C32">
        <f>IFERROR(INDEX(Cashflows!$C:$C, MATCH(1, (Cashflows!$A:$A=2039)*(Cashflows!$B:$B="Asset B"), 0)), "")</f>
        <v>0</v>
      </c>
      <c r="D32">
        <f>IFERROR(VLOOKUP(B32,Inputs!$A$2:$E$100,4,0)/100,"")</f>
        <v>0</v>
      </c>
      <c r="E32">
        <f>IFERROR(VLOOKUP(B32,Inputs!$A$2:$E$100,5,0)/100,"")</f>
        <v>0</v>
      </c>
      <c r="F32">
        <f>A32-2025</f>
        <v>0</v>
      </c>
      <c r="G32">
        <f>IF(1+E32=0,"",(1+E32)^F32)</f>
        <v>0</v>
      </c>
      <c r="H32">
        <f>IFERROR(C32*D32/G32,"")</f>
        <v>0</v>
      </c>
    </row>
    <row r="33" spans="1:8">
      <c r="A33">
        <v>2040</v>
      </c>
      <c r="B33" t="s">
        <v>13</v>
      </c>
      <c r="C33">
        <f>IFERROR(INDEX(Cashflows!$C:$C, MATCH(1, (Cashflows!$A:$A=2040)*(Cashflows!$B:$B="Asset B"), 0)), "")</f>
        <v>0</v>
      </c>
      <c r="D33">
        <f>IFERROR(VLOOKUP(B33,Inputs!$A$2:$E$100,4,0)/100,"")</f>
        <v>0</v>
      </c>
      <c r="E33">
        <f>IFERROR(VLOOKUP(B33,Inputs!$A$2:$E$100,5,0)/100,"")</f>
        <v>0</v>
      </c>
      <c r="F33">
        <f>A33-2025</f>
        <v>0</v>
      </c>
      <c r="G33">
        <f>IF(1+E33=0,"",(1+E33)^F33)</f>
        <v>0</v>
      </c>
      <c r="H33">
        <f>IFERROR(C33*D33/G33,"")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t="s">
        <v>0</v>
      </c>
      <c r="B1" t="s">
        <v>27</v>
      </c>
    </row>
    <row r="2" spans="1:2">
      <c r="A2" t="s">
        <v>9</v>
      </c>
      <c r="B2">
        <f>SUMIF(rNPV!$B:$B,"Asset A",rNPV!$H:$H)</f>
        <v>0</v>
      </c>
    </row>
    <row r="3" spans="1:2">
      <c r="A3" t="s">
        <v>13</v>
      </c>
      <c r="B3">
        <f>SUMIF(rNPV!$B:$B,"Asset B",rNPV!$H:$H)</f>
        <v>0</v>
      </c>
    </row>
    <row r="6" spans="1:2">
      <c r="A6" t="s">
        <v>28</v>
      </c>
      <c r="B6">
        <f>SUM(B2:B3)</f>
        <v>0</v>
      </c>
    </row>
    <row r="7" spans="1:2">
      <c r="A7" t="s">
        <v>29</v>
      </c>
    </row>
    <row r="8" spans="1:2">
      <c r="A8" t="s">
        <v>30</v>
      </c>
    </row>
    <row r="9" spans="1:2">
      <c r="A9" t="s">
        <v>31</v>
      </c>
      <c r="B9">
        <f>B6+B7</f>
        <v>0</v>
      </c>
    </row>
    <row r="10" spans="1:2">
      <c r="A10" t="s">
        <v>32</v>
      </c>
      <c r="B10">
        <f>IF(B8&gt;0,B8/IF(B7&gt;0,B7,1),"")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Cashflows</vt:lpstr>
      <vt:lpstr>rNPV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2025-10-27T14:40:42Z</dcterms:created>
  <dcterms:modified xsi:type="dcterms:W3CDTF">2025-10-27T14:40:42Z</dcterms:modified>
</cp:coreProperties>
</file>