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LFGenerator\client\"/>
    </mc:Choice>
  </mc:AlternateContent>
  <xr:revisionPtr revIDLastSave="0" documentId="13_ncr:1_{E619AA4A-7252-4DA1-B2FC-686BC7F1A422}" xr6:coauthVersionLast="45" xr6:coauthVersionMax="45" xr10:uidLastSave="{00000000-0000-0000-0000-000000000000}"/>
  <bookViews>
    <workbookView xWindow="28680" yWindow="-120" windowWidth="29040" windowHeight="15990" activeTab="2" xr2:uid="{97BE9DF7-DD94-4053-A8FF-28E085CB9A4F}"/>
  </bookViews>
  <sheets>
    <sheet name="Sheet1" sheetId="1" r:id="rId1"/>
    <sheet name="Note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Z37" i="2" l="1"/>
  <c r="W37" i="2"/>
  <c r="T37" i="2"/>
  <c r="Q37" i="2"/>
  <c r="T36" i="2"/>
  <c r="Q36" i="2"/>
  <c r="W35" i="2"/>
  <c r="T35" i="2"/>
  <c r="Q35" i="2"/>
  <c r="Q34" i="2"/>
  <c r="Q33" i="2"/>
  <c r="T32" i="2"/>
  <c r="Q32" i="2"/>
  <c r="Q31" i="2"/>
  <c r="Z30" i="2"/>
  <c r="W30" i="2"/>
  <c r="T30" i="2"/>
  <c r="Q30" i="2"/>
  <c r="Q17" i="2"/>
  <c r="T16" i="2"/>
  <c r="Q16" i="2"/>
  <c r="Q15" i="2"/>
  <c r="Q14" i="2"/>
  <c r="T13" i="2"/>
  <c r="Q13" i="2"/>
  <c r="T12" i="2"/>
  <c r="Q12" i="2"/>
  <c r="T11" i="2"/>
  <c r="Q11" i="2"/>
  <c r="T10" i="2"/>
  <c r="Q10" i="2"/>
  <c r="W9" i="2"/>
  <c r="T9" i="2"/>
  <c r="Q9" i="2"/>
  <c r="W8" i="2"/>
  <c r="T8" i="2"/>
  <c r="Q8" i="2"/>
  <c r="W7" i="2"/>
  <c r="T7" i="2"/>
  <c r="Q7" i="2"/>
  <c r="Q6" i="2"/>
  <c r="T6" i="2"/>
  <c r="Z5" i="2"/>
  <c r="Z3" i="2"/>
  <c r="W5" i="2"/>
  <c r="W4" i="2"/>
  <c r="W3" i="2"/>
  <c r="T5" i="2"/>
  <c r="T4" i="2"/>
  <c r="T3" i="2"/>
  <c r="Q5" i="2"/>
</calcChain>
</file>

<file path=xl/sharedStrings.xml><?xml version="1.0" encoding="utf-8"?>
<sst xmlns="http://schemas.openxmlformats.org/spreadsheetml/2006/main" count="287" uniqueCount="120">
  <si>
    <t>ID</t>
  </si>
  <si>
    <t>DS 1, Median Demand</t>
  </si>
  <si>
    <t>DS 2, Median Demand</t>
  </si>
  <si>
    <t>DS 3, Median Demand</t>
  </si>
  <si>
    <t>DS 4, Median Demand</t>
  </si>
  <si>
    <t>DS 5, Median Demand</t>
  </si>
  <si>
    <t>DS 1, Total Dispersion (Beta)</t>
  </si>
  <si>
    <t>DS 2, Total Dispersion (Beta)</t>
  </si>
  <si>
    <t>DS 3, Total Dispersion (Beta)</t>
  </si>
  <si>
    <t>DS 4, Total Dispersion (Beta)</t>
  </si>
  <si>
    <t>DS 5, Total Dispersion (Beta)</t>
  </si>
  <si>
    <t>DS 1, Repair COST</t>
  </si>
  <si>
    <t>DS 2, Repair COST</t>
  </si>
  <si>
    <t>DS 32, Repair COST</t>
  </si>
  <si>
    <t>DS 4, Repair COST</t>
  </si>
  <si>
    <t>DS 5, Repair COST</t>
  </si>
  <si>
    <t>DS 1, COST Dispersion (Beta)</t>
  </si>
  <si>
    <t>DS 2, COST Dispersion (Beta)</t>
  </si>
  <si>
    <t>DS 3, COST Dispersion (Beta)</t>
  </si>
  <si>
    <t>DS 4, COST Dispersion (Beta)</t>
  </si>
  <si>
    <t>DS 5, COST Dispersion (Beta)</t>
  </si>
  <si>
    <t>Ref</t>
  </si>
  <si>
    <t>Component</t>
  </si>
  <si>
    <t>Brown &amp; Lowes 2006</t>
  </si>
  <si>
    <t>Beam-column Subassembly</t>
  </si>
  <si>
    <t>Seismic sensitivity</t>
  </si>
  <si>
    <t>IDR</t>
  </si>
  <si>
    <t>Slab-column Subassembly</t>
  </si>
  <si>
    <t>Aslani &amp; Miranda 2005, &amp; Robertson et al. 2002</t>
  </si>
  <si>
    <t>Aslani &amp; Miranda 2005</t>
  </si>
  <si>
    <t>Columns</t>
  </si>
  <si>
    <t>Pagani &amp; Lowes 2006</t>
  </si>
  <si>
    <t>ATC 2007</t>
  </si>
  <si>
    <t>Partitions (including façade)</t>
  </si>
  <si>
    <t>Aslani 2005</t>
  </si>
  <si>
    <t>DS3 Parition-like</t>
  </si>
  <si>
    <t>Windows</t>
  </si>
  <si>
    <t>Ramirez &amp; Miranda 2009</t>
  </si>
  <si>
    <t>Generic-Drift</t>
  </si>
  <si>
    <t>Ceilings</t>
  </si>
  <si>
    <t>PFA</t>
  </si>
  <si>
    <t>Generic-Acceleration</t>
  </si>
  <si>
    <t>B1033.013a</t>
  </si>
  <si>
    <t>B1031.001</t>
  </si>
  <si>
    <t>B1031.021a</t>
  </si>
  <si>
    <t>Unit</t>
  </si>
  <si>
    <t>per 100m2</t>
  </si>
  <si>
    <t>EDP</t>
  </si>
  <si>
    <t>DS2</t>
  </si>
  <si>
    <t>DS3</t>
  </si>
  <si>
    <t>DS4</t>
  </si>
  <si>
    <t>DS5</t>
  </si>
  <si>
    <t>Median</t>
  </si>
  <si>
    <t>CV</t>
  </si>
  <si>
    <t>B2011.011a</t>
  </si>
  <si>
    <t>C1011.001a</t>
  </si>
  <si>
    <t>C2011.001b</t>
  </si>
  <si>
    <t>C3032.001a</t>
  </si>
  <si>
    <t>D2021.011a</t>
  </si>
  <si>
    <t>D2022.011a</t>
  </si>
  <si>
    <t>D2031.011b</t>
  </si>
  <si>
    <t>D3041.001a</t>
  </si>
  <si>
    <t>D3041.031a</t>
  </si>
  <si>
    <t>D3041.041a</t>
  </si>
  <si>
    <t>D4011.021a</t>
  </si>
  <si>
    <t>D5012.033b</t>
  </si>
  <si>
    <t>E2022.001</t>
  </si>
  <si>
    <t>E2022.023</t>
  </si>
  <si>
    <t>E2022.102a</t>
  </si>
  <si>
    <t>E2022.103a</t>
  </si>
  <si>
    <t>E2022.104a</t>
  </si>
  <si>
    <t>E2022.105a</t>
  </si>
  <si>
    <t>E2022.106a</t>
  </si>
  <si>
    <t>E2022.112a</t>
  </si>
  <si>
    <t>E2022.114a</t>
  </si>
  <si>
    <t>E2022.124a</t>
  </si>
  <si>
    <t>D1014.021</t>
  </si>
  <si>
    <t>D5092.011a</t>
  </si>
  <si>
    <t>D5092.021a</t>
  </si>
  <si>
    <t>D5011.011b</t>
  </si>
  <si>
    <t>D5012.021a</t>
  </si>
  <si>
    <t>D5092.032b</t>
  </si>
  <si>
    <t>D3031.012e</t>
  </si>
  <si>
    <t>D3052.011d</t>
  </si>
  <si>
    <t>100SF</t>
  </si>
  <si>
    <t>1EA</t>
  </si>
  <si>
    <t>250SF</t>
  </si>
  <si>
    <t>1000LF</t>
  </si>
  <si>
    <t>10EA</t>
  </si>
  <si>
    <t>EA</t>
  </si>
  <si>
    <t>Mean</t>
  </si>
  <si>
    <t>Fragilities DS1</t>
  </si>
  <si>
    <t>Cost  DS1</t>
  </si>
  <si>
    <t>LF</t>
  </si>
  <si>
    <t>SF</t>
  </si>
  <si>
    <t>TN</t>
  </si>
  <si>
    <t>CFM</t>
  </si>
  <si>
    <t>KVA</t>
  </si>
  <si>
    <t>AP</t>
  </si>
  <si>
    <t>Linear foot</t>
  </si>
  <si>
    <t>Square foot</t>
  </si>
  <si>
    <t>cubic feet per minute</t>
  </si>
  <si>
    <t>each</t>
  </si>
  <si>
    <t>kilovolt amper</t>
  </si>
  <si>
    <t>best fit</t>
  </si>
  <si>
    <t>lognormal</t>
  </si>
  <si>
    <t>normal</t>
  </si>
  <si>
    <t>1 usd = 0.88 euro</t>
  </si>
  <si>
    <t>no scaling for specific country</t>
  </si>
  <si>
    <t>no correction against double counting</t>
  </si>
  <si>
    <t>this is just a pure demonstration</t>
  </si>
  <si>
    <t>1300SF</t>
  </si>
  <si>
    <t>Questions</t>
  </si>
  <si>
    <t>Units?</t>
  </si>
  <si>
    <t>Units in cost summary and fragility summary differ sometimes, have you noticed?</t>
  </si>
  <si>
    <t>Me using the means and CVs as it is, does it make sense, or I need to make some modifications?</t>
  </si>
  <si>
    <t>normal truncated</t>
  </si>
  <si>
    <t>luxury content per Greece</t>
  </si>
  <si>
    <t>Why repair cost at higher DS is sometimes lower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</si>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</sst>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E2B5-8FE3-4D5C-8CD0-B4042A47447B}">
  <dimension ref="A1:X12"/>
  <sheetViews>
    <sheetView zoomScaleNormal="100" workbookViewId="0">
      <selection activeCell="F11" sqref="F11"/>
    </sheetView>
  </sheetViews>
  <sheetFormatPr defaultRowHeight="15" x14ac:dyDescent="0.25"/>
  <cols>
    <col min="1" max="1" width="19" style="2" customWidth="1"/>
    <col min="2" max="2" width="14.85546875" style="2" customWidth="1"/>
    <col min="3" max="3" width="9.42578125" style="2" customWidth="1"/>
    <col min="4" max="4" width="14.42578125" style="2" customWidth="1"/>
    <col min="5" max="5" width="22" style="3" bestFit="1" customWidth="1"/>
    <col min="6" max="9" width="22.140625" style="3" bestFit="1" customWidth="1"/>
    <col min="10" max="10" width="28.28515625" style="3" bestFit="1" customWidth="1"/>
    <col min="11" max="14" width="28.42578125" style="3" bestFit="1" customWidth="1"/>
    <col min="15" max="15" width="19" style="3" bestFit="1" customWidth="1"/>
    <col min="16" max="16" width="19.140625" style="3" bestFit="1" customWidth="1"/>
    <col min="17" max="17" width="20.140625" style="3" bestFit="1" customWidth="1"/>
    <col min="18" max="19" width="19.140625" style="3" bestFit="1" customWidth="1"/>
    <col min="20" max="20" width="29.28515625" style="3" bestFit="1" customWidth="1"/>
    <col min="21" max="24" width="29.42578125" style="3" bestFit="1" customWidth="1"/>
    <col min="25" max="16384" width="9.140625" style="3"/>
  </cols>
  <sheetData>
    <row r="1" spans="1:24" s="1" customFormat="1" ht="30" x14ac:dyDescent="0.25">
      <c r="A1" s="1" t="s">
        <v>21</v>
      </c>
      <c r="B1" s="1" t="s">
        <v>22</v>
      </c>
      <c r="C1" s="1" t="s">
        <v>0</v>
      </c>
      <c r="D1" s="1" t="s">
        <v>25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24" ht="30" x14ac:dyDescent="0.25">
      <c r="A2" s="2" t="s">
        <v>23</v>
      </c>
      <c r="B2" s="2" t="s">
        <v>24</v>
      </c>
      <c r="D2" s="2" t="s">
        <v>26</v>
      </c>
      <c r="E2" s="3">
        <v>0.7</v>
      </c>
      <c r="F2" s="3">
        <v>1.7</v>
      </c>
      <c r="G2" s="3">
        <v>3.9</v>
      </c>
      <c r="H2" s="3">
        <v>6</v>
      </c>
      <c r="I2" s="3">
        <v>0</v>
      </c>
      <c r="J2" s="3">
        <v>0.45</v>
      </c>
      <c r="K2" s="3">
        <v>0.5</v>
      </c>
      <c r="L2" s="3">
        <v>0.3</v>
      </c>
      <c r="M2" s="3">
        <v>0.22</v>
      </c>
      <c r="N2" s="3">
        <v>0</v>
      </c>
      <c r="O2" s="3">
        <v>0.14000000000000001</v>
      </c>
      <c r="P2" s="3">
        <v>0.47</v>
      </c>
      <c r="Q2" s="3">
        <v>0.71</v>
      </c>
      <c r="R2" s="3">
        <v>2.25</v>
      </c>
      <c r="S2" s="3">
        <v>0</v>
      </c>
    </row>
    <row r="3" spans="1:24" ht="45" x14ac:dyDescent="0.25">
      <c r="A3" s="2" t="s">
        <v>28</v>
      </c>
      <c r="B3" s="2" t="s">
        <v>27</v>
      </c>
      <c r="D3" s="2" t="s">
        <v>26</v>
      </c>
      <c r="E3" s="3">
        <v>0.4</v>
      </c>
      <c r="F3" s="3">
        <v>1</v>
      </c>
      <c r="G3" s="3">
        <v>9</v>
      </c>
      <c r="H3" s="3">
        <v>0</v>
      </c>
      <c r="I3" s="3">
        <v>0</v>
      </c>
      <c r="J3" s="3">
        <v>0.39</v>
      </c>
      <c r="K3" s="3">
        <v>0.25</v>
      </c>
      <c r="L3" s="3">
        <v>0.24</v>
      </c>
      <c r="M3" s="3">
        <v>0</v>
      </c>
      <c r="N3" s="3">
        <v>0</v>
      </c>
      <c r="O3" s="3">
        <v>0.1</v>
      </c>
      <c r="P3" s="3">
        <v>0.4</v>
      </c>
      <c r="Q3" s="3">
        <v>2.75</v>
      </c>
      <c r="R3" s="3">
        <v>0</v>
      </c>
      <c r="S3" s="3">
        <v>0</v>
      </c>
    </row>
    <row r="4" spans="1:24" ht="30" x14ac:dyDescent="0.25">
      <c r="A4" s="2" t="s">
        <v>29</v>
      </c>
      <c r="B4" s="2" t="s">
        <v>30</v>
      </c>
      <c r="E4" s="3">
        <v>0.35</v>
      </c>
      <c r="F4" s="3">
        <v>1</v>
      </c>
      <c r="G4" s="3">
        <v>2.6</v>
      </c>
      <c r="H4" s="3">
        <v>6.8</v>
      </c>
      <c r="I4" s="3">
        <v>0</v>
      </c>
      <c r="J4" s="3">
        <v>0.33</v>
      </c>
      <c r="K4" s="3">
        <v>0.44</v>
      </c>
      <c r="L4" s="3">
        <v>0.55000000000000004</v>
      </c>
      <c r="M4" s="3">
        <v>0.38</v>
      </c>
      <c r="N4" s="3">
        <v>0</v>
      </c>
      <c r="O4" s="3">
        <v>0.1</v>
      </c>
      <c r="P4" s="3">
        <v>0.5</v>
      </c>
      <c r="Q4" s="3">
        <v>2</v>
      </c>
      <c r="R4" s="3">
        <v>3</v>
      </c>
      <c r="S4" s="3">
        <v>0</v>
      </c>
    </row>
    <row r="5" spans="1:24" ht="30" x14ac:dyDescent="0.25">
      <c r="A5" s="2" t="s">
        <v>31</v>
      </c>
      <c r="B5" s="2" t="s">
        <v>24</v>
      </c>
      <c r="E5" s="3">
        <v>0.65</v>
      </c>
      <c r="F5" s="3">
        <v>1.2</v>
      </c>
      <c r="G5" s="3">
        <v>2.2000000000000002</v>
      </c>
      <c r="H5" s="3">
        <v>3</v>
      </c>
      <c r="I5" s="3">
        <v>3.6</v>
      </c>
      <c r="J5" s="3">
        <v>0.35</v>
      </c>
      <c r="K5" s="3">
        <v>0.45</v>
      </c>
      <c r="L5" s="3">
        <v>0.33</v>
      </c>
      <c r="M5" s="3">
        <v>0.3</v>
      </c>
      <c r="N5" s="3">
        <v>0.26</v>
      </c>
      <c r="O5" s="3">
        <v>0.14000000000000001</v>
      </c>
      <c r="P5" s="3">
        <v>0.47</v>
      </c>
      <c r="Q5" s="3">
        <v>0.71</v>
      </c>
      <c r="R5" s="3">
        <v>1.41</v>
      </c>
      <c r="S5" s="3">
        <v>2.31</v>
      </c>
    </row>
    <row r="6" spans="1:24" ht="45" x14ac:dyDescent="0.25">
      <c r="A6" s="2" t="s">
        <v>28</v>
      </c>
      <c r="B6" s="2" t="s">
        <v>27</v>
      </c>
      <c r="E6" s="3">
        <v>0.4</v>
      </c>
      <c r="F6" s="3">
        <v>1</v>
      </c>
      <c r="G6" s="3">
        <v>4.4000000000000004</v>
      </c>
      <c r="H6" s="3">
        <v>5.4</v>
      </c>
      <c r="I6" s="3">
        <v>0</v>
      </c>
      <c r="J6" s="3">
        <v>0.39</v>
      </c>
      <c r="K6" s="3">
        <v>0.25</v>
      </c>
      <c r="L6" s="3">
        <v>0.24</v>
      </c>
      <c r="M6" s="3">
        <v>0.16</v>
      </c>
      <c r="N6" s="3">
        <v>0</v>
      </c>
      <c r="O6" s="3">
        <v>0.1</v>
      </c>
      <c r="P6" s="3">
        <v>0.4</v>
      </c>
      <c r="Q6" s="3">
        <v>1</v>
      </c>
      <c r="R6" s="3">
        <v>2.75</v>
      </c>
      <c r="S6" s="3">
        <v>0</v>
      </c>
    </row>
    <row r="7" spans="1:24" ht="45" x14ac:dyDescent="0.25">
      <c r="A7" s="2" t="s">
        <v>32</v>
      </c>
      <c r="B7" s="2" t="s">
        <v>33</v>
      </c>
      <c r="D7" s="2" t="s">
        <v>26</v>
      </c>
      <c r="E7" s="3">
        <v>0.21</v>
      </c>
      <c r="F7" s="3">
        <v>0.69</v>
      </c>
      <c r="G7" s="3">
        <v>1.27</v>
      </c>
      <c r="H7" s="3">
        <v>0</v>
      </c>
      <c r="I7" s="3">
        <v>0</v>
      </c>
      <c r="J7" s="3">
        <v>0.61</v>
      </c>
      <c r="K7" s="3">
        <v>0.4</v>
      </c>
      <c r="L7" s="3">
        <v>0.45</v>
      </c>
      <c r="M7" s="3">
        <v>0</v>
      </c>
      <c r="N7" s="3">
        <v>0</v>
      </c>
      <c r="O7" s="3">
        <v>0.1</v>
      </c>
      <c r="P7" s="3">
        <v>0.6</v>
      </c>
      <c r="Q7" s="3">
        <v>1.2</v>
      </c>
      <c r="R7" s="3">
        <v>0</v>
      </c>
      <c r="S7" s="3">
        <v>0</v>
      </c>
    </row>
    <row r="8" spans="1:24" ht="30" x14ac:dyDescent="0.25">
      <c r="A8" s="2" t="s">
        <v>34</v>
      </c>
      <c r="B8" s="2" t="s">
        <v>35</v>
      </c>
      <c r="D8" s="2" t="s">
        <v>26</v>
      </c>
      <c r="E8" s="3">
        <v>1.27</v>
      </c>
      <c r="F8" s="3">
        <v>0</v>
      </c>
      <c r="G8" s="3">
        <v>0</v>
      </c>
      <c r="H8" s="3">
        <v>0</v>
      </c>
      <c r="I8" s="3">
        <v>0</v>
      </c>
      <c r="J8" s="3">
        <v>0.45</v>
      </c>
      <c r="K8" s="3">
        <v>0</v>
      </c>
      <c r="L8" s="3">
        <v>0</v>
      </c>
      <c r="M8" s="3">
        <v>0</v>
      </c>
      <c r="N8" s="3">
        <v>0</v>
      </c>
      <c r="O8" s="3">
        <v>1.2</v>
      </c>
      <c r="P8" s="3">
        <v>0</v>
      </c>
      <c r="Q8" s="3">
        <v>0</v>
      </c>
      <c r="R8" s="3">
        <v>0</v>
      </c>
      <c r="S8" s="3">
        <v>0</v>
      </c>
    </row>
    <row r="9" spans="1:24" ht="30" x14ac:dyDescent="0.25">
      <c r="A9" s="2" t="s">
        <v>29</v>
      </c>
      <c r="B9" s="2" t="s">
        <v>36</v>
      </c>
      <c r="D9" s="2" t="s">
        <v>26</v>
      </c>
      <c r="E9" s="3">
        <v>1.6</v>
      </c>
      <c r="F9" s="3">
        <v>3.2</v>
      </c>
      <c r="G9" s="3">
        <v>3.6</v>
      </c>
      <c r="H9" s="3">
        <v>0</v>
      </c>
      <c r="I9" s="3">
        <v>0</v>
      </c>
      <c r="J9" s="3">
        <v>0.28999999999999998</v>
      </c>
      <c r="K9" s="3">
        <v>0.28999999999999998</v>
      </c>
      <c r="L9" s="3">
        <v>0.27</v>
      </c>
      <c r="M9" s="3">
        <v>0</v>
      </c>
      <c r="N9" s="3">
        <v>0</v>
      </c>
      <c r="O9" s="3">
        <v>0.1</v>
      </c>
      <c r="P9" s="3">
        <v>0.6</v>
      </c>
      <c r="Q9" s="3">
        <v>1.2</v>
      </c>
      <c r="R9" s="3">
        <v>0</v>
      </c>
      <c r="S9" s="3">
        <v>0</v>
      </c>
    </row>
    <row r="10" spans="1:24" ht="30" x14ac:dyDescent="0.25">
      <c r="A10" s="2" t="s">
        <v>37</v>
      </c>
      <c r="B10" s="2" t="s">
        <v>38</v>
      </c>
      <c r="D10" s="2" t="s">
        <v>26</v>
      </c>
      <c r="E10" s="3">
        <v>0.55000000000000004</v>
      </c>
      <c r="F10" s="3">
        <v>1</v>
      </c>
      <c r="G10" s="3">
        <v>2.2000000000000002</v>
      </c>
      <c r="H10" s="3">
        <v>3.5</v>
      </c>
      <c r="I10" s="3">
        <v>0</v>
      </c>
      <c r="J10" s="3">
        <v>0.6</v>
      </c>
      <c r="K10" s="3">
        <v>0.5</v>
      </c>
      <c r="L10" s="3">
        <v>0.4</v>
      </c>
      <c r="M10" s="3">
        <v>0.35</v>
      </c>
      <c r="N10" s="3">
        <v>0</v>
      </c>
      <c r="O10" s="3">
        <v>0.03</v>
      </c>
      <c r="P10" s="3">
        <v>0.1</v>
      </c>
      <c r="Q10" s="3">
        <v>0.6</v>
      </c>
      <c r="R10" s="3">
        <v>1.2</v>
      </c>
      <c r="S10" s="3">
        <v>0</v>
      </c>
    </row>
    <row r="11" spans="1:24" x14ac:dyDescent="0.25">
      <c r="A11" s="2" t="s">
        <v>32</v>
      </c>
      <c r="B11" s="2" t="s">
        <v>39</v>
      </c>
      <c r="D11" s="2" t="s">
        <v>40</v>
      </c>
      <c r="E11" s="3">
        <v>0.3</v>
      </c>
      <c r="F11" s="3">
        <v>0.65</v>
      </c>
      <c r="G11" s="3">
        <v>1.28</v>
      </c>
      <c r="H11" s="3">
        <v>0</v>
      </c>
      <c r="I11" s="3">
        <v>0</v>
      </c>
      <c r="J11" s="3">
        <v>0.4</v>
      </c>
      <c r="K11" s="3">
        <v>0.5</v>
      </c>
      <c r="L11" s="3">
        <v>0.55000000000000004</v>
      </c>
      <c r="M11" s="3">
        <v>0</v>
      </c>
      <c r="N11" s="3">
        <v>0</v>
      </c>
      <c r="O11" s="3">
        <v>0.12</v>
      </c>
      <c r="P11" s="3">
        <v>0.36</v>
      </c>
      <c r="Q11" s="3">
        <v>1.2</v>
      </c>
      <c r="R11" s="3">
        <v>0</v>
      </c>
      <c r="S11" s="3">
        <v>0</v>
      </c>
    </row>
    <row r="12" spans="1:24" ht="30" x14ac:dyDescent="0.25">
      <c r="A12" s="2" t="s">
        <v>37</v>
      </c>
      <c r="B12" s="2" t="s">
        <v>41</v>
      </c>
      <c r="D12" s="2" t="s">
        <v>40</v>
      </c>
      <c r="E12" s="3">
        <v>0.7</v>
      </c>
      <c r="F12" s="3">
        <v>1</v>
      </c>
      <c r="G12" s="3">
        <v>2.2000000000000002</v>
      </c>
      <c r="H12" s="3">
        <v>3.5</v>
      </c>
      <c r="I12" s="3">
        <v>0</v>
      </c>
      <c r="J12" s="3">
        <v>0.5</v>
      </c>
      <c r="K12" s="3">
        <v>0.5</v>
      </c>
      <c r="L12" s="3">
        <v>0.4</v>
      </c>
      <c r="M12" s="3">
        <v>0.35</v>
      </c>
      <c r="N12" s="3">
        <v>0</v>
      </c>
      <c r="O12" s="3">
        <v>0.02</v>
      </c>
      <c r="P12" s="3">
        <v>0.12</v>
      </c>
      <c r="Q12" s="3">
        <v>0.36</v>
      </c>
      <c r="R12" s="3">
        <v>1.2</v>
      </c>
      <c r="S1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AD20-FC57-4B76-8A23-C938B11C5479}">
  <dimension ref="A1:E12"/>
  <sheetViews>
    <sheetView zoomScale="130" zoomScaleNormal="130" workbookViewId="0">
      <selection activeCell="C5" sqref="C5"/>
    </sheetView>
  </sheetViews>
  <sheetFormatPr defaultRowHeight="15" x14ac:dyDescent="0.25"/>
  <cols>
    <col min="1" max="1" width="9.140625" style="4"/>
    <col min="2" max="2" width="30.42578125" style="4" customWidth="1"/>
    <col min="3" max="16384" width="9.140625" style="4"/>
  </cols>
  <sheetData>
    <row r="1" spans="1:5" x14ac:dyDescent="0.25">
      <c r="A1" s="4" t="s">
        <v>93</v>
      </c>
      <c r="B1" s="4" t="s">
        <v>99</v>
      </c>
    </row>
    <row r="2" spans="1:5" x14ac:dyDescent="0.25">
      <c r="A2" s="4" t="s">
        <v>94</v>
      </c>
      <c r="B2" s="4" t="s">
        <v>100</v>
      </c>
      <c r="D2" s="4" t="s">
        <v>107</v>
      </c>
    </row>
    <row r="3" spans="1:5" x14ac:dyDescent="0.25">
      <c r="A3" s="4" t="s">
        <v>89</v>
      </c>
      <c r="B3" s="4" t="s">
        <v>102</v>
      </c>
      <c r="D3" s="4" t="s">
        <v>108</v>
      </c>
    </row>
    <row r="4" spans="1:5" x14ac:dyDescent="0.25">
      <c r="A4" s="4" t="s">
        <v>98</v>
      </c>
      <c r="D4" s="4" t="s">
        <v>109</v>
      </c>
    </row>
    <row r="5" spans="1:5" x14ac:dyDescent="0.25">
      <c r="A5" s="4" t="s">
        <v>95</v>
      </c>
      <c r="D5" s="4" t="s">
        <v>110</v>
      </c>
    </row>
    <row r="6" spans="1:5" x14ac:dyDescent="0.25">
      <c r="A6" s="4" t="s">
        <v>96</v>
      </c>
      <c r="B6" s="4" t="s">
        <v>101</v>
      </c>
      <c r="D6" s="4" t="s">
        <v>117</v>
      </c>
    </row>
    <row r="7" spans="1:5" x14ac:dyDescent="0.25">
      <c r="A7" s="4" t="s">
        <v>97</v>
      </c>
      <c r="B7" s="4" t="s">
        <v>103</v>
      </c>
    </row>
    <row r="9" spans="1:5" x14ac:dyDescent="0.25">
      <c r="D9" s="4" t="s">
        <v>112</v>
      </c>
      <c r="E9" s="4" t="s">
        <v>113</v>
      </c>
    </row>
    <row r="10" spans="1:5" x14ac:dyDescent="0.25">
      <c r="E10" s="4" t="s">
        <v>114</v>
      </c>
    </row>
    <row r="11" spans="1:5" x14ac:dyDescent="0.25">
      <c r="E11" s="4" t="s">
        <v>115</v>
      </c>
    </row>
    <row r="12" spans="1:5" x14ac:dyDescent="0.25">
      <c r="E12" s="4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8B3A-2F17-40E8-A169-0BB8D9CF87F7}">
  <dimension ref="A1:AF37"/>
  <sheetViews>
    <sheetView tabSelected="1" zoomScale="145" zoomScaleNormal="14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18" sqref="G18:H29"/>
    </sheetView>
  </sheetViews>
  <sheetFormatPr defaultRowHeight="15" x14ac:dyDescent="0.25"/>
  <cols>
    <col min="1" max="1" width="18.5703125" style="5" customWidth="1"/>
    <col min="2" max="2" width="9.140625" style="11"/>
    <col min="3" max="6" width="9.140625" style="4"/>
    <col min="7" max="7" width="9.140625" style="11"/>
    <col min="8" max="16" width="9.140625" style="4"/>
    <col min="17" max="17" width="9.140625" style="11"/>
    <col min="18" max="31" width="9.140625" style="4"/>
    <col min="32" max="32" width="9.140625" style="11"/>
    <col min="33" max="16384" width="9.140625" style="4"/>
  </cols>
  <sheetData>
    <row r="1" spans="1:32" s="5" customFormat="1" x14ac:dyDescent="0.25">
      <c r="A1" s="5" t="s">
        <v>0</v>
      </c>
      <c r="B1" s="9" t="s">
        <v>45</v>
      </c>
      <c r="C1" s="5" t="s">
        <v>46</v>
      </c>
      <c r="D1" s="5" t="s">
        <v>119</v>
      </c>
      <c r="E1" s="5" t="s">
        <v>53</v>
      </c>
      <c r="F1" s="5" t="s">
        <v>47</v>
      </c>
      <c r="G1" s="16" t="s">
        <v>91</v>
      </c>
      <c r="H1" s="17"/>
      <c r="I1" s="14" t="s">
        <v>48</v>
      </c>
      <c r="J1" s="14"/>
      <c r="K1" s="14" t="s">
        <v>49</v>
      </c>
      <c r="L1" s="14"/>
      <c r="M1" s="14" t="s">
        <v>50</v>
      </c>
      <c r="N1" s="14"/>
      <c r="O1" s="14" t="s">
        <v>51</v>
      </c>
      <c r="P1" s="15"/>
      <c r="Q1" s="16" t="s">
        <v>92</v>
      </c>
      <c r="R1" s="17"/>
      <c r="S1" s="17"/>
      <c r="T1" s="14" t="s">
        <v>48</v>
      </c>
      <c r="U1" s="14"/>
      <c r="V1" s="14"/>
      <c r="W1" s="14" t="s">
        <v>49</v>
      </c>
      <c r="X1" s="14"/>
      <c r="Y1" s="14"/>
      <c r="Z1" s="14" t="s">
        <v>50</v>
      </c>
      <c r="AA1" s="14"/>
      <c r="AB1" s="14"/>
      <c r="AC1" s="14" t="s">
        <v>51</v>
      </c>
      <c r="AD1" s="14"/>
      <c r="AE1" s="15"/>
      <c r="AF1" s="9"/>
    </row>
    <row r="2" spans="1:32" s="6" customFormat="1" x14ac:dyDescent="0.25">
      <c r="B2" s="10"/>
      <c r="G2" s="10" t="s">
        <v>52</v>
      </c>
      <c r="H2" s="6" t="s">
        <v>53</v>
      </c>
      <c r="I2" s="6" t="s">
        <v>52</v>
      </c>
      <c r="J2" s="6" t="s">
        <v>53</v>
      </c>
      <c r="K2" s="6" t="s">
        <v>52</v>
      </c>
      <c r="L2" s="6" t="s">
        <v>53</v>
      </c>
      <c r="M2" s="6" t="s">
        <v>52</v>
      </c>
      <c r="N2" s="6" t="s">
        <v>53</v>
      </c>
      <c r="O2" s="6" t="s">
        <v>52</v>
      </c>
      <c r="P2" s="6" t="s">
        <v>53</v>
      </c>
      <c r="Q2" s="10" t="s">
        <v>90</v>
      </c>
      <c r="R2" s="6" t="s">
        <v>53</v>
      </c>
      <c r="S2" s="6" t="s">
        <v>104</v>
      </c>
      <c r="T2" s="6" t="s">
        <v>90</v>
      </c>
      <c r="U2" s="6" t="s">
        <v>53</v>
      </c>
      <c r="V2" s="6" t="s">
        <v>104</v>
      </c>
      <c r="W2" s="6" t="s">
        <v>90</v>
      </c>
      <c r="X2" s="6" t="s">
        <v>53</v>
      </c>
      <c r="Y2" s="6" t="s">
        <v>104</v>
      </c>
      <c r="Z2" s="6" t="s">
        <v>90</v>
      </c>
      <c r="AA2" s="6" t="s">
        <v>53</v>
      </c>
      <c r="AB2" s="6" t="s">
        <v>104</v>
      </c>
      <c r="AC2" s="6" t="s">
        <v>90</v>
      </c>
      <c r="AD2" s="6" t="s">
        <v>53</v>
      </c>
      <c r="AE2" s="6" t="s">
        <v>104</v>
      </c>
      <c r="AF2" s="10"/>
    </row>
    <row r="3" spans="1:32" x14ac:dyDescent="0.25">
      <c r="A3" s="5" t="s">
        <v>43</v>
      </c>
      <c r="B3" s="11" t="s">
        <v>85</v>
      </c>
      <c r="C3" s="4">
        <v>9.9600000000000009</v>
      </c>
      <c r="D3" s="4">
        <f>C3*7</f>
        <v>69.72</v>
      </c>
      <c r="F3" s="4" t="s">
        <v>26</v>
      </c>
      <c r="G3" s="11">
        <v>0.04</v>
      </c>
      <c r="H3" s="4">
        <v>0.4</v>
      </c>
      <c r="I3" s="4">
        <v>0.04</v>
      </c>
      <c r="J3" s="4">
        <v>0.4</v>
      </c>
      <c r="K3" s="4">
        <v>0.08</v>
      </c>
      <c r="L3" s="4">
        <v>0.4</v>
      </c>
      <c r="M3" s="4">
        <v>0.11</v>
      </c>
      <c r="N3" s="4">
        <v>0.4</v>
      </c>
      <c r="Q3" s="11">
        <v>0</v>
      </c>
      <c r="R3" s="4">
        <v>0</v>
      </c>
      <c r="S3" s="4" t="s">
        <v>105</v>
      </c>
      <c r="T3" s="4">
        <f>0.88*12100</f>
        <v>10648</v>
      </c>
      <c r="U3" s="4">
        <v>0.37</v>
      </c>
      <c r="V3" s="4" t="s">
        <v>106</v>
      </c>
      <c r="W3" s="4">
        <f>12400*0.88</f>
        <v>10912</v>
      </c>
      <c r="X3" s="4">
        <v>0.38</v>
      </c>
      <c r="Y3" s="4" t="s">
        <v>106</v>
      </c>
      <c r="Z3" s="4">
        <f>12300*0.88</f>
        <v>10824</v>
      </c>
      <c r="AA3" s="4">
        <v>0.38</v>
      </c>
      <c r="AB3" s="4" t="s">
        <v>106</v>
      </c>
    </row>
    <row r="4" spans="1:32" s="8" customFormat="1" x14ac:dyDescent="0.25">
      <c r="A4" s="13" t="s">
        <v>44</v>
      </c>
      <c r="B4" s="11" t="s">
        <v>85</v>
      </c>
      <c r="C4" s="8">
        <v>0.76</v>
      </c>
      <c r="D4" s="4">
        <f t="shared" ref="D4:D37" si="0">C4*7</f>
        <v>5.32</v>
      </c>
      <c r="F4" s="8" t="s">
        <v>26</v>
      </c>
      <c r="G4" s="11">
        <v>0.02</v>
      </c>
      <c r="H4" s="8">
        <v>0.4</v>
      </c>
      <c r="I4" s="8">
        <v>0.02</v>
      </c>
      <c r="J4" s="8">
        <v>0.4</v>
      </c>
      <c r="K4" s="8">
        <v>0.05</v>
      </c>
      <c r="L4" s="8">
        <v>0.4</v>
      </c>
      <c r="Q4" s="11">
        <v>0</v>
      </c>
      <c r="R4" s="8">
        <v>0</v>
      </c>
      <c r="S4" s="8" t="s">
        <v>105</v>
      </c>
      <c r="T4" s="8">
        <f>9450*0.88</f>
        <v>8316</v>
      </c>
      <c r="U4" s="8">
        <v>0.32</v>
      </c>
      <c r="V4" s="8" t="s">
        <v>106</v>
      </c>
      <c r="W4" s="8">
        <f>11200*0.88</f>
        <v>9856</v>
      </c>
      <c r="X4" s="8">
        <v>0.3</v>
      </c>
      <c r="Y4" s="8" t="s">
        <v>105</v>
      </c>
      <c r="AF4" s="11"/>
    </row>
    <row r="5" spans="1:32" s="7" customFormat="1" x14ac:dyDescent="0.25">
      <c r="A5" s="6" t="s">
        <v>42</v>
      </c>
      <c r="B5" s="12" t="s">
        <v>85</v>
      </c>
      <c r="C5" s="7">
        <v>0.56000000000000005</v>
      </c>
      <c r="D5" s="7">
        <f t="shared" si="0"/>
        <v>3.9200000000000004</v>
      </c>
      <c r="F5" s="7" t="s">
        <v>26</v>
      </c>
      <c r="G5" s="12">
        <v>3.5000000000000001E-3</v>
      </c>
      <c r="H5" s="7">
        <v>0.45</v>
      </c>
      <c r="I5" s="7">
        <v>9.1999999999999998E-3</v>
      </c>
      <c r="J5" s="7">
        <v>0.3</v>
      </c>
      <c r="K5" s="7">
        <v>1.67E-2</v>
      </c>
      <c r="L5" s="7">
        <v>0.15</v>
      </c>
      <c r="M5" s="7">
        <v>2.23E-2</v>
      </c>
      <c r="N5" s="7">
        <v>0.15</v>
      </c>
      <c r="Q5" s="12">
        <f>30900*0.88</f>
        <v>27192</v>
      </c>
      <c r="R5" s="7">
        <v>0.33</v>
      </c>
      <c r="S5" s="7" t="s">
        <v>106</v>
      </c>
      <c r="T5" s="7">
        <f>37800*0.88</f>
        <v>33264</v>
      </c>
      <c r="U5" s="7">
        <v>0.31</v>
      </c>
      <c r="V5" s="7" t="s">
        <v>106</v>
      </c>
      <c r="W5" s="7">
        <f>39400*0.88</f>
        <v>34672</v>
      </c>
      <c r="X5" s="7">
        <v>0.3</v>
      </c>
      <c r="Y5" s="7" t="s">
        <v>106</v>
      </c>
      <c r="Z5" s="7">
        <f>39400*0.88</f>
        <v>34672</v>
      </c>
      <c r="AA5" s="7">
        <v>0.3</v>
      </c>
      <c r="AB5" s="7" t="s">
        <v>106</v>
      </c>
      <c r="AF5" s="12"/>
    </row>
    <row r="6" spans="1:32" x14ac:dyDescent="0.25">
      <c r="A6" s="5" t="s">
        <v>54</v>
      </c>
      <c r="B6" s="11" t="s">
        <v>84</v>
      </c>
      <c r="C6" s="4">
        <v>8.52</v>
      </c>
      <c r="D6" s="4">
        <f t="shared" si="0"/>
        <v>59.64</v>
      </c>
      <c r="F6" s="4" t="s">
        <v>26</v>
      </c>
      <c r="G6" s="11">
        <v>1.3899999999999999E-2</v>
      </c>
      <c r="H6" s="4">
        <v>0.25</v>
      </c>
      <c r="I6" s="4">
        <v>1.7899999999999999E-2</v>
      </c>
      <c r="J6" s="4">
        <v>0.25</v>
      </c>
      <c r="Q6" s="11">
        <f>3140*0.88</f>
        <v>2763.2</v>
      </c>
      <c r="R6" s="4">
        <v>0.24</v>
      </c>
      <c r="S6" s="4" t="s">
        <v>105</v>
      </c>
      <c r="T6" s="4">
        <f>3740*0.88</f>
        <v>3291.2</v>
      </c>
      <c r="U6" s="4">
        <v>0.1</v>
      </c>
      <c r="V6" s="4" t="s">
        <v>106</v>
      </c>
    </row>
    <row r="7" spans="1:32" x14ac:dyDescent="0.25">
      <c r="A7" s="5" t="s">
        <v>55</v>
      </c>
      <c r="B7" s="11" t="s">
        <v>111</v>
      </c>
      <c r="C7" s="4">
        <v>1</v>
      </c>
      <c r="D7" s="4">
        <f t="shared" si="0"/>
        <v>7</v>
      </c>
      <c r="F7" s="4" t="s">
        <v>26</v>
      </c>
      <c r="G7" s="11">
        <v>5.0000000000000001E-3</v>
      </c>
      <c r="H7" s="4">
        <v>0.4</v>
      </c>
      <c r="I7" s="4">
        <v>0.01</v>
      </c>
      <c r="J7" s="4">
        <v>0.3</v>
      </c>
      <c r="K7" s="4">
        <v>2.1000000000000001E-2</v>
      </c>
      <c r="L7" s="4">
        <v>0.2</v>
      </c>
      <c r="Q7" s="11">
        <f>1800*0.88</f>
        <v>1584</v>
      </c>
      <c r="R7" s="4">
        <v>0.48</v>
      </c>
      <c r="S7" s="4" t="s">
        <v>106</v>
      </c>
      <c r="T7" s="4">
        <f>4300*0.88</f>
        <v>3784</v>
      </c>
      <c r="U7" s="4">
        <v>0.56000000000000005</v>
      </c>
      <c r="V7" s="4" t="s">
        <v>105</v>
      </c>
      <c r="W7" s="4">
        <f>8990*0.88</f>
        <v>7911.2</v>
      </c>
      <c r="X7" s="4">
        <v>0.2</v>
      </c>
      <c r="Y7" s="4" t="s">
        <v>105</v>
      </c>
    </row>
    <row r="8" spans="1:32" x14ac:dyDescent="0.25">
      <c r="A8" s="5" t="s">
        <v>56</v>
      </c>
      <c r="B8" s="11" t="s">
        <v>111</v>
      </c>
      <c r="C8" s="4">
        <v>0.15</v>
      </c>
      <c r="D8" s="4">
        <f t="shared" si="0"/>
        <v>1.05</v>
      </c>
      <c r="F8" s="4" t="s">
        <v>26</v>
      </c>
      <c r="G8" s="11">
        <v>5.0000000000000001E-3</v>
      </c>
      <c r="H8" s="4">
        <v>0.6</v>
      </c>
      <c r="I8" s="4">
        <v>1.7000000000000001E-2</v>
      </c>
      <c r="J8" s="4">
        <v>0.6</v>
      </c>
      <c r="K8" s="4">
        <v>2.8000000000000001E-2</v>
      </c>
      <c r="L8" s="4">
        <v>0.45</v>
      </c>
      <c r="Q8" s="11">
        <f>1960*0.88</f>
        <v>1724.8</v>
      </c>
      <c r="R8" s="4">
        <v>0.46</v>
      </c>
      <c r="S8" s="4" t="s">
        <v>106</v>
      </c>
      <c r="T8" s="4">
        <f>5500*0.88</f>
        <v>4840</v>
      </c>
      <c r="U8" s="4">
        <v>0.49</v>
      </c>
      <c r="V8" s="4" t="s">
        <v>106</v>
      </c>
      <c r="W8" s="4">
        <f>19800*0.88</f>
        <v>17424</v>
      </c>
      <c r="X8" s="4">
        <v>0.1</v>
      </c>
      <c r="Y8" s="4" t="s">
        <v>105</v>
      </c>
    </row>
    <row r="9" spans="1:32" x14ac:dyDescent="0.25">
      <c r="A9" s="5" t="s">
        <v>57</v>
      </c>
      <c r="B9" s="11" t="s">
        <v>86</v>
      </c>
      <c r="C9" s="4">
        <v>1.62</v>
      </c>
      <c r="D9" s="4">
        <f t="shared" si="0"/>
        <v>11.34</v>
      </c>
      <c r="F9" s="4" t="s">
        <v>40</v>
      </c>
      <c r="G9" s="11">
        <v>1.17</v>
      </c>
      <c r="H9" s="4">
        <v>0.25</v>
      </c>
      <c r="I9" s="4">
        <v>1.58</v>
      </c>
      <c r="J9" s="4">
        <v>0.25</v>
      </c>
      <c r="K9" s="4">
        <v>1.82</v>
      </c>
      <c r="L9" s="4">
        <v>0.25</v>
      </c>
      <c r="Q9" s="11">
        <f>354*0.88</f>
        <v>311.52</v>
      </c>
      <c r="R9" s="4">
        <v>0.55000000000000004</v>
      </c>
      <c r="S9" s="4" t="s">
        <v>106</v>
      </c>
      <c r="T9" s="4">
        <f>2760*0.88</f>
        <v>2428.8000000000002</v>
      </c>
      <c r="U9" s="4">
        <v>0.52</v>
      </c>
      <c r="V9" s="4" t="s">
        <v>105</v>
      </c>
      <c r="W9" s="4">
        <f>5970*0.88</f>
        <v>5253.6</v>
      </c>
      <c r="X9" s="4">
        <v>0.2</v>
      </c>
      <c r="Y9" s="4" t="s">
        <v>105</v>
      </c>
    </row>
    <row r="10" spans="1:32" x14ac:dyDescent="0.25">
      <c r="A10" s="5" t="s">
        <v>58</v>
      </c>
      <c r="B10" s="11" t="s">
        <v>87</v>
      </c>
      <c r="C10" s="4">
        <v>1.2999999999999999E-2</v>
      </c>
      <c r="D10" s="4">
        <f t="shared" si="0"/>
        <v>9.0999999999999998E-2</v>
      </c>
      <c r="F10" s="4" t="s">
        <v>40</v>
      </c>
      <c r="G10" s="11">
        <v>1.5</v>
      </c>
      <c r="H10" s="4">
        <v>0.4</v>
      </c>
      <c r="I10" s="4">
        <v>2.6</v>
      </c>
      <c r="J10" s="4">
        <v>0.4</v>
      </c>
      <c r="Q10" s="11">
        <f>279*0.88</f>
        <v>245.52</v>
      </c>
      <c r="R10" s="4">
        <v>0.76</v>
      </c>
      <c r="S10" s="4" t="s">
        <v>105</v>
      </c>
      <c r="T10" s="4">
        <f>2600*0.88</f>
        <v>2288</v>
      </c>
      <c r="U10" s="4">
        <v>0.41</v>
      </c>
      <c r="V10" s="4" t="s">
        <v>105</v>
      </c>
    </row>
    <row r="11" spans="1:32" x14ac:dyDescent="0.25">
      <c r="A11" s="5" t="s">
        <v>59</v>
      </c>
      <c r="B11" s="11" t="s">
        <v>87</v>
      </c>
      <c r="C11" s="4">
        <v>5.8999999999999999E-3</v>
      </c>
      <c r="D11" s="4">
        <f t="shared" si="0"/>
        <v>4.1299999999999996E-2</v>
      </c>
      <c r="F11" s="4" t="s">
        <v>40</v>
      </c>
      <c r="G11" s="11">
        <v>0.55000000000000004</v>
      </c>
      <c r="H11" s="4">
        <v>0.4</v>
      </c>
      <c r="I11" s="4">
        <v>1.1000000000000001</v>
      </c>
      <c r="J11" s="4">
        <v>0.4</v>
      </c>
      <c r="Q11" s="11">
        <f>279*0.88</f>
        <v>245.52</v>
      </c>
      <c r="R11" s="4">
        <v>0.76</v>
      </c>
      <c r="S11" s="4" t="s">
        <v>105</v>
      </c>
      <c r="T11" s="4">
        <f>2600*0.88</f>
        <v>2288</v>
      </c>
      <c r="U11" s="4">
        <v>0.41</v>
      </c>
      <c r="V11" s="4" t="s">
        <v>105</v>
      </c>
    </row>
    <row r="12" spans="1:32" x14ac:dyDescent="0.25">
      <c r="A12" s="5" t="s">
        <v>60</v>
      </c>
      <c r="B12" s="11" t="s">
        <v>87</v>
      </c>
      <c r="C12" s="4">
        <v>2.8000000000000001E-2</v>
      </c>
      <c r="D12" s="4">
        <f t="shared" si="0"/>
        <v>0.19600000000000001</v>
      </c>
      <c r="F12" s="4" t="s">
        <v>40</v>
      </c>
      <c r="G12" s="11">
        <v>1.2</v>
      </c>
      <c r="H12" s="4">
        <v>0.4</v>
      </c>
      <c r="I12" s="4">
        <v>2.4</v>
      </c>
      <c r="J12" s="4">
        <v>0.4</v>
      </c>
      <c r="Q12" s="11">
        <f>406*0.88</f>
        <v>357.28000000000003</v>
      </c>
      <c r="R12" s="4">
        <v>0.57999999999999996</v>
      </c>
      <c r="S12" s="4" t="s">
        <v>105</v>
      </c>
      <c r="T12" s="4">
        <f>2820*0.88</f>
        <v>2481.6</v>
      </c>
      <c r="U12" s="4">
        <v>0.34</v>
      </c>
      <c r="V12" s="4" t="s">
        <v>105</v>
      </c>
    </row>
    <row r="13" spans="1:32" x14ac:dyDescent="0.25">
      <c r="A13" s="5" t="s">
        <v>61</v>
      </c>
      <c r="B13" s="11" t="s">
        <v>88</v>
      </c>
      <c r="C13" s="4">
        <v>5.6000000000000001E-2</v>
      </c>
      <c r="D13" s="4">
        <f t="shared" si="0"/>
        <v>0.39200000000000002</v>
      </c>
      <c r="F13" s="4" t="s">
        <v>40</v>
      </c>
      <c r="G13" s="11">
        <v>1.92</v>
      </c>
      <c r="H13" s="4">
        <v>0.5</v>
      </c>
      <c r="I13" s="4">
        <v>2.4</v>
      </c>
      <c r="J13" s="4">
        <v>0.5</v>
      </c>
      <c r="Q13" s="11">
        <f>7340*0.88</f>
        <v>6459.2</v>
      </c>
      <c r="R13" s="4">
        <v>0.34</v>
      </c>
      <c r="S13" s="4" t="s">
        <v>105</v>
      </c>
      <c r="T13" s="4">
        <f>27700*0.88</f>
        <v>24376</v>
      </c>
      <c r="U13" s="4">
        <v>0.09</v>
      </c>
      <c r="V13" s="4" t="s">
        <v>105</v>
      </c>
    </row>
    <row r="14" spans="1:32" x14ac:dyDescent="0.25">
      <c r="A14" s="5" t="s">
        <v>62</v>
      </c>
      <c r="B14" s="11" t="s">
        <v>88</v>
      </c>
      <c r="C14" s="4">
        <v>0.97</v>
      </c>
      <c r="D14" s="4">
        <f t="shared" si="0"/>
        <v>6.79</v>
      </c>
      <c r="F14" s="4" t="s">
        <v>40</v>
      </c>
      <c r="G14" s="11">
        <v>1.3</v>
      </c>
      <c r="H14" s="4">
        <v>0.4</v>
      </c>
      <c r="Q14" s="11">
        <f>2830*0.88</f>
        <v>2490.4</v>
      </c>
      <c r="R14" s="4">
        <v>0.21</v>
      </c>
      <c r="S14" s="4" t="s">
        <v>106</v>
      </c>
    </row>
    <row r="15" spans="1:32" x14ac:dyDescent="0.25">
      <c r="A15" s="5" t="s">
        <v>63</v>
      </c>
      <c r="B15" s="11" t="s">
        <v>88</v>
      </c>
      <c r="C15" s="4">
        <v>0.76</v>
      </c>
      <c r="D15" s="4">
        <f t="shared" si="0"/>
        <v>5.32</v>
      </c>
      <c r="F15" s="4" t="s">
        <v>40</v>
      </c>
      <c r="G15" s="11">
        <v>1.9</v>
      </c>
      <c r="H15" s="4">
        <v>0.4</v>
      </c>
      <c r="Q15" s="11">
        <f>14800*0.88</f>
        <v>13024</v>
      </c>
      <c r="R15" s="4">
        <v>0.28999999999999998</v>
      </c>
      <c r="S15" s="4" t="s">
        <v>105</v>
      </c>
    </row>
    <row r="16" spans="1:32" x14ac:dyDescent="0.25">
      <c r="A16" s="5" t="s">
        <v>64</v>
      </c>
      <c r="B16" s="11" t="s">
        <v>87</v>
      </c>
      <c r="C16" s="4">
        <v>0.22</v>
      </c>
      <c r="D16" s="4">
        <f t="shared" si="0"/>
        <v>1.54</v>
      </c>
      <c r="F16" s="4" t="s">
        <v>40</v>
      </c>
      <c r="G16" s="11">
        <v>1.1000000000000001</v>
      </c>
      <c r="H16" s="4">
        <v>0.4</v>
      </c>
      <c r="I16" s="4">
        <v>2.4</v>
      </c>
      <c r="J16" s="4">
        <v>0.5</v>
      </c>
      <c r="Q16" s="11">
        <f>348*0.88</f>
        <v>306.24</v>
      </c>
      <c r="R16" s="4">
        <v>0.65</v>
      </c>
      <c r="S16" s="4" t="s">
        <v>105</v>
      </c>
      <c r="T16" s="4">
        <f>2600*0.88</f>
        <v>2288</v>
      </c>
      <c r="U16" s="4">
        <v>0.41</v>
      </c>
      <c r="V16" s="4" t="s">
        <v>105</v>
      </c>
    </row>
    <row r="17" spans="1:32" s="7" customFormat="1" x14ac:dyDescent="0.25">
      <c r="A17" s="6" t="s">
        <v>65</v>
      </c>
      <c r="B17" s="12" t="s">
        <v>85</v>
      </c>
      <c r="C17" s="7">
        <v>0.17</v>
      </c>
      <c r="D17" s="7">
        <f t="shared" si="0"/>
        <v>1.1900000000000002</v>
      </c>
      <c r="F17" s="7" t="s">
        <v>40</v>
      </c>
      <c r="G17" s="12">
        <v>3.05</v>
      </c>
      <c r="H17" s="7">
        <v>0.1</v>
      </c>
      <c r="Q17" s="12">
        <f>9710*0.88</f>
        <v>8544.7999999999993</v>
      </c>
      <c r="R17" s="7">
        <v>0.16</v>
      </c>
      <c r="S17" s="7" t="s">
        <v>105</v>
      </c>
      <c r="AF17" s="12"/>
    </row>
    <row r="18" spans="1:32" x14ac:dyDescent="0.25">
      <c r="A18" s="5" t="s">
        <v>66</v>
      </c>
      <c r="B18" s="11" t="s">
        <v>85</v>
      </c>
      <c r="C18" s="4">
        <v>6.05</v>
      </c>
      <c r="D18" s="4">
        <f t="shared" si="0"/>
        <v>42.35</v>
      </c>
      <c r="E18" s="4">
        <v>0.28000000000000003</v>
      </c>
      <c r="F18" s="4" t="s">
        <v>40</v>
      </c>
      <c r="G18" s="11">
        <v>1</v>
      </c>
      <c r="H18" s="4">
        <v>0.4</v>
      </c>
      <c r="Q18" s="11">
        <v>200</v>
      </c>
      <c r="R18" s="4">
        <v>0.4</v>
      </c>
      <c r="S18" s="4" t="s">
        <v>116</v>
      </c>
    </row>
    <row r="19" spans="1:32" x14ac:dyDescent="0.25">
      <c r="A19" s="5" t="s">
        <v>67</v>
      </c>
      <c r="B19" s="11" t="s">
        <v>85</v>
      </c>
      <c r="C19" s="4">
        <v>4.26</v>
      </c>
      <c r="D19" s="4">
        <f t="shared" si="0"/>
        <v>29.82</v>
      </c>
      <c r="E19" s="4">
        <v>0.34</v>
      </c>
      <c r="F19" s="4" t="s">
        <v>40</v>
      </c>
      <c r="G19" s="11">
        <v>0.4</v>
      </c>
      <c r="H19" s="4">
        <v>0.5</v>
      </c>
      <c r="Q19" s="11">
        <v>140</v>
      </c>
      <c r="R19" s="4">
        <v>0.5</v>
      </c>
      <c r="S19" s="4" t="s">
        <v>116</v>
      </c>
    </row>
    <row r="20" spans="1:32" x14ac:dyDescent="0.25">
      <c r="A20" s="5" t="s">
        <v>67</v>
      </c>
      <c r="B20" s="11" t="s">
        <v>85</v>
      </c>
      <c r="C20" s="4">
        <v>4.4800000000000004</v>
      </c>
      <c r="D20" s="4">
        <f t="shared" si="0"/>
        <v>31.360000000000003</v>
      </c>
      <c r="E20" s="4">
        <v>0.3</v>
      </c>
      <c r="F20" s="4" t="s">
        <v>40</v>
      </c>
      <c r="G20" s="11">
        <v>0.4</v>
      </c>
      <c r="H20" s="4">
        <v>0.5</v>
      </c>
      <c r="Q20" s="11">
        <v>600</v>
      </c>
      <c r="R20" s="4">
        <v>0.3</v>
      </c>
      <c r="S20" s="4" t="s">
        <v>116</v>
      </c>
    </row>
    <row r="21" spans="1:32" x14ac:dyDescent="0.25">
      <c r="A21" s="5" t="s">
        <v>67</v>
      </c>
      <c r="B21" s="11" t="s">
        <v>85</v>
      </c>
      <c r="C21" s="4">
        <v>4.37</v>
      </c>
      <c r="D21" s="4">
        <f t="shared" si="0"/>
        <v>30.59</v>
      </c>
      <c r="E21" s="4">
        <v>0.42</v>
      </c>
      <c r="F21" s="4" t="s">
        <v>40</v>
      </c>
      <c r="G21" s="11">
        <v>0.4</v>
      </c>
      <c r="H21" s="4">
        <v>0.5</v>
      </c>
      <c r="Q21" s="11">
        <v>120</v>
      </c>
      <c r="R21" s="4">
        <v>0.5</v>
      </c>
      <c r="S21" s="4" t="s">
        <v>116</v>
      </c>
    </row>
    <row r="22" spans="1:32" x14ac:dyDescent="0.25">
      <c r="A22" s="5" t="s">
        <v>68</v>
      </c>
      <c r="B22" s="11" t="s">
        <v>85</v>
      </c>
      <c r="C22" s="4">
        <v>0.1</v>
      </c>
      <c r="D22" s="4">
        <f t="shared" si="0"/>
        <v>0.70000000000000007</v>
      </c>
      <c r="E22" s="4">
        <v>2</v>
      </c>
      <c r="F22" s="4" t="s">
        <v>40</v>
      </c>
      <c r="G22" s="11">
        <v>0.72399999999999998</v>
      </c>
      <c r="H22" s="4">
        <v>0.5</v>
      </c>
      <c r="Q22" s="11">
        <v>80</v>
      </c>
      <c r="R22" s="4">
        <v>0.2</v>
      </c>
      <c r="S22" s="4" t="s">
        <v>116</v>
      </c>
    </row>
    <row r="23" spans="1:32" x14ac:dyDescent="0.25">
      <c r="A23" s="5" t="s">
        <v>69</v>
      </c>
      <c r="B23" s="11" t="s">
        <v>85</v>
      </c>
      <c r="C23" s="4">
        <v>0.44</v>
      </c>
      <c r="D23" s="4">
        <f t="shared" si="0"/>
        <v>3.08</v>
      </c>
      <c r="E23" s="4">
        <v>0.74</v>
      </c>
      <c r="F23" s="4" t="s">
        <v>40</v>
      </c>
      <c r="G23" s="11">
        <v>0.49299999999999999</v>
      </c>
      <c r="H23" s="4">
        <v>0.5</v>
      </c>
      <c r="Q23" s="11">
        <v>100</v>
      </c>
      <c r="R23" s="4">
        <v>0.2</v>
      </c>
      <c r="S23" s="4" t="s">
        <v>116</v>
      </c>
    </row>
    <row r="24" spans="1:32" x14ac:dyDescent="0.25">
      <c r="A24" s="5" t="s">
        <v>70</v>
      </c>
      <c r="B24" s="11" t="s">
        <v>85</v>
      </c>
      <c r="C24" s="4">
        <v>0.64</v>
      </c>
      <c r="D24" s="4">
        <f t="shared" si="0"/>
        <v>4.4800000000000004</v>
      </c>
      <c r="E24" s="4">
        <v>1.39</v>
      </c>
      <c r="F24" s="4" t="s">
        <v>40</v>
      </c>
      <c r="G24" s="11">
        <v>0.36099999999999999</v>
      </c>
      <c r="H24" s="4">
        <v>0.5</v>
      </c>
      <c r="Q24" s="11">
        <v>140</v>
      </c>
      <c r="R24" s="4">
        <v>0.2</v>
      </c>
      <c r="S24" s="4" t="s">
        <v>116</v>
      </c>
    </row>
    <row r="25" spans="1:32" x14ac:dyDescent="0.25">
      <c r="A25" s="5" t="s">
        <v>71</v>
      </c>
      <c r="B25" s="11" t="s">
        <v>85</v>
      </c>
      <c r="C25" s="4">
        <v>0.02</v>
      </c>
      <c r="D25" s="4">
        <f t="shared" si="0"/>
        <v>0.14000000000000001</v>
      </c>
      <c r="E25" s="4">
        <v>2</v>
      </c>
      <c r="F25" s="4" t="s">
        <v>40</v>
      </c>
      <c r="G25" s="11">
        <v>0.28999999999999998</v>
      </c>
      <c r="H25" s="4">
        <v>0.5</v>
      </c>
      <c r="Q25" s="11">
        <v>170</v>
      </c>
      <c r="R25" s="4">
        <v>0.2</v>
      </c>
      <c r="S25" s="4" t="s">
        <v>116</v>
      </c>
    </row>
    <row r="26" spans="1:32" x14ac:dyDescent="0.25">
      <c r="A26" s="5" t="s">
        <v>72</v>
      </c>
      <c r="B26" s="11" t="s">
        <v>85</v>
      </c>
      <c r="C26" s="4">
        <v>9.61</v>
      </c>
      <c r="D26" s="4">
        <f t="shared" si="0"/>
        <v>67.27</v>
      </c>
      <c r="E26" s="4">
        <v>0.66</v>
      </c>
      <c r="F26" s="4" t="s">
        <v>40</v>
      </c>
      <c r="G26" s="11">
        <v>0.251</v>
      </c>
      <c r="H26" s="4">
        <v>0.5</v>
      </c>
      <c r="Q26" s="11">
        <v>200</v>
      </c>
      <c r="R26" s="4">
        <v>0.2</v>
      </c>
      <c r="S26" s="4" t="s">
        <v>116</v>
      </c>
    </row>
    <row r="27" spans="1:32" x14ac:dyDescent="0.25">
      <c r="A27" s="5" t="s">
        <v>73</v>
      </c>
      <c r="B27" s="11" t="s">
        <v>85</v>
      </c>
      <c r="C27" s="4">
        <v>1.07</v>
      </c>
      <c r="D27" s="4">
        <f t="shared" si="0"/>
        <v>7.49</v>
      </c>
      <c r="E27" s="4">
        <v>0.91</v>
      </c>
      <c r="F27" s="4" t="s">
        <v>40</v>
      </c>
      <c r="G27" s="11">
        <v>1.2290000000000001</v>
      </c>
      <c r="H27" s="4">
        <v>0.5</v>
      </c>
      <c r="Q27" s="11">
        <v>70</v>
      </c>
      <c r="R27" s="4">
        <v>0.2</v>
      </c>
      <c r="S27" s="4" t="s">
        <v>116</v>
      </c>
    </row>
    <row r="28" spans="1:32" x14ac:dyDescent="0.25">
      <c r="A28" s="5" t="s">
        <v>74</v>
      </c>
      <c r="B28" s="11" t="s">
        <v>85</v>
      </c>
      <c r="C28" s="4">
        <v>0.49</v>
      </c>
      <c r="D28" s="4">
        <f t="shared" si="0"/>
        <v>3.4299999999999997</v>
      </c>
      <c r="E28" s="4">
        <v>0.41</v>
      </c>
      <c r="F28" s="4" t="s">
        <v>40</v>
      </c>
      <c r="G28" s="11">
        <v>0.498</v>
      </c>
      <c r="H28" s="4">
        <v>0.5</v>
      </c>
      <c r="Q28" s="11">
        <v>80</v>
      </c>
      <c r="R28" s="4">
        <v>0.2</v>
      </c>
      <c r="S28" s="4" t="s">
        <v>116</v>
      </c>
    </row>
    <row r="29" spans="1:32" s="7" customFormat="1" x14ac:dyDescent="0.25">
      <c r="A29" s="6" t="s">
        <v>75</v>
      </c>
      <c r="B29" s="12" t="s">
        <v>85</v>
      </c>
      <c r="C29" s="7">
        <v>0.7</v>
      </c>
      <c r="D29" s="7">
        <f t="shared" si="0"/>
        <v>4.8999999999999995</v>
      </c>
      <c r="E29" s="7">
        <v>0.37</v>
      </c>
      <c r="F29" s="7" t="s">
        <v>40</v>
      </c>
      <c r="G29" s="12">
        <v>0.68799999999999994</v>
      </c>
      <c r="H29" s="7">
        <v>0.5</v>
      </c>
      <c r="Q29" s="12">
        <v>70</v>
      </c>
      <c r="R29" s="7">
        <v>0.2</v>
      </c>
      <c r="S29" s="7" t="s">
        <v>116</v>
      </c>
      <c r="AF29" s="12"/>
    </row>
    <row r="30" spans="1:32" x14ac:dyDescent="0.25">
      <c r="A30" s="5" t="s">
        <v>76</v>
      </c>
      <c r="B30" s="11" t="s">
        <v>85</v>
      </c>
      <c r="C30" s="4">
        <v>6.7000000000000004E-2</v>
      </c>
      <c r="D30" s="4">
        <f t="shared" si="0"/>
        <v>0.46900000000000003</v>
      </c>
      <c r="F30" s="4" t="s">
        <v>40</v>
      </c>
      <c r="G30" s="11">
        <v>0.5</v>
      </c>
      <c r="H30" s="4">
        <v>0.3</v>
      </c>
      <c r="I30" s="4">
        <v>0.5</v>
      </c>
      <c r="J30" s="4">
        <v>0.3</v>
      </c>
      <c r="K30" s="4">
        <v>0.5</v>
      </c>
      <c r="L30" s="4">
        <v>0.3</v>
      </c>
      <c r="M30" s="4">
        <v>0.5</v>
      </c>
      <c r="N30" s="4">
        <v>0.3</v>
      </c>
      <c r="Q30" s="11">
        <f>868*0.88</f>
        <v>763.84</v>
      </c>
      <c r="R30" s="4">
        <v>0.82</v>
      </c>
      <c r="S30" s="4" t="s">
        <v>105</v>
      </c>
      <c r="T30" s="4">
        <f>7630*0.88</f>
        <v>6714.4</v>
      </c>
      <c r="U30" s="4">
        <v>0.32</v>
      </c>
      <c r="V30" s="4" t="s">
        <v>106</v>
      </c>
      <c r="W30" s="4">
        <f>10700*0.88</f>
        <v>9416</v>
      </c>
      <c r="X30" s="4">
        <v>0.44</v>
      </c>
      <c r="Y30" s="4" t="s">
        <v>106</v>
      </c>
      <c r="Z30" s="4">
        <f>2540*0.88</f>
        <v>2235.1999999999998</v>
      </c>
      <c r="AA30" s="4">
        <v>0.25</v>
      </c>
      <c r="AB30" s="4" t="s">
        <v>105</v>
      </c>
    </row>
    <row r="31" spans="1:32" x14ac:dyDescent="0.25">
      <c r="A31" s="5" t="s">
        <v>82</v>
      </c>
      <c r="B31" s="11" t="s">
        <v>85</v>
      </c>
      <c r="C31" s="4">
        <v>1.7999999999999999E-2</v>
      </c>
      <c r="D31" s="4">
        <f t="shared" si="0"/>
        <v>0.126</v>
      </c>
      <c r="F31" s="4" t="s">
        <v>40</v>
      </c>
      <c r="G31" s="11">
        <v>0.43</v>
      </c>
      <c r="H31" s="4">
        <v>0.6</v>
      </c>
      <c r="Q31" s="11">
        <f>158000*0.88</f>
        <v>139040</v>
      </c>
      <c r="R31" s="4">
        <v>0.17</v>
      </c>
      <c r="S31" s="4" t="s">
        <v>105</v>
      </c>
    </row>
    <row r="32" spans="1:32" s="8" customFormat="1" x14ac:dyDescent="0.25">
      <c r="A32" s="13" t="s">
        <v>83</v>
      </c>
      <c r="B32" s="11" t="s">
        <v>85</v>
      </c>
      <c r="C32" s="8">
        <v>2.5999999999999999E-2</v>
      </c>
      <c r="D32" s="4">
        <f t="shared" si="0"/>
        <v>0.182</v>
      </c>
      <c r="F32" s="8" t="s">
        <v>40</v>
      </c>
      <c r="G32" s="11">
        <v>0.25</v>
      </c>
      <c r="H32" s="8">
        <v>0.4</v>
      </c>
      <c r="I32" s="8">
        <v>0.25</v>
      </c>
      <c r="J32" s="8">
        <v>0.4</v>
      </c>
      <c r="Q32" s="11">
        <f>2070*0.88</f>
        <v>1821.6</v>
      </c>
      <c r="R32" s="8">
        <v>0.17</v>
      </c>
      <c r="S32" s="8" t="s">
        <v>105</v>
      </c>
      <c r="T32" s="8">
        <f>192000*0.88</f>
        <v>168960</v>
      </c>
      <c r="U32" s="8">
        <v>0.17</v>
      </c>
      <c r="V32" s="8" t="s">
        <v>105</v>
      </c>
      <c r="AF32" s="11"/>
    </row>
    <row r="33" spans="1:32" x14ac:dyDescent="0.25">
      <c r="A33" s="5" t="s">
        <v>79</v>
      </c>
      <c r="B33" s="11" t="s">
        <v>85</v>
      </c>
      <c r="C33" s="4">
        <v>4.7E-2</v>
      </c>
      <c r="D33" s="4">
        <f t="shared" si="0"/>
        <v>0.32900000000000001</v>
      </c>
      <c r="F33" s="4" t="s">
        <v>40</v>
      </c>
      <c r="G33" s="11">
        <v>1.01</v>
      </c>
      <c r="H33" s="4">
        <v>0.6</v>
      </c>
      <c r="Q33" s="11">
        <f>25200*0.88</f>
        <v>22176</v>
      </c>
      <c r="R33" s="4">
        <v>0.18</v>
      </c>
      <c r="S33" s="4" t="s">
        <v>105</v>
      </c>
    </row>
    <row r="34" spans="1:32" x14ac:dyDescent="0.25">
      <c r="A34" s="5" t="s">
        <v>80</v>
      </c>
      <c r="B34" s="11" t="s">
        <v>85</v>
      </c>
      <c r="C34" s="4">
        <v>8.5999999999999993E-2</v>
      </c>
      <c r="D34" s="4">
        <f t="shared" si="0"/>
        <v>0.60199999999999998</v>
      </c>
      <c r="F34" s="4" t="s">
        <v>40</v>
      </c>
      <c r="G34" s="11">
        <v>1.28</v>
      </c>
      <c r="H34" s="4">
        <v>0.4</v>
      </c>
      <c r="Q34" s="11">
        <f>9710*0.88</f>
        <v>8544.7999999999993</v>
      </c>
      <c r="R34" s="4">
        <v>0.16</v>
      </c>
      <c r="S34" s="4" t="s">
        <v>105</v>
      </c>
    </row>
    <row r="35" spans="1:32" x14ac:dyDescent="0.25">
      <c r="A35" s="5" t="s">
        <v>77</v>
      </c>
      <c r="B35" s="11" t="s">
        <v>85</v>
      </c>
      <c r="C35" s="4">
        <v>6.7000000000000004E-2</v>
      </c>
      <c r="D35" s="4">
        <f t="shared" si="0"/>
        <v>0.46900000000000003</v>
      </c>
      <c r="F35" s="4" t="s">
        <v>40</v>
      </c>
      <c r="G35" s="11">
        <v>1.1100000000000001</v>
      </c>
      <c r="H35" s="4">
        <v>0.6</v>
      </c>
      <c r="I35" s="4">
        <v>1.1100000000000001</v>
      </c>
      <c r="J35" s="4">
        <v>0.6</v>
      </c>
      <c r="K35" s="4">
        <v>1.1100000000000001</v>
      </c>
      <c r="L35" s="4">
        <v>0.6</v>
      </c>
      <c r="Q35" s="11">
        <f>12300*0.88</f>
        <v>10824</v>
      </c>
      <c r="R35" s="4">
        <v>0.1</v>
      </c>
      <c r="S35" s="4" t="s">
        <v>105</v>
      </c>
      <c r="T35" s="4">
        <f>683*0.88</f>
        <v>601.04</v>
      </c>
      <c r="U35" s="4">
        <v>0.28999999999999998</v>
      </c>
      <c r="V35" s="4" t="s">
        <v>106</v>
      </c>
      <c r="W35" s="4">
        <f>3170*0.88</f>
        <v>2789.6</v>
      </c>
      <c r="X35" s="4">
        <v>0.24</v>
      </c>
      <c r="Y35" s="4" t="s">
        <v>106</v>
      </c>
    </row>
    <row r="36" spans="1:32" x14ac:dyDescent="0.25">
      <c r="A36" s="5" t="s">
        <v>78</v>
      </c>
      <c r="B36" s="11" t="s">
        <v>85</v>
      </c>
      <c r="C36" s="4">
        <v>6.7000000000000004E-2</v>
      </c>
      <c r="D36" s="4">
        <f t="shared" si="0"/>
        <v>0.46900000000000003</v>
      </c>
      <c r="F36" s="4" t="s">
        <v>40</v>
      </c>
      <c r="G36" s="11">
        <v>1.07</v>
      </c>
      <c r="H36" s="4">
        <v>0.4</v>
      </c>
      <c r="I36" s="4">
        <v>1.07</v>
      </c>
      <c r="J36" s="4">
        <v>0.4</v>
      </c>
      <c r="Q36" s="11">
        <f>767*0.88</f>
        <v>674.96</v>
      </c>
      <c r="R36" s="4">
        <v>0.15</v>
      </c>
      <c r="S36" s="4" t="s">
        <v>106</v>
      </c>
      <c r="T36" s="4">
        <f>12200*0.88</f>
        <v>10736</v>
      </c>
      <c r="U36" s="4">
        <v>0.13</v>
      </c>
      <c r="V36" s="4" t="s">
        <v>106</v>
      </c>
    </row>
    <row r="37" spans="1:32" s="7" customFormat="1" x14ac:dyDescent="0.25">
      <c r="A37" s="6" t="s">
        <v>81</v>
      </c>
      <c r="B37" s="12" t="s">
        <v>85</v>
      </c>
      <c r="C37" s="7">
        <v>1.9E-2</v>
      </c>
      <c r="D37" s="7">
        <f t="shared" si="0"/>
        <v>0.13300000000000001</v>
      </c>
      <c r="F37" s="7" t="s">
        <v>40</v>
      </c>
      <c r="G37" s="12">
        <v>1.07</v>
      </c>
      <c r="H37" s="7">
        <v>0.4</v>
      </c>
      <c r="I37" s="7">
        <v>1.07</v>
      </c>
      <c r="J37" s="7">
        <v>0.4</v>
      </c>
      <c r="K37" s="7">
        <v>1.07</v>
      </c>
      <c r="L37" s="7">
        <v>0.4</v>
      </c>
      <c r="M37" s="7">
        <v>1.07</v>
      </c>
      <c r="N37" s="7">
        <v>0.4</v>
      </c>
      <c r="Q37" s="12">
        <f>207*0.88</f>
        <v>182.16</v>
      </c>
      <c r="R37" s="7">
        <v>0.17</v>
      </c>
      <c r="S37" s="7" t="s">
        <v>105</v>
      </c>
      <c r="T37" s="7">
        <f>2580*0.88</f>
        <v>2270.4</v>
      </c>
      <c r="U37" s="7">
        <v>0.17</v>
      </c>
      <c r="V37" s="7" t="s">
        <v>105</v>
      </c>
      <c r="W37" s="7">
        <f>519*0.88</f>
        <v>456.72</v>
      </c>
      <c r="X37" s="7">
        <v>0.17</v>
      </c>
      <c r="Y37" s="7" t="s">
        <v>105</v>
      </c>
      <c r="Z37" s="7">
        <f>519*0.88</f>
        <v>456.72</v>
      </c>
      <c r="AA37" s="7">
        <v>0.17</v>
      </c>
      <c r="AB37" s="7" t="s">
        <v>105</v>
      </c>
      <c r="AF37" s="12"/>
    </row>
  </sheetData>
  <mergeCells count="10">
    <mergeCell ref="G1:H1"/>
    <mergeCell ref="K1:L1"/>
    <mergeCell ref="M1:N1"/>
    <mergeCell ref="O1:P1"/>
    <mergeCell ref="Q1:S1"/>
    <mergeCell ref="T1:V1"/>
    <mergeCell ref="W1:Y1"/>
    <mergeCell ref="Z1:AB1"/>
    <mergeCell ref="AC1:AE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</dc:creator>
  <cp:lastModifiedBy>Davit</cp:lastModifiedBy>
  <dcterms:created xsi:type="dcterms:W3CDTF">2020-06-08T14:30:08Z</dcterms:created>
  <dcterms:modified xsi:type="dcterms:W3CDTF">2020-06-16T15:47:50Z</dcterms:modified>
</cp:coreProperties>
</file>