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alihovic\Desktop\DiplomatiCon SNA lectures\"/>
    </mc:Choice>
  </mc:AlternateContent>
  <xr:revisionPtr revIDLastSave="0" documentId="13_ncr:1_{4E4DB47F-802C-48E7-8A61-19D65AAF3FD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ersons" sheetId="1" r:id="rId1"/>
    <sheet name="Metadata" sheetId="2" r:id="rId2"/>
    <sheet name="ValidationLists" sheetId="3" r:id="rId3"/>
    <sheet name="_sidebarsettings" sheetId="4" r:id="rId4"/>
    <sheet name="stats" sheetId="5" r:id="rId5"/>
    <sheet name="_machine_pers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E1614" i="6" l="1"/>
  <c r="DC1614" i="6"/>
  <c r="CY1614" i="6"/>
  <c r="CW1614" i="6"/>
  <c r="CU1614" i="6"/>
  <c r="CS1614" i="6"/>
  <c r="BM1614" i="6"/>
  <c r="BK1614" i="6"/>
  <c r="BI1614" i="6"/>
  <c r="BG1614" i="6"/>
  <c r="BE1614" i="6"/>
  <c r="BC1614" i="6"/>
  <c r="DE1613" i="6"/>
  <c r="DC1613" i="6"/>
  <c r="CY1613" i="6"/>
  <c r="CW1613" i="6"/>
  <c r="CU1613" i="6"/>
  <c r="CS1613" i="6"/>
  <c r="BM1613" i="6"/>
  <c r="BK1613" i="6"/>
  <c r="BI1613" i="6"/>
  <c r="BG1613" i="6"/>
  <c r="BE1613" i="6"/>
  <c r="BC1613" i="6"/>
  <c r="A1613" i="6"/>
  <c r="DE1612" i="6"/>
  <c r="DC1612" i="6"/>
  <c r="CY1612" i="6"/>
  <c r="CW1612" i="6"/>
  <c r="CU1612" i="6"/>
  <c r="CS1612" i="6"/>
  <c r="BM1612" i="6"/>
  <c r="BK1612" i="6"/>
  <c r="BI1612" i="6"/>
  <c r="BG1612" i="6"/>
  <c r="BE1612" i="6"/>
  <c r="BC1612" i="6"/>
  <c r="A1612" i="6"/>
  <c r="DE1611" i="6"/>
  <c r="DC1611" i="6"/>
  <c r="CY1611" i="6"/>
  <c r="CW1611" i="6"/>
  <c r="CU1611" i="6"/>
  <c r="CS1611" i="6"/>
  <c r="BM1611" i="6"/>
  <c r="BK1611" i="6"/>
  <c r="BI1611" i="6"/>
  <c r="BG1611" i="6"/>
  <c r="BE1611" i="6"/>
  <c r="BC1611" i="6"/>
  <c r="A1611" i="6"/>
  <c r="DE1610" i="6"/>
  <c r="DC1610" i="6"/>
  <c r="CY1610" i="6"/>
  <c r="CW1610" i="6"/>
  <c r="CU1610" i="6"/>
  <c r="CS1610" i="6"/>
  <c r="BM1610" i="6"/>
  <c r="BK1610" i="6"/>
  <c r="BI1610" i="6"/>
  <c r="BG1610" i="6"/>
  <c r="BE1610" i="6"/>
  <c r="BC1610" i="6"/>
  <c r="A1610" i="6"/>
  <c r="DE1609" i="6"/>
  <c r="DC1609" i="6"/>
  <c r="CY1609" i="6"/>
  <c r="CW1609" i="6"/>
  <c r="CU1609" i="6"/>
  <c r="CS1609" i="6"/>
  <c r="BM1609" i="6"/>
  <c r="BK1609" i="6"/>
  <c r="BI1609" i="6"/>
  <c r="BG1609" i="6"/>
  <c r="BE1609" i="6"/>
  <c r="BC1609" i="6"/>
  <c r="A1609" i="6"/>
  <c r="DE1608" i="6"/>
  <c r="DC1608" i="6"/>
  <c r="CY1608" i="6"/>
  <c r="CW1608" i="6"/>
  <c r="CU1608" i="6"/>
  <c r="CS1608" i="6"/>
  <c r="BM1608" i="6"/>
  <c r="BK1608" i="6"/>
  <c r="BI1608" i="6"/>
  <c r="BG1608" i="6"/>
  <c r="BE1608" i="6"/>
  <c r="BC1608" i="6"/>
  <c r="A1608" i="6"/>
  <c r="DE1607" i="6"/>
  <c r="DC1607" i="6"/>
  <c r="CY1607" i="6"/>
  <c r="CW1607" i="6"/>
  <c r="CU1607" i="6"/>
  <c r="CS1607" i="6"/>
  <c r="BM1607" i="6"/>
  <c r="BK1607" i="6"/>
  <c r="BI1607" i="6"/>
  <c r="BG1607" i="6"/>
  <c r="BE1607" i="6"/>
  <c r="BC1607" i="6"/>
  <c r="A1607" i="6"/>
  <c r="DE1606" i="6"/>
  <c r="DC1606" i="6"/>
  <c r="CY1606" i="6"/>
  <c r="CW1606" i="6"/>
  <c r="CU1606" i="6"/>
  <c r="CS1606" i="6"/>
  <c r="BM1606" i="6"/>
  <c r="BK1606" i="6"/>
  <c r="BI1606" i="6"/>
  <c r="BG1606" i="6"/>
  <c r="BE1606" i="6"/>
  <c r="BC1606" i="6"/>
  <c r="A1606" i="6"/>
  <c r="DE1605" i="6"/>
  <c r="DC1605" i="6"/>
  <c r="CY1605" i="6"/>
  <c r="CW1605" i="6"/>
  <c r="CU1605" i="6"/>
  <c r="CS1605" i="6"/>
  <c r="BM1605" i="6"/>
  <c r="BK1605" i="6"/>
  <c r="BI1605" i="6"/>
  <c r="BG1605" i="6"/>
  <c r="BE1605" i="6"/>
  <c r="BC1605" i="6"/>
  <c r="A1605" i="6"/>
  <c r="DE1604" i="6"/>
  <c r="DC1604" i="6"/>
  <c r="CY1604" i="6"/>
  <c r="CW1604" i="6"/>
  <c r="CU1604" i="6"/>
  <c r="CS1604" i="6"/>
  <c r="BM1604" i="6"/>
  <c r="BK1604" i="6"/>
  <c r="BI1604" i="6"/>
  <c r="BG1604" i="6"/>
  <c r="BE1604" i="6"/>
  <c r="BC1604" i="6"/>
  <c r="A1604" i="6"/>
  <c r="DE1603" i="6"/>
  <c r="DC1603" i="6"/>
  <c r="CY1603" i="6"/>
  <c r="CW1603" i="6"/>
  <c r="CU1603" i="6"/>
  <c r="CS1603" i="6"/>
  <c r="BM1603" i="6"/>
  <c r="BK1603" i="6"/>
  <c r="BI1603" i="6"/>
  <c r="BG1603" i="6"/>
  <c r="BE1603" i="6"/>
  <c r="BC1603" i="6"/>
  <c r="A1603" i="6"/>
  <c r="DE1602" i="6"/>
  <c r="DC1602" i="6"/>
  <c r="CY1602" i="6"/>
  <c r="CW1602" i="6"/>
  <c r="CU1602" i="6"/>
  <c r="CS1602" i="6"/>
  <c r="BM1602" i="6"/>
  <c r="BK1602" i="6"/>
  <c r="BI1602" i="6"/>
  <c r="BG1602" i="6"/>
  <c r="BE1602" i="6"/>
  <c r="BC1602" i="6"/>
  <c r="A1602" i="6"/>
  <c r="DE1601" i="6"/>
  <c r="DC1601" i="6"/>
  <c r="CY1601" i="6"/>
  <c r="CW1601" i="6"/>
  <c r="CU1601" i="6"/>
  <c r="CS1601" i="6"/>
  <c r="BM1601" i="6"/>
  <c r="BK1601" i="6"/>
  <c r="BI1601" i="6"/>
  <c r="BG1601" i="6"/>
  <c r="BE1601" i="6"/>
  <c r="BC1601" i="6"/>
  <c r="A1601" i="6"/>
  <c r="DE1600" i="6"/>
  <c r="DC1600" i="6"/>
  <c r="CY1600" i="6"/>
  <c r="CW1600" i="6"/>
  <c r="CU1600" i="6"/>
  <c r="CS1600" i="6"/>
  <c r="BM1600" i="6"/>
  <c r="BK1600" i="6"/>
  <c r="BI1600" i="6"/>
  <c r="BG1600" i="6"/>
  <c r="BE1600" i="6"/>
  <c r="BC1600" i="6"/>
  <c r="A1600" i="6"/>
  <c r="DE1599" i="6"/>
  <c r="DC1599" i="6"/>
  <c r="CY1599" i="6"/>
  <c r="CW1599" i="6"/>
  <c r="CU1599" i="6"/>
  <c r="CS1599" i="6"/>
  <c r="BM1599" i="6"/>
  <c r="BK1599" i="6"/>
  <c r="BI1599" i="6"/>
  <c r="BG1599" i="6"/>
  <c r="BE1599" i="6"/>
  <c r="BC1599" i="6"/>
  <c r="A1599" i="6"/>
  <c r="DE1598" i="6"/>
  <c r="DC1598" i="6"/>
  <c r="CY1598" i="6"/>
  <c r="CW1598" i="6"/>
  <c r="CU1598" i="6"/>
  <c r="CS1598" i="6"/>
  <c r="BM1598" i="6"/>
  <c r="BK1598" i="6"/>
  <c r="BI1598" i="6"/>
  <c r="BG1598" i="6"/>
  <c r="BE1598" i="6"/>
  <c r="BC1598" i="6"/>
  <c r="A1598" i="6"/>
  <c r="DE1597" i="6"/>
  <c r="DC1597" i="6"/>
  <c r="CY1597" i="6"/>
  <c r="CW1597" i="6"/>
  <c r="CU1597" i="6"/>
  <c r="CS1597" i="6"/>
  <c r="BM1597" i="6"/>
  <c r="BK1597" i="6"/>
  <c r="BI1597" i="6"/>
  <c r="BG1597" i="6"/>
  <c r="BE1597" i="6"/>
  <c r="BC1597" i="6"/>
  <c r="A1597" i="6"/>
  <c r="DE1596" i="6"/>
  <c r="DC1596" i="6"/>
  <c r="CY1596" i="6"/>
  <c r="CW1596" i="6"/>
  <c r="CU1596" i="6"/>
  <c r="CS1596" i="6"/>
  <c r="BM1596" i="6"/>
  <c r="BK1596" i="6"/>
  <c r="BI1596" i="6"/>
  <c r="BG1596" i="6"/>
  <c r="BE1596" i="6"/>
  <c r="BC1596" i="6"/>
  <c r="A1596" i="6"/>
  <c r="DE1595" i="6"/>
  <c r="DC1595" i="6"/>
  <c r="CY1595" i="6"/>
  <c r="CW1595" i="6"/>
  <c r="CU1595" i="6"/>
  <c r="CS1595" i="6"/>
  <c r="BM1595" i="6"/>
  <c r="BK1595" i="6"/>
  <c r="BI1595" i="6"/>
  <c r="BG1595" i="6"/>
  <c r="BE1595" i="6"/>
  <c r="BC1595" i="6"/>
  <c r="A1595" i="6"/>
  <c r="DE1594" i="6"/>
  <c r="DC1594" i="6"/>
  <c r="CY1594" i="6"/>
  <c r="CW1594" i="6"/>
  <c r="CU1594" i="6"/>
  <c r="CS1594" i="6"/>
  <c r="BM1594" i="6"/>
  <c r="BK1594" i="6"/>
  <c r="BI1594" i="6"/>
  <c r="BG1594" i="6"/>
  <c r="BE1594" i="6"/>
  <c r="BC1594" i="6"/>
  <c r="A1594" i="6"/>
  <c r="DE1593" i="6"/>
  <c r="DC1593" i="6"/>
  <c r="CY1593" i="6"/>
  <c r="CW1593" i="6"/>
  <c r="CU1593" i="6"/>
  <c r="CS1593" i="6"/>
  <c r="BM1593" i="6"/>
  <c r="BK1593" i="6"/>
  <c r="BI1593" i="6"/>
  <c r="BG1593" i="6"/>
  <c r="BE1593" i="6"/>
  <c r="BC1593" i="6"/>
  <c r="A1593" i="6"/>
  <c r="DE1592" i="6"/>
  <c r="DC1592" i="6"/>
  <c r="CY1592" i="6"/>
  <c r="CW1592" i="6"/>
  <c r="CU1592" i="6"/>
  <c r="CS1592" i="6"/>
  <c r="BM1592" i="6"/>
  <c r="BK1592" i="6"/>
  <c r="BI1592" i="6"/>
  <c r="BG1592" i="6"/>
  <c r="BE1592" i="6"/>
  <c r="BC1592" i="6"/>
  <c r="A1592" i="6"/>
  <c r="DE1591" i="6"/>
  <c r="DC1591" i="6"/>
  <c r="CY1591" i="6"/>
  <c r="CW1591" i="6"/>
  <c r="CU1591" i="6"/>
  <c r="CS1591" i="6"/>
  <c r="BM1591" i="6"/>
  <c r="BK1591" i="6"/>
  <c r="BI1591" i="6"/>
  <c r="BG1591" i="6"/>
  <c r="BE1591" i="6"/>
  <c r="BC1591" i="6"/>
  <c r="A1591" i="6"/>
  <c r="DE1590" i="6"/>
  <c r="DC1590" i="6"/>
  <c r="CY1590" i="6"/>
  <c r="CW1590" i="6"/>
  <c r="CU1590" i="6"/>
  <c r="CS1590" i="6"/>
  <c r="BM1590" i="6"/>
  <c r="BK1590" i="6"/>
  <c r="BI1590" i="6"/>
  <c r="BG1590" i="6"/>
  <c r="BE1590" i="6"/>
  <c r="BC1590" i="6"/>
  <c r="A1590" i="6"/>
  <c r="DE1589" i="6"/>
  <c r="DC1589" i="6"/>
  <c r="CY1589" i="6"/>
  <c r="CW1589" i="6"/>
  <c r="CU1589" i="6"/>
  <c r="CS1589" i="6"/>
  <c r="BM1589" i="6"/>
  <c r="BK1589" i="6"/>
  <c r="BI1589" i="6"/>
  <c r="BG1589" i="6"/>
  <c r="BE1589" i="6"/>
  <c r="BC1589" i="6"/>
  <c r="A1589" i="6"/>
  <c r="DE1588" i="6"/>
  <c r="DC1588" i="6"/>
  <c r="CY1588" i="6"/>
  <c r="CW1588" i="6"/>
  <c r="CU1588" i="6"/>
  <c r="CS1588" i="6"/>
  <c r="BM1588" i="6"/>
  <c r="BK1588" i="6"/>
  <c r="BI1588" i="6"/>
  <c r="BG1588" i="6"/>
  <c r="BE1588" i="6"/>
  <c r="BC1588" i="6"/>
  <c r="A1588" i="6"/>
  <c r="DE1587" i="6"/>
  <c r="DC1587" i="6"/>
  <c r="CY1587" i="6"/>
  <c r="CW1587" i="6"/>
  <c r="CU1587" i="6"/>
  <c r="CS1587" i="6"/>
  <c r="BM1587" i="6"/>
  <c r="BK1587" i="6"/>
  <c r="BI1587" i="6"/>
  <c r="BG1587" i="6"/>
  <c r="BE1587" i="6"/>
  <c r="BC1587" i="6"/>
  <c r="A1587" i="6"/>
  <c r="DE1586" i="6"/>
  <c r="DC1586" i="6"/>
  <c r="CY1586" i="6"/>
  <c r="CW1586" i="6"/>
  <c r="CU1586" i="6"/>
  <c r="CS1586" i="6"/>
  <c r="BM1586" i="6"/>
  <c r="BK1586" i="6"/>
  <c r="BI1586" i="6"/>
  <c r="BG1586" i="6"/>
  <c r="BE1586" i="6"/>
  <c r="BC1586" i="6"/>
  <c r="A1586" i="6"/>
  <c r="DE1585" i="6"/>
  <c r="DC1585" i="6"/>
  <c r="CY1585" i="6"/>
  <c r="CW1585" i="6"/>
  <c r="CU1585" i="6"/>
  <c r="CS1585" i="6"/>
  <c r="BM1585" i="6"/>
  <c r="BK1585" i="6"/>
  <c r="BI1585" i="6"/>
  <c r="BG1585" i="6"/>
  <c r="BE1585" i="6"/>
  <c r="BC1585" i="6"/>
  <c r="A1585" i="6"/>
  <c r="DE1584" i="6"/>
  <c r="DC1584" i="6"/>
  <c r="CY1584" i="6"/>
  <c r="CW1584" i="6"/>
  <c r="CU1584" i="6"/>
  <c r="CS1584" i="6"/>
  <c r="BM1584" i="6"/>
  <c r="BK1584" i="6"/>
  <c r="BI1584" i="6"/>
  <c r="BG1584" i="6"/>
  <c r="BE1584" i="6"/>
  <c r="BC1584" i="6"/>
  <c r="A1584" i="6"/>
  <c r="DE1583" i="6"/>
  <c r="DC1583" i="6"/>
  <c r="CY1583" i="6"/>
  <c r="CW1583" i="6"/>
  <c r="CU1583" i="6"/>
  <c r="CS1583" i="6"/>
  <c r="BM1583" i="6"/>
  <c r="BK1583" i="6"/>
  <c r="BI1583" i="6"/>
  <c r="BG1583" i="6"/>
  <c r="BE1583" i="6"/>
  <c r="BC1583" i="6"/>
  <c r="A1583" i="6"/>
  <c r="DE1582" i="6"/>
  <c r="DC1582" i="6"/>
  <c r="CY1582" i="6"/>
  <c r="CW1582" i="6"/>
  <c r="CU1582" i="6"/>
  <c r="CS1582" i="6"/>
  <c r="BM1582" i="6"/>
  <c r="BK1582" i="6"/>
  <c r="BI1582" i="6"/>
  <c r="BG1582" i="6"/>
  <c r="BE1582" i="6"/>
  <c r="BC1582" i="6"/>
  <c r="A1582" i="6"/>
  <c r="DE1581" i="6"/>
  <c r="DC1581" i="6"/>
  <c r="CY1581" i="6"/>
  <c r="CW1581" i="6"/>
  <c r="CU1581" i="6"/>
  <c r="CS1581" i="6"/>
  <c r="BM1581" i="6"/>
  <c r="BK1581" i="6"/>
  <c r="BI1581" i="6"/>
  <c r="BG1581" i="6"/>
  <c r="BE1581" i="6"/>
  <c r="BC1581" i="6"/>
  <c r="A1581" i="6"/>
  <c r="DE1580" i="6"/>
  <c r="DC1580" i="6"/>
  <c r="CY1580" i="6"/>
  <c r="CW1580" i="6"/>
  <c r="CU1580" i="6"/>
  <c r="CS1580" i="6"/>
  <c r="BM1580" i="6"/>
  <c r="BK1580" i="6"/>
  <c r="BI1580" i="6"/>
  <c r="BG1580" i="6"/>
  <c r="BE1580" i="6"/>
  <c r="BC1580" i="6"/>
  <c r="A1580" i="6"/>
  <c r="DE1579" i="6"/>
  <c r="DC1579" i="6"/>
  <c r="CY1579" i="6"/>
  <c r="CW1579" i="6"/>
  <c r="CU1579" i="6"/>
  <c r="CS1579" i="6"/>
  <c r="BM1579" i="6"/>
  <c r="BK1579" i="6"/>
  <c r="BI1579" i="6"/>
  <c r="BG1579" i="6"/>
  <c r="BE1579" i="6"/>
  <c r="BC1579" i="6"/>
  <c r="A1579" i="6"/>
  <c r="DE1578" i="6"/>
  <c r="DC1578" i="6"/>
  <c r="CY1578" i="6"/>
  <c r="CW1578" i="6"/>
  <c r="CU1578" i="6"/>
  <c r="CS1578" i="6"/>
  <c r="BM1578" i="6"/>
  <c r="BK1578" i="6"/>
  <c r="BI1578" i="6"/>
  <c r="BG1578" i="6"/>
  <c r="BE1578" i="6"/>
  <c r="BC1578" i="6"/>
  <c r="A1578" i="6"/>
  <c r="DE1577" i="6"/>
  <c r="DC1577" i="6"/>
  <c r="CY1577" i="6"/>
  <c r="CW1577" i="6"/>
  <c r="CU1577" i="6"/>
  <c r="CS1577" i="6"/>
  <c r="BM1577" i="6"/>
  <c r="BK1577" i="6"/>
  <c r="BI1577" i="6"/>
  <c r="BG1577" i="6"/>
  <c r="BE1577" i="6"/>
  <c r="BC1577" i="6"/>
  <c r="A1577" i="6"/>
  <c r="DE1576" i="6"/>
  <c r="DC1576" i="6"/>
  <c r="CY1576" i="6"/>
  <c r="CW1576" i="6"/>
  <c r="CU1576" i="6"/>
  <c r="CS1576" i="6"/>
  <c r="BM1576" i="6"/>
  <c r="BK1576" i="6"/>
  <c r="BI1576" i="6"/>
  <c r="BG1576" i="6"/>
  <c r="BE1576" i="6"/>
  <c r="BC1576" i="6"/>
  <c r="A1576" i="6"/>
  <c r="DE1575" i="6"/>
  <c r="DC1575" i="6"/>
  <c r="CY1575" i="6"/>
  <c r="CW1575" i="6"/>
  <c r="CU1575" i="6"/>
  <c r="CS1575" i="6"/>
  <c r="BM1575" i="6"/>
  <c r="BK1575" i="6"/>
  <c r="BI1575" i="6"/>
  <c r="BG1575" i="6"/>
  <c r="BE1575" i="6"/>
  <c r="BC1575" i="6"/>
  <c r="A1575" i="6"/>
  <c r="DE1574" i="6"/>
  <c r="DC1574" i="6"/>
  <c r="CY1574" i="6"/>
  <c r="CW1574" i="6"/>
  <c r="CU1574" i="6"/>
  <c r="CS1574" i="6"/>
  <c r="BM1574" i="6"/>
  <c r="BK1574" i="6"/>
  <c r="BI1574" i="6"/>
  <c r="BG1574" i="6"/>
  <c r="BE1574" i="6"/>
  <c r="BC1574" i="6"/>
  <c r="A1574" i="6"/>
  <c r="DE1573" i="6"/>
  <c r="DC1573" i="6"/>
  <c r="CY1573" i="6"/>
  <c r="CW1573" i="6"/>
  <c r="CU1573" i="6"/>
  <c r="CS1573" i="6"/>
  <c r="BM1573" i="6"/>
  <c r="BK1573" i="6"/>
  <c r="BI1573" i="6"/>
  <c r="BG1573" i="6"/>
  <c r="BE1573" i="6"/>
  <c r="BC1573" i="6"/>
  <c r="A1573" i="6"/>
  <c r="DE1572" i="6"/>
  <c r="DC1572" i="6"/>
  <c r="CY1572" i="6"/>
  <c r="CW1572" i="6"/>
  <c r="CU1572" i="6"/>
  <c r="CS1572" i="6"/>
  <c r="BM1572" i="6"/>
  <c r="BK1572" i="6"/>
  <c r="BI1572" i="6"/>
  <c r="BG1572" i="6"/>
  <c r="BE1572" i="6"/>
  <c r="BC1572" i="6"/>
  <c r="A1572" i="6"/>
  <c r="DE1571" i="6"/>
  <c r="DC1571" i="6"/>
  <c r="CY1571" i="6"/>
  <c r="CW1571" i="6"/>
  <c r="CU1571" i="6"/>
  <c r="CS1571" i="6"/>
  <c r="BM1571" i="6"/>
  <c r="BK1571" i="6"/>
  <c r="BI1571" i="6"/>
  <c r="BG1571" i="6"/>
  <c r="BE1571" i="6"/>
  <c r="BC1571" i="6"/>
  <c r="A1571" i="6"/>
  <c r="DE1570" i="6"/>
  <c r="DC1570" i="6"/>
  <c r="CY1570" i="6"/>
  <c r="CW1570" i="6"/>
  <c r="CU1570" i="6"/>
  <c r="CS1570" i="6"/>
  <c r="BM1570" i="6"/>
  <c r="BK1570" i="6"/>
  <c r="BI1570" i="6"/>
  <c r="BG1570" i="6"/>
  <c r="BE1570" i="6"/>
  <c r="BC1570" i="6"/>
  <c r="A1570" i="6"/>
  <c r="DE1569" i="6"/>
  <c r="DC1569" i="6"/>
  <c r="CY1569" i="6"/>
  <c r="CW1569" i="6"/>
  <c r="CU1569" i="6"/>
  <c r="CS1569" i="6"/>
  <c r="BM1569" i="6"/>
  <c r="BK1569" i="6"/>
  <c r="BI1569" i="6"/>
  <c r="BG1569" i="6"/>
  <c r="BE1569" i="6"/>
  <c r="BC1569" i="6"/>
  <c r="A1569" i="6"/>
  <c r="DE1568" i="6"/>
  <c r="DC1568" i="6"/>
  <c r="CY1568" i="6"/>
  <c r="CW1568" i="6"/>
  <c r="CU1568" i="6"/>
  <c r="CS1568" i="6"/>
  <c r="BM1568" i="6"/>
  <c r="BK1568" i="6"/>
  <c r="BI1568" i="6"/>
  <c r="BG1568" i="6"/>
  <c r="BE1568" i="6"/>
  <c r="BC1568" i="6"/>
  <c r="A1568" i="6"/>
  <c r="DE1567" i="6"/>
  <c r="DC1567" i="6"/>
  <c r="CY1567" i="6"/>
  <c r="CW1567" i="6"/>
  <c r="CU1567" i="6"/>
  <c r="CS1567" i="6"/>
  <c r="BM1567" i="6"/>
  <c r="BK1567" i="6"/>
  <c r="BI1567" i="6"/>
  <c r="BG1567" i="6"/>
  <c r="BE1567" i="6"/>
  <c r="BC1567" i="6"/>
  <c r="A1567" i="6"/>
  <c r="DE1566" i="6"/>
  <c r="DC1566" i="6"/>
  <c r="CY1566" i="6"/>
  <c r="CW1566" i="6"/>
  <c r="CU1566" i="6"/>
  <c r="CS1566" i="6"/>
  <c r="BM1566" i="6"/>
  <c r="BK1566" i="6"/>
  <c r="BI1566" i="6"/>
  <c r="BG1566" i="6"/>
  <c r="BE1566" i="6"/>
  <c r="BC1566" i="6"/>
  <c r="A1566" i="6"/>
  <c r="DE1565" i="6"/>
  <c r="DC1565" i="6"/>
  <c r="CY1565" i="6"/>
  <c r="CW1565" i="6"/>
  <c r="CU1565" i="6"/>
  <c r="CS1565" i="6"/>
  <c r="BM1565" i="6"/>
  <c r="BK1565" i="6"/>
  <c r="BI1565" i="6"/>
  <c r="BG1565" i="6"/>
  <c r="BE1565" i="6"/>
  <c r="BC1565" i="6"/>
  <c r="A1565" i="6"/>
  <c r="DE1564" i="6"/>
  <c r="DC1564" i="6"/>
  <c r="CY1564" i="6"/>
  <c r="CW1564" i="6"/>
  <c r="CU1564" i="6"/>
  <c r="CS1564" i="6"/>
  <c r="BM1564" i="6"/>
  <c r="BK1564" i="6"/>
  <c r="BI1564" i="6"/>
  <c r="BG1564" i="6"/>
  <c r="BE1564" i="6"/>
  <c r="BC1564" i="6"/>
  <c r="A1564" i="6"/>
  <c r="DE1563" i="6"/>
  <c r="DC1563" i="6"/>
  <c r="CY1563" i="6"/>
  <c r="CW1563" i="6"/>
  <c r="CU1563" i="6"/>
  <c r="CS1563" i="6"/>
  <c r="BM1563" i="6"/>
  <c r="BK1563" i="6"/>
  <c r="BI1563" i="6"/>
  <c r="BG1563" i="6"/>
  <c r="BE1563" i="6"/>
  <c r="BC1563" i="6"/>
  <c r="A1563" i="6"/>
  <c r="DE1562" i="6"/>
  <c r="DC1562" i="6"/>
  <c r="CY1562" i="6"/>
  <c r="CW1562" i="6"/>
  <c r="CU1562" i="6"/>
  <c r="CS1562" i="6"/>
  <c r="BM1562" i="6"/>
  <c r="BK1562" i="6"/>
  <c r="BI1562" i="6"/>
  <c r="BG1562" i="6"/>
  <c r="BE1562" i="6"/>
  <c r="BC1562" i="6"/>
  <c r="A1562" i="6"/>
  <c r="DE1561" i="6"/>
  <c r="DC1561" i="6"/>
  <c r="CY1561" i="6"/>
  <c r="CW1561" i="6"/>
  <c r="CU1561" i="6"/>
  <c r="CS1561" i="6"/>
  <c r="BM1561" i="6"/>
  <c r="BK1561" i="6"/>
  <c r="BI1561" i="6"/>
  <c r="BG1561" i="6"/>
  <c r="BE1561" i="6"/>
  <c r="BC1561" i="6"/>
  <c r="A1561" i="6"/>
  <c r="DE1560" i="6"/>
  <c r="DC1560" i="6"/>
  <c r="CY1560" i="6"/>
  <c r="CW1560" i="6"/>
  <c r="CU1560" i="6"/>
  <c r="CS1560" i="6"/>
  <c r="BM1560" i="6"/>
  <c r="BK1560" i="6"/>
  <c r="BI1560" i="6"/>
  <c r="BG1560" i="6"/>
  <c r="BE1560" i="6"/>
  <c r="BC1560" i="6"/>
  <c r="A1560" i="6"/>
  <c r="DE1559" i="6"/>
  <c r="DC1559" i="6"/>
  <c r="CY1559" i="6"/>
  <c r="CW1559" i="6"/>
  <c r="CU1559" i="6"/>
  <c r="CS1559" i="6"/>
  <c r="BM1559" i="6"/>
  <c r="BK1559" i="6"/>
  <c r="BI1559" i="6"/>
  <c r="BG1559" i="6"/>
  <c r="BE1559" i="6"/>
  <c r="BC1559" i="6"/>
  <c r="A1559" i="6"/>
  <c r="DE1558" i="6"/>
  <c r="DC1558" i="6"/>
  <c r="CY1558" i="6"/>
  <c r="CW1558" i="6"/>
  <c r="CU1558" i="6"/>
  <c r="CS1558" i="6"/>
  <c r="BM1558" i="6"/>
  <c r="BK1558" i="6"/>
  <c r="BI1558" i="6"/>
  <c r="BG1558" i="6"/>
  <c r="BE1558" i="6"/>
  <c r="BC1558" i="6"/>
  <c r="A1558" i="6"/>
  <c r="DE1557" i="6"/>
  <c r="DC1557" i="6"/>
  <c r="CY1557" i="6"/>
  <c r="CW1557" i="6"/>
  <c r="CU1557" i="6"/>
  <c r="CS1557" i="6"/>
  <c r="BM1557" i="6"/>
  <c r="BK1557" i="6"/>
  <c r="BI1557" i="6"/>
  <c r="BG1557" i="6"/>
  <c r="BE1557" i="6"/>
  <c r="BC1557" i="6"/>
  <c r="A1557" i="6"/>
  <c r="DE1556" i="6"/>
  <c r="DC1556" i="6"/>
  <c r="CY1556" i="6"/>
  <c r="CW1556" i="6"/>
  <c r="CU1556" i="6"/>
  <c r="CS1556" i="6"/>
  <c r="BM1556" i="6"/>
  <c r="BK1556" i="6"/>
  <c r="BI1556" i="6"/>
  <c r="BG1556" i="6"/>
  <c r="BE1556" i="6"/>
  <c r="BC1556" i="6"/>
  <c r="A1556" i="6"/>
  <c r="DE1555" i="6"/>
  <c r="DC1555" i="6"/>
  <c r="CY1555" i="6"/>
  <c r="CW1555" i="6"/>
  <c r="CU1555" i="6"/>
  <c r="CS1555" i="6"/>
  <c r="BM1555" i="6"/>
  <c r="BK1555" i="6"/>
  <c r="BI1555" i="6"/>
  <c r="BG1555" i="6"/>
  <c r="BE1555" i="6"/>
  <c r="BC1555" i="6"/>
  <c r="A1555" i="6"/>
  <c r="DE1554" i="6"/>
  <c r="DC1554" i="6"/>
  <c r="CY1554" i="6"/>
  <c r="CW1554" i="6"/>
  <c r="CU1554" i="6"/>
  <c r="CS1554" i="6"/>
  <c r="BM1554" i="6"/>
  <c r="BK1554" i="6"/>
  <c r="BI1554" i="6"/>
  <c r="BG1554" i="6"/>
  <c r="BE1554" i="6"/>
  <c r="BC1554" i="6"/>
  <c r="A1554" i="6"/>
  <c r="DE1553" i="6"/>
  <c r="DC1553" i="6"/>
  <c r="CY1553" i="6"/>
  <c r="CW1553" i="6"/>
  <c r="CU1553" i="6"/>
  <c r="CS1553" i="6"/>
  <c r="BM1553" i="6"/>
  <c r="BK1553" i="6"/>
  <c r="BI1553" i="6"/>
  <c r="BG1553" i="6"/>
  <c r="BE1553" i="6"/>
  <c r="BC1553" i="6"/>
  <c r="A1553" i="6"/>
  <c r="DE1552" i="6"/>
  <c r="DC1552" i="6"/>
  <c r="CY1552" i="6"/>
  <c r="CW1552" i="6"/>
  <c r="CU1552" i="6"/>
  <c r="CS1552" i="6"/>
  <c r="BM1552" i="6"/>
  <c r="BK1552" i="6"/>
  <c r="BI1552" i="6"/>
  <c r="BG1552" i="6"/>
  <c r="BE1552" i="6"/>
  <c r="BC1552" i="6"/>
  <c r="A1552" i="6"/>
  <c r="DE1551" i="6"/>
  <c r="DC1551" i="6"/>
  <c r="CY1551" i="6"/>
  <c r="CW1551" i="6"/>
  <c r="CU1551" i="6"/>
  <c r="CS1551" i="6"/>
  <c r="BM1551" i="6"/>
  <c r="BK1551" i="6"/>
  <c r="BI1551" i="6"/>
  <c r="BG1551" i="6"/>
  <c r="BE1551" i="6"/>
  <c r="BC1551" i="6"/>
  <c r="A1551" i="6"/>
  <c r="DE1550" i="6"/>
  <c r="DC1550" i="6"/>
  <c r="CY1550" i="6"/>
  <c r="CW1550" i="6"/>
  <c r="CU1550" i="6"/>
  <c r="CS1550" i="6"/>
  <c r="BM1550" i="6"/>
  <c r="BK1550" i="6"/>
  <c r="BI1550" i="6"/>
  <c r="BG1550" i="6"/>
  <c r="BE1550" i="6"/>
  <c r="BC1550" i="6"/>
  <c r="A1550" i="6"/>
  <c r="DE1549" i="6"/>
  <c r="DC1549" i="6"/>
  <c r="CY1549" i="6"/>
  <c r="CW1549" i="6"/>
  <c r="CU1549" i="6"/>
  <c r="CS1549" i="6"/>
  <c r="BM1549" i="6"/>
  <c r="BK1549" i="6"/>
  <c r="BI1549" i="6"/>
  <c r="BG1549" i="6"/>
  <c r="BE1549" i="6"/>
  <c r="BC1549" i="6"/>
  <c r="A1549" i="6"/>
  <c r="DE1548" i="6"/>
  <c r="DC1548" i="6"/>
  <c r="CY1548" i="6"/>
  <c r="CW1548" i="6"/>
  <c r="CU1548" i="6"/>
  <c r="CS1548" i="6"/>
  <c r="BM1548" i="6"/>
  <c r="BK1548" i="6"/>
  <c r="BI1548" i="6"/>
  <c r="BG1548" i="6"/>
  <c r="BE1548" i="6"/>
  <c r="BC1548" i="6"/>
  <c r="A1548" i="6"/>
  <c r="DE1547" i="6"/>
  <c r="DC1547" i="6"/>
  <c r="CY1547" i="6"/>
  <c r="CW1547" i="6"/>
  <c r="CU1547" i="6"/>
  <c r="CS1547" i="6"/>
  <c r="BM1547" i="6"/>
  <c r="BK1547" i="6"/>
  <c r="BI1547" i="6"/>
  <c r="BG1547" i="6"/>
  <c r="BE1547" i="6"/>
  <c r="BC1547" i="6"/>
  <c r="A1547" i="6"/>
  <c r="DE1546" i="6"/>
  <c r="DC1546" i="6"/>
  <c r="CY1546" i="6"/>
  <c r="CW1546" i="6"/>
  <c r="CU1546" i="6"/>
  <c r="CS1546" i="6"/>
  <c r="BM1546" i="6"/>
  <c r="BK1546" i="6"/>
  <c r="BI1546" i="6"/>
  <c r="BG1546" i="6"/>
  <c r="BE1546" i="6"/>
  <c r="BC1546" i="6"/>
  <c r="A1546" i="6"/>
  <c r="DE1545" i="6"/>
  <c r="DC1545" i="6"/>
  <c r="CY1545" i="6"/>
  <c r="CW1545" i="6"/>
  <c r="CU1545" i="6"/>
  <c r="CS1545" i="6"/>
  <c r="BM1545" i="6"/>
  <c r="BK1545" i="6"/>
  <c r="BI1545" i="6"/>
  <c r="BG1545" i="6"/>
  <c r="BE1545" i="6"/>
  <c r="BC1545" i="6"/>
  <c r="A1545" i="6"/>
  <c r="DE1544" i="6"/>
  <c r="DC1544" i="6"/>
  <c r="CY1544" i="6"/>
  <c r="CW1544" i="6"/>
  <c r="CU1544" i="6"/>
  <c r="CS1544" i="6"/>
  <c r="BM1544" i="6"/>
  <c r="BK1544" i="6"/>
  <c r="BI1544" i="6"/>
  <c r="BG1544" i="6"/>
  <c r="BE1544" i="6"/>
  <c r="BC1544" i="6"/>
  <c r="A1544" i="6"/>
  <c r="DE1543" i="6"/>
  <c r="DC1543" i="6"/>
  <c r="CY1543" i="6"/>
  <c r="CW1543" i="6"/>
  <c r="CU1543" i="6"/>
  <c r="CS1543" i="6"/>
  <c r="BM1543" i="6"/>
  <c r="BK1543" i="6"/>
  <c r="BI1543" i="6"/>
  <c r="BG1543" i="6"/>
  <c r="BE1543" i="6"/>
  <c r="BC1543" i="6"/>
  <c r="A1543" i="6"/>
  <c r="DE1542" i="6"/>
  <c r="DC1542" i="6"/>
  <c r="CY1542" i="6"/>
  <c r="CW1542" i="6"/>
  <c r="CU1542" i="6"/>
  <c r="CS1542" i="6"/>
  <c r="BM1542" i="6"/>
  <c r="BK1542" i="6"/>
  <c r="BI1542" i="6"/>
  <c r="BG1542" i="6"/>
  <c r="BE1542" i="6"/>
  <c r="BC1542" i="6"/>
  <c r="A1542" i="6"/>
  <c r="DE1541" i="6"/>
  <c r="DC1541" i="6"/>
  <c r="CY1541" i="6"/>
  <c r="CW1541" i="6"/>
  <c r="CU1541" i="6"/>
  <c r="CS1541" i="6"/>
  <c r="BM1541" i="6"/>
  <c r="BK1541" i="6"/>
  <c r="BI1541" i="6"/>
  <c r="BG1541" i="6"/>
  <c r="BE1541" i="6"/>
  <c r="BC1541" i="6"/>
  <c r="A1541" i="6"/>
  <c r="DE1540" i="6"/>
  <c r="DC1540" i="6"/>
  <c r="CY1540" i="6"/>
  <c r="CW1540" i="6"/>
  <c r="CU1540" i="6"/>
  <c r="CS1540" i="6"/>
  <c r="BM1540" i="6"/>
  <c r="BK1540" i="6"/>
  <c r="BI1540" i="6"/>
  <c r="BG1540" i="6"/>
  <c r="BE1540" i="6"/>
  <c r="BC1540" i="6"/>
  <c r="A1540" i="6"/>
  <c r="DE1539" i="6"/>
  <c r="DC1539" i="6"/>
  <c r="CY1539" i="6"/>
  <c r="CW1539" i="6"/>
  <c r="CU1539" i="6"/>
  <c r="CS1539" i="6"/>
  <c r="BM1539" i="6"/>
  <c r="BK1539" i="6"/>
  <c r="BI1539" i="6"/>
  <c r="BG1539" i="6"/>
  <c r="BE1539" i="6"/>
  <c r="BC1539" i="6"/>
  <c r="A1539" i="6"/>
  <c r="DE1538" i="6"/>
  <c r="DC1538" i="6"/>
  <c r="CY1538" i="6"/>
  <c r="CW1538" i="6"/>
  <c r="CU1538" i="6"/>
  <c r="CS1538" i="6"/>
  <c r="BM1538" i="6"/>
  <c r="BK1538" i="6"/>
  <c r="BI1538" i="6"/>
  <c r="BG1538" i="6"/>
  <c r="BE1538" i="6"/>
  <c r="BC1538" i="6"/>
  <c r="A1538" i="6"/>
  <c r="DE1537" i="6"/>
  <c r="DC1537" i="6"/>
  <c r="CY1537" i="6"/>
  <c r="CW1537" i="6"/>
  <c r="CU1537" i="6"/>
  <c r="CS1537" i="6"/>
  <c r="BM1537" i="6"/>
  <c r="BK1537" i="6"/>
  <c r="BI1537" i="6"/>
  <c r="BG1537" i="6"/>
  <c r="BE1537" i="6"/>
  <c r="BC1537" i="6"/>
  <c r="A1537" i="6"/>
  <c r="DE1536" i="6"/>
  <c r="DC1536" i="6"/>
  <c r="CY1536" i="6"/>
  <c r="CW1536" i="6"/>
  <c r="CU1536" i="6"/>
  <c r="CS1536" i="6"/>
  <c r="BM1536" i="6"/>
  <c r="BK1536" i="6"/>
  <c r="BI1536" i="6"/>
  <c r="BG1536" i="6"/>
  <c r="BE1536" i="6"/>
  <c r="BC1536" i="6"/>
  <c r="A1536" i="6"/>
  <c r="DE1535" i="6"/>
  <c r="DC1535" i="6"/>
  <c r="CY1535" i="6"/>
  <c r="CW1535" i="6"/>
  <c r="CU1535" i="6"/>
  <c r="CS1535" i="6"/>
  <c r="BM1535" i="6"/>
  <c r="BK1535" i="6"/>
  <c r="BI1535" i="6"/>
  <c r="BG1535" i="6"/>
  <c r="BE1535" i="6"/>
  <c r="BC1535" i="6"/>
  <c r="A1535" i="6"/>
  <c r="DE1534" i="6"/>
  <c r="DC1534" i="6"/>
  <c r="CY1534" i="6"/>
  <c r="CW1534" i="6"/>
  <c r="CU1534" i="6"/>
  <c r="CS1534" i="6"/>
  <c r="BM1534" i="6"/>
  <c r="BK1534" i="6"/>
  <c r="BI1534" i="6"/>
  <c r="BG1534" i="6"/>
  <c r="BE1534" i="6"/>
  <c r="BC1534" i="6"/>
  <c r="A1534" i="6"/>
  <c r="DE1533" i="6"/>
  <c r="DC1533" i="6"/>
  <c r="CY1533" i="6"/>
  <c r="CW1533" i="6"/>
  <c r="CU1533" i="6"/>
  <c r="CS1533" i="6"/>
  <c r="BM1533" i="6"/>
  <c r="BK1533" i="6"/>
  <c r="BI1533" i="6"/>
  <c r="BG1533" i="6"/>
  <c r="BE1533" i="6"/>
  <c r="BC1533" i="6"/>
  <c r="A1533" i="6"/>
  <c r="DE1532" i="6"/>
  <c r="DC1532" i="6"/>
  <c r="CY1532" i="6"/>
  <c r="CW1532" i="6"/>
  <c r="CU1532" i="6"/>
  <c r="CS1532" i="6"/>
  <c r="BM1532" i="6"/>
  <c r="BK1532" i="6"/>
  <c r="BI1532" i="6"/>
  <c r="BG1532" i="6"/>
  <c r="BE1532" i="6"/>
  <c r="BC1532" i="6"/>
  <c r="A1532" i="6"/>
  <c r="DE1531" i="6"/>
  <c r="DC1531" i="6"/>
  <c r="CY1531" i="6"/>
  <c r="CW1531" i="6"/>
  <c r="CU1531" i="6"/>
  <c r="CS1531" i="6"/>
  <c r="BM1531" i="6"/>
  <c r="BK1531" i="6"/>
  <c r="BI1531" i="6"/>
  <c r="BG1531" i="6"/>
  <c r="BE1531" i="6"/>
  <c r="BC1531" i="6"/>
  <c r="A1531" i="6"/>
  <c r="DE1530" i="6"/>
  <c r="DC1530" i="6"/>
  <c r="CY1530" i="6"/>
  <c r="CW1530" i="6"/>
  <c r="CU1530" i="6"/>
  <c r="CS1530" i="6"/>
  <c r="BM1530" i="6"/>
  <c r="BK1530" i="6"/>
  <c r="BI1530" i="6"/>
  <c r="BG1530" i="6"/>
  <c r="BE1530" i="6"/>
  <c r="BC1530" i="6"/>
  <c r="A1530" i="6"/>
  <c r="DE1529" i="6"/>
  <c r="DC1529" i="6"/>
  <c r="CY1529" i="6"/>
  <c r="CW1529" i="6"/>
  <c r="CU1529" i="6"/>
  <c r="CS1529" i="6"/>
  <c r="BM1529" i="6"/>
  <c r="BK1529" i="6"/>
  <c r="BI1529" i="6"/>
  <c r="BG1529" i="6"/>
  <c r="BE1529" i="6"/>
  <c r="BC1529" i="6"/>
  <c r="A1529" i="6"/>
  <c r="DE1528" i="6"/>
  <c r="DC1528" i="6"/>
  <c r="CY1528" i="6"/>
  <c r="CW1528" i="6"/>
  <c r="CU1528" i="6"/>
  <c r="CS1528" i="6"/>
  <c r="BM1528" i="6"/>
  <c r="BK1528" i="6"/>
  <c r="BI1528" i="6"/>
  <c r="BG1528" i="6"/>
  <c r="BE1528" i="6"/>
  <c r="BC1528" i="6"/>
  <c r="A1528" i="6"/>
  <c r="DE1527" i="6"/>
  <c r="DC1527" i="6"/>
  <c r="CY1527" i="6"/>
  <c r="CW1527" i="6"/>
  <c r="CU1527" i="6"/>
  <c r="CS1527" i="6"/>
  <c r="BM1527" i="6"/>
  <c r="BK1527" i="6"/>
  <c r="BI1527" i="6"/>
  <c r="BG1527" i="6"/>
  <c r="BE1527" i="6"/>
  <c r="BC1527" i="6"/>
  <c r="A1527" i="6"/>
  <c r="DE1526" i="6"/>
  <c r="DC1526" i="6"/>
  <c r="CY1526" i="6"/>
  <c r="CW1526" i="6"/>
  <c r="CU1526" i="6"/>
  <c r="CS1526" i="6"/>
  <c r="BM1526" i="6"/>
  <c r="BK1526" i="6"/>
  <c r="BI1526" i="6"/>
  <c r="BG1526" i="6"/>
  <c r="BE1526" i="6"/>
  <c r="BC1526" i="6"/>
  <c r="A1526" i="6"/>
  <c r="DE1525" i="6"/>
  <c r="DC1525" i="6"/>
  <c r="CY1525" i="6"/>
  <c r="CW1525" i="6"/>
  <c r="CU1525" i="6"/>
  <c r="CS1525" i="6"/>
  <c r="BM1525" i="6"/>
  <c r="BK1525" i="6"/>
  <c r="BI1525" i="6"/>
  <c r="BG1525" i="6"/>
  <c r="BE1525" i="6"/>
  <c r="BC1525" i="6"/>
  <c r="A1525" i="6"/>
  <c r="DE1524" i="6"/>
  <c r="DC1524" i="6"/>
  <c r="CY1524" i="6"/>
  <c r="CW1524" i="6"/>
  <c r="CU1524" i="6"/>
  <c r="CS1524" i="6"/>
  <c r="BM1524" i="6"/>
  <c r="BK1524" i="6"/>
  <c r="BI1524" i="6"/>
  <c r="BG1524" i="6"/>
  <c r="BE1524" i="6"/>
  <c r="BC1524" i="6"/>
  <c r="A1524" i="6"/>
  <c r="DE1523" i="6"/>
  <c r="DC1523" i="6"/>
  <c r="CY1523" i="6"/>
  <c r="CW1523" i="6"/>
  <c r="CU1523" i="6"/>
  <c r="CS1523" i="6"/>
  <c r="BM1523" i="6"/>
  <c r="BK1523" i="6"/>
  <c r="BI1523" i="6"/>
  <c r="BG1523" i="6"/>
  <c r="BE1523" i="6"/>
  <c r="BC1523" i="6"/>
  <c r="A1523" i="6"/>
  <c r="DE1522" i="6"/>
  <c r="DC1522" i="6"/>
  <c r="CY1522" i="6"/>
  <c r="CW1522" i="6"/>
  <c r="CU1522" i="6"/>
  <c r="CS1522" i="6"/>
  <c r="BM1522" i="6"/>
  <c r="BK1522" i="6"/>
  <c r="BI1522" i="6"/>
  <c r="BG1522" i="6"/>
  <c r="BE1522" i="6"/>
  <c r="BC1522" i="6"/>
  <c r="A1522" i="6"/>
  <c r="DE1521" i="6"/>
  <c r="DC1521" i="6"/>
  <c r="CY1521" i="6"/>
  <c r="CW1521" i="6"/>
  <c r="CU1521" i="6"/>
  <c r="CS1521" i="6"/>
  <c r="BM1521" i="6"/>
  <c r="BK1521" i="6"/>
  <c r="BI1521" i="6"/>
  <c r="BG1521" i="6"/>
  <c r="BE1521" i="6"/>
  <c r="BC1521" i="6"/>
  <c r="A1521" i="6"/>
  <c r="DE1520" i="6"/>
  <c r="DC1520" i="6"/>
  <c r="CY1520" i="6"/>
  <c r="CW1520" i="6"/>
  <c r="CU1520" i="6"/>
  <c r="CS1520" i="6"/>
  <c r="BM1520" i="6"/>
  <c r="BK1520" i="6"/>
  <c r="BI1520" i="6"/>
  <c r="BG1520" i="6"/>
  <c r="BE1520" i="6"/>
  <c r="BC1520" i="6"/>
  <c r="A1520" i="6"/>
  <c r="DE1519" i="6"/>
  <c r="DC1519" i="6"/>
  <c r="CY1519" i="6"/>
  <c r="CW1519" i="6"/>
  <c r="CU1519" i="6"/>
  <c r="CS1519" i="6"/>
  <c r="BM1519" i="6"/>
  <c r="BK1519" i="6"/>
  <c r="BI1519" i="6"/>
  <c r="BG1519" i="6"/>
  <c r="BE1519" i="6"/>
  <c r="BC1519" i="6"/>
  <c r="A1519" i="6"/>
  <c r="DE1518" i="6"/>
  <c r="DC1518" i="6"/>
  <c r="CY1518" i="6"/>
  <c r="CW1518" i="6"/>
  <c r="CU1518" i="6"/>
  <c r="CS1518" i="6"/>
  <c r="BM1518" i="6"/>
  <c r="BK1518" i="6"/>
  <c r="BI1518" i="6"/>
  <c r="BG1518" i="6"/>
  <c r="BE1518" i="6"/>
  <c r="BC1518" i="6"/>
  <c r="A1518" i="6"/>
  <c r="DE1517" i="6"/>
  <c r="DC1517" i="6"/>
  <c r="CY1517" i="6"/>
  <c r="CW1517" i="6"/>
  <c r="CU1517" i="6"/>
  <c r="CS1517" i="6"/>
  <c r="BM1517" i="6"/>
  <c r="BK1517" i="6"/>
  <c r="BI1517" i="6"/>
  <c r="BG1517" i="6"/>
  <c r="BE1517" i="6"/>
  <c r="BC1517" i="6"/>
  <c r="A1517" i="6"/>
  <c r="DE1516" i="6"/>
  <c r="DC1516" i="6"/>
  <c r="CY1516" i="6"/>
  <c r="CW1516" i="6"/>
  <c r="CU1516" i="6"/>
  <c r="CS1516" i="6"/>
  <c r="BM1516" i="6"/>
  <c r="BK1516" i="6"/>
  <c r="BI1516" i="6"/>
  <c r="BG1516" i="6"/>
  <c r="BE1516" i="6"/>
  <c r="BC1516" i="6"/>
  <c r="A1516" i="6"/>
  <c r="DE1515" i="6"/>
  <c r="DC1515" i="6"/>
  <c r="CY1515" i="6"/>
  <c r="CW1515" i="6"/>
  <c r="CU1515" i="6"/>
  <c r="CS1515" i="6"/>
  <c r="BM1515" i="6"/>
  <c r="BK1515" i="6"/>
  <c r="BI1515" i="6"/>
  <c r="BG1515" i="6"/>
  <c r="BE1515" i="6"/>
  <c r="BC1515" i="6"/>
  <c r="A1515" i="6"/>
  <c r="DE1514" i="6"/>
  <c r="DC1514" i="6"/>
  <c r="CY1514" i="6"/>
  <c r="CW1514" i="6"/>
  <c r="CU1514" i="6"/>
  <c r="CS1514" i="6"/>
  <c r="BM1514" i="6"/>
  <c r="BK1514" i="6"/>
  <c r="BI1514" i="6"/>
  <c r="BG1514" i="6"/>
  <c r="BE1514" i="6"/>
  <c r="BC1514" i="6"/>
  <c r="A1514" i="6"/>
  <c r="DE1513" i="6"/>
  <c r="DC1513" i="6"/>
  <c r="CY1513" i="6"/>
  <c r="CW1513" i="6"/>
  <c r="CU1513" i="6"/>
  <c r="CS1513" i="6"/>
  <c r="BM1513" i="6"/>
  <c r="BK1513" i="6"/>
  <c r="BI1513" i="6"/>
  <c r="BG1513" i="6"/>
  <c r="BE1513" i="6"/>
  <c r="BC1513" i="6"/>
  <c r="A1513" i="6"/>
  <c r="DE1512" i="6"/>
  <c r="DC1512" i="6"/>
  <c r="CY1512" i="6"/>
  <c r="CW1512" i="6"/>
  <c r="CU1512" i="6"/>
  <c r="CS1512" i="6"/>
  <c r="BM1512" i="6"/>
  <c r="BK1512" i="6"/>
  <c r="BI1512" i="6"/>
  <c r="BG1512" i="6"/>
  <c r="BE1512" i="6"/>
  <c r="BC1512" i="6"/>
  <c r="A1512" i="6"/>
  <c r="DE1511" i="6"/>
  <c r="DC1511" i="6"/>
  <c r="CY1511" i="6"/>
  <c r="CW1511" i="6"/>
  <c r="CU1511" i="6"/>
  <c r="CS1511" i="6"/>
  <c r="BM1511" i="6"/>
  <c r="BK1511" i="6"/>
  <c r="BI1511" i="6"/>
  <c r="BG1511" i="6"/>
  <c r="BE1511" i="6"/>
  <c r="BC1511" i="6"/>
  <c r="A1511" i="6"/>
  <c r="DE1510" i="6"/>
  <c r="DC1510" i="6"/>
  <c r="CY1510" i="6"/>
  <c r="CW1510" i="6"/>
  <c r="CU1510" i="6"/>
  <c r="CS1510" i="6"/>
  <c r="BM1510" i="6"/>
  <c r="BK1510" i="6"/>
  <c r="BI1510" i="6"/>
  <c r="BG1510" i="6"/>
  <c r="BE1510" i="6"/>
  <c r="BC1510" i="6"/>
  <c r="A1510" i="6"/>
  <c r="DE1509" i="6"/>
  <c r="DC1509" i="6"/>
  <c r="CY1509" i="6"/>
  <c r="CW1509" i="6"/>
  <c r="CU1509" i="6"/>
  <c r="CS1509" i="6"/>
  <c r="BM1509" i="6"/>
  <c r="BK1509" i="6"/>
  <c r="BI1509" i="6"/>
  <c r="BG1509" i="6"/>
  <c r="BE1509" i="6"/>
  <c r="BC1509" i="6"/>
  <c r="A1509" i="6"/>
  <c r="DE1508" i="6"/>
  <c r="DC1508" i="6"/>
  <c r="CY1508" i="6"/>
  <c r="CW1508" i="6"/>
  <c r="CU1508" i="6"/>
  <c r="CS1508" i="6"/>
  <c r="BM1508" i="6"/>
  <c r="BK1508" i="6"/>
  <c r="BI1508" i="6"/>
  <c r="BG1508" i="6"/>
  <c r="BE1508" i="6"/>
  <c r="BC1508" i="6"/>
  <c r="A1508" i="6"/>
  <c r="DE1507" i="6"/>
  <c r="DC1507" i="6"/>
  <c r="CY1507" i="6"/>
  <c r="CW1507" i="6"/>
  <c r="CU1507" i="6"/>
  <c r="CS1507" i="6"/>
  <c r="BM1507" i="6"/>
  <c r="BK1507" i="6"/>
  <c r="BI1507" i="6"/>
  <c r="BG1507" i="6"/>
  <c r="BE1507" i="6"/>
  <c r="BC1507" i="6"/>
  <c r="A1507" i="6"/>
  <c r="DE1506" i="6"/>
  <c r="DC1506" i="6"/>
  <c r="CY1506" i="6"/>
  <c r="CW1506" i="6"/>
  <c r="CU1506" i="6"/>
  <c r="CS1506" i="6"/>
  <c r="BM1506" i="6"/>
  <c r="BK1506" i="6"/>
  <c r="BI1506" i="6"/>
  <c r="BG1506" i="6"/>
  <c r="BE1506" i="6"/>
  <c r="BC1506" i="6"/>
  <c r="A1506" i="6"/>
  <c r="DE1505" i="6"/>
  <c r="DC1505" i="6"/>
  <c r="CY1505" i="6"/>
  <c r="CW1505" i="6"/>
  <c r="CU1505" i="6"/>
  <c r="CS1505" i="6"/>
  <c r="BM1505" i="6"/>
  <c r="BK1505" i="6"/>
  <c r="BI1505" i="6"/>
  <c r="BG1505" i="6"/>
  <c r="BE1505" i="6"/>
  <c r="BC1505" i="6"/>
  <c r="A1505" i="6"/>
  <c r="DE1504" i="6"/>
  <c r="DC1504" i="6"/>
  <c r="CY1504" i="6"/>
  <c r="CW1504" i="6"/>
  <c r="CU1504" i="6"/>
  <c r="CS1504" i="6"/>
  <c r="BM1504" i="6"/>
  <c r="BK1504" i="6"/>
  <c r="BI1504" i="6"/>
  <c r="BG1504" i="6"/>
  <c r="BE1504" i="6"/>
  <c r="BC1504" i="6"/>
  <c r="A1504" i="6"/>
  <c r="DE1503" i="6"/>
  <c r="DC1503" i="6"/>
  <c r="CY1503" i="6"/>
  <c r="CW1503" i="6"/>
  <c r="CU1503" i="6"/>
  <c r="CS1503" i="6"/>
  <c r="BM1503" i="6"/>
  <c r="BK1503" i="6"/>
  <c r="BI1503" i="6"/>
  <c r="BG1503" i="6"/>
  <c r="BE1503" i="6"/>
  <c r="BC1503" i="6"/>
  <c r="A1503" i="6"/>
  <c r="DE1502" i="6"/>
  <c r="DC1502" i="6"/>
  <c r="CY1502" i="6"/>
  <c r="CW1502" i="6"/>
  <c r="CU1502" i="6"/>
  <c r="CS1502" i="6"/>
  <c r="BM1502" i="6"/>
  <c r="BK1502" i="6"/>
  <c r="BI1502" i="6"/>
  <c r="BG1502" i="6"/>
  <c r="BE1502" i="6"/>
  <c r="BC1502" i="6"/>
  <c r="A1502" i="6"/>
  <c r="DE1501" i="6"/>
  <c r="DC1501" i="6"/>
  <c r="CY1501" i="6"/>
  <c r="CW1501" i="6"/>
  <c r="CU1501" i="6"/>
  <c r="CS1501" i="6"/>
  <c r="BM1501" i="6"/>
  <c r="BK1501" i="6"/>
  <c r="BI1501" i="6"/>
  <c r="BG1501" i="6"/>
  <c r="BE1501" i="6"/>
  <c r="BC1501" i="6"/>
  <c r="A1501" i="6"/>
  <c r="DE1500" i="6"/>
  <c r="DC1500" i="6"/>
  <c r="CY1500" i="6"/>
  <c r="CW1500" i="6"/>
  <c r="CU1500" i="6"/>
  <c r="CS1500" i="6"/>
  <c r="BM1500" i="6"/>
  <c r="BK1500" i="6"/>
  <c r="BI1500" i="6"/>
  <c r="BG1500" i="6"/>
  <c r="BE1500" i="6"/>
  <c r="BC1500" i="6"/>
  <c r="A1500" i="6"/>
  <c r="DE1499" i="6"/>
  <c r="DC1499" i="6"/>
  <c r="CY1499" i="6"/>
  <c r="CW1499" i="6"/>
  <c r="CU1499" i="6"/>
  <c r="CS1499" i="6"/>
  <c r="BM1499" i="6"/>
  <c r="BK1499" i="6"/>
  <c r="BI1499" i="6"/>
  <c r="BG1499" i="6"/>
  <c r="BE1499" i="6"/>
  <c r="BC1499" i="6"/>
  <c r="A1499" i="6"/>
  <c r="DE1498" i="6"/>
  <c r="DC1498" i="6"/>
  <c r="CY1498" i="6"/>
  <c r="CW1498" i="6"/>
  <c r="CU1498" i="6"/>
  <c r="CS1498" i="6"/>
  <c r="BM1498" i="6"/>
  <c r="BK1498" i="6"/>
  <c r="BI1498" i="6"/>
  <c r="BG1498" i="6"/>
  <c r="BE1498" i="6"/>
  <c r="BC1498" i="6"/>
  <c r="A1498" i="6"/>
  <c r="DE1497" i="6"/>
  <c r="DC1497" i="6"/>
  <c r="CY1497" i="6"/>
  <c r="CW1497" i="6"/>
  <c r="CU1497" i="6"/>
  <c r="CS1497" i="6"/>
  <c r="BM1497" i="6"/>
  <c r="BK1497" i="6"/>
  <c r="BI1497" i="6"/>
  <c r="BG1497" i="6"/>
  <c r="BE1497" i="6"/>
  <c r="BC1497" i="6"/>
  <c r="A1497" i="6"/>
  <c r="DE1496" i="6"/>
  <c r="DC1496" i="6"/>
  <c r="CY1496" i="6"/>
  <c r="CW1496" i="6"/>
  <c r="CU1496" i="6"/>
  <c r="CS1496" i="6"/>
  <c r="BM1496" i="6"/>
  <c r="BK1496" i="6"/>
  <c r="BI1496" i="6"/>
  <c r="BG1496" i="6"/>
  <c r="BE1496" i="6"/>
  <c r="BC1496" i="6"/>
  <c r="A1496" i="6"/>
  <c r="DE1495" i="6"/>
  <c r="DC1495" i="6"/>
  <c r="CY1495" i="6"/>
  <c r="CW1495" i="6"/>
  <c r="CU1495" i="6"/>
  <c r="CS1495" i="6"/>
  <c r="BM1495" i="6"/>
  <c r="BK1495" i="6"/>
  <c r="BI1495" i="6"/>
  <c r="BG1495" i="6"/>
  <c r="BE1495" i="6"/>
  <c r="BC1495" i="6"/>
  <c r="A1495" i="6"/>
  <c r="DE1494" i="6"/>
  <c r="DC1494" i="6"/>
  <c r="CY1494" i="6"/>
  <c r="CW1494" i="6"/>
  <c r="CU1494" i="6"/>
  <c r="CS1494" i="6"/>
  <c r="BM1494" i="6"/>
  <c r="BK1494" i="6"/>
  <c r="BI1494" i="6"/>
  <c r="BG1494" i="6"/>
  <c r="BE1494" i="6"/>
  <c r="BC1494" i="6"/>
  <c r="A1494" i="6"/>
  <c r="DE1493" i="6"/>
  <c r="DC1493" i="6"/>
  <c r="CY1493" i="6"/>
  <c r="CW1493" i="6"/>
  <c r="CU1493" i="6"/>
  <c r="CS1493" i="6"/>
  <c r="BM1493" i="6"/>
  <c r="BK1493" i="6"/>
  <c r="BI1493" i="6"/>
  <c r="BG1493" i="6"/>
  <c r="BE1493" i="6"/>
  <c r="BC1493" i="6"/>
  <c r="A1493" i="6"/>
  <c r="DE1492" i="6"/>
  <c r="DC1492" i="6"/>
  <c r="CY1492" i="6"/>
  <c r="CW1492" i="6"/>
  <c r="CU1492" i="6"/>
  <c r="CS1492" i="6"/>
  <c r="BM1492" i="6"/>
  <c r="BK1492" i="6"/>
  <c r="BI1492" i="6"/>
  <c r="BG1492" i="6"/>
  <c r="BE1492" i="6"/>
  <c r="BC1492" i="6"/>
  <c r="A1492" i="6"/>
  <c r="DE1491" i="6"/>
  <c r="DC1491" i="6"/>
  <c r="CY1491" i="6"/>
  <c r="CW1491" i="6"/>
  <c r="CU1491" i="6"/>
  <c r="CS1491" i="6"/>
  <c r="BM1491" i="6"/>
  <c r="BK1491" i="6"/>
  <c r="BI1491" i="6"/>
  <c r="BG1491" i="6"/>
  <c r="BE1491" i="6"/>
  <c r="BC1491" i="6"/>
  <c r="A1491" i="6"/>
  <c r="DE1490" i="6"/>
  <c r="DC1490" i="6"/>
  <c r="CY1490" i="6"/>
  <c r="CW1490" i="6"/>
  <c r="CU1490" i="6"/>
  <c r="CS1490" i="6"/>
  <c r="BM1490" i="6"/>
  <c r="BK1490" i="6"/>
  <c r="BI1490" i="6"/>
  <c r="BG1490" i="6"/>
  <c r="BE1490" i="6"/>
  <c r="BC1490" i="6"/>
  <c r="A1490" i="6"/>
  <c r="DE1489" i="6"/>
  <c r="DC1489" i="6"/>
  <c r="CY1489" i="6"/>
  <c r="CW1489" i="6"/>
  <c r="CU1489" i="6"/>
  <c r="CS1489" i="6"/>
  <c r="BM1489" i="6"/>
  <c r="BK1489" i="6"/>
  <c r="BI1489" i="6"/>
  <c r="BG1489" i="6"/>
  <c r="BE1489" i="6"/>
  <c r="BC1489" i="6"/>
  <c r="A1489" i="6"/>
  <c r="DE1488" i="6"/>
  <c r="DC1488" i="6"/>
  <c r="CY1488" i="6"/>
  <c r="CW1488" i="6"/>
  <c r="CU1488" i="6"/>
  <c r="CS1488" i="6"/>
  <c r="BM1488" i="6"/>
  <c r="BK1488" i="6"/>
  <c r="BI1488" i="6"/>
  <c r="BG1488" i="6"/>
  <c r="BE1488" i="6"/>
  <c r="BC1488" i="6"/>
  <c r="A1488" i="6"/>
  <c r="DE1487" i="6"/>
  <c r="DC1487" i="6"/>
  <c r="CY1487" i="6"/>
  <c r="CW1487" i="6"/>
  <c r="CU1487" i="6"/>
  <c r="CS1487" i="6"/>
  <c r="BM1487" i="6"/>
  <c r="BK1487" i="6"/>
  <c r="BI1487" i="6"/>
  <c r="BG1487" i="6"/>
  <c r="BE1487" i="6"/>
  <c r="BC1487" i="6"/>
  <c r="A1487" i="6"/>
  <c r="DE1486" i="6"/>
  <c r="DC1486" i="6"/>
  <c r="CY1486" i="6"/>
  <c r="CW1486" i="6"/>
  <c r="CU1486" i="6"/>
  <c r="CS1486" i="6"/>
  <c r="BM1486" i="6"/>
  <c r="BK1486" i="6"/>
  <c r="BI1486" i="6"/>
  <c r="BG1486" i="6"/>
  <c r="BE1486" i="6"/>
  <c r="BC1486" i="6"/>
  <c r="A1486" i="6"/>
  <c r="DE1485" i="6"/>
  <c r="DC1485" i="6"/>
  <c r="CY1485" i="6"/>
  <c r="CW1485" i="6"/>
  <c r="CU1485" i="6"/>
  <c r="CS1485" i="6"/>
  <c r="BM1485" i="6"/>
  <c r="BK1485" i="6"/>
  <c r="BI1485" i="6"/>
  <c r="BG1485" i="6"/>
  <c r="BE1485" i="6"/>
  <c r="BC1485" i="6"/>
  <c r="A1485" i="6"/>
  <c r="DE1484" i="6"/>
  <c r="DC1484" i="6"/>
  <c r="CY1484" i="6"/>
  <c r="CW1484" i="6"/>
  <c r="CU1484" i="6"/>
  <c r="CS1484" i="6"/>
  <c r="BM1484" i="6"/>
  <c r="BK1484" i="6"/>
  <c r="BI1484" i="6"/>
  <c r="BG1484" i="6"/>
  <c r="BE1484" i="6"/>
  <c r="BC1484" i="6"/>
  <c r="A1484" i="6"/>
  <c r="DE1483" i="6"/>
  <c r="DC1483" i="6"/>
  <c r="CY1483" i="6"/>
  <c r="CW1483" i="6"/>
  <c r="CU1483" i="6"/>
  <c r="CS1483" i="6"/>
  <c r="BM1483" i="6"/>
  <c r="BK1483" i="6"/>
  <c r="BI1483" i="6"/>
  <c r="BG1483" i="6"/>
  <c r="BE1483" i="6"/>
  <c r="BC1483" i="6"/>
  <c r="A1483" i="6"/>
  <c r="DE1482" i="6"/>
  <c r="DC1482" i="6"/>
  <c r="CY1482" i="6"/>
  <c r="CW1482" i="6"/>
  <c r="CU1482" i="6"/>
  <c r="CS1482" i="6"/>
  <c r="BM1482" i="6"/>
  <c r="BK1482" i="6"/>
  <c r="BI1482" i="6"/>
  <c r="BG1482" i="6"/>
  <c r="BE1482" i="6"/>
  <c r="BC1482" i="6"/>
  <c r="A1482" i="6"/>
  <c r="DE1481" i="6"/>
  <c r="DC1481" i="6"/>
  <c r="CY1481" i="6"/>
  <c r="CW1481" i="6"/>
  <c r="CU1481" i="6"/>
  <c r="CS1481" i="6"/>
  <c r="BM1481" i="6"/>
  <c r="BK1481" i="6"/>
  <c r="BI1481" i="6"/>
  <c r="BG1481" i="6"/>
  <c r="BE1481" i="6"/>
  <c r="BC1481" i="6"/>
  <c r="A1481" i="6"/>
  <c r="DE1480" i="6"/>
  <c r="DC1480" i="6"/>
  <c r="CY1480" i="6"/>
  <c r="CW1480" i="6"/>
  <c r="CU1480" i="6"/>
  <c r="CS1480" i="6"/>
  <c r="BM1480" i="6"/>
  <c r="BK1480" i="6"/>
  <c r="BI1480" i="6"/>
  <c r="BG1480" i="6"/>
  <c r="BE1480" i="6"/>
  <c r="BC1480" i="6"/>
  <c r="A1480" i="6"/>
  <c r="DE1479" i="6"/>
  <c r="DC1479" i="6"/>
  <c r="CY1479" i="6"/>
  <c r="CW1479" i="6"/>
  <c r="CU1479" i="6"/>
  <c r="CS1479" i="6"/>
  <c r="BM1479" i="6"/>
  <c r="BK1479" i="6"/>
  <c r="BI1479" i="6"/>
  <c r="BG1479" i="6"/>
  <c r="BE1479" i="6"/>
  <c r="BC1479" i="6"/>
  <c r="A1479" i="6"/>
  <c r="DE1478" i="6"/>
  <c r="DC1478" i="6"/>
  <c r="CY1478" i="6"/>
  <c r="CW1478" i="6"/>
  <c r="CU1478" i="6"/>
  <c r="CS1478" i="6"/>
  <c r="BM1478" i="6"/>
  <c r="BK1478" i="6"/>
  <c r="BI1478" i="6"/>
  <c r="BG1478" i="6"/>
  <c r="BE1478" i="6"/>
  <c r="BC1478" i="6"/>
  <c r="A1478" i="6"/>
  <c r="DE1477" i="6"/>
  <c r="DC1477" i="6"/>
  <c r="CY1477" i="6"/>
  <c r="CW1477" i="6"/>
  <c r="CU1477" i="6"/>
  <c r="CS1477" i="6"/>
  <c r="BM1477" i="6"/>
  <c r="BK1477" i="6"/>
  <c r="BI1477" i="6"/>
  <c r="BG1477" i="6"/>
  <c r="BE1477" i="6"/>
  <c r="BC1477" i="6"/>
  <c r="A1477" i="6"/>
  <c r="DE1476" i="6"/>
  <c r="DC1476" i="6"/>
  <c r="CY1476" i="6"/>
  <c r="CW1476" i="6"/>
  <c r="CU1476" i="6"/>
  <c r="CS1476" i="6"/>
  <c r="BM1476" i="6"/>
  <c r="BK1476" i="6"/>
  <c r="BI1476" i="6"/>
  <c r="BG1476" i="6"/>
  <c r="BE1476" i="6"/>
  <c r="BC1476" i="6"/>
  <c r="A1476" i="6"/>
  <c r="DE1475" i="6"/>
  <c r="DC1475" i="6"/>
  <c r="CY1475" i="6"/>
  <c r="CW1475" i="6"/>
  <c r="CU1475" i="6"/>
  <c r="CS1475" i="6"/>
  <c r="BM1475" i="6"/>
  <c r="BK1475" i="6"/>
  <c r="BI1475" i="6"/>
  <c r="BG1475" i="6"/>
  <c r="BE1475" i="6"/>
  <c r="BC1475" i="6"/>
  <c r="A1475" i="6"/>
  <c r="DE1474" i="6"/>
  <c r="DC1474" i="6"/>
  <c r="CY1474" i="6"/>
  <c r="CW1474" i="6"/>
  <c r="CU1474" i="6"/>
  <c r="CS1474" i="6"/>
  <c r="BM1474" i="6"/>
  <c r="BK1474" i="6"/>
  <c r="BI1474" i="6"/>
  <c r="BG1474" i="6"/>
  <c r="BE1474" i="6"/>
  <c r="BC1474" i="6"/>
  <c r="A1474" i="6"/>
  <c r="DE1473" i="6"/>
  <c r="DC1473" i="6"/>
  <c r="CY1473" i="6"/>
  <c r="CW1473" i="6"/>
  <c r="CU1473" i="6"/>
  <c r="CS1473" i="6"/>
  <c r="BM1473" i="6"/>
  <c r="BK1473" i="6"/>
  <c r="BI1473" i="6"/>
  <c r="BG1473" i="6"/>
  <c r="BE1473" i="6"/>
  <c r="BC1473" i="6"/>
  <c r="A1473" i="6"/>
  <c r="DE1472" i="6"/>
  <c r="DC1472" i="6"/>
  <c r="CY1472" i="6"/>
  <c r="CW1472" i="6"/>
  <c r="CU1472" i="6"/>
  <c r="CS1472" i="6"/>
  <c r="BM1472" i="6"/>
  <c r="BK1472" i="6"/>
  <c r="BI1472" i="6"/>
  <c r="BG1472" i="6"/>
  <c r="BE1472" i="6"/>
  <c r="BC1472" i="6"/>
  <c r="A1472" i="6"/>
  <c r="DE1471" i="6"/>
  <c r="DC1471" i="6"/>
  <c r="CY1471" i="6"/>
  <c r="CW1471" i="6"/>
  <c r="CU1471" i="6"/>
  <c r="CS1471" i="6"/>
  <c r="BM1471" i="6"/>
  <c r="BK1471" i="6"/>
  <c r="BI1471" i="6"/>
  <c r="BG1471" i="6"/>
  <c r="BE1471" i="6"/>
  <c r="BC1471" i="6"/>
  <c r="A1471" i="6"/>
  <c r="DE1470" i="6"/>
  <c r="DC1470" i="6"/>
  <c r="CY1470" i="6"/>
  <c r="CW1470" i="6"/>
  <c r="CU1470" i="6"/>
  <c r="CS1470" i="6"/>
  <c r="BM1470" i="6"/>
  <c r="BK1470" i="6"/>
  <c r="BI1470" i="6"/>
  <c r="BG1470" i="6"/>
  <c r="BE1470" i="6"/>
  <c r="BC1470" i="6"/>
  <c r="A1470" i="6"/>
  <c r="DE1469" i="6"/>
  <c r="DC1469" i="6"/>
  <c r="CY1469" i="6"/>
  <c r="CW1469" i="6"/>
  <c r="CU1469" i="6"/>
  <c r="CS1469" i="6"/>
  <c r="BM1469" i="6"/>
  <c r="BK1469" i="6"/>
  <c r="BI1469" i="6"/>
  <c r="BG1469" i="6"/>
  <c r="BE1469" i="6"/>
  <c r="BC1469" i="6"/>
  <c r="A1469" i="6"/>
  <c r="DE1468" i="6"/>
  <c r="DC1468" i="6"/>
  <c r="CY1468" i="6"/>
  <c r="CW1468" i="6"/>
  <c r="CU1468" i="6"/>
  <c r="CS1468" i="6"/>
  <c r="BM1468" i="6"/>
  <c r="BK1468" i="6"/>
  <c r="BI1468" i="6"/>
  <c r="BG1468" i="6"/>
  <c r="BE1468" i="6"/>
  <c r="BC1468" i="6"/>
  <c r="A1468" i="6"/>
  <c r="DE1467" i="6"/>
  <c r="DC1467" i="6"/>
  <c r="CY1467" i="6"/>
  <c r="CW1467" i="6"/>
  <c r="CU1467" i="6"/>
  <c r="CS1467" i="6"/>
  <c r="BM1467" i="6"/>
  <c r="BK1467" i="6"/>
  <c r="BI1467" i="6"/>
  <c r="BG1467" i="6"/>
  <c r="BE1467" i="6"/>
  <c r="BC1467" i="6"/>
  <c r="A1467" i="6"/>
  <c r="DE1466" i="6"/>
  <c r="DC1466" i="6"/>
  <c r="CY1466" i="6"/>
  <c r="CW1466" i="6"/>
  <c r="CU1466" i="6"/>
  <c r="CS1466" i="6"/>
  <c r="BM1466" i="6"/>
  <c r="BK1466" i="6"/>
  <c r="BI1466" i="6"/>
  <c r="BG1466" i="6"/>
  <c r="BE1466" i="6"/>
  <c r="BC1466" i="6"/>
  <c r="A1466" i="6"/>
  <c r="DE1465" i="6"/>
  <c r="DC1465" i="6"/>
  <c r="CY1465" i="6"/>
  <c r="CW1465" i="6"/>
  <c r="CU1465" i="6"/>
  <c r="CS1465" i="6"/>
  <c r="BM1465" i="6"/>
  <c r="BK1465" i="6"/>
  <c r="BI1465" i="6"/>
  <c r="BG1465" i="6"/>
  <c r="BE1465" i="6"/>
  <c r="BC1465" i="6"/>
  <c r="A1465" i="6"/>
  <c r="DE1464" i="6"/>
  <c r="DC1464" i="6"/>
  <c r="CY1464" i="6"/>
  <c r="CW1464" i="6"/>
  <c r="CU1464" i="6"/>
  <c r="CS1464" i="6"/>
  <c r="BM1464" i="6"/>
  <c r="BK1464" i="6"/>
  <c r="BI1464" i="6"/>
  <c r="BG1464" i="6"/>
  <c r="BE1464" i="6"/>
  <c r="BC1464" i="6"/>
  <c r="A1464" i="6"/>
  <c r="DE1463" i="6"/>
  <c r="DC1463" i="6"/>
  <c r="CY1463" i="6"/>
  <c r="CW1463" i="6"/>
  <c r="CU1463" i="6"/>
  <c r="CS1463" i="6"/>
  <c r="BM1463" i="6"/>
  <c r="BK1463" i="6"/>
  <c r="BI1463" i="6"/>
  <c r="BG1463" i="6"/>
  <c r="BE1463" i="6"/>
  <c r="BC1463" i="6"/>
  <c r="A1463" i="6"/>
  <c r="DE1462" i="6"/>
  <c r="DC1462" i="6"/>
  <c r="CY1462" i="6"/>
  <c r="CW1462" i="6"/>
  <c r="CU1462" i="6"/>
  <c r="CS1462" i="6"/>
  <c r="BM1462" i="6"/>
  <c r="BK1462" i="6"/>
  <c r="BI1462" i="6"/>
  <c r="BG1462" i="6"/>
  <c r="BE1462" i="6"/>
  <c r="BC1462" i="6"/>
  <c r="A1462" i="6"/>
  <c r="DE1461" i="6"/>
  <c r="DC1461" i="6"/>
  <c r="CY1461" i="6"/>
  <c r="CW1461" i="6"/>
  <c r="CU1461" i="6"/>
  <c r="CS1461" i="6"/>
  <c r="BM1461" i="6"/>
  <c r="BK1461" i="6"/>
  <c r="BI1461" i="6"/>
  <c r="BG1461" i="6"/>
  <c r="BE1461" i="6"/>
  <c r="BC1461" i="6"/>
  <c r="A1461" i="6"/>
  <c r="DE1460" i="6"/>
  <c r="DC1460" i="6"/>
  <c r="CY1460" i="6"/>
  <c r="CW1460" i="6"/>
  <c r="CU1460" i="6"/>
  <c r="CS1460" i="6"/>
  <c r="BM1460" i="6"/>
  <c r="BK1460" i="6"/>
  <c r="BI1460" i="6"/>
  <c r="BG1460" i="6"/>
  <c r="BE1460" i="6"/>
  <c r="BC1460" i="6"/>
  <c r="A1460" i="6"/>
  <c r="DE1459" i="6"/>
  <c r="DC1459" i="6"/>
  <c r="CY1459" i="6"/>
  <c r="CW1459" i="6"/>
  <c r="CU1459" i="6"/>
  <c r="CS1459" i="6"/>
  <c r="BM1459" i="6"/>
  <c r="BK1459" i="6"/>
  <c r="BI1459" i="6"/>
  <c r="BG1459" i="6"/>
  <c r="BE1459" i="6"/>
  <c r="BC1459" i="6"/>
  <c r="A1459" i="6"/>
  <c r="DE1458" i="6"/>
  <c r="DC1458" i="6"/>
  <c r="CY1458" i="6"/>
  <c r="CW1458" i="6"/>
  <c r="CU1458" i="6"/>
  <c r="CS1458" i="6"/>
  <c r="BM1458" i="6"/>
  <c r="BK1458" i="6"/>
  <c r="BI1458" i="6"/>
  <c r="BG1458" i="6"/>
  <c r="BE1458" i="6"/>
  <c r="BC1458" i="6"/>
  <c r="A1458" i="6"/>
  <c r="DE1457" i="6"/>
  <c r="DC1457" i="6"/>
  <c r="CY1457" i="6"/>
  <c r="CW1457" i="6"/>
  <c r="CU1457" i="6"/>
  <c r="CS1457" i="6"/>
  <c r="BM1457" i="6"/>
  <c r="BK1457" i="6"/>
  <c r="BI1457" i="6"/>
  <c r="BG1457" i="6"/>
  <c r="BE1457" i="6"/>
  <c r="BC1457" i="6"/>
  <c r="A1457" i="6"/>
  <c r="DE1456" i="6"/>
  <c r="DC1456" i="6"/>
  <c r="CY1456" i="6"/>
  <c r="CW1456" i="6"/>
  <c r="CU1456" i="6"/>
  <c r="CS1456" i="6"/>
  <c r="BM1456" i="6"/>
  <c r="BK1456" i="6"/>
  <c r="BI1456" i="6"/>
  <c r="BG1456" i="6"/>
  <c r="BE1456" i="6"/>
  <c r="BC1456" i="6"/>
  <c r="A1456" i="6"/>
  <c r="DE1455" i="6"/>
  <c r="DC1455" i="6"/>
  <c r="CY1455" i="6"/>
  <c r="CW1455" i="6"/>
  <c r="CU1455" i="6"/>
  <c r="CS1455" i="6"/>
  <c r="BM1455" i="6"/>
  <c r="BK1455" i="6"/>
  <c r="BI1455" i="6"/>
  <c r="BG1455" i="6"/>
  <c r="BE1455" i="6"/>
  <c r="BC1455" i="6"/>
  <c r="A1455" i="6"/>
  <c r="DE1454" i="6"/>
  <c r="DC1454" i="6"/>
  <c r="CY1454" i="6"/>
  <c r="CW1454" i="6"/>
  <c r="CU1454" i="6"/>
  <c r="CS1454" i="6"/>
  <c r="BM1454" i="6"/>
  <c r="BK1454" i="6"/>
  <c r="BI1454" i="6"/>
  <c r="BG1454" i="6"/>
  <c r="BE1454" i="6"/>
  <c r="BC1454" i="6"/>
  <c r="A1454" i="6"/>
  <c r="DE1453" i="6"/>
  <c r="DC1453" i="6"/>
  <c r="CY1453" i="6"/>
  <c r="CW1453" i="6"/>
  <c r="CU1453" i="6"/>
  <c r="CS1453" i="6"/>
  <c r="BM1453" i="6"/>
  <c r="BK1453" i="6"/>
  <c r="BI1453" i="6"/>
  <c r="BG1453" i="6"/>
  <c r="BE1453" i="6"/>
  <c r="BC1453" i="6"/>
  <c r="A1453" i="6"/>
  <c r="DE1452" i="6"/>
  <c r="DC1452" i="6"/>
  <c r="CY1452" i="6"/>
  <c r="CW1452" i="6"/>
  <c r="CU1452" i="6"/>
  <c r="CS1452" i="6"/>
  <c r="BM1452" i="6"/>
  <c r="BK1452" i="6"/>
  <c r="BI1452" i="6"/>
  <c r="BG1452" i="6"/>
  <c r="BE1452" i="6"/>
  <c r="BC1452" i="6"/>
  <c r="A1452" i="6"/>
  <c r="DE1451" i="6"/>
  <c r="DC1451" i="6"/>
  <c r="CY1451" i="6"/>
  <c r="CW1451" i="6"/>
  <c r="CU1451" i="6"/>
  <c r="CS1451" i="6"/>
  <c r="BM1451" i="6"/>
  <c r="BK1451" i="6"/>
  <c r="BI1451" i="6"/>
  <c r="BG1451" i="6"/>
  <c r="BE1451" i="6"/>
  <c r="BC1451" i="6"/>
  <c r="A1451" i="6"/>
  <c r="DE1450" i="6"/>
  <c r="DC1450" i="6"/>
  <c r="CY1450" i="6"/>
  <c r="CW1450" i="6"/>
  <c r="CU1450" i="6"/>
  <c r="CS1450" i="6"/>
  <c r="BM1450" i="6"/>
  <c r="BK1450" i="6"/>
  <c r="BI1450" i="6"/>
  <c r="BG1450" i="6"/>
  <c r="BE1450" i="6"/>
  <c r="BC1450" i="6"/>
  <c r="A1450" i="6"/>
  <c r="DE1449" i="6"/>
  <c r="DC1449" i="6"/>
  <c r="CY1449" i="6"/>
  <c r="CW1449" i="6"/>
  <c r="CU1449" i="6"/>
  <c r="CS1449" i="6"/>
  <c r="BM1449" i="6"/>
  <c r="BK1449" i="6"/>
  <c r="BI1449" i="6"/>
  <c r="BG1449" i="6"/>
  <c r="BE1449" i="6"/>
  <c r="BC1449" i="6"/>
  <c r="A1449" i="6"/>
  <c r="DE1448" i="6"/>
  <c r="DC1448" i="6"/>
  <c r="CY1448" i="6"/>
  <c r="CW1448" i="6"/>
  <c r="CU1448" i="6"/>
  <c r="CS1448" i="6"/>
  <c r="BM1448" i="6"/>
  <c r="BK1448" i="6"/>
  <c r="BI1448" i="6"/>
  <c r="BG1448" i="6"/>
  <c r="BE1448" i="6"/>
  <c r="BC1448" i="6"/>
  <c r="A1448" i="6"/>
  <c r="DE1447" i="6"/>
  <c r="DC1447" i="6"/>
  <c r="CY1447" i="6"/>
  <c r="CW1447" i="6"/>
  <c r="CU1447" i="6"/>
  <c r="CS1447" i="6"/>
  <c r="BM1447" i="6"/>
  <c r="BK1447" i="6"/>
  <c r="BI1447" i="6"/>
  <c r="BG1447" i="6"/>
  <c r="BE1447" i="6"/>
  <c r="BC1447" i="6"/>
  <c r="A1447" i="6"/>
  <c r="DE1446" i="6"/>
  <c r="DC1446" i="6"/>
  <c r="CY1446" i="6"/>
  <c r="CW1446" i="6"/>
  <c r="CU1446" i="6"/>
  <c r="CS1446" i="6"/>
  <c r="BM1446" i="6"/>
  <c r="BK1446" i="6"/>
  <c r="BI1446" i="6"/>
  <c r="BG1446" i="6"/>
  <c r="BE1446" i="6"/>
  <c r="BC1446" i="6"/>
  <c r="A1446" i="6"/>
  <c r="DE1445" i="6"/>
  <c r="DC1445" i="6"/>
  <c r="CY1445" i="6"/>
  <c r="CW1445" i="6"/>
  <c r="CU1445" i="6"/>
  <c r="CS1445" i="6"/>
  <c r="BM1445" i="6"/>
  <c r="BK1445" i="6"/>
  <c r="BI1445" i="6"/>
  <c r="BG1445" i="6"/>
  <c r="BE1445" i="6"/>
  <c r="BC1445" i="6"/>
  <c r="A1445" i="6"/>
  <c r="DE1444" i="6"/>
  <c r="DC1444" i="6"/>
  <c r="CY1444" i="6"/>
  <c r="CW1444" i="6"/>
  <c r="CU1444" i="6"/>
  <c r="CS1444" i="6"/>
  <c r="BM1444" i="6"/>
  <c r="BK1444" i="6"/>
  <c r="BI1444" i="6"/>
  <c r="BG1444" i="6"/>
  <c r="BE1444" i="6"/>
  <c r="BC1444" i="6"/>
  <c r="A1444" i="6"/>
  <c r="DE1443" i="6"/>
  <c r="DC1443" i="6"/>
  <c r="CY1443" i="6"/>
  <c r="CW1443" i="6"/>
  <c r="CU1443" i="6"/>
  <c r="CS1443" i="6"/>
  <c r="BM1443" i="6"/>
  <c r="BK1443" i="6"/>
  <c r="BI1443" i="6"/>
  <c r="BG1443" i="6"/>
  <c r="BE1443" i="6"/>
  <c r="BC1443" i="6"/>
  <c r="A1443" i="6"/>
  <c r="DE1442" i="6"/>
  <c r="DC1442" i="6"/>
  <c r="CY1442" i="6"/>
  <c r="CW1442" i="6"/>
  <c r="CU1442" i="6"/>
  <c r="CS1442" i="6"/>
  <c r="BM1442" i="6"/>
  <c r="BK1442" i="6"/>
  <c r="BI1442" i="6"/>
  <c r="BG1442" i="6"/>
  <c r="BE1442" i="6"/>
  <c r="BC1442" i="6"/>
  <c r="A1442" i="6"/>
  <c r="DE1441" i="6"/>
  <c r="DC1441" i="6"/>
  <c r="CY1441" i="6"/>
  <c r="CW1441" i="6"/>
  <c r="CU1441" i="6"/>
  <c r="CS1441" i="6"/>
  <c r="BM1441" i="6"/>
  <c r="BK1441" i="6"/>
  <c r="BI1441" i="6"/>
  <c r="BG1441" i="6"/>
  <c r="BE1441" i="6"/>
  <c r="BC1441" i="6"/>
  <c r="A1441" i="6"/>
  <c r="DE1440" i="6"/>
  <c r="DC1440" i="6"/>
  <c r="CY1440" i="6"/>
  <c r="CW1440" i="6"/>
  <c r="CU1440" i="6"/>
  <c r="CS1440" i="6"/>
  <c r="BM1440" i="6"/>
  <c r="BK1440" i="6"/>
  <c r="BI1440" i="6"/>
  <c r="BG1440" i="6"/>
  <c r="BE1440" i="6"/>
  <c r="BC1440" i="6"/>
  <c r="A1440" i="6"/>
  <c r="DE1439" i="6"/>
  <c r="DC1439" i="6"/>
  <c r="CY1439" i="6"/>
  <c r="CW1439" i="6"/>
  <c r="CU1439" i="6"/>
  <c r="CS1439" i="6"/>
  <c r="BM1439" i="6"/>
  <c r="BK1439" i="6"/>
  <c r="BI1439" i="6"/>
  <c r="BG1439" i="6"/>
  <c r="BE1439" i="6"/>
  <c r="BC1439" i="6"/>
  <c r="A1439" i="6"/>
  <c r="DE1438" i="6"/>
  <c r="DC1438" i="6"/>
  <c r="CY1438" i="6"/>
  <c r="CW1438" i="6"/>
  <c r="CU1438" i="6"/>
  <c r="CS1438" i="6"/>
  <c r="BM1438" i="6"/>
  <c r="BK1438" i="6"/>
  <c r="BI1438" i="6"/>
  <c r="BG1438" i="6"/>
  <c r="BE1438" i="6"/>
  <c r="BC1438" i="6"/>
  <c r="A1438" i="6"/>
  <c r="DE1437" i="6"/>
  <c r="DC1437" i="6"/>
  <c r="CY1437" i="6"/>
  <c r="CW1437" i="6"/>
  <c r="CU1437" i="6"/>
  <c r="CS1437" i="6"/>
  <c r="BM1437" i="6"/>
  <c r="BK1437" i="6"/>
  <c r="BI1437" i="6"/>
  <c r="BG1437" i="6"/>
  <c r="BE1437" i="6"/>
  <c r="BC1437" i="6"/>
  <c r="A1437" i="6"/>
  <c r="DE1436" i="6"/>
  <c r="DC1436" i="6"/>
  <c r="CY1436" i="6"/>
  <c r="CW1436" i="6"/>
  <c r="CU1436" i="6"/>
  <c r="CS1436" i="6"/>
  <c r="BM1436" i="6"/>
  <c r="BK1436" i="6"/>
  <c r="BI1436" i="6"/>
  <c r="BG1436" i="6"/>
  <c r="BE1436" i="6"/>
  <c r="BC1436" i="6"/>
  <c r="A1436" i="6"/>
  <c r="DE1435" i="6"/>
  <c r="DC1435" i="6"/>
  <c r="CY1435" i="6"/>
  <c r="CW1435" i="6"/>
  <c r="CU1435" i="6"/>
  <c r="CS1435" i="6"/>
  <c r="BM1435" i="6"/>
  <c r="BK1435" i="6"/>
  <c r="BI1435" i="6"/>
  <c r="BG1435" i="6"/>
  <c r="BE1435" i="6"/>
  <c r="BC1435" i="6"/>
  <c r="A1435" i="6"/>
  <c r="DE1434" i="6"/>
  <c r="DC1434" i="6"/>
  <c r="CY1434" i="6"/>
  <c r="CW1434" i="6"/>
  <c r="CU1434" i="6"/>
  <c r="CS1434" i="6"/>
  <c r="BM1434" i="6"/>
  <c r="BK1434" i="6"/>
  <c r="BI1434" i="6"/>
  <c r="BG1434" i="6"/>
  <c r="BE1434" i="6"/>
  <c r="BC1434" i="6"/>
  <c r="A1434" i="6"/>
  <c r="DE1433" i="6"/>
  <c r="DC1433" i="6"/>
  <c r="CY1433" i="6"/>
  <c r="CW1433" i="6"/>
  <c r="CU1433" i="6"/>
  <c r="CS1433" i="6"/>
  <c r="BM1433" i="6"/>
  <c r="BK1433" i="6"/>
  <c r="BI1433" i="6"/>
  <c r="BG1433" i="6"/>
  <c r="BE1433" i="6"/>
  <c r="BC1433" i="6"/>
  <c r="A1433" i="6"/>
  <c r="DE1432" i="6"/>
  <c r="DC1432" i="6"/>
  <c r="CY1432" i="6"/>
  <c r="CW1432" i="6"/>
  <c r="CU1432" i="6"/>
  <c r="CS1432" i="6"/>
  <c r="BM1432" i="6"/>
  <c r="BK1432" i="6"/>
  <c r="BI1432" i="6"/>
  <c r="BG1432" i="6"/>
  <c r="BE1432" i="6"/>
  <c r="BC1432" i="6"/>
  <c r="A1432" i="6"/>
  <c r="DE1431" i="6"/>
  <c r="DC1431" i="6"/>
  <c r="CY1431" i="6"/>
  <c r="CW1431" i="6"/>
  <c r="CU1431" i="6"/>
  <c r="CS1431" i="6"/>
  <c r="BM1431" i="6"/>
  <c r="BK1431" i="6"/>
  <c r="BI1431" i="6"/>
  <c r="BG1431" i="6"/>
  <c r="BE1431" i="6"/>
  <c r="BC1431" i="6"/>
  <c r="A1431" i="6"/>
  <c r="DE1430" i="6"/>
  <c r="DC1430" i="6"/>
  <c r="CY1430" i="6"/>
  <c r="CW1430" i="6"/>
  <c r="CU1430" i="6"/>
  <c r="CS1430" i="6"/>
  <c r="BM1430" i="6"/>
  <c r="BK1430" i="6"/>
  <c r="BI1430" i="6"/>
  <c r="BG1430" i="6"/>
  <c r="BE1430" i="6"/>
  <c r="BC1430" i="6"/>
  <c r="A1430" i="6"/>
  <c r="DE1429" i="6"/>
  <c r="DC1429" i="6"/>
  <c r="CY1429" i="6"/>
  <c r="CW1429" i="6"/>
  <c r="CU1429" i="6"/>
  <c r="CS1429" i="6"/>
  <c r="BM1429" i="6"/>
  <c r="BK1429" i="6"/>
  <c r="BI1429" i="6"/>
  <c r="BG1429" i="6"/>
  <c r="BE1429" i="6"/>
  <c r="BC1429" i="6"/>
  <c r="A1429" i="6"/>
  <c r="DE1428" i="6"/>
  <c r="DC1428" i="6"/>
  <c r="CY1428" i="6"/>
  <c r="CW1428" i="6"/>
  <c r="CU1428" i="6"/>
  <c r="CS1428" i="6"/>
  <c r="BM1428" i="6"/>
  <c r="BK1428" i="6"/>
  <c r="BI1428" i="6"/>
  <c r="BG1428" i="6"/>
  <c r="BE1428" i="6"/>
  <c r="BC1428" i="6"/>
  <c r="A1428" i="6"/>
  <c r="DE1427" i="6"/>
  <c r="DC1427" i="6"/>
  <c r="CY1427" i="6"/>
  <c r="CW1427" i="6"/>
  <c r="CU1427" i="6"/>
  <c r="CS1427" i="6"/>
  <c r="BM1427" i="6"/>
  <c r="BK1427" i="6"/>
  <c r="BI1427" i="6"/>
  <c r="BG1427" i="6"/>
  <c r="BE1427" i="6"/>
  <c r="BC1427" i="6"/>
  <c r="A1427" i="6"/>
  <c r="DE1426" i="6"/>
  <c r="DC1426" i="6"/>
  <c r="CY1426" i="6"/>
  <c r="CW1426" i="6"/>
  <c r="CU1426" i="6"/>
  <c r="CS1426" i="6"/>
  <c r="BM1426" i="6"/>
  <c r="BK1426" i="6"/>
  <c r="BI1426" i="6"/>
  <c r="BG1426" i="6"/>
  <c r="BE1426" i="6"/>
  <c r="BC1426" i="6"/>
  <c r="A1426" i="6"/>
  <c r="DE1425" i="6"/>
  <c r="DC1425" i="6"/>
  <c r="CY1425" i="6"/>
  <c r="CW1425" i="6"/>
  <c r="CU1425" i="6"/>
  <c r="CS1425" i="6"/>
  <c r="BM1425" i="6"/>
  <c r="BK1425" i="6"/>
  <c r="BI1425" i="6"/>
  <c r="BG1425" i="6"/>
  <c r="BE1425" i="6"/>
  <c r="BC1425" i="6"/>
  <c r="A1425" i="6"/>
  <c r="DE1424" i="6"/>
  <c r="DC1424" i="6"/>
  <c r="CY1424" i="6"/>
  <c r="CW1424" i="6"/>
  <c r="CU1424" i="6"/>
  <c r="CS1424" i="6"/>
  <c r="BM1424" i="6"/>
  <c r="BK1424" i="6"/>
  <c r="BI1424" i="6"/>
  <c r="BG1424" i="6"/>
  <c r="BE1424" i="6"/>
  <c r="BC1424" i="6"/>
  <c r="A1424" i="6"/>
  <c r="DE1423" i="6"/>
  <c r="DC1423" i="6"/>
  <c r="CY1423" i="6"/>
  <c r="CW1423" i="6"/>
  <c r="CU1423" i="6"/>
  <c r="CS1423" i="6"/>
  <c r="BM1423" i="6"/>
  <c r="BK1423" i="6"/>
  <c r="BI1423" i="6"/>
  <c r="BG1423" i="6"/>
  <c r="BE1423" i="6"/>
  <c r="BC1423" i="6"/>
  <c r="A1423" i="6"/>
  <c r="DE1422" i="6"/>
  <c r="DC1422" i="6"/>
  <c r="CY1422" i="6"/>
  <c r="CW1422" i="6"/>
  <c r="CU1422" i="6"/>
  <c r="CS1422" i="6"/>
  <c r="BM1422" i="6"/>
  <c r="BK1422" i="6"/>
  <c r="BI1422" i="6"/>
  <c r="BG1422" i="6"/>
  <c r="BE1422" i="6"/>
  <c r="BC1422" i="6"/>
  <c r="A1422" i="6"/>
  <c r="DE1421" i="6"/>
  <c r="DC1421" i="6"/>
  <c r="CY1421" i="6"/>
  <c r="CW1421" i="6"/>
  <c r="CU1421" i="6"/>
  <c r="CS1421" i="6"/>
  <c r="BM1421" i="6"/>
  <c r="BK1421" i="6"/>
  <c r="BI1421" i="6"/>
  <c r="BG1421" i="6"/>
  <c r="BE1421" i="6"/>
  <c r="BC1421" i="6"/>
  <c r="A1421" i="6"/>
  <c r="DE1420" i="6"/>
  <c r="DC1420" i="6"/>
  <c r="CY1420" i="6"/>
  <c r="CW1420" i="6"/>
  <c r="CU1420" i="6"/>
  <c r="CS1420" i="6"/>
  <c r="BM1420" i="6"/>
  <c r="BK1420" i="6"/>
  <c r="BI1420" i="6"/>
  <c r="BG1420" i="6"/>
  <c r="BE1420" i="6"/>
  <c r="BC1420" i="6"/>
  <c r="A1420" i="6"/>
  <c r="DE1419" i="6"/>
  <c r="DC1419" i="6"/>
  <c r="CY1419" i="6"/>
  <c r="CW1419" i="6"/>
  <c r="CU1419" i="6"/>
  <c r="CS1419" i="6"/>
  <c r="BM1419" i="6"/>
  <c r="BK1419" i="6"/>
  <c r="BI1419" i="6"/>
  <c r="BG1419" i="6"/>
  <c r="BE1419" i="6"/>
  <c r="BC1419" i="6"/>
  <c r="A1419" i="6"/>
  <c r="DE1418" i="6"/>
  <c r="DC1418" i="6"/>
  <c r="CY1418" i="6"/>
  <c r="CW1418" i="6"/>
  <c r="CU1418" i="6"/>
  <c r="CS1418" i="6"/>
  <c r="BM1418" i="6"/>
  <c r="BK1418" i="6"/>
  <c r="BI1418" i="6"/>
  <c r="BG1418" i="6"/>
  <c r="BE1418" i="6"/>
  <c r="BC1418" i="6"/>
  <c r="A1418" i="6"/>
  <c r="DE1417" i="6"/>
  <c r="DC1417" i="6"/>
  <c r="CY1417" i="6"/>
  <c r="CW1417" i="6"/>
  <c r="CU1417" i="6"/>
  <c r="CS1417" i="6"/>
  <c r="BM1417" i="6"/>
  <c r="BK1417" i="6"/>
  <c r="BI1417" i="6"/>
  <c r="BG1417" i="6"/>
  <c r="BE1417" i="6"/>
  <c r="BC1417" i="6"/>
  <c r="A1417" i="6"/>
  <c r="DE1416" i="6"/>
  <c r="DC1416" i="6"/>
  <c r="CY1416" i="6"/>
  <c r="CW1416" i="6"/>
  <c r="CU1416" i="6"/>
  <c r="CS1416" i="6"/>
  <c r="BM1416" i="6"/>
  <c r="BK1416" i="6"/>
  <c r="BI1416" i="6"/>
  <c r="BG1416" i="6"/>
  <c r="BE1416" i="6"/>
  <c r="BC1416" i="6"/>
  <c r="A1416" i="6"/>
  <c r="DE1415" i="6"/>
  <c r="DC1415" i="6"/>
  <c r="CY1415" i="6"/>
  <c r="CW1415" i="6"/>
  <c r="CU1415" i="6"/>
  <c r="CS1415" i="6"/>
  <c r="BM1415" i="6"/>
  <c r="BK1415" i="6"/>
  <c r="BI1415" i="6"/>
  <c r="BG1415" i="6"/>
  <c r="BE1415" i="6"/>
  <c r="BC1415" i="6"/>
  <c r="A1415" i="6"/>
  <c r="DE1414" i="6"/>
  <c r="DC1414" i="6"/>
  <c r="CY1414" i="6"/>
  <c r="CW1414" i="6"/>
  <c r="CU1414" i="6"/>
  <c r="CS1414" i="6"/>
  <c r="BM1414" i="6"/>
  <c r="BK1414" i="6"/>
  <c r="BI1414" i="6"/>
  <c r="BG1414" i="6"/>
  <c r="BE1414" i="6"/>
  <c r="BC1414" i="6"/>
  <c r="A1414" i="6"/>
  <c r="DE1413" i="6"/>
  <c r="DC1413" i="6"/>
  <c r="CY1413" i="6"/>
  <c r="CW1413" i="6"/>
  <c r="CU1413" i="6"/>
  <c r="CS1413" i="6"/>
  <c r="BM1413" i="6"/>
  <c r="BK1413" i="6"/>
  <c r="BI1413" i="6"/>
  <c r="BG1413" i="6"/>
  <c r="BE1413" i="6"/>
  <c r="BC1413" i="6"/>
  <c r="A1413" i="6"/>
  <c r="DE1412" i="6"/>
  <c r="DC1412" i="6"/>
  <c r="CY1412" i="6"/>
  <c r="CW1412" i="6"/>
  <c r="CU1412" i="6"/>
  <c r="CS1412" i="6"/>
  <c r="BM1412" i="6"/>
  <c r="BK1412" i="6"/>
  <c r="BI1412" i="6"/>
  <c r="BG1412" i="6"/>
  <c r="BE1412" i="6"/>
  <c r="BC1412" i="6"/>
  <c r="A1412" i="6"/>
  <c r="DE1411" i="6"/>
  <c r="DC1411" i="6"/>
  <c r="CY1411" i="6"/>
  <c r="CW1411" i="6"/>
  <c r="CU1411" i="6"/>
  <c r="CS1411" i="6"/>
  <c r="BM1411" i="6"/>
  <c r="BK1411" i="6"/>
  <c r="BI1411" i="6"/>
  <c r="BG1411" i="6"/>
  <c r="BE1411" i="6"/>
  <c r="BC1411" i="6"/>
  <c r="A1411" i="6"/>
  <c r="DE1410" i="6"/>
  <c r="DC1410" i="6"/>
  <c r="CY1410" i="6"/>
  <c r="CW1410" i="6"/>
  <c r="CU1410" i="6"/>
  <c r="CS1410" i="6"/>
  <c r="BM1410" i="6"/>
  <c r="BK1410" i="6"/>
  <c r="BI1410" i="6"/>
  <c r="BG1410" i="6"/>
  <c r="BE1410" i="6"/>
  <c r="BC1410" i="6"/>
  <c r="A1410" i="6"/>
  <c r="DE1409" i="6"/>
  <c r="DC1409" i="6"/>
  <c r="CY1409" i="6"/>
  <c r="CW1409" i="6"/>
  <c r="CU1409" i="6"/>
  <c r="CS1409" i="6"/>
  <c r="BM1409" i="6"/>
  <c r="BK1409" i="6"/>
  <c r="BI1409" i="6"/>
  <c r="BG1409" i="6"/>
  <c r="BE1409" i="6"/>
  <c r="BC1409" i="6"/>
  <c r="A1409" i="6"/>
  <c r="DE1408" i="6"/>
  <c r="DC1408" i="6"/>
  <c r="CY1408" i="6"/>
  <c r="CW1408" i="6"/>
  <c r="CU1408" i="6"/>
  <c r="CS1408" i="6"/>
  <c r="BM1408" i="6"/>
  <c r="BK1408" i="6"/>
  <c r="BI1408" i="6"/>
  <c r="BG1408" i="6"/>
  <c r="BE1408" i="6"/>
  <c r="BC1408" i="6"/>
  <c r="A1408" i="6"/>
  <c r="DE1407" i="6"/>
  <c r="DC1407" i="6"/>
  <c r="CY1407" i="6"/>
  <c r="CW1407" i="6"/>
  <c r="CU1407" i="6"/>
  <c r="CS1407" i="6"/>
  <c r="BM1407" i="6"/>
  <c r="BK1407" i="6"/>
  <c r="BI1407" i="6"/>
  <c r="BG1407" i="6"/>
  <c r="BE1407" i="6"/>
  <c r="BC1407" i="6"/>
  <c r="A1407" i="6"/>
  <c r="DE1406" i="6"/>
  <c r="DC1406" i="6"/>
  <c r="CY1406" i="6"/>
  <c r="CW1406" i="6"/>
  <c r="CU1406" i="6"/>
  <c r="CS1406" i="6"/>
  <c r="BM1406" i="6"/>
  <c r="BK1406" i="6"/>
  <c r="BI1406" i="6"/>
  <c r="BG1406" i="6"/>
  <c r="BE1406" i="6"/>
  <c r="BC1406" i="6"/>
  <c r="A1406" i="6"/>
  <c r="DE1405" i="6"/>
  <c r="DC1405" i="6"/>
  <c r="CY1405" i="6"/>
  <c r="CW1405" i="6"/>
  <c r="CU1405" i="6"/>
  <c r="CS1405" i="6"/>
  <c r="BM1405" i="6"/>
  <c r="BK1405" i="6"/>
  <c r="BI1405" i="6"/>
  <c r="BG1405" i="6"/>
  <c r="BE1405" i="6"/>
  <c r="BC1405" i="6"/>
  <c r="A1405" i="6"/>
  <c r="DE1404" i="6"/>
  <c r="DC1404" i="6"/>
  <c r="CY1404" i="6"/>
  <c r="CW1404" i="6"/>
  <c r="CU1404" i="6"/>
  <c r="CS1404" i="6"/>
  <c r="BM1404" i="6"/>
  <c r="BK1404" i="6"/>
  <c r="BI1404" i="6"/>
  <c r="BG1404" i="6"/>
  <c r="BE1404" i="6"/>
  <c r="BC1404" i="6"/>
  <c r="A1404" i="6"/>
  <c r="DE1403" i="6"/>
  <c r="DC1403" i="6"/>
  <c r="CY1403" i="6"/>
  <c r="CW1403" i="6"/>
  <c r="CU1403" i="6"/>
  <c r="CS1403" i="6"/>
  <c r="BM1403" i="6"/>
  <c r="BK1403" i="6"/>
  <c r="BI1403" i="6"/>
  <c r="BG1403" i="6"/>
  <c r="BE1403" i="6"/>
  <c r="BC1403" i="6"/>
  <c r="A1403" i="6"/>
  <c r="DE1402" i="6"/>
  <c r="DC1402" i="6"/>
  <c r="CY1402" i="6"/>
  <c r="CW1402" i="6"/>
  <c r="CU1402" i="6"/>
  <c r="CS1402" i="6"/>
  <c r="BM1402" i="6"/>
  <c r="BK1402" i="6"/>
  <c r="BI1402" i="6"/>
  <c r="BG1402" i="6"/>
  <c r="BE1402" i="6"/>
  <c r="BC1402" i="6"/>
  <c r="A1402" i="6"/>
  <c r="DE1401" i="6"/>
  <c r="DC1401" i="6"/>
  <c r="CY1401" i="6"/>
  <c r="CW1401" i="6"/>
  <c r="CU1401" i="6"/>
  <c r="CS1401" i="6"/>
  <c r="BM1401" i="6"/>
  <c r="BK1401" i="6"/>
  <c r="BI1401" i="6"/>
  <c r="BG1401" i="6"/>
  <c r="BE1401" i="6"/>
  <c r="BC1401" i="6"/>
  <c r="A1401" i="6"/>
  <c r="DE1400" i="6"/>
  <c r="DC1400" i="6"/>
  <c r="CY1400" i="6"/>
  <c r="CW1400" i="6"/>
  <c r="CU1400" i="6"/>
  <c r="CS1400" i="6"/>
  <c r="BM1400" i="6"/>
  <c r="BK1400" i="6"/>
  <c r="BI1400" i="6"/>
  <c r="BG1400" i="6"/>
  <c r="BE1400" i="6"/>
  <c r="BC1400" i="6"/>
  <c r="A1400" i="6"/>
  <c r="DE1399" i="6"/>
  <c r="DC1399" i="6"/>
  <c r="CY1399" i="6"/>
  <c r="CW1399" i="6"/>
  <c r="CU1399" i="6"/>
  <c r="CS1399" i="6"/>
  <c r="BM1399" i="6"/>
  <c r="BK1399" i="6"/>
  <c r="BI1399" i="6"/>
  <c r="BG1399" i="6"/>
  <c r="BE1399" i="6"/>
  <c r="BC1399" i="6"/>
  <c r="A1399" i="6"/>
  <c r="DE1398" i="6"/>
  <c r="DC1398" i="6"/>
  <c r="CY1398" i="6"/>
  <c r="CW1398" i="6"/>
  <c r="CU1398" i="6"/>
  <c r="CS1398" i="6"/>
  <c r="BM1398" i="6"/>
  <c r="BK1398" i="6"/>
  <c r="BI1398" i="6"/>
  <c r="BG1398" i="6"/>
  <c r="BE1398" i="6"/>
  <c r="BC1398" i="6"/>
  <c r="A1398" i="6"/>
  <c r="DE1397" i="6"/>
  <c r="DC1397" i="6"/>
  <c r="CY1397" i="6"/>
  <c r="CW1397" i="6"/>
  <c r="CU1397" i="6"/>
  <c r="CS1397" i="6"/>
  <c r="BM1397" i="6"/>
  <c r="BK1397" i="6"/>
  <c r="BI1397" i="6"/>
  <c r="BG1397" i="6"/>
  <c r="BE1397" i="6"/>
  <c r="BC1397" i="6"/>
  <c r="A1397" i="6"/>
  <c r="DE1396" i="6"/>
  <c r="DC1396" i="6"/>
  <c r="CY1396" i="6"/>
  <c r="CW1396" i="6"/>
  <c r="CU1396" i="6"/>
  <c r="CS1396" i="6"/>
  <c r="BM1396" i="6"/>
  <c r="BK1396" i="6"/>
  <c r="BI1396" i="6"/>
  <c r="BG1396" i="6"/>
  <c r="BE1396" i="6"/>
  <c r="BC1396" i="6"/>
  <c r="A1396" i="6"/>
  <c r="DE1395" i="6"/>
  <c r="DC1395" i="6"/>
  <c r="CY1395" i="6"/>
  <c r="CW1395" i="6"/>
  <c r="CU1395" i="6"/>
  <c r="CS1395" i="6"/>
  <c r="BM1395" i="6"/>
  <c r="BK1395" i="6"/>
  <c r="BI1395" i="6"/>
  <c r="BG1395" i="6"/>
  <c r="BE1395" i="6"/>
  <c r="BC1395" i="6"/>
  <c r="A1395" i="6"/>
  <c r="DE1394" i="6"/>
  <c r="DC1394" i="6"/>
  <c r="CY1394" i="6"/>
  <c r="CW1394" i="6"/>
  <c r="CU1394" i="6"/>
  <c r="CS1394" i="6"/>
  <c r="BM1394" i="6"/>
  <c r="BK1394" i="6"/>
  <c r="BI1394" i="6"/>
  <c r="BG1394" i="6"/>
  <c r="BE1394" i="6"/>
  <c r="BC1394" i="6"/>
  <c r="A1394" i="6"/>
  <c r="DE1393" i="6"/>
  <c r="DC1393" i="6"/>
  <c r="CY1393" i="6"/>
  <c r="CW1393" i="6"/>
  <c r="CU1393" i="6"/>
  <c r="CS1393" i="6"/>
  <c r="BM1393" i="6"/>
  <c r="BK1393" i="6"/>
  <c r="BI1393" i="6"/>
  <c r="BG1393" i="6"/>
  <c r="BE1393" i="6"/>
  <c r="BC1393" i="6"/>
  <c r="A1393" i="6"/>
  <c r="DE1392" i="6"/>
  <c r="DC1392" i="6"/>
  <c r="CY1392" i="6"/>
  <c r="CW1392" i="6"/>
  <c r="CU1392" i="6"/>
  <c r="CS1392" i="6"/>
  <c r="BM1392" i="6"/>
  <c r="BK1392" i="6"/>
  <c r="BI1392" i="6"/>
  <c r="BG1392" i="6"/>
  <c r="BE1392" i="6"/>
  <c r="BC1392" i="6"/>
  <c r="A1392" i="6"/>
  <c r="DE1391" i="6"/>
  <c r="DC1391" i="6"/>
  <c r="CY1391" i="6"/>
  <c r="CW1391" i="6"/>
  <c r="CU1391" i="6"/>
  <c r="CS1391" i="6"/>
  <c r="BM1391" i="6"/>
  <c r="BK1391" i="6"/>
  <c r="BI1391" i="6"/>
  <c r="BG1391" i="6"/>
  <c r="BE1391" i="6"/>
  <c r="BC1391" i="6"/>
  <c r="A1391" i="6"/>
  <c r="DE1390" i="6"/>
  <c r="DC1390" i="6"/>
  <c r="CY1390" i="6"/>
  <c r="CW1390" i="6"/>
  <c r="CU1390" i="6"/>
  <c r="CS1390" i="6"/>
  <c r="BM1390" i="6"/>
  <c r="BK1390" i="6"/>
  <c r="BI1390" i="6"/>
  <c r="BG1390" i="6"/>
  <c r="BE1390" i="6"/>
  <c r="BC1390" i="6"/>
  <c r="A1390" i="6"/>
  <c r="DE1389" i="6"/>
  <c r="DC1389" i="6"/>
  <c r="CY1389" i="6"/>
  <c r="CW1389" i="6"/>
  <c r="CU1389" i="6"/>
  <c r="CS1389" i="6"/>
  <c r="BM1389" i="6"/>
  <c r="BK1389" i="6"/>
  <c r="BI1389" i="6"/>
  <c r="BG1389" i="6"/>
  <c r="BE1389" i="6"/>
  <c r="BC1389" i="6"/>
  <c r="A1389" i="6"/>
  <c r="DE1388" i="6"/>
  <c r="DC1388" i="6"/>
  <c r="CY1388" i="6"/>
  <c r="CW1388" i="6"/>
  <c r="CU1388" i="6"/>
  <c r="CS1388" i="6"/>
  <c r="BM1388" i="6"/>
  <c r="BK1388" i="6"/>
  <c r="BI1388" i="6"/>
  <c r="BG1388" i="6"/>
  <c r="BE1388" i="6"/>
  <c r="BC1388" i="6"/>
  <c r="A1388" i="6"/>
  <c r="DE1387" i="6"/>
  <c r="DC1387" i="6"/>
  <c r="CY1387" i="6"/>
  <c r="CW1387" i="6"/>
  <c r="CU1387" i="6"/>
  <c r="CS1387" i="6"/>
  <c r="BM1387" i="6"/>
  <c r="BK1387" i="6"/>
  <c r="BI1387" i="6"/>
  <c r="BG1387" i="6"/>
  <c r="BE1387" i="6"/>
  <c r="BC1387" i="6"/>
  <c r="A1387" i="6"/>
  <c r="DE1386" i="6"/>
  <c r="DC1386" i="6"/>
  <c r="CY1386" i="6"/>
  <c r="CW1386" i="6"/>
  <c r="CU1386" i="6"/>
  <c r="CS1386" i="6"/>
  <c r="BM1386" i="6"/>
  <c r="BK1386" i="6"/>
  <c r="BI1386" i="6"/>
  <c r="BG1386" i="6"/>
  <c r="BE1386" i="6"/>
  <c r="BC1386" i="6"/>
  <c r="A1386" i="6"/>
  <c r="DE1385" i="6"/>
  <c r="DC1385" i="6"/>
  <c r="CY1385" i="6"/>
  <c r="CW1385" i="6"/>
  <c r="CU1385" i="6"/>
  <c r="CS1385" i="6"/>
  <c r="BM1385" i="6"/>
  <c r="BK1385" i="6"/>
  <c r="BI1385" i="6"/>
  <c r="BG1385" i="6"/>
  <c r="BE1385" i="6"/>
  <c r="BC1385" i="6"/>
  <c r="A1385" i="6"/>
  <c r="DE1384" i="6"/>
  <c r="DC1384" i="6"/>
  <c r="CY1384" i="6"/>
  <c r="CW1384" i="6"/>
  <c r="CU1384" i="6"/>
  <c r="CS1384" i="6"/>
  <c r="BM1384" i="6"/>
  <c r="BK1384" i="6"/>
  <c r="BI1384" i="6"/>
  <c r="BG1384" i="6"/>
  <c r="BE1384" i="6"/>
  <c r="BC1384" i="6"/>
  <c r="A1384" i="6"/>
  <c r="DE1383" i="6"/>
  <c r="DC1383" i="6"/>
  <c r="CY1383" i="6"/>
  <c r="CW1383" i="6"/>
  <c r="CU1383" i="6"/>
  <c r="CS1383" i="6"/>
  <c r="BM1383" i="6"/>
  <c r="BK1383" i="6"/>
  <c r="BI1383" i="6"/>
  <c r="BG1383" i="6"/>
  <c r="BE1383" i="6"/>
  <c r="BC1383" i="6"/>
  <c r="A1383" i="6"/>
  <c r="DE1382" i="6"/>
  <c r="DC1382" i="6"/>
  <c r="CY1382" i="6"/>
  <c r="CW1382" i="6"/>
  <c r="CU1382" i="6"/>
  <c r="CS1382" i="6"/>
  <c r="BM1382" i="6"/>
  <c r="BK1382" i="6"/>
  <c r="BI1382" i="6"/>
  <c r="BG1382" i="6"/>
  <c r="BE1382" i="6"/>
  <c r="BC1382" i="6"/>
  <c r="A1382" i="6"/>
  <c r="DE1381" i="6"/>
  <c r="DC1381" i="6"/>
  <c r="CY1381" i="6"/>
  <c r="CW1381" i="6"/>
  <c r="CU1381" i="6"/>
  <c r="CS1381" i="6"/>
  <c r="BM1381" i="6"/>
  <c r="BK1381" i="6"/>
  <c r="BI1381" i="6"/>
  <c r="BG1381" i="6"/>
  <c r="BE1381" i="6"/>
  <c r="BC1381" i="6"/>
  <c r="A1381" i="6"/>
  <c r="DE1380" i="6"/>
  <c r="DC1380" i="6"/>
  <c r="CY1380" i="6"/>
  <c r="CW1380" i="6"/>
  <c r="CU1380" i="6"/>
  <c r="CS1380" i="6"/>
  <c r="BM1380" i="6"/>
  <c r="BK1380" i="6"/>
  <c r="BI1380" i="6"/>
  <c r="BG1380" i="6"/>
  <c r="BE1380" i="6"/>
  <c r="BC1380" i="6"/>
  <c r="A1380" i="6"/>
  <c r="DE1379" i="6"/>
  <c r="DC1379" i="6"/>
  <c r="CY1379" i="6"/>
  <c r="CW1379" i="6"/>
  <c r="CU1379" i="6"/>
  <c r="CS1379" i="6"/>
  <c r="BM1379" i="6"/>
  <c r="BK1379" i="6"/>
  <c r="BI1379" i="6"/>
  <c r="BG1379" i="6"/>
  <c r="BE1379" i="6"/>
  <c r="BC1379" i="6"/>
  <c r="A1379" i="6"/>
  <c r="DE1378" i="6"/>
  <c r="DC1378" i="6"/>
  <c r="CY1378" i="6"/>
  <c r="CW1378" i="6"/>
  <c r="CU1378" i="6"/>
  <c r="CS1378" i="6"/>
  <c r="BM1378" i="6"/>
  <c r="BK1378" i="6"/>
  <c r="BI1378" i="6"/>
  <c r="BG1378" i="6"/>
  <c r="BE1378" i="6"/>
  <c r="BC1378" i="6"/>
  <c r="A1378" i="6"/>
  <c r="DE1377" i="6"/>
  <c r="DC1377" i="6"/>
  <c r="CY1377" i="6"/>
  <c r="CW1377" i="6"/>
  <c r="CU1377" i="6"/>
  <c r="CS1377" i="6"/>
  <c r="BM1377" i="6"/>
  <c r="BK1377" i="6"/>
  <c r="BI1377" i="6"/>
  <c r="BG1377" i="6"/>
  <c r="BE1377" i="6"/>
  <c r="BC1377" i="6"/>
  <c r="A1377" i="6"/>
  <c r="DE1376" i="6"/>
  <c r="DC1376" i="6"/>
  <c r="CY1376" i="6"/>
  <c r="CW1376" i="6"/>
  <c r="CU1376" i="6"/>
  <c r="CS1376" i="6"/>
  <c r="BM1376" i="6"/>
  <c r="BK1376" i="6"/>
  <c r="BI1376" i="6"/>
  <c r="BG1376" i="6"/>
  <c r="BE1376" i="6"/>
  <c r="BC1376" i="6"/>
  <c r="A1376" i="6"/>
  <c r="DE1375" i="6"/>
  <c r="DC1375" i="6"/>
  <c r="CY1375" i="6"/>
  <c r="CW1375" i="6"/>
  <c r="CU1375" i="6"/>
  <c r="CS1375" i="6"/>
  <c r="BM1375" i="6"/>
  <c r="BK1375" i="6"/>
  <c r="BI1375" i="6"/>
  <c r="BG1375" i="6"/>
  <c r="BE1375" i="6"/>
  <c r="BC1375" i="6"/>
  <c r="A1375" i="6"/>
  <c r="DE1374" i="6"/>
  <c r="DC1374" i="6"/>
  <c r="CY1374" i="6"/>
  <c r="CW1374" i="6"/>
  <c r="CU1374" i="6"/>
  <c r="CS1374" i="6"/>
  <c r="BM1374" i="6"/>
  <c r="BK1374" i="6"/>
  <c r="BI1374" i="6"/>
  <c r="BG1374" i="6"/>
  <c r="BE1374" i="6"/>
  <c r="BC1374" i="6"/>
  <c r="A1374" i="6"/>
  <c r="DE1373" i="6"/>
  <c r="DC1373" i="6"/>
  <c r="CY1373" i="6"/>
  <c r="CW1373" i="6"/>
  <c r="CU1373" i="6"/>
  <c r="CS1373" i="6"/>
  <c r="BM1373" i="6"/>
  <c r="BK1373" i="6"/>
  <c r="BI1373" i="6"/>
  <c r="BG1373" i="6"/>
  <c r="BE1373" i="6"/>
  <c r="BC1373" i="6"/>
  <c r="A1373" i="6"/>
  <c r="DE1372" i="6"/>
  <c r="DC1372" i="6"/>
  <c r="CY1372" i="6"/>
  <c r="CW1372" i="6"/>
  <c r="CU1372" i="6"/>
  <c r="CS1372" i="6"/>
  <c r="BM1372" i="6"/>
  <c r="BK1372" i="6"/>
  <c r="BI1372" i="6"/>
  <c r="BG1372" i="6"/>
  <c r="BE1372" i="6"/>
  <c r="BC1372" i="6"/>
  <c r="A1372" i="6"/>
  <c r="DE1371" i="6"/>
  <c r="DC1371" i="6"/>
  <c r="CY1371" i="6"/>
  <c r="CW1371" i="6"/>
  <c r="CU1371" i="6"/>
  <c r="CS1371" i="6"/>
  <c r="BM1371" i="6"/>
  <c r="BK1371" i="6"/>
  <c r="BI1371" i="6"/>
  <c r="BG1371" i="6"/>
  <c r="BE1371" i="6"/>
  <c r="BC1371" i="6"/>
  <c r="A1371" i="6"/>
  <c r="DE1370" i="6"/>
  <c r="DC1370" i="6"/>
  <c r="CY1370" i="6"/>
  <c r="CW1370" i="6"/>
  <c r="CU1370" i="6"/>
  <c r="CS1370" i="6"/>
  <c r="BM1370" i="6"/>
  <c r="BK1370" i="6"/>
  <c r="BI1370" i="6"/>
  <c r="BG1370" i="6"/>
  <c r="BE1370" i="6"/>
  <c r="BC1370" i="6"/>
  <c r="A1370" i="6"/>
  <c r="DE1369" i="6"/>
  <c r="DC1369" i="6"/>
  <c r="CY1369" i="6"/>
  <c r="CW1369" i="6"/>
  <c r="CU1369" i="6"/>
  <c r="CS1369" i="6"/>
  <c r="BM1369" i="6"/>
  <c r="BK1369" i="6"/>
  <c r="BI1369" i="6"/>
  <c r="BG1369" i="6"/>
  <c r="BE1369" i="6"/>
  <c r="BC1369" i="6"/>
  <c r="A1369" i="6"/>
  <c r="DE1368" i="6"/>
  <c r="DC1368" i="6"/>
  <c r="CY1368" i="6"/>
  <c r="CW1368" i="6"/>
  <c r="CU1368" i="6"/>
  <c r="CS1368" i="6"/>
  <c r="BM1368" i="6"/>
  <c r="BK1368" i="6"/>
  <c r="BI1368" i="6"/>
  <c r="BG1368" i="6"/>
  <c r="BE1368" i="6"/>
  <c r="BC1368" i="6"/>
  <c r="A1368" i="6"/>
  <c r="DE1367" i="6"/>
  <c r="DC1367" i="6"/>
  <c r="CY1367" i="6"/>
  <c r="CW1367" i="6"/>
  <c r="CU1367" i="6"/>
  <c r="CS1367" i="6"/>
  <c r="BM1367" i="6"/>
  <c r="BK1367" i="6"/>
  <c r="BI1367" i="6"/>
  <c r="BG1367" i="6"/>
  <c r="BE1367" i="6"/>
  <c r="BC1367" i="6"/>
  <c r="A1367" i="6"/>
  <c r="DE1366" i="6"/>
  <c r="DC1366" i="6"/>
  <c r="CY1366" i="6"/>
  <c r="CW1366" i="6"/>
  <c r="CU1366" i="6"/>
  <c r="CS1366" i="6"/>
  <c r="BM1366" i="6"/>
  <c r="BK1366" i="6"/>
  <c r="BI1366" i="6"/>
  <c r="BG1366" i="6"/>
  <c r="BE1366" i="6"/>
  <c r="BC1366" i="6"/>
  <c r="A1366" i="6"/>
  <c r="DE1365" i="6"/>
  <c r="DC1365" i="6"/>
  <c r="CY1365" i="6"/>
  <c r="CW1365" i="6"/>
  <c r="CU1365" i="6"/>
  <c r="CS1365" i="6"/>
  <c r="BM1365" i="6"/>
  <c r="BK1365" i="6"/>
  <c r="BI1365" i="6"/>
  <c r="BG1365" i="6"/>
  <c r="BE1365" i="6"/>
  <c r="BC1365" i="6"/>
  <c r="A1365" i="6"/>
  <c r="DE1364" i="6"/>
  <c r="DC1364" i="6"/>
  <c r="CY1364" i="6"/>
  <c r="CW1364" i="6"/>
  <c r="CU1364" i="6"/>
  <c r="CS1364" i="6"/>
  <c r="BM1364" i="6"/>
  <c r="BK1364" i="6"/>
  <c r="BI1364" i="6"/>
  <c r="BG1364" i="6"/>
  <c r="BE1364" i="6"/>
  <c r="BC1364" i="6"/>
  <c r="A1364" i="6"/>
  <c r="DE1363" i="6"/>
  <c r="DC1363" i="6"/>
  <c r="CY1363" i="6"/>
  <c r="CW1363" i="6"/>
  <c r="CU1363" i="6"/>
  <c r="CS1363" i="6"/>
  <c r="BM1363" i="6"/>
  <c r="BK1363" i="6"/>
  <c r="BI1363" i="6"/>
  <c r="BG1363" i="6"/>
  <c r="BE1363" i="6"/>
  <c r="BC1363" i="6"/>
  <c r="A1363" i="6"/>
  <c r="DE1362" i="6"/>
  <c r="DC1362" i="6"/>
  <c r="CY1362" i="6"/>
  <c r="CW1362" i="6"/>
  <c r="CU1362" i="6"/>
  <c r="CS1362" i="6"/>
  <c r="BM1362" i="6"/>
  <c r="BK1362" i="6"/>
  <c r="BI1362" i="6"/>
  <c r="BG1362" i="6"/>
  <c r="BE1362" i="6"/>
  <c r="BC1362" i="6"/>
  <c r="A1362" i="6"/>
  <c r="DE1361" i="6"/>
  <c r="DC1361" i="6"/>
  <c r="CY1361" i="6"/>
  <c r="CW1361" i="6"/>
  <c r="CU1361" i="6"/>
  <c r="CS1361" i="6"/>
  <c r="BM1361" i="6"/>
  <c r="BK1361" i="6"/>
  <c r="BI1361" i="6"/>
  <c r="BG1361" i="6"/>
  <c r="BE1361" i="6"/>
  <c r="BC1361" i="6"/>
  <c r="A1361" i="6"/>
  <c r="DE1360" i="6"/>
  <c r="DC1360" i="6"/>
  <c r="CY1360" i="6"/>
  <c r="CW1360" i="6"/>
  <c r="CU1360" i="6"/>
  <c r="CS1360" i="6"/>
  <c r="BM1360" i="6"/>
  <c r="BK1360" i="6"/>
  <c r="BI1360" i="6"/>
  <c r="BG1360" i="6"/>
  <c r="BE1360" i="6"/>
  <c r="BC1360" i="6"/>
  <c r="A1360" i="6"/>
  <c r="DE1359" i="6"/>
  <c r="DC1359" i="6"/>
  <c r="CY1359" i="6"/>
  <c r="CW1359" i="6"/>
  <c r="CU1359" i="6"/>
  <c r="CS1359" i="6"/>
  <c r="BM1359" i="6"/>
  <c r="BK1359" i="6"/>
  <c r="BI1359" i="6"/>
  <c r="BG1359" i="6"/>
  <c r="BE1359" i="6"/>
  <c r="BC1359" i="6"/>
  <c r="A1359" i="6"/>
  <c r="DE1358" i="6"/>
  <c r="DC1358" i="6"/>
  <c r="CY1358" i="6"/>
  <c r="CW1358" i="6"/>
  <c r="CU1358" i="6"/>
  <c r="CS1358" i="6"/>
  <c r="BM1358" i="6"/>
  <c r="BK1358" i="6"/>
  <c r="BI1358" i="6"/>
  <c r="BG1358" i="6"/>
  <c r="BE1358" i="6"/>
  <c r="BC1358" i="6"/>
  <c r="A1358" i="6"/>
  <c r="DE1357" i="6"/>
  <c r="DC1357" i="6"/>
  <c r="CY1357" i="6"/>
  <c r="CW1357" i="6"/>
  <c r="CU1357" i="6"/>
  <c r="CS1357" i="6"/>
  <c r="BM1357" i="6"/>
  <c r="BK1357" i="6"/>
  <c r="BI1357" i="6"/>
  <c r="BG1357" i="6"/>
  <c r="BE1357" i="6"/>
  <c r="BC1357" i="6"/>
  <c r="A1357" i="6"/>
  <c r="DE1356" i="6"/>
  <c r="DC1356" i="6"/>
  <c r="CY1356" i="6"/>
  <c r="CW1356" i="6"/>
  <c r="CU1356" i="6"/>
  <c r="CS1356" i="6"/>
  <c r="BM1356" i="6"/>
  <c r="BK1356" i="6"/>
  <c r="BI1356" i="6"/>
  <c r="BG1356" i="6"/>
  <c r="BE1356" i="6"/>
  <c r="BC1356" i="6"/>
  <c r="A1356" i="6"/>
  <c r="DE1355" i="6"/>
  <c r="DC1355" i="6"/>
  <c r="CY1355" i="6"/>
  <c r="CW1355" i="6"/>
  <c r="CU1355" i="6"/>
  <c r="CS1355" i="6"/>
  <c r="BM1355" i="6"/>
  <c r="BK1355" i="6"/>
  <c r="BI1355" i="6"/>
  <c r="BG1355" i="6"/>
  <c r="BE1355" i="6"/>
  <c r="BC1355" i="6"/>
  <c r="A1355" i="6"/>
  <c r="DE1354" i="6"/>
  <c r="DC1354" i="6"/>
  <c r="CY1354" i="6"/>
  <c r="CW1354" i="6"/>
  <c r="CU1354" i="6"/>
  <c r="CS1354" i="6"/>
  <c r="BM1354" i="6"/>
  <c r="BK1354" i="6"/>
  <c r="BI1354" i="6"/>
  <c r="BG1354" i="6"/>
  <c r="BE1354" i="6"/>
  <c r="BC1354" i="6"/>
  <c r="A1354" i="6"/>
  <c r="DE1353" i="6"/>
  <c r="DC1353" i="6"/>
  <c r="CY1353" i="6"/>
  <c r="CW1353" i="6"/>
  <c r="CU1353" i="6"/>
  <c r="CS1353" i="6"/>
  <c r="BM1353" i="6"/>
  <c r="BK1353" i="6"/>
  <c r="BI1353" i="6"/>
  <c r="BG1353" i="6"/>
  <c r="BE1353" i="6"/>
  <c r="BC1353" i="6"/>
  <c r="A1353" i="6"/>
  <c r="DE1352" i="6"/>
  <c r="DC1352" i="6"/>
  <c r="CY1352" i="6"/>
  <c r="CW1352" i="6"/>
  <c r="CU1352" i="6"/>
  <c r="CS1352" i="6"/>
  <c r="BM1352" i="6"/>
  <c r="BK1352" i="6"/>
  <c r="BI1352" i="6"/>
  <c r="BG1352" i="6"/>
  <c r="BE1352" i="6"/>
  <c r="BC1352" i="6"/>
  <c r="A1352" i="6"/>
  <c r="DE1351" i="6"/>
  <c r="DC1351" i="6"/>
  <c r="CY1351" i="6"/>
  <c r="CW1351" i="6"/>
  <c r="CU1351" i="6"/>
  <c r="CS1351" i="6"/>
  <c r="BM1351" i="6"/>
  <c r="BK1351" i="6"/>
  <c r="BI1351" i="6"/>
  <c r="BG1351" i="6"/>
  <c r="BE1351" i="6"/>
  <c r="BC1351" i="6"/>
  <c r="A1351" i="6"/>
  <c r="DE1350" i="6"/>
  <c r="DC1350" i="6"/>
  <c r="CY1350" i="6"/>
  <c r="CW1350" i="6"/>
  <c r="CU1350" i="6"/>
  <c r="CS1350" i="6"/>
  <c r="BM1350" i="6"/>
  <c r="BK1350" i="6"/>
  <c r="BI1350" i="6"/>
  <c r="BG1350" i="6"/>
  <c r="BE1350" i="6"/>
  <c r="BC1350" i="6"/>
  <c r="A1350" i="6"/>
  <c r="DE1349" i="6"/>
  <c r="DC1349" i="6"/>
  <c r="CY1349" i="6"/>
  <c r="CW1349" i="6"/>
  <c r="CU1349" i="6"/>
  <c r="CS1349" i="6"/>
  <c r="BM1349" i="6"/>
  <c r="BK1349" i="6"/>
  <c r="BI1349" i="6"/>
  <c r="BG1349" i="6"/>
  <c r="BE1349" i="6"/>
  <c r="BC1349" i="6"/>
  <c r="A1349" i="6"/>
  <c r="DE1348" i="6"/>
  <c r="DC1348" i="6"/>
  <c r="CY1348" i="6"/>
  <c r="CW1348" i="6"/>
  <c r="CU1348" i="6"/>
  <c r="CS1348" i="6"/>
  <c r="BM1348" i="6"/>
  <c r="BK1348" i="6"/>
  <c r="BI1348" i="6"/>
  <c r="BG1348" i="6"/>
  <c r="BE1348" i="6"/>
  <c r="BC1348" i="6"/>
  <c r="A1348" i="6"/>
  <c r="DE1347" i="6"/>
  <c r="DC1347" i="6"/>
  <c r="CY1347" i="6"/>
  <c r="CW1347" i="6"/>
  <c r="CU1347" i="6"/>
  <c r="CS1347" i="6"/>
  <c r="BM1347" i="6"/>
  <c r="BK1347" i="6"/>
  <c r="BI1347" i="6"/>
  <c r="BG1347" i="6"/>
  <c r="BE1347" i="6"/>
  <c r="BC1347" i="6"/>
  <c r="A1347" i="6"/>
  <c r="DE1346" i="6"/>
  <c r="DC1346" i="6"/>
  <c r="CY1346" i="6"/>
  <c r="CW1346" i="6"/>
  <c r="CU1346" i="6"/>
  <c r="CS1346" i="6"/>
  <c r="BM1346" i="6"/>
  <c r="BK1346" i="6"/>
  <c r="BI1346" i="6"/>
  <c r="BG1346" i="6"/>
  <c r="BE1346" i="6"/>
  <c r="BC1346" i="6"/>
  <c r="A1346" i="6"/>
  <c r="DE1345" i="6"/>
  <c r="DC1345" i="6"/>
  <c r="CY1345" i="6"/>
  <c r="CW1345" i="6"/>
  <c r="CU1345" i="6"/>
  <c r="CS1345" i="6"/>
  <c r="BM1345" i="6"/>
  <c r="BK1345" i="6"/>
  <c r="BI1345" i="6"/>
  <c r="BG1345" i="6"/>
  <c r="BE1345" i="6"/>
  <c r="BC1345" i="6"/>
  <c r="A1345" i="6"/>
  <c r="DE1344" i="6"/>
  <c r="DC1344" i="6"/>
  <c r="CY1344" i="6"/>
  <c r="CW1344" i="6"/>
  <c r="CU1344" i="6"/>
  <c r="CS1344" i="6"/>
  <c r="BM1344" i="6"/>
  <c r="BK1344" i="6"/>
  <c r="BI1344" i="6"/>
  <c r="BG1344" i="6"/>
  <c r="BE1344" i="6"/>
  <c r="BC1344" i="6"/>
  <c r="A1344" i="6"/>
  <c r="DE1343" i="6"/>
  <c r="DC1343" i="6"/>
  <c r="CY1343" i="6"/>
  <c r="CW1343" i="6"/>
  <c r="CU1343" i="6"/>
  <c r="CS1343" i="6"/>
  <c r="BM1343" i="6"/>
  <c r="BK1343" i="6"/>
  <c r="BI1343" i="6"/>
  <c r="BG1343" i="6"/>
  <c r="BE1343" i="6"/>
  <c r="BC1343" i="6"/>
  <c r="A1343" i="6"/>
  <c r="DE1342" i="6"/>
  <c r="DC1342" i="6"/>
  <c r="CY1342" i="6"/>
  <c r="CW1342" i="6"/>
  <c r="CU1342" i="6"/>
  <c r="CS1342" i="6"/>
  <c r="BM1342" i="6"/>
  <c r="BK1342" i="6"/>
  <c r="BI1342" i="6"/>
  <c r="BG1342" i="6"/>
  <c r="BE1342" i="6"/>
  <c r="BC1342" i="6"/>
  <c r="A1342" i="6"/>
  <c r="DE1341" i="6"/>
  <c r="DC1341" i="6"/>
  <c r="CY1341" i="6"/>
  <c r="CW1341" i="6"/>
  <c r="CU1341" i="6"/>
  <c r="CS1341" i="6"/>
  <c r="BM1341" i="6"/>
  <c r="BK1341" i="6"/>
  <c r="BI1341" i="6"/>
  <c r="BG1341" i="6"/>
  <c r="BE1341" i="6"/>
  <c r="BC1341" i="6"/>
  <c r="A1341" i="6"/>
  <c r="DE1340" i="6"/>
  <c r="DC1340" i="6"/>
  <c r="CY1340" i="6"/>
  <c r="CW1340" i="6"/>
  <c r="CU1340" i="6"/>
  <c r="CS1340" i="6"/>
  <c r="BM1340" i="6"/>
  <c r="BK1340" i="6"/>
  <c r="BI1340" i="6"/>
  <c r="BG1340" i="6"/>
  <c r="BE1340" i="6"/>
  <c r="BC1340" i="6"/>
  <c r="A1340" i="6"/>
  <c r="DE1339" i="6"/>
  <c r="DC1339" i="6"/>
  <c r="CY1339" i="6"/>
  <c r="CW1339" i="6"/>
  <c r="CU1339" i="6"/>
  <c r="CS1339" i="6"/>
  <c r="BM1339" i="6"/>
  <c r="BK1339" i="6"/>
  <c r="BI1339" i="6"/>
  <c r="BG1339" i="6"/>
  <c r="BE1339" i="6"/>
  <c r="BC1339" i="6"/>
  <c r="A1339" i="6"/>
  <c r="DE1338" i="6"/>
  <c r="DC1338" i="6"/>
  <c r="CY1338" i="6"/>
  <c r="CW1338" i="6"/>
  <c r="CU1338" i="6"/>
  <c r="CS1338" i="6"/>
  <c r="BM1338" i="6"/>
  <c r="BK1338" i="6"/>
  <c r="BI1338" i="6"/>
  <c r="BG1338" i="6"/>
  <c r="BE1338" i="6"/>
  <c r="BC1338" i="6"/>
  <c r="A1338" i="6"/>
  <c r="DE1337" i="6"/>
  <c r="DC1337" i="6"/>
  <c r="CY1337" i="6"/>
  <c r="CW1337" i="6"/>
  <c r="CU1337" i="6"/>
  <c r="CS1337" i="6"/>
  <c r="BM1337" i="6"/>
  <c r="BK1337" i="6"/>
  <c r="BI1337" i="6"/>
  <c r="BG1337" i="6"/>
  <c r="BE1337" i="6"/>
  <c r="BC1337" i="6"/>
  <c r="A1337" i="6"/>
  <c r="DE1336" i="6"/>
  <c r="DC1336" i="6"/>
  <c r="CY1336" i="6"/>
  <c r="CW1336" i="6"/>
  <c r="CU1336" i="6"/>
  <c r="CS1336" i="6"/>
  <c r="BM1336" i="6"/>
  <c r="BK1336" i="6"/>
  <c r="BI1336" i="6"/>
  <c r="BG1336" i="6"/>
  <c r="BE1336" i="6"/>
  <c r="BC1336" i="6"/>
  <c r="A1336" i="6"/>
  <c r="DE1335" i="6"/>
  <c r="DC1335" i="6"/>
  <c r="CY1335" i="6"/>
  <c r="CW1335" i="6"/>
  <c r="CU1335" i="6"/>
  <c r="CS1335" i="6"/>
  <c r="BM1335" i="6"/>
  <c r="BK1335" i="6"/>
  <c r="BI1335" i="6"/>
  <c r="BG1335" i="6"/>
  <c r="BE1335" i="6"/>
  <c r="BC1335" i="6"/>
  <c r="A1335" i="6"/>
  <c r="DE1334" i="6"/>
  <c r="DC1334" i="6"/>
  <c r="CY1334" i="6"/>
  <c r="CW1334" i="6"/>
  <c r="CU1334" i="6"/>
  <c r="CS1334" i="6"/>
  <c r="BM1334" i="6"/>
  <c r="BK1334" i="6"/>
  <c r="BI1334" i="6"/>
  <c r="BG1334" i="6"/>
  <c r="BE1334" i="6"/>
  <c r="BC1334" i="6"/>
  <c r="A1334" i="6"/>
  <c r="DE1333" i="6"/>
  <c r="DC1333" i="6"/>
  <c r="CY1333" i="6"/>
  <c r="CW1333" i="6"/>
  <c r="CU1333" i="6"/>
  <c r="CS1333" i="6"/>
  <c r="BM1333" i="6"/>
  <c r="BK1333" i="6"/>
  <c r="BI1333" i="6"/>
  <c r="BG1333" i="6"/>
  <c r="BE1333" i="6"/>
  <c r="BC1333" i="6"/>
  <c r="A1333" i="6"/>
  <c r="DE1332" i="6"/>
  <c r="DC1332" i="6"/>
  <c r="CY1332" i="6"/>
  <c r="CW1332" i="6"/>
  <c r="CU1332" i="6"/>
  <c r="CS1332" i="6"/>
  <c r="BM1332" i="6"/>
  <c r="BK1332" i="6"/>
  <c r="BI1332" i="6"/>
  <c r="BG1332" i="6"/>
  <c r="BE1332" i="6"/>
  <c r="BC1332" i="6"/>
  <c r="A1332" i="6"/>
  <c r="DE1331" i="6"/>
  <c r="DC1331" i="6"/>
  <c r="CY1331" i="6"/>
  <c r="CW1331" i="6"/>
  <c r="CU1331" i="6"/>
  <c r="CS1331" i="6"/>
  <c r="BM1331" i="6"/>
  <c r="BK1331" i="6"/>
  <c r="BI1331" i="6"/>
  <c r="BG1331" i="6"/>
  <c r="BE1331" i="6"/>
  <c r="BC1331" i="6"/>
  <c r="A1331" i="6"/>
  <c r="DE1330" i="6"/>
  <c r="DC1330" i="6"/>
  <c r="CY1330" i="6"/>
  <c r="CW1330" i="6"/>
  <c r="CU1330" i="6"/>
  <c r="CS1330" i="6"/>
  <c r="BM1330" i="6"/>
  <c r="BK1330" i="6"/>
  <c r="BI1330" i="6"/>
  <c r="BG1330" i="6"/>
  <c r="BE1330" i="6"/>
  <c r="BC1330" i="6"/>
  <c r="A1330" i="6"/>
  <c r="DE1329" i="6"/>
  <c r="DC1329" i="6"/>
  <c r="CY1329" i="6"/>
  <c r="CW1329" i="6"/>
  <c r="CU1329" i="6"/>
  <c r="CS1329" i="6"/>
  <c r="BM1329" i="6"/>
  <c r="BK1329" i="6"/>
  <c r="BI1329" i="6"/>
  <c r="BG1329" i="6"/>
  <c r="BE1329" i="6"/>
  <c r="BC1329" i="6"/>
  <c r="A1329" i="6"/>
  <c r="DE1328" i="6"/>
  <c r="DC1328" i="6"/>
  <c r="CY1328" i="6"/>
  <c r="CW1328" i="6"/>
  <c r="CU1328" i="6"/>
  <c r="CS1328" i="6"/>
  <c r="BM1328" i="6"/>
  <c r="BK1328" i="6"/>
  <c r="BI1328" i="6"/>
  <c r="BG1328" i="6"/>
  <c r="BE1328" i="6"/>
  <c r="BC1328" i="6"/>
  <c r="A1328" i="6"/>
  <c r="DE1327" i="6"/>
  <c r="DC1327" i="6"/>
  <c r="CY1327" i="6"/>
  <c r="CW1327" i="6"/>
  <c r="CU1327" i="6"/>
  <c r="CS1327" i="6"/>
  <c r="BM1327" i="6"/>
  <c r="BK1327" i="6"/>
  <c r="BI1327" i="6"/>
  <c r="BG1327" i="6"/>
  <c r="BE1327" i="6"/>
  <c r="BC1327" i="6"/>
  <c r="A1327" i="6"/>
  <c r="DE1326" i="6"/>
  <c r="DC1326" i="6"/>
  <c r="CY1326" i="6"/>
  <c r="CW1326" i="6"/>
  <c r="CU1326" i="6"/>
  <c r="CS1326" i="6"/>
  <c r="BM1326" i="6"/>
  <c r="BK1326" i="6"/>
  <c r="BI1326" i="6"/>
  <c r="BG1326" i="6"/>
  <c r="BE1326" i="6"/>
  <c r="BC1326" i="6"/>
  <c r="A1326" i="6"/>
  <c r="DE1325" i="6"/>
  <c r="DC1325" i="6"/>
  <c r="CY1325" i="6"/>
  <c r="CW1325" i="6"/>
  <c r="CU1325" i="6"/>
  <c r="CS1325" i="6"/>
  <c r="BM1325" i="6"/>
  <c r="BK1325" i="6"/>
  <c r="BI1325" i="6"/>
  <c r="BG1325" i="6"/>
  <c r="BE1325" i="6"/>
  <c r="BC1325" i="6"/>
  <c r="A1325" i="6"/>
  <c r="DE1324" i="6"/>
  <c r="DC1324" i="6"/>
  <c r="CY1324" i="6"/>
  <c r="CW1324" i="6"/>
  <c r="CU1324" i="6"/>
  <c r="CS1324" i="6"/>
  <c r="BM1324" i="6"/>
  <c r="BK1324" i="6"/>
  <c r="BI1324" i="6"/>
  <c r="BG1324" i="6"/>
  <c r="BE1324" i="6"/>
  <c r="BC1324" i="6"/>
  <c r="A1324" i="6"/>
  <c r="DE1323" i="6"/>
  <c r="DC1323" i="6"/>
  <c r="CY1323" i="6"/>
  <c r="CW1323" i="6"/>
  <c r="CU1323" i="6"/>
  <c r="CS1323" i="6"/>
  <c r="BM1323" i="6"/>
  <c r="BK1323" i="6"/>
  <c r="BI1323" i="6"/>
  <c r="BG1323" i="6"/>
  <c r="BE1323" i="6"/>
  <c r="BC1323" i="6"/>
  <c r="A1323" i="6"/>
  <c r="DE1322" i="6"/>
  <c r="DC1322" i="6"/>
  <c r="CY1322" i="6"/>
  <c r="CW1322" i="6"/>
  <c r="CU1322" i="6"/>
  <c r="CS1322" i="6"/>
  <c r="BM1322" i="6"/>
  <c r="BK1322" i="6"/>
  <c r="BI1322" i="6"/>
  <c r="BG1322" i="6"/>
  <c r="BE1322" i="6"/>
  <c r="BC1322" i="6"/>
  <c r="A1322" i="6"/>
  <c r="DE1321" i="6"/>
  <c r="DC1321" i="6"/>
  <c r="CY1321" i="6"/>
  <c r="CW1321" i="6"/>
  <c r="CU1321" i="6"/>
  <c r="CS1321" i="6"/>
  <c r="BM1321" i="6"/>
  <c r="BK1321" i="6"/>
  <c r="BI1321" i="6"/>
  <c r="BG1321" i="6"/>
  <c r="BE1321" i="6"/>
  <c r="BC1321" i="6"/>
  <c r="A1321" i="6"/>
  <c r="DE1320" i="6"/>
  <c r="DC1320" i="6"/>
  <c r="CY1320" i="6"/>
  <c r="CW1320" i="6"/>
  <c r="CU1320" i="6"/>
  <c r="CS1320" i="6"/>
  <c r="BM1320" i="6"/>
  <c r="BK1320" i="6"/>
  <c r="BI1320" i="6"/>
  <c r="BG1320" i="6"/>
  <c r="BE1320" i="6"/>
  <c r="BC1320" i="6"/>
  <c r="A1320" i="6"/>
  <c r="DE1319" i="6"/>
  <c r="DC1319" i="6"/>
  <c r="CY1319" i="6"/>
  <c r="CW1319" i="6"/>
  <c r="CU1319" i="6"/>
  <c r="CS1319" i="6"/>
  <c r="BM1319" i="6"/>
  <c r="BK1319" i="6"/>
  <c r="BI1319" i="6"/>
  <c r="BG1319" i="6"/>
  <c r="BE1319" i="6"/>
  <c r="BC1319" i="6"/>
  <c r="A1319" i="6"/>
  <c r="DE1318" i="6"/>
  <c r="DC1318" i="6"/>
  <c r="CY1318" i="6"/>
  <c r="CW1318" i="6"/>
  <c r="CU1318" i="6"/>
  <c r="CS1318" i="6"/>
  <c r="BM1318" i="6"/>
  <c r="BK1318" i="6"/>
  <c r="BI1318" i="6"/>
  <c r="BG1318" i="6"/>
  <c r="BE1318" i="6"/>
  <c r="BC1318" i="6"/>
  <c r="A1318" i="6"/>
  <c r="DE1317" i="6"/>
  <c r="DC1317" i="6"/>
  <c r="CY1317" i="6"/>
  <c r="CW1317" i="6"/>
  <c r="CU1317" i="6"/>
  <c r="CS1317" i="6"/>
  <c r="BM1317" i="6"/>
  <c r="BK1317" i="6"/>
  <c r="BI1317" i="6"/>
  <c r="BG1317" i="6"/>
  <c r="BE1317" i="6"/>
  <c r="BC1317" i="6"/>
  <c r="A1317" i="6"/>
  <c r="DE1316" i="6"/>
  <c r="DC1316" i="6"/>
  <c r="CY1316" i="6"/>
  <c r="CW1316" i="6"/>
  <c r="CU1316" i="6"/>
  <c r="CS1316" i="6"/>
  <c r="BM1316" i="6"/>
  <c r="BK1316" i="6"/>
  <c r="BI1316" i="6"/>
  <c r="BG1316" i="6"/>
  <c r="BE1316" i="6"/>
  <c r="BC1316" i="6"/>
  <c r="A1316" i="6"/>
  <c r="DE1315" i="6"/>
  <c r="DC1315" i="6"/>
  <c r="CY1315" i="6"/>
  <c r="CW1315" i="6"/>
  <c r="CU1315" i="6"/>
  <c r="CS1315" i="6"/>
  <c r="BM1315" i="6"/>
  <c r="BK1315" i="6"/>
  <c r="BI1315" i="6"/>
  <c r="BG1315" i="6"/>
  <c r="BE1315" i="6"/>
  <c r="BC1315" i="6"/>
  <c r="A1315" i="6"/>
  <c r="DE1314" i="6"/>
  <c r="DC1314" i="6"/>
  <c r="CY1314" i="6"/>
  <c r="CW1314" i="6"/>
  <c r="CU1314" i="6"/>
  <c r="CS1314" i="6"/>
  <c r="BM1314" i="6"/>
  <c r="BK1314" i="6"/>
  <c r="BI1314" i="6"/>
  <c r="BG1314" i="6"/>
  <c r="BE1314" i="6"/>
  <c r="BC1314" i="6"/>
  <c r="A1314" i="6"/>
  <c r="DE1313" i="6"/>
  <c r="DC1313" i="6"/>
  <c r="CY1313" i="6"/>
  <c r="CW1313" i="6"/>
  <c r="CU1313" i="6"/>
  <c r="CS1313" i="6"/>
  <c r="BM1313" i="6"/>
  <c r="BK1313" i="6"/>
  <c r="BI1313" i="6"/>
  <c r="BG1313" i="6"/>
  <c r="BE1313" i="6"/>
  <c r="BC1313" i="6"/>
  <c r="A1313" i="6"/>
  <c r="DE1312" i="6"/>
  <c r="DC1312" i="6"/>
  <c r="CY1312" i="6"/>
  <c r="CW1312" i="6"/>
  <c r="CU1312" i="6"/>
  <c r="CS1312" i="6"/>
  <c r="BM1312" i="6"/>
  <c r="BK1312" i="6"/>
  <c r="BI1312" i="6"/>
  <c r="BG1312" i="6"/>
  <c r="BE1312" i="6"/>
  <c r="BC1312" i="6"/>
  <c r="A1312" i="6"/>
  <c r="DE1311" i="6"/>
  <c r="DC1311" i="6"/>
  <c r="CY1311" i="6"/>
  <c r="CW1311" i="6"/>
  <c r="CU1311" i="6"/>
  <c r="CS1311" i="6"/>
  <c r="BM1311" i="6"/>
  <c r="BK1311" i="6"/>
  <c r="BI1311" i="6"/>
  <c r="BG1311" i="6"/>
  <c r="BE1311" i="6"/>
  <c r="BC1311" i="6"/>
  <c r="A1311" i="6"/>
  <c r="DE1310" i="6"/>
  <c r="DC1310" i="6"/>
  <c r="CY1310" i="6"/>
  <c r="CW1310" i="6"/>
  <c r="CU1310" i="6"/>
  <c r="CS1310" i="6"/>
  <c r="BM1310" i="6"/>
  <c r="BK1310" i="6"/>
  <c r="BI1310" i="6"/>
  <c r="BG1310" i="6"/>
  <c r="BE1310" i="6"/>
  <c r="BC1310" i="6"/>
  <c r="A1310" i="6"/>
  <c r="DE1309" i="6"/>
  <c r="DC1309" i="6"/>
  <c r="CY1309" i="6"/>
  <c r="CW1309" i="6"/>
  <c r="CU1309" i="6"/>
  <c r="CS1309" i="6"/>
  <c r="BM1309" i="6"/>
  <c r="BK1309" i="6"/>
  <c r="BI1309" i="6"/>
  <c r="BG1309" i="6"/>
  <c r="BE1309" i="6"/>
  <c r="BC1309" i="6"/>
  <c r="A1309" i="6"/>
  <c r="DE1308" i="6"/>
  <c r="DC1308" i="6"/>
  <c r="CY1308" i="6"/>
  <c r="CW1308" i="6"/>
  <c r="CU1308" i="6"/>
  <c r="CS1308" i="6"/>
  <c r="BM1308" i="6"/>
  <c r="BK1308" i="6"/>
  <c r="BI1308" i="6"/>
  <c r="BG1308" i="6"/>
  <c r="BE1308" i="6"/>
  <c r="BC1308" i="6"/>
  <c r="A1308" i="6"/>
  <c r="DE1307" i="6"/>
  <c r="DC1307" i="6"/>
  <c r="CY1307" i="6"/>
  <c r="CW1307" i="6"/>
  <c r="CU1307" i="6"/>
  <c r="CS1307" i="6"/>
  <c r="BM1307" i="6"/>
  <c r="BK1307" i="6"/>
  <c r="BI1307" i="6"/>
  <c r="BG1307" i="6"/>
  <c r="BE1307" i="6"/>
  <c r="BC1307" i="6"/>
  <c r="A1307" i="6"/>
  <c r="DE1306" i="6"/>
  <c r="DC1306" i="6"/>
  <c r="CY1306" i="6"/>
  <c r="CW1306" i="6"/>
  <c r="CU1306" i="6"/>
  <c r="CS1306" i="6"/>
  <c r="BM1306" i="6"/>
  <c r="BK1306" i="6"/>
  <c r="BI1306" i="6"/>
  <c r="BG1306" i="6"/>
  <c r="BE1306" i="6"/>
  <c r="BC1306" i="6"/>
  <c r="A1306" i="6"/>
  <c r="DE1305" i="6"/>
  <c r="DC1305" i="6"/>
  <c r="CY1305" i="6"/>
  <c r="CW1305" i="6"/>
  <c r="CU1305" i="6"/>
  <c r="CS1305" i="6"/>
  <c r="BM1305" i="6"/>
  <c r="BK1305" i="6"/>
  <c r="BI1305" i="6"/>
  <c r="BG1305" i="6"/>
  <c r="BE1305" i="6"/>
  <c r="BC1305" i="6"/>
  <c r="A1305" i="6"/>
  <c r="DE1304" i="6"/>
  <c r="DC1304" i="6"/>
  <c r="CY1304" i="6"/>
  <c r="CW1304" i="6"/>
  <c r="CU1304" i="6"/>
  <c r="CS1304" i="6"/>
  <c r="BM1304" i="6"/>
  <c r="BK1304" i="6"/>
  <c r="BI1304" i="6"/>
  <c r="BG1304" i="6"/>
  <c r="BE1304" i="6"/>
  <c r="BC1304" i="6"/>
  <c r="A1304" i="6"/>
  <c r="DE1303" i="6"/>
  <c r="DC1303" i="6"/>
  <c r="CY1303" i="6"/>
  <c r="CW1303" i="6"/>
  <c r="CU1303" i="6"/>
  <c r="CS1303" i="6"/>
  <c r="BM1303" i="6"/>
  <c r="BK1303" i="6"/>
  <c r="BI1303" i="6"/>
  <c r="BG1303" i="6"/>
  <c r="BE1303" i="6"/>
  <c r="BC1303" i="6"/>
  <c r="A1303" i="6"/>
  <c r="DE1302" i="6"/>
  <c r="DC1302" i="6"/>
  <c r="CY1302" i="6"/>
  <c r="CW1302" i="6"/>
  <c r="CU1302" i="6"/>
  <c r="CS1302" i="6"/>
  <c r="BM1302" i="6"/>
  <c r="BK1302" i="6"/>
  <c r="BI1302" i="6"/>
  <c r="BG1302" i="6"/>
  <c r="BE1302" i="6"/>
  <c r="BC1302" i="6"/>
  <c r="A1302" i="6"/>
  <c r="DE1301" i="6"/>
  <c r="DC1301" i="6"/>
  <c r="CY1301" i="6"/>
  <c r="CW1301" i="6"/>
  <c r="CU1301" i="6"/>
  <c r="CS1301" i="6"/>
  <c r="BM1301" i="6"/>
  <c r="BK1301" i="6"/>
  <c r="BI1301" i="6"/>
  <c r="BG1301" i="6"/>
  <c r="BE1301" i="6"/>
  <c r="BC1301" i="6"/>
  <c r="A1301" i="6"/>
  <c r="DE1300" i="6"/>
  <c r="DC1300" i="6"/>
  <c r="CY1300" i="6"/>
  <c r="CW1300" i="6"/>
  <c r="CU1300" i="6"/>
  <c r="CS1300" i="6"/>
  <c r="BM1300" i="6"/>
  <c r="BK1300" i="6"/>
  <c r="BI1300" i="6"/>
  <c r="BG1300" i="6"/>
  <c r="BE1300" i="6"/>
  <c r="BC1300" i="6"/>
  <c r="A1300" i="6"/>
  <c r="DE1299" i="6"/>
  <c r="DC1299" i="6"/>
  <c r="CY1299" i="6"/>
  <c r="CW1299" i="6"/>
  <c r="CU1299" i="6"/>
  <c r="CS1299" i="6"/>
  <c r="BM1299" i="6"/>
  <c r="BK1299" i="6"/>
  <c r="BI1299" i="6"/>
  <c r="BG1299" i="6"/>
  <c r="BE1299" i="6"/>
  <c r="BC1299" i="6"/>
  <c r="A1299" i="6"/>
  <c r="DE1298" i="6"/>
  <c r="DC1298" i="6"/>
  <c r="CY1298" i="6"/>
  <c r="CW1298" i="6"/>
  <c r="CU1298" i="6"/>
  <c r="CS1298" i="6"/>
  <c r="BM1298" i="6"/>
  <c r="BK1298" i="6"/>
  <c r="BI1298" i="6"/>
  <c r="BG1298" i="6"/>
  <c r="BE1298" i="6"/>
  <c r="BC1298" i="6"/>
  <c r="A1298" i="6"/>
  <c r="DE1297" i="6"/>
  <c r="DC1297" i="6"/>
  <c r="CY1297" i="6"/>
  <c r="CW1297" i="6"/>
  <c r="CU1297" i="6"/>
  <c r="CS1297" i="6"/>
  <c r="BM1297" i="6"/>
  <c r="BK1297" i="6"/>
  <c r="BI1297" i="6"/>
  <c r="BG1297" i="6"/>
  <c r="BE1297" i="6"/>
  <c r="BC1297" i="6"/>
  <c r="A1297" i="6"/>
  <c r="DE1296" i="6"/>
  <c r="DC1296" i="6"/>
  <c r="CY1296" i="6"/>
  <c r="CW1296" i="6"/>
  <c r="CU1296" i="6"/>
  <c r="CS1296" i="6"/>
  <c r="BM1296" i="6"/>
  <c r="BK1296" i="6"/>
  <c r="BI1296" i="6"/>
  <c r="BG1296" i="6"/>
  <c r="BE1296" i="6"/>
  <c r="BC1296" i="6"/>
  <c r="A1296" i="6"/>
  <c r="DE1295" i="6"/>
  <c r="DC1295" i="6"/>
  <c r="CY1295" i="6"/>
  <c r="CW1295" i="6"/>
  <c r="CU1295" i="6"/>
  <c r="CS1295" i="6"/>
  <c r="BM1295" i="6"/>
  <c r="BK1295" i="6"/>
  <c r="BI1295" i="6"/>
  <c r="BG1295" i="6"/>
  <c r="BE1295" i="6"/>
  <c r="BC1295" i="6"/>
  <c r="A1295" i="6"/>
  <c r="DE1294" i="6"/>
  <c r="DC1294" i="6"/>
  <c r="CY1294" i="6"/>
  <c r="CW1294" i="6"/>
  <c r="CU1294" i="6"/>
  <c r="CS1294" i="6"/>
  <c r="BM1294" i="6"/>
  <c r="BK1294" i="6"/>
  <c r="BI1294" i="6"/>
  <c r="BG1294" i="6"/>
  <c r="BE1294" i="6"/>
  <c r="BC1294" i="6"/>
  <c r="A1294" i="6"/>
  <c r="DE1293" i="6"/>
  <c r="DC1293" i="6"/>
  <c r="CY1293" i="6"/>
  <c r="CW1293" i="6"/>
  <c r="CU1293" i="6"/>
  <c r="CS1293" i="6"/>
  <c r="BM1293" i="6"/>
  <c r="BK1293" i="6"/>
  <c r="BI1293" i="6"/>
  <c r="BG1293" i="6"/>
  <c r="BE1293" i="6"/>
  <c r="BC1293" i="6"/>
  <c r="A1293" i="6"/>
  <c r="DE1292" i="6"/>
  <c r="DC1292" i="6"/>
  <c r="CY1292" i="6"/>
  <c r="CW1292" i="6"/>
  <c r="CU1292" i="6"/>
  <c r="CS1292" i="6"/>
  <c r="BM1292" i="6"/>
  <c r="BK1292" i="6"/>
  <c r="BI1292" i="6"/>
  <c r="BG1292" i="6"/>
  <c r="BE1292" i="6"/>
  <c r="BC1292" i="6"/>
  <c r="A1292" i="6"/>
  <c r="DE1291" i="6"/>
  <c r="DC1291" i="6"/>
  <c r="CY1291" i="6"/>
  <c r="CW1291" i="6"/>
  <c r="CU1291" i="6"/>
  <c r="CS1291" i="6"/>
  <c r="BM1291" i="6"/>
  <c r="BK1291" i="6"/>
  <c r="BI1291" i="6"/>
  <c r="BG1291" i="6"/>
  <c r="BE1291" i="6"/>
  <c r="BC1291" i="6"/>
  <c r="A1291" i="6"/>
  <c r="DE1290" i="6"/>
  <c r="DC1290" i="6"/>
  <c r="CY1290" i="6"/>
  <c r="CW1290" i="6"/>
  <c r="CU1290" i="6"/>
  <c r="CS1290" i="6"/>
  <c r="BM1290" i="6"/>
  <c r="BK1290" i="6"/>
  <c r="BI1290" i="6"/>
  <c r="BG1290" i="6"/>
  <c r="BE1290" i="6"/>
  <c r="BC1290" i="6"/>
  <c r="A1290" i="6"/>
  <c r="DE1289" i="6"/>
  <c r="DC1289" i="6"/>
  <c r="CY1289" i="6"/>
  <c r="CW1289" i="6"/>
  <c r="CU1289" i="6"/>
  <c r="CS1289" i="6"/>
  <c r="BM1289" i="6"/>
  <c r="BK1289" i="6"/>
  <c r="BI1289" i="6"/>
  <c r="BG1289" i="6"/>
  <c r="BE1289" i="6"/>
  <c r="BC1289" i="6"/>
  <c r="A1289" i="6"/>
  <c r="DE1288" i="6"/>
  <c r="DC1288" i="6"/>
  <c r="CY1288" i="6"/>
  <c r="CW1288" i="6"/>
  <c r="CU1288" i="6"/>
  <c r="CS1288" i="6"/>
  <c r="BM1288" i="6"/>
  <c r="BK1288" i="6"/>
  <c r="BI1288" i="6"/>
  <c r="BG1288" i="6"/>
  <c r="BE1288" i="6"/>
  <c r="BC1288" i="6"/>
  <c r="A1288" i="6"/>
  <c r="DE1287" i="6"/>
  <c r="DC1287" i="6"/>
  <c r="CY1287" i="6"/>
  <c r="CW1287" i="6"/>
  <c r="CU1287" i="6"/>
  <c r="CS1287" i="6"/>
  <c r="BM1287" i="6"/>
  <c r="BK1287" i="6"/>
  <c r="BI1287" i="6"/>
  <c r="BG1287" i="6"/>
  <c r="BE1287" i="6"/>
  <c r="BC1287" i="6"/>
  <c r="A1287" i="6"/>
  <c r="DE1286" i="6"/>
  <c r="DC1286" i="6"/>
  <c r="CY1286" i="6"/>
  <c r="CW1286" i="6"/>
  <c r="CU1286" i="6"/>
  <c r="CS1286" i="6"/>
  <c r="BM1286" i="6"/>
  <c r="BK1286" i="6"/>
  <c r="BI1286" i="6"/>
  <c r="BG1286" i="6"/>
  <c r="BE1286" i="6"/>
  <c r="BC1286" i="6"/>
  <c r="A1286" i="6"/>
  <c r="DE1285" i="6"/>
  <c r="DC1285" i="6"/>
  <c r="CY1285" i="6"/>
  <c r="CW1285" i="6"/>
  <c r="CU1285" i="6"/>
  <c r="CS1285" i="6"/>
  <c r="BM1285" i="6"/>
  <c r="BK1285" i="6"/>
  <c r="BI1285" i="6"/>
  <c r="BG1285" i="6"/>
  <c r="BE1285" i="6"/>
  <c r="BC1285" i="6"/>
  <c r="A1285" i="6"/>
  <c r="DE1284" i="6"/>
  <c r="DC1284" i="6"/>
  <c r="CY1284" i="6"/>
  <c r="CW1284" i="6"/>
  <c r="CU1284" i="6"/>
  <c r="CS1284" i="6"/>
  <c r="BM1284" i="6"/>
  <c r="BK1284" i="6"/>
  <c r="BI1284" i="6"/>
  <c r="BG1284" i="6"/>
  <c r="BE1284" i="6"/>
  <c r="BC1284" i="6"/>
  <c r="A1284" i="6"/>
  <c r="DE1283" i="6"/>
  <c r="DC1283" i="6"/>
  <c r="CY1283" i="6"/>
  <c r="CW1283" i="6"/>
  <c r="CU1283" i="6"/>
  <c r="CS1283" i="6"/>
  <c r="BM1283" i="6"/>
  <c r="BK1283" i="6"/>
  <c r="BI1283" i="6"/>
  <c r="BG1283" i="6"/>
  <c r="BE1283" i="6"/>
  <c r="BC1283" i="6"/>
  <c r="A1283" i="6"/>
  <c r="DE1282" i="6"/>
  <c r="DC1282" i="6"/>
  <c r="CY1282" i="6"/>
  <c r="CW1282" i="6"/>
  <c r="CU1282" i="6"/>
  <c r="CS1282" i="6"/>
  <c r="BM1282" i="6"/>
  <c r="BK1282" i="6"/>
  <c r="BI1282" i="6"/>
  <c r="BG1282" i="6"/>
  <c r="BE1282" i="6"/>
  <c r="BC1282" i="6"/>
  <c r="A1282" i="6"/>
  <c r="DE1281" i="6"/>
  <c r="DC1281" i="6"/>
  <c r="CY1281" i="6"/>
  <c r="CW1281" i="6"/>
  <c r="CU1281" i="6"/>
  <c r="CS1281" i="6"/>
  <c r="BM1281" i="6"/>
  <c r="BK1281" i="6"/>
  <c r="BI1281" i="6"/>
  <c r="BG1281" i="6"/>
  <c r="BE1281" i="6"/>
  <c r="BC1281" i="6"/>
  <c r="A1281" i="6"/>
  <c r="DE1280" i="6"/>
  <c r="DC1280" i="6"/>
  <c r="CY1280" i="6"/>
  <c r="CW1280" i="6"/>
  <c r="CU1280" i="6"/>
  <c r="CS1280" i="6"/>
  <c r="BM1280" i="6"/>
  <c r="BK1280" i="6"/>
  <c r="BI1280" i="6"/>
  <c r="BG1280" i="6"/>
  <c r="BE1280" i="6"/>
  <c r="BC1280" i="6"/>
  <c r="A1280" i="6"/>
  <c r="DE1279" i="6"/>
  <c r="DC1279" i="6"/>
  <c r="CY1279" i="6"/>
  <c r="CW1279" i="6"/>
  <c r="CU1279" i="6"/>
  <c r="CS1279" i="6"/>
  <c r="BM1279" i="6"/>
  <c r="BK1279" i="6"/>
  <c r="BI1279" i="6"/>
  <c r="BG1279" i="6"/>
  <c r="BE1279" i="6"/>
  <c r="BC1279" i="6"/>
  <c r="A1279" i="6"/>
  <c r="DE1278" i="6"/>
  <c r="DC1278" i="6"/>
  <c r="CY1278" i="6"/>
  <c r="CW1278" i="6"/>
  <c r="CU1278" i="6"/>
  <c r="CS1278" i="6"/>
  <c r="BM1278" i="6"/>
  <c r="BK1278" i="6"/>
  <c r="BI1278" i="6"/>
  <c r="BG1278" i="6"/>
  <c r="BE1278" i="6"/>
  <c r="BC1278" i="6"/>
  <c r="A1278" i="6"/>
  <c r="DE1277" i="6"/>
  <c r="DC1277" i="6"/>
  <c r="CY1277" i="6"/>
  <c r="CW1277" i="6"/>
  <c r="CU1277" i="6"/>
  <c r="CS1277" i="6"/>
  <c r="BM1277" i="6"/>
  <c r="BK1277" i="6"/>
  <c r="BI1277" i="6"/>
  <c r="BG1277" i="6"/>
  <c r="BE1277" i="6"/>
  <c r="BC1277" i="6"/>
  <c r="A1277" i="6"/>
  <c r="DE1276" i="6"/>
  <c r="DC1276" i="6"/>
  <c r="CY1276" i="6"/>
  <c r="CW1276" i="6"/>
  <c r="CU1276" i="6"/>
  <c r="CS1276" i="6"/>
  <c r="BM1276" i="6"/>
  <c r="BK1276" i="6"/>
  <c r="BI1276" i="6"/>
  <c r="BG1276" i="6"/>
  <c r="BE1276" i="6"/>
  <c r="BC1276" i="6"/>
  <c r="A1276" i="6"/>
  <c r="DE1275" i="6"/>
  <c r="DC1275" i="6"/>
  <c r="CY1275" i="6"/>
  <c r="CW1275" i="6"/>
  <c r="CU1275" i="6"/>
  <c r="CS1275" i="6"/>
  <c r="BM1275" i="6"/>
  <c r="BK1275" i="6"/>
  <c r="BI1275" i="6"/>
  <c r="BG1275" i="6"/>
  <c r="BE1275" i="6"/>
  <c r="BC1275" i="6"/>
  <c r="A1275" i="6"/>
  <c r="DE1274" i="6"/>
  <c r="DC1274" i="6"/>
  <c r="CY1274" i="6"/>
  <c r="CW1274" i="6"/>
  <c r="CU1274" i="6"/>
  <c r="CS1274" i="6"/>
  <c r="BM1274" i="6"/>
  <c r="BK1274" i="6"/>
  <c r="BI1274" i="6"/>
  <c r="BG1274" i="6"/>
  <c r="BE1274" i="6"/>
  <c r="BC1274" i="6"/>
  <c r="A1274" i="6"/>
  <c r="DE1273" i="6"/>
  <c r="DC1273" i="6"/>
  <c r="CY1273" i="6"/>
  <c r="CW1273" i="6"/>
  <c r="CU1273" i="6"/>
  <c r="CS1273" i="6"/>
  <c r="BM1273" i="6"/>
  <c r="BK1273" i="6"/>
  <c r="BI1273" i="6"/>
  <c r="BG1273" i="6"/>
  <c r="BE1273" i="6"/>
  <c r="BC1273" i="6"/>
  <c r="A1273" i="6"/>
  <c r="DE1272" i="6"/>
  <c r="DC1272" i="6"/>
  <c r="CY1272" i="6"/>
  <c r="CW1272" i="6"/>
  <c r="CU1272" i="6"/>
  <c r="CS1272" i="6"/>
  <c r="BM1272" i="6"/>
  <c r="BK1272" i="6"/>
  <c r="BI1272" i="6"/>
  <c r="BG1272" i="6"/>
  <c r="BE1272" i="6"/>
  <c r="BC1272" i="6"/>
  <c r="A1272" i="6"/>
  <c r="DE1271" i="6"/>
  <c r="DC1271" i="6"/>
  <c r="CY1271" i="6"/>
  <c r="CW1271" i="6"/>
  <c r="CU1271" i="6"/>
  <c r="CS1271" i="6"/>
  <c r="BM1271" i="6"/>
  <c r="BK1271" i="6"/>
  <c r="BI1271" i="6"/>
  <c r="BG1271" i="6"/>
  <c r="BE1271" i="6"/>
  <c r="BC1271" i="6"/>
  <c r="A1271" i="6"/>
  <c r="DE1270" i="6"/>
  <c r="DC1270" i="6"/>
  <c r="CY1270" i="6"/>
  <c r="CW1270" i="6"/>
  <c r="CU1270" i="6"/>
  <c r="CS1270" i="6"/>
  <c r="BM1270" i="6"/>
  <c r="BK1270" i="6"/>
  <c r="BI1270" i="6"/>
  <c r="BG1270" i="6"/>
  <c r="BE1270" i="6"/>
  <c r="BC1270" i="6"/>
  <c r="A1270" i="6"/>
  <c r="DE1269" i="6"/>
  <c r="DC1269" i="6"/>
  <c r="CY1269" i="6"/>
  <c r="CW1269" i="6"/>
  <c r="CU1269" i="6"/>
  <c r="CS1269" i="6"/>
  <c r="BM1269" i="6"/>
  <c r="BK1269" i="6"/>
  <c r="BI1269" i="6"/>
  <c r="BG1269" i="6"/>
  <c r="BE1269" i="6"/>
  <c r="BC1269" i="6"/>
  <c r="A1269" i="6"/>
  <c r="DE1268" i="6"/>
  <c r="DC1268" i="6"/>
  <c r="CY1268" i="6"/>
  <c r="CW1268" i="6"/>
  <c r="CU1268" i="6"/>
  <c r="CS1268" i="6"/>
  <c r="BM1268" i="6"/>
  <c r="BK1268" i="6"/>
  <c r="BI1268" i="6"/>
  <c r="BG1268" i="6"/>
  <c r="BE1268" i="6"/>
  <c r="BC1268" i="6"/>
  <c r="A1268" i="6"/>
  <c r="DE1267" i="6"/>
  <c r="DC1267" i="6"/>
  <c r="CY1267" i="6"/>
  <c r="CW1267" i="6"/>
  <c r="CU1267" i="6"/>
  <c r="CS1267" i="6"/>
  <c r="BM1267" i="6"/>
  <c r="BK1267" i="6"/>
  <c r="BI1267" i="6"/>
  <c r="BG1267" i="6"/>
  <c r="BE1267" i="6"/>
  <c r="BC1267" i="6"/>
  <c r="A1267" i="6"/>
  <c r="DE1266" i="6"/>
  <c r="DC1266" i="6"/>
  <c r="CY1266" i="6"/>
  <c r="CW1266" i="6"/>
  <c r="CU1266" i="6"/>
  <c r="CS1266" i="6"/>
  <c r="BM1266" i="6"/>
  <c r="BK1266" i="6"/>
  <c r="BI1266" i="6"/>
  <c r="BG1266" i="6"/>
  <c r="BE1266" i="6"/>
  <c r="BC1266" i="6"/>
  <c r="A1266" i="6"/>
  <c r="DE1265" i="6"/>
  <c r="DC1265" i="6"/>
  <c r="CY1265" i="6"/>
  <c r="CW1265" i="6"/>
  <c r="CU1265" i="6"/>
  <c r="CS1265" i="6"/>
  <c r="BM1265" i="6"/>
  <c r="BK1265" i="6"/>
  <c r="BI1265" i="6"/>
  <c r="BG1265" i="6"/>
  <c r="BE1265" i="6"/>
  <c r="BC1265" i="6"/>
  <c r="A1265" i="6"/>
  <c r="DE1264" i="6"/>
  <c r="DC1264" i="6"/>
  <c r="CY1264" i="6"/>
  <c r="CW1264" i="6"/>
  <c r="CU1264" i="6"/>
  <c r="CS1264" i="6"/>
  <c r="BM1264" i="6"/>
  <c r="BK1264" i="6"/>
  <c r="BI1264" i="6"/>
  <c r="BG1264" i="6"/>
  <c r="BE1264" i="6"/>
  <c r="BC1264" i="6"/>
  <c r="A1264" i="6"/>
  <c r="DE1263" i="6"/>
  <c r="DC1263" i="6"/>
  <c r="CY1263" i="6"/>
  <c r="CW1263" i="6"/>
  <c r="CU1263" i="6"/>
  <c r="CS1263" i="6"/>
  <c r="BM1263" i="6"/>
  <c r="BK1263" i="6"/>
  <c r="BI1263" i="6"/>
  <c r="BG1263" i="6"/>
  <c r="BE1263" i="6"/>
  <c r="BC1263" i="6"/>
  <c r="A1263" i="6"/>
  <c r="DE1262" i="6"/>
  <c r="DC1262" i="6"/>
  <c r="CY1262" i="6"/>
  <c r="CW1262" i="6"/>
  <c r="CU1262" i="6"/>
  <c r="CS1262" i="6"/>
  <c r="BM1262" i="6"/>
  <c r="BK1262" i="6"/>
  <c r="BI1262" i="6"/>
  <c r="BG1262" i="6"/>
  <c r="BE1262" i="6"/>
  <c r="BC1262" i="6"/>
  <c r="A1262" i="6"/>
  <c r="DE1261" i="6"/>
  <c r="DC1261" i="6"/>
  <c r="CY1261" i="6"/>
  <c r="CW1261" i="6"/>
  <c r="CU1261" i="6"/>
  <c r="CS1261" i="6"/>
  <c r="BM1261" i="6"/>
  <c r="BK1261" i="6"/>
  <c r="BI1261" i="6"/>
  <c r="BG1261" i="6"/>
  <c r="BE1261" i="6"/>
  <c r="BC1261" i="6"/>
  <c r="A1261" i="6"/>
  <c r="DE1260" i="6"/>
  <c r="DC1260" i="6"/>
  <c r="CY1260" i="6"/>
  <c r="CW1260" i="6"/>
  <c r="CU1260" i="6"/>
  <c r="CS1260" i="6"/>
  <c r="BM1260" i="6"/>
  <c r="BK1260" i="6"/>
  <c r="BI1260" i="6"/>
  <c r="BG1260" i="6"/>
  <c r="BE1260" i="6"/>
  <c r="BC1260" i="6"/>
  <c r="A1260" i="6"/>
  <c r="DE1259" i="6"/>
  <c r="DC1259" i="6"/>
  <c r="CY1259" i="6"/>
  <c r="CW1259" i="6"/>
  <c r="CU1259" i="6"/>
  <c r="CS1259" i="6"/>
  <c r="BM1259" i="6"/>
  <c r="BK1259" i="6"/>
  <c r="BI1259" i="6"/>
  <c r="BG1259" i="6"/>
  <c r="BE1259" i="6"/>
  <c r="BC1259" i="6"/>
  <c r="A1259" i="6"/>
  <c r="DE1258" i="6"/>
  <c r="DC1258" i="6"/>
  <c r="CY1258" i="6"/>
  <c r="CW1258" i="6"/>
  <c r="CU1258" i="6"/>
  <c r="CS1258" i="6"/>
  <c r="BM1258" i="6"/>
  <c r="BK1258" i="6"/>
  <c r="BI1258" i="6"/>
  <c r="BG1258" i="6"/>
  <c r="BE1258" i="6"/>
  <c r="BC1258" i="6"/>
  <c r="A1258" i="6"/>
  <c r="DE1257" i="6"/>
  <c r="DC1257" i="6"/>
  <c r="CY1257" i="6"/>
  <c r="CW1257" i="6"/>
  <c r="CU1257" i="6"/>
  <c r="CS1257" i="6"/>
  <c r="BM1257" i="6"/>
  <c r="BK1257" i="6"/>
  <c r="BI1257" i="6"/>
  <c r="BG1257" i="6"/>
  <c r="BE1257" i="6"/>
  <c r="BC1257" i="6"/>
  <c r="A1257" i="6"/>
  <c r="DE1256" i="6"/>
  <c r="DC1256" i="6"/>
  <c r="CY1256" i="6"/>
  <c r="CW1256" i="6"/>
  <c r="CU1256" i="6"/>
  <c r="CS1256" i="6"/>
  <c r="BM1256" i="6"/>
  <c r="BK1256" i="6"/>
  <c r="BI1256" i="6"/>
  <c r="BG1256" i="6"/>
  <c r="BE1256" i="6"/>
  <c r="BC1256" i="6"/>
  <c r="A1256" i="6"/>
  <c r="DE1255" i="6"/>
  <c r="DC1255" i="6"/>
  <c r="CY1255" i="6"/>
  <c r="CW1255" i="6"/>
  <c r="CU1255" i="6"/>
  <c r="CS1255" i="6"/>
  <c r="BM1255" i="6"/>
  <c r="BK1255" i="6"/>
  <c r="BI1255" i="6"/>
  <c r="BG1255" i="6"/>
  <c r="BE1255" i="6"/>
  <c r="BC1255" i="6"/>
  <c r="A1255" i="6"/>
  <c r="DE1254" i="6"/>
  <c r="DC1254" i="6"/>
  <c r="CY1254" i="6"/>
  <c r="CW1254" i="6"/>
  <c r="CU1254" i="6"/>
  <c r="CS1254" i="6"/>
  <c r="BM1254" i="6"/>
  <c r="BK1254" i="6"/>
  <c r="BI1254" i="6"/>
  <c r="BG1254" i="6"/>
  <c r="BE1254" i="6"/>
  <c r="BC1254" i="6"/>
  <c r="A1254" i="6"/>
  <c r="DE1253" i="6"/>
  <c r="DC1253" i="6"/>
  <c r="CY1253" i="6"/>
  <c r="CW1253" i="6"/>
  <c r="CU1253" i="6"/>
  <c r="CS1253" i="6"/>
  <c r="BM1253" i="6"/>
  <c r="BK1253" i="6"/>
  <c r="BI1253" i="6"/>
  <c r="BG1253" i="6"/>
  <c r="BE1253" i="6"/>
  <c r="BC1253" i="6"/>
  <c r="A1253" i="6"/>
  <c r="DE1252" i="6"/>
  <c r="DC1252" i="6"/>
  <c r="CY1252" i="6"/>
  <c r="CW1252" i="6"/>
  <c r="CU1252" i="6"/>
  <c r="CS1252" i="6"/>
  <c r="BM1252" i="6"/>
  <c r="BK1252" i="6"/>
  <c r="BI1252" i="6"/>
  <c r="BG1252" i="6"/>
  <c r="BE1252" i="6"/>
  <c r="BC1252" i="6"/>
  <c r="A1252" i="6"/>
  <c r="DE1251" i="6"/>
  <c r="DC1251" i="6"/>
  <c r="CY1251" i="6"/>
  <c r="CW1251" i="6"/>
  <c r="CU1251" i="6"/>
  <c r="CS1251" i="6"/>
  <c r="BM1251" i="6"/>
  <c r="BK1251" i="6"/>
  <c r="BI1251" i="6"/>
  <c r="BG1251" i="6"/>
  <c r="BE1251" i="6"/>
  <c r="BC1251" i="6"/>
  <c r="A1251" i="6"/>
  <c r="DE1250" i="6"/>
  <c r="DC1250" i="6"/>
  <c r="CY1250" i="6"/>
  <c r="CW1250" i="6"/>
  <c r="CU1250" i="6"/>
  <c r="CS1250" i="6"/>
  <c r="BM1250" i="6"/>
  <c r="BK1250" i="6"/>
  <c r="BI1250" i="6"/>
  <c r="BG1250" i="6"/>
  <c r="BE1250" i="6"/>
  <c r="BC1250" i="6"/>
  <c r="A1250" i="6"/>
  <c r="DE1249" i="6"/>
  <c r="DC1249" i="6"/>
  <c r="CY1249" i="6"/>
  <c r="CW1249" i="6"/>
  <c r="CU1249" i="6"/>
  <c r="CS1249" i="6"/>
  <c r="BM1249" i="6"/>
  <c r="BK1249" i="6"/>
  <c r="BI1249" i="6"/>
  <c r="BG1249" i="6"/>
  <c r="BE1249" i="6"/>
  <c r="BC1249" i="6"/>
  <c r="A1249" i="6"/>
  <c r="DE1248" i="6"/>
  <c r="DC1248" i="6"/>
  <c r="CY1248" i="6"/>
  <c r="CW1248" i="6"/>
  <c r="CU1248" i="6"/>
  <c r="CS1248" i="6"/>
  <c r="BM1248" i="6"/>
  <c r="BK1248" i="6"/>
  <c r="BI1248" i="6"/>
  <c r="BG1248" i="6"/>
  <c r="BE1248" i="6"/>
  <c r="BC1248" i="6"/>
  <c r="A1248" i="6"/>
  <c r="DE1247" i="6"/>
  <c r="DC1247" i="6"/>
  <c r="CY1247" i="6"/>
  <c r="CW1247" i="6"/>
  <c r="CU1247" i="6"/>
  <c r="CS1247" i="6"/>
  <c r="BM1247" i="6"/>
  <c r="BK1247" i="6"/>
  <c r="BI1247" i="6"/>
  <c r="BG1247" i="6"/>
  <c r="BE1247" i="6"/>
  <c r="BC1247" i="6"/>
  <c r="A1247" i="6"/>
  <c r="DE1246" i="6"/>
  <c r="DC1246" i="6"/>
  <c r="CY1246" i="6"/>
  <c r="CW1246" i="6"/>
  <c r="CU1246" i="6"/>
  <c r="CS1246" i="6"/>
  <c r="BM1246" i="6"/>
  <c r="BK1246" i="6"/>
  <c r="BI1246" i="6"/>
  <c r="BG1246" i="6"/>
  <c r="BE1246" i="6"/>
  <c r="BC1246" i="6"/>
  <c r="A1246" i="6"/>
  <c r="DE1245" i="6"/>
  <c r="DC1245" i="6"/>
  <c r="CY1245" i="6"/>
  <c r="CW1245" i="6"/>
  <c r="CU1245" i="6"/>
  <c r="CS1245" i="6"/>
  <c r="BM1245" i="6"/>
  <c r="BK1245" i="6"/>
  <c r="BI1245" i="6"/>
  <c r="BG1245" i="6"/>
  <c r="BE1245" i="6"/>
  <c r="BC1245" i="6"/>
  <c r="A1245" i="6"/>
  <c r="DE1244" i="6"/>
  <c r="DC1244" i="6"/>
  <c r="CY1244" i="6"/>
  <c r="CW1244" i="6"/>
  <c r="CU1244" i="6"/>
  <c r="CS1244" i="6"/>
  <c r="BM1244" i="6"/>
  <c r="BK1244" i="6"/>
  <c r="BI1244" i="6"/>
  <c r="BG1244" i="6"/>
  <c r="BE1244" i="6"/>
  <c r="BC1244" i="6"/>
  <c r="A1244" i="6"/>
  <c r="DE1243" i="6"/>
  <c r="DC1243" i="6"/>
  <c r="CY1243" i="6"/>
  <c r="CW1243" i="6"/>
  <c r="CU1243" i="6"/>
  <c r="CS1243" i="6"/>
  <c r="BM1243" i="6"/>
  <c r="BK1243" i="6"/>
  <c r="BI1243" i="6"/>
  <c r="BG1243" i="6"/>
  <c r="BE1243" i="6"/>
  <c r="BC1243" i="6"/>
  <c r="A1243" i="6"/>
  <c r="DE1242" i="6"/>
  <c r="DC1242" i="6"/>
  <c r="CY1242" i="6"/>
  <c r="CW1242" i="6"/>
  <c r="CU1242" i="6"/>
  <c r="CS1242" i="6"/>
  <c r="BM1242" i="6"/>
  <c r="BK1242" i="6"/>
  <c r="BI1242" i="6"/>
  <c r="BG1242" i="6"/>
  <c r="BE1242" i="6"/>
  <c r="BC1242" i="6"/>
  <c r="A1242" i="6"/>
  <c r="DE1241" i="6"/>
  <c r="DC1241" i="6"/>
  <c r="CY1241" i="6"/>
  <c r="CW1241" i="6"/>
  <c r="CU1241" i="6"/>
  <c r="CS1241" i="6"/>
  <c r="BM1241" i="6"/>
  <c r="BK1241" i="6"/>
  <c r="BI1241" i="6"/>
  <c r="BG1241" i="6"/>
  <c r="BE1241" i="6"/>
  <c r="BC1241" i="6"/>
  <c r="A1241" i="6"/>
  <c r="DE1240" i="6"/>
  <c r="DC1240" i="6"/>
  <c r="CY1240" i="6"/>
  <c r="CW1240" i="6"/>
  <c r="CU1240" i="6"/>
  <c r="CS1240" i="6"/>
  <c r="BM1240" i="6"/>
  <c r="BK1240" i="6"/>
  <c r="BI1240" i="6"/>
  <c r="BG1240" i="6"/>
  <c r="BE1240" i="6"/>
  <c r="BC1240" i="6"/>
  <c r="A1240" i="6"/>
  <c r="DE1239" i="6"/>
  <c r="DC1239" i="6"/>
  <c r="CY1239" i="6"/>
  <c r="CW1239" i="6"/>
  <c r="CU1239" i="6"/>
  <c r="CS1239" i="6"/>
  <c r="BM1239" i="6"/>
  <c r="BK1239" i="6"/>
  <c r="BI1239" i="6"/>
  <c r="BG1239" i="6"/>
  <c r="BE1239" i="6"/>
  <c r="BC1239" i="6"/>
  <c r="A1239" i="6"/>
  <c r="DE1238" i="6"/>
  <c r="DC1238" i="6"/>
  <c r="CY1238" i="6"/>
  <c r="CW1238" i="6"/>
  <c r="CU1238" i="6"/>
  <c r="CS1238" i="6"/>
  <c r="BM1238" i="6"/>
  <c r="BK1238" i="6"/>
  <c r="BI1238" i="6"/>
  <c r="BG1238" i="6"/>
  <c r="BE1238" i="6"/>
  <c r="BC1238" i="6"/>
  <c r="A1238" i="6"/>
  <c r="DE1237" i="6"/>
  <c r="DC1237" i="6"/>
  <c r="CY1237" i="6"/>
  <c r="CW1237" i="6"/>
  <c r="CU1237" i="6"/>
  <c r="CS1237" i="6"/>
  <c r="BM1237" i="6"/>
  <c r="BK1237" i="6"/>
  <c r="BI1237" i="6"/>
  <c r="BG1237" i="6"/>
  <c r="BE1237" i="6"/>
  <c r="BC1237" i="6"/>
  <c r="A1237" i="6"/>
  <c r="DE1236" i="6"/>
  <c r="DC1236" i="6"/>
  <c r="CY1236" i="6"/>
  <c r="CW1236" i="6"/>
  <c r="CU1236" i="6"/>
  <c r="CS1236" i="6"/>
  <c r="BM1236" i="6"/>
  <c r="BK1236" i="6"/>
  <c r="BI1236" i="6"/>
  <c r="BG1236" i="6"/>
  <c r="BE1236" i="6"/>
  <c r="BC1236" i="6"/>
  <c r="A1236" i="6"/>
  <c r="DE1235" i="6"/>
  <c r="DC1235" i="6"/>
  <c r="CY1235" i="6"/>
  <c r="CW1235" i="6"/>
  <c r="CU1235" i="6"/>
  <c r="CS1235" i="6"/>
  <c r="BM1235" i="6"/>
  <c r="BK1235" i="6"/>
  <c r="BI1235" i="6"/>
  <c r="BG1235" i="6"/>
  <c r="BE1235" i="6"/>
  <c r="BC1235" i="6"/>
  <c r="A1235" i="6"/>
  <c r="DE1234" i="6"/>
  <c r="DC1234" i="6"/>
  <c r="CY1234" i="6"/>
  <c r="CW1234" i="6"/>
  <c r="CU1234" i="6"/>
  <c r="CS1234" i="6"/>
  <c r="BM1234" i="6"/>
  <c r="BK1234" i="6"/>
  <c r="BI1234" i="6"/>
  <c r="BG1234" i="6"/>
  <c r="BE1234" i="6"/>
  <c r="BC1234" i="6"/>
  <c r="A1234" i="6"/>
  <c r="DE1233" i="6"/>
  <c r="DC1233" i="6"/>
  <c r="CY1233" i="6"/>
  <c r="CW1233" i="6"/>
  <c r="CU1233" i="6"/>
  <c r="CS1233" i="6"/>
  <c r="BM1233" i="6"/>
  <c r="BK1233" i="6"/>
  <c r="BI1233" i="6"/>
  <c r="BG1233" i="6"/>
  <c r="BE1233" i="6"/>
  <c r="BC1233" i="6"/>
  <c r="A1233" i="6"/>
  <c r="DE1232" i="6"/>
  <c r="DC1232" i="6"/>
  <c r="CY1232" i="6"/>
  <c r="CW1232" i="6"/>
  <c r="CU1232" i="6"/>
  <c r="CS1232" i="6"/>
  <c r="BM1232" i="6"/>
  <c r="BK1232" i="6"/>
  <c r="BI1232" i="6"/>
  <c r="BG1232" i="6"/>
  <c r="BE1232" i="6"/>
  <c r="BC1232" i="6"/>
  <c r="A1232" i="6"/>
  <c r="DE1231" i="6"/>
  <c r="DC1231" i="6"/>
  <c r="CY1231" i="6"/>
  <c r="CW1231" i="6"/>
  <c r="CU1231" i="6"/>
  <c r="CS1231" i="6"/>
  <c r="BM1231" i="6"/>
  <c r="BK1231" i="6"/>
  <c r="BI1231" i="6"/>
  <c r="BG1231" i="6"/>
  <c r="BE1231" i="6"/>
  <c r="BC1231" i="6"/>
  <c r="A1231" i="6"/>
  <c r="DE1230" i="6"/>
  <c r="DC1230" i="6"/>
  <c r="CY1230" i="6"/>
  <c r="CW1230" i="6"/>
  <c r="CU1230" i="6"/>
  <c r="CS1230" i="6"/>
  <c r="BM1230" i="6"/>
  <c r="BK1230" i="6"/>
  <c r="BI1230" i="6"/>
  <c r="BG1230" i="6"/>
  <c r="BE1230" i="6"/>
  <c r="BC1230" i="6"/>
  <c r="A1230" i="6"/>
  <c r="DE1229" i="6"/>
  <c r="DC1229" i="6"/>
  <c r="CY1229" i="6"/>
  <c r="CW1229" i="6"/>
  <c r="CU1229" i="6"/>
  <c r="CS1229" i="6"/>
  <c r="BM1229" i="6"/>
  <c r="BK1229" i="6"/>
  <c r="BI1229" i="6"/>
  <c r="BG1229" i="6"/>
  <c r="BE1229" i="6"/>
  <c r="BC1229" i="6"/>
  <c r="A1229" i="6"/>
  <c r="DE1228" i="6"/>
  <c r="DC1228" i="6"/>
  <c r="CY1228" i="6"/>
  <c r="CW1228" i="6"/>
  <c r="CU1228" i="6"/>
  <c r="CS1228" i="6"/>
  <c r="BM1228" i="6"/>
  <c r="BK1228" i="6"/>
  <c r="BI1228" i="6"/>
  <c r="BG1228" i="6"/>
  <c r="BE1228" i="6"/>
  <c r="BC1228" i="6"/>
  <c r="A1228" i="6"/>
  <c r="DE1227" i="6"/>
  <c r="DC1227" i="6"/>
  <c r="CY1227" i="6"/>
  <c r="CW1227" i="6"/>
  <c r="CU1227" i="6"/>
  <c r="CS1227" i="6"/>
  <c r="BM1227" i="6"/>
  <c r="BK1227" i="6"/>
  <c r="BI1227" i="6"/>
  <c r="BG1227" i="6"/>
  <c r="BE1227" i="6"/>
  <c r="BC1227" i="6"/>
  <c r="A1227" i="6"/>
  <c r="DE1226" i="6"/>
  <c r="DC1226" i="6"/>
  <c r="CY1226" i="6"/>
  <c r="CW1226" i="6"/>
  <c r="CU1226" i="6"/>
  <c r="CS1226" i="6"/>
  <c r="BM1226" i="6"/>
  <c r="BK1226" i="6"/>
  <c r="BI1226" i="6"/>
  <c r="BG1226" i="6"/>
  <c r="BE1226" i="6"/>
  <c r="BC1226" i="6"/>
  <c r="A1226" i="6"/>
  <c r="DE1225" i="6"/>
  <c r="DC1225" i="6"/>
  <c r="CY1225" i="6"/>
  <c r="CW1225" i="6"/>
  <c r="CU1225" i="6"/>
  <c r="CS1225" i="6"/>
  <c r="BM1225" i="6"/>
  <c r="BK1225" i="6"/>
  <c r="BI1225" i="6"/>
  <c r="BG1225" i="6"/>
  <c r="BE1225" i="6"/>
  <c r="BC1225" i="6"/>
  <c r="A1225" i="6"/>
  <c r="DE1224" i="6"/>
  <c r="DC1224" i="6"/>
  <c r="CY1224" i="6"/>
  <c r="CW1224" i="6"/>
  <c r="CU1224" i="6"/>
  <c r="CS1224" i="6"/>
  <c r="BM1224" i="6"/>
  <c r="BK1224" i="6"/>
  <c r="BI1224" i="6"/>
  <c r="BG1224" i="6"/>
  <c r="BE1224" i="6"/>
  <c r="BC1224" i="6"/>
  <c r="A1224" i="6"/>
  <c r="DE1223" i="6"/>
  <c r="DC1223" i="6"/>
  <c r="CY1223" i="6"/>
  <c r="CW1223" i="6"/>
  <c r="CU1223" i="6"/>
  <c r="CS1223" i="6"/>
  <c r="BM1223" i="6"/>
  <c r="BK1223" i="6"/>
  <c r="BI1223" i="6"/>
  <c r="BG1223" i="6"/>
  <c r="BE1223" i="6"/>
  <c r="BC1223" i="6"/>
  <c r="A1223" i="6"/>
  <c r="DE1222" i="6"/>
  <c r="DC1222" i="6"/>
  <c r="CY1222" i="6"/>
  <c r="CW1222" i="6"/>
  <c r="CU1222" i="6"/>
  <c r="CS1222" i="6"/>
  <c r="BM1222" i="6"/>
  <c r="BK1222" i="6"/>
  <c r="BI1222" i="6"/>
  <c r="BG1222" i="6"/>
  <c r="BE1222" i="6"/>
  <c r="BC1222" i="6"/>
  <c r="A1222" i="6"/>
  <c r="DE1221" i="6"/>
  <c r="DC1221" i="6"/>
  <c r="CY1221" i="6"/>
  <c r="CW1221" i="6"/>
  <c r="CU1221" i="6"/>
  <c r="CS1221" i="6"/>
  <c r="BM1221" i="6"/>
  <c r="BK1221" i="6"/>
  <c r="BI1221" i="6"/>
  <c r="BG1221" i="6"/>
  <c r="BE1221" i="6"/>
  <c r="BC1221" i="6"/>
  <c r="A1221" i="6"/>
  <c r="DE1220" i="6"/>
  <c r="DC1220" i="6"/>
  <c r="CY1220" i="6"/>
  <c r="CW1220" i="6"/>
  <c r="CU1220" i="6"/>
  <c r="CS1220" i="6"/>
  <c r="BM1220" i="6"/>
  <c r="BK1220" i="6"/>
  <c r="BI1220" i="6"/>
  <c r="BG1220" i="6"/>
  <c r="BE1220" i="6"/>
  <c r="BC1220" i="6"/>
  <c r="A1220" i="6"/>
  <c r="DE1219" i="6"/>
  <c r="DC1219" i="6"/>
  <c r="CY1219" i="6"/>
  <c r="CW1219" i="6"/>
  <c r="CU1219" i="6"/>
  <c r="CS1219" i="6"/>
  <c r="BM1219" i="6"/>
  <c r="BK1219" i="6"/>
  <c r="BI1219" i="6"/>
  <c r="BG1219" i="6"/>
  <c r="BE1219" i="6"/>
  <c r="BC1219" i="6"/>
  <c r="A1219" i="6"/>
  <c r="DE1218" i="6"/>
  <c r="DC1218" i="6"/>
  <c r="CY1218" i="6"/>
  <c r="CW1218" i="6"/>
  <c r="CU1218" i="6"/>
  <c r="CS1218" i="6"/>
  <c r="BM1218" i="6"/>
  <c r="BK1218" i="6"/>
  <c r="BI1218" i="6"/>
  <c r="BG1218" i="6"/>
  <c r="BE1218" i="6"/>
  <c r="BC1218" i="6"/>
  <c r="A1218" i="6"/>
  <c r="DE1217" i="6"/>
  <c r="DC1217" i="6"/>
  <c r="CY1217" i="6"/>
  <c r="CW1217" i="6"/>
  <c r="CU1217" i="6"/>
  <c r="CS1217" i="6"/>
  <c r="BM1217" i="6"/>
  <c r="BK1217" i="6"/>
  <c r="BI1217" i="6"/>
  <c r="BG1217" i="6"/>
  <c r="BE1217" i="6"/>
  <c r="BC1217" i="6"/>
  <c r="A1217" i="6"/>
  <c r="DE1216" i="6"/>
  <c r="DC1216" i="6"/>
  <c r="CY1216" i="6"/>
  <c r="CW1216" i="6"/>
  <c r="CU1216" i="6"/>
  <c r="CS1216" i="6"/>
  <c r="BM1216" i="6"/>
  <c r="BK1216" i="6"/>
  <c r="BI1216" i="6"/>
  <c r="BG1216" i="6"/>
  <c r="BE1216" i="6"/>
  <c r="BC1216" i="6"/>
  <c r="A1216" i="6"/>
  <c r="DE1215" i="6"/>
  <c r="DC1215" i="6"/>
  <c r="CY1215" i="6"/>
  <c r="CW1215" i="6"/>
  <c r="CU1215" i="6"/>
  <c r="CS1215" i="6"/>
  <c r="BM1215" i="6"/>
  <c r="BK1215" i="6"/>
  <c r="BI1215" i="6"/>
  <c r="BG1215" i="6"/>
  <c r="BE1215" i="6"/>
  <c r="BC1215" i="6"/>
  <c r="A1215" i="6"/>
  <c r="DE1214" i="6"/>
  <c r="DC1214" i="6"/>
  <c r="CY1214" i="6"/>
  <c r="CW1214" i="6"/>
  <c r="CU1214" i="6"/>
  <c r="CS1214" i="6"/>
  <c r="BM1214" i="6"/>
  <c r="BK1214" i="6"/>
  <c r="BI1214" i="6"/>
  <c r="BG1214" i="6"/>
  <c r="BE1214" i="6"/>
  <c r="BC1214" i="6"/>
  <c r="A1214" i="6"/>
  <c r="DE1213" i="6"/>
  <c r="DC1213" i="6"/>
  <c r="CY1213" i="6"/>
  <c r="CW1213" i="6"/>
  <c r="CU1213" i="6"/>
  <c r="CS1213" i="6"/>
  <c r="BM1213" i="6"/>
  <c r="BK1213" i="6"/>
  <c r="BI1213" i="6"/>
  <c r="BG1213" i="6"/>
  <c r="BE1213" i="6"/>
  <c r="BC1213" i="6"/>
  <c r="A1213" i="6"/>
  <c r="DE1212" i="6"/>
  <c r="DC1212" i="6"/>
  <c r="CY1212" i="6"/>
  <c r="CW1212" i="6"/>
  <c r="CU1212" i="6"/>
  <c r="CS1212" i="6"/>
  <c r="BM1212" i="6"/>
  <c r="BK1212" i="6"/>
  <c r="BI1212" i="6"/>
  <c r="BG1212" i="6"/>
  <c r="BE1212" i="6"/>
  <c r="BC1212" i="6"/>
  <c r="A1212" i="6"/>
  <c r="DE1211" i="6"/>
  <c r="DC1211" i="6"/>
  <c r="CY1211" i="6"/>
  <c r="CW1211" i="6"/>
  <c r="CU1211" i="6"/>
  <c r="CS1211" i="6"/>
  <c r="BM1211" i="6"/>
  <c r="BK1211" i="6"/>
  <c r="BI1211" i="6"/>
  <c r="BG1211" i="6"/>
  <c r="BE1211" i="6"/>
  <c r="BC1211" i="6"/>
  <c r="A1211" i="6"/>
  <c r="DE1210" i="6"/>
  <c r="DC1210" i="6"/>
  <c r="CY1210" i="6"/>
  <c r="CW1210" i="6"/>
  <c r="CU1210" i="6"/>
  <c r="CS1210" i="6"/>
  <c r="BM1210" i="6"/>
  <c r="BK1210" i="6"/>
  <c r="BI1210" i="6"/>
  <c r="BG1210" i="6"/>
  <c r="BE1210" i="6"/>
  <c r="BC1210" i="6"/>
  <c r="A1210" i="6"/>
  <c r="DE1209" i="6"/>
  <c r="DC1209" i="6"/>
  <c r="CY1209" i="6"/>
  <c r="CW1209" i="6"/>
  <c r="CU1209" i="6"/>
  <c r="CS1209" i="6"/>
  <c r="BM1209" i="6"/>
  <c r="BK1209" i="6"/>
  <c r="BI1209" i="6"/>
  <c r="BG1209" i="6"/>
  <c r="BE1209" i="6"/>
  <c r="BC1209" i="6"/>
  <c r="A1209" i="6"/>
  <c r="DE1208" i="6"/>
  <c r="DC1208" i="6"/>
  <c r="CY1208" i="6"/>
  <c r="CW1208" i="6"/>
  <c r="CU1208" i="6"/>
  <c r="CS1208" i="6"/>
  <c r="BM1208" i="6"/>
  <c r="BK1208" i="6"/>
  <c r="BI1208" i="6"/>
  <c r="BG1208" i="6"/>
  <c r="BE1208" i="6"/>
  <c r="BC1208" i="6"/>
  <c r="A1208" i="6"/>
  <c r="DE1207" i="6"/>
  <c r="DC1207" i="6"/>
  <c r="CY1207" i="6"/>
  <c r="CW1207" i="6"/>
  <c r="CU1207" i="6"/>
  <c r="CS1207" i="6"/>
  <c r="BM1207" i="6"/>
  <c r="BK1207" i="6"/>
  <c r="BI1207" i="6"/>
  <c r="BG1207" i="6"/>
  <c r="BE1207" i="6"/>
  <c r="BC1207" i="6"/>
  <c r="A1207" i="6"/>
  <c r="DE1206" i="6"/>
  <c r="DC1206" i="6"/>
  <c r="CY1206" i="6"/>
  <c r="CW1206" i="6"/>
  <c r="CU1206" i="6"/>
  <c r="CS1206" i="6"/>
  <c r="BM1206" i="6"/>
  <c r="BK1206" i="6"/>
  <c r="BI1206" i="6"/>
  <c r="BG1206" i="6"/>
  <c r="BE1206" i="6"/>
  <c r="BC1206" i="6"/>
  <c r="A1206" i="6"/>
  <c r="DE1205" i="6"/>
  <c r="DC1205" i="6"/>
  <c r="CY1205" i="6"/>
  <c r="CW1205" i="6"/>
  <c r="CU1205" i="6"/>
  <c r="CS1205" i="6"/>
  <c r="BM1205" i="6"/>
  <c r="BK1205" i="6"/>
  <c r="BI1205" i="6"/>
  <c r="BG1205" i="6"/>
  <c r="BE1205" i="6"/>
  <c r="BC1205" i="6"/>
  <c r="A1205" i="6"/>
  <c r="DE1204" i="6"/>
  <c r="DC1204" i="6"/>
  <c r="CY1204" i="6"/>
  <c r="CW1204" i="6"/>
  <c r="CU1204" i="6"/>
  <c r="CS1204" i="6"/>
  <c r="BM1204" i="6"/>
  <c r="BK1204" i="6"/>
  <c r="BI1204" i="6"/>
  <c r="BG1204" i="6"/>
  <c r="BE1204" i="6"/>
  <c r="BC1204" i="6"/>
  <c r="A1204" i="6"/>
  <c r="DE1203" i="6"/>
  <c r="DC1203" i="6"/>
  <c r="CY1203" i="6"/>
  <c r="CW1203" i="6"/>
  <c r="CU1203" i="6"/>
  <c r="CS1203" i="6"/>
  <c r="BM1203" i="6"/>
  <c r="BK1203" i="6"/>
  <c r="BI1203" i="6"/>
  <c r="BG1203" i="6"/>
  <c r="BE1203" i="6"/>
  <c r="BC1203" i="6"/>
  <c r="A1203" i="6"/>
  <c r="DE1202" i="6"/>
  <c r="DC1202" i="6"/>
  <c r="CY1202" i="6"/>
  <c r="CW1202" i="6"/>
  <c r="CU1202" i="6"/>
  <c r="CS1202" i="6"/>
  <c r="BM1202" i="6"/>
  <c r="BK1202" i="6"/>
  <c r="BI1202" i="6"/>
  <c r="BG1202" i="6"/>
  <c r="BE1202" i="6"/>
  <c r="BC1202" i="6"/>
  <c r="A1202" i="6"/>
  <c r="DE1201" i="6"/>
  <c r="DC1201" i="6"/>
  <c r="CY1201" i="6"/>
  <c r="CW1201" i="6"/>
  <c r="CU1201" i="6"/>
  <c r="CS1201" i="6"/>
  <c r="BM1201" i="6"/>
  <c r="BK1201" i="6"/>
  <c r="BI1201" i="6"/>
  <c r="BG1201" i="6"/>
  <c r="BE1201" i="6"/>
  <c r="BC1201" i="6"/>
  <c r="A1201" i="6"/>
  <c r="DE1200" i="6"/>
  <c r="DC1200" i="6"/>
  <c r="CY1200" i="6"/>
  <c r="CW1200" i="6"/>
  <c r="CU1200" i="6"/>
  <c r="CS1200" i="6"/>
  <c r="BM1200" i="6"/>
  <c r="BK1200" i="6"/>
  <c r="BI1200" i="6"/>
  <c r="BG1200" i="6"/>
  <c r="BE1200" i="6"/>
  <c r="BC1200" i="6"/>
  <c r="A1200" i="6"/>
  <c r="DE1199" i="6"/>
  <c r="DC1199" i="6"/>
  <c r="CY1199" i="6"/>
  <c r="CW1199" i="6"/>
  <c r="CU1199" i="6"/>
  <c r="CS1199" i="6"/>
  <c r="BM1199" i="6"/>
  <c r="BK1199" i="6"/>
  <c r="BI1199" i="6"/>
  <c r="BG1199" i="6"/>
  <c r="BE1199" i="6"/>
  <c r="BC1199" i="6"/>
  <c r="A1199" i="6"/>
  <c r="DE1198" i="6"/>
  <c r="DC1198" i="6"/>
  <c r="CY1198" i="6"/>
  <c r="CW1198" i="6"/>
  <c r="CU1198" i="6"/>
  <c r="CS1198" i="6"/>
  <c r="BM1198" i="6"/>
  <c r="BK1198" i="6"/>
  <c r="BI1198" i="6"/>
  <c r="BG1198" i="6"/>
  <c r="BE1198" i="6"/>
  <c r="BC1198" i="6"/>
  <c r="A1198" i="6"/>
  <c r="DE1197" i="6"/>
  <c r="DC1197" i="6"/>
  <c r="CY1197" i="6"/>
  <c r="CW1197" i="6"/>
  <c r="CU1197" i="6"/>
  <c r="CS1197" i="6"/>
  <c r="BM1197" i="6"/>
  <c r="BK1197" i="6"/>
  <c r="BI1197" i="6"/>
  <c r="BG1197" i="6"/>
  <c r="BE1197" i="6"/>
  <c r="BC1197" i="6"/>
  <c r="A1197" i="6"/>
  <c r="DE1196" i="6"/>
  <c r="DC1196" i="6"/>
  <c r="CY1196" i="6"/>
  <c r="CW1196" i="6"/>
  <c r="CU1196" i="6"/>
  <c r="CS1196" i="6"/>
  <c r="BM1196" i="6"/>
  <c r="BK1196" i="6"/>
  <c r="BI1196" i="6"/>
  <c r="BG1196" i="6"/>
  <c r="BE1196" i="6"/>
  <c r="BC1196" i="6"/>
  <c r="A1196" i="6"/>
  <c r="DE1195" i="6"/>
  <c r="DC1195" i="6"/>
  <c r="CY1195" i="6"/>
  <c r="CW1195" i="6"/>
  <c r="CU1195" i="6"/>
  <c r="CS1195" i="6"/>
  <c r="BM1195" i="6"/>
  <c r="BK1195" i="6"/>
  <c r="BI1195" i="6"/>
  <c r="BG1195" i="6"/>
  <c r="BE1195" i="6"/>
  <c r="BC1195" i="6"/>
  <c r="A1195" i="6"/>
  <c r="DE1194" i="6"/>
  <c r="DC1194" i="6"/>
  <c r="CY1194" i="6"/>
  <c r="CW1194" i="6"/>
  <c r="CU1194" i="6"/>
  <c r="CS1194" i="6"/>
  <c r="BM1194" i="6"/>
  <c r="BK1194" i="6"/>
  <c r="BI1194" i="6"/>
  <c r="BG1194" i="6"/>
  <c r="BE1194" i="6"/>
  <c r="BC1194" i="6"/>
  <c r="A1194" i="6"/>
  <c r="DE1193" i="6"/>
  <c r="DC1193" i="6"/>
  <c r="CY1193" i="6"/>
  <c r="CW1193" i="6"/>
  <c r="CU1193" i="6"/>
  <c r="CS1193" i="6"/>
  <c r="BM1193" i="6"/>
  <c r="BK1193" i="6"/>
  <c r="BI1193" i="6"/>
  <c r="BG1193" i="6"/>
  <c r="BE1193" i="6"/>
  <c r="BC1193" i="6"/>
  <c r="A1193" i="6"/>
  <c r="DE1192" i="6"/>
  <c r="DC1192" i="6"/>
  <c r="CY1192" i="6"/>
  <c r="CW1192" i="6"/>
  <c r="CU1192" i="6"/>
  <c r="CS1192" i="6"/>
  <c r="BM1192" i="6"/>
  <c r="BK1192" i="6"/>
  <c r="BI1192" i="6"/>
  <c r="BG1192" i="6"/>
  <c r="BE1192" i="6"/>
  <c r="BC1192" i="6"/>
  <c r="A1192" i="6"/>
  <c r="DE1191" i="6"/>
  <c r="DC1191" i="6"/>
  <c r="CY1191" i="6"/>
  <c r="CW1191" i="6"/>
  <c r="CU1191" i="6"/>
  <c r="CS1191" i="6"/>
  <c r="BM1191" i="6"/>
  <c r="BK1191" i="6"/>
  <c r="BI1191" i="6"/>
  <c r="BG1191" i="6"/>
  <c r="BE1191" i="6"/>
  <c r="BC1191" i="6"/>
  <c r="A1191" i="6"/>
  <c r="DE1190" i="6"/>
  <c r="DC1190" i="6"/>
  <c r="CY1190" i="6"/>
  <c r="CW1190" i="6"/>
  <c r="CU1190" i="6"/>
  <c r="CS1190" i="6"/>
  <c r="BM1190" i="6"/>
  <c r="BK1190" i="6"/>
  <c r="BI1190" i="6"/>
  <c r="BG1190" i="6"/>
  <c r="BE1190" i="6"/>
  <c r="BC1190" i="6"/>
  <c r="A1190" i="6"/>
  <c r="DE1189" i="6"/>
  <c r="DC1189" i="6"/>
  <c r="CY1189" i="6"/>
  <c r="CW1189" i="6"/>
  <c r="CU1189" i="6"/>
  <c r="CS1189" i="6"/>
  <c r="BM1189" i="6"/>
  <c r="BK1189" i="6"/>
  <c r="BI1189" i="6"/>
  <c r="BG1189" i="6"/>
  <c r="BE1189" i="6"/>
  <c r="BC1189" i="6"/>
  <c r="A1189" i="6"/>
  <c r="DE1188" i="6"/>
  <c r="DC1188" i="6"/>
  <c r="CY1188" i="6"/>
  <c r="CW1188" i="6"/>
  <c r="CU1188" i="6"/>
  <c r="CS1188" i="6"/>
  <c r="BM1188" i="6"/>
  <c r="BK1188" i="6"/>
  <c r="BI1188" i="6"/>
  <c r="BG1188" i="6"/>
  <c r="BE1188" i="6"/>
  <c r="BC1188" i="6"/>
  <c r="A1188" i="6"/>
  <c r="DE1187" i="6"/>
  <c r="DC1187" i="6"/>
  <c r="CY1187" i="6"/>
  <c r="CW1187" i="6"/>
  <c r="CU1187" i="6"/>
  <c r="CS1187" i="6"/>
  <c r="BM1187" i="6"/>
  <c r="BK1187" i="6"/>
  <c r="BI1187" i="6"/>
  <c r="BG1187" i="6"/>
  <c r="BE1187" i="6"/>
  <c r="BC1187" i="6"/>
  <c r="A1187" i="6"/>
  <c r="DE1186" i="6"/>
  <c r="DC1186" i="6"/>
  <c r="CY1186" i="6"/>
  <c r="CW1186" i="6"/>
  <c r="CU1186" i="6"/>
  <c r="CS1186" i="6"/>
  <c r="BM1186" i="6"/>
  <c r="BK1186" i="6"/>
  <c r="BI1186" i="6"/>
  <c r="BG1186" i="6"/>
  <c r="BE1186" i="6"/>
  <c r="BC1186" i="6"/>
  <c r="A1186" i="6"/>
  <c r="DE1185" i="6"/>
  <c r="DC1185" i="6"/>
  <c r="CY1185" i="6"/>
  <c r="CW1185" i="6"/>
  <c r="CU1185" i="6"/>
  <c r="CS1185" i="6"/>
  <c r="BM1185" i="6"/>
  <c r="BK1185" i="6"/>
  <c r="BI1185" i="6"/>
  <c r="BG1185" i="6"/>
  <c r="BE1185" i="6"/>
  <c r="BC1185" i="6"/>
  <c r="A1185" i="6"/>
  <c r="DE1184" i="6"/>
  <c r="DC1184" i="6"/>
  <c r="CY1184" i="6"/>
  <c r="CW1184" i="6"/>
  <c r="CU1184" i="6"/>
  <c r="CS1184" i="6"/>
  <c r="BM1184" i="6"/>
  <c r="BK1184" i="6"/>
  <c r="BI1184" i="6"/>
  <c r="BG1184" i="6"/>
  <c r="BE1184" i="6"/>
  <c r="BC1184" i="6"/>
  <c r="A1184" i="6"/>
  <c r="DE1183" i="6"/>
  <c r="DC1183" i="6"/>
  <c r="CY1183" i="6"/>
  <c r="CW1183" i="6"/>
  <c r="CU1183" i="6"/>
  <c r="CS1183" i="6"/>
  <c r="BM1183" i="6"/>
  <c r="BK1183" i="6"/>
  <c r="BI1183" i="6"/>
  <c r="BG1183" i="6"/>
  <c r="BE1183" i="6"/>
  <c r="BC1183" i="6"/>
  <c r="A1183" i="6"/>
  <c r="DE1182" i="6"/>
  <c r="DC1182" i="6"/>
  <c r="CY1182" i="6"/>
  <c r="CW1182" i="6"/>
  <c r="CU1182" i="6"/>
  <c r="CS1182" i="6"/>
  <c r="BM1182" i="6"/>
  <c r="BK1182" i="6"/>
  <c r="BI1182" i="6"/>
  <c r="BG1182" i="6"/>
  <c r="BE1182" i="6"/>
  <c r="BC1182" i="6"/>
  <c r="A1182" i="6"/>
  <c r="DE1181" i="6"/>
  <c r="DC1181" i="6"/>
  <c r="CY1181" i="6"/>
  <c r="CW1181" i="6"/>
  <c r="CU1181" i="6"/>
  <c r="CS1181" i="6"/>
  <c r="BM1181" i="6"/>
  <c r="BK1181" i="6"/>
  <c r="BI1181" i="6"/>
  <c r="BG1181" i="6"/>
  <c r="BE1181" i="6"/>
  <c r="BC1181" i="6"/>
  <c r="A1181" i="6"/>
  <c r="DE1180" i="6"/>
  <c r="DC1180" i="6"/>
  <c r="CY1180" i="6"/>
  <c r="CW1180" i="6"/>
  <c r="CU1180" i="6"/>
  <c r="CS1180" i="6"/>
  <c r="BM1180" i="6"/>
  <c r="BK1180" i="6"/>
  <c r="BI1180" i="6"/>
  <c r="BG1180" i="6"/>
  <c r="BE1180" i="6"/>
  <c r="BC1180" i="6"/>
  <c r="A1180" i="6"/>
  <c r="DE1179" i="6"/>
  <c r="DC1179" i="6"/>
  <c r="CY1179" i="6"/>
  <c r="CW1179" i="6"/>
  <c r="CU1179" i="6"/>
  <c r="CS1179" i="6"/>
  <c r="BM1179" i="6"/>
  <c r="BK1179" i="6"/>
  <c r="BI1179" i="6"/>
  <c r="BG1179" i="6"/>
  <c r="BE1179" i="6"/>
  <c r="BC1179" i="6"/>
  <c r="A1179" i="6"/>
  <c r="DE1178" i="6"/>
  <c r="DC1178" i="6"/>
  <c r="CY1178" i="6"/>
  <c r="CW1178" i="6"/>
  <c r="CU1178" i="6"/>
  <c r="CS1178" i="6"/>
  <c r="BM1178" i="6"/>
  <c r="BK1178" i="6"/>
  <c r="BI1178" i="6"/>
  <c r="BG1178" i="6"/>
  <c r="BE1178" i="6"/>
  <c r="BC1178" i="6"/>
  <c r="A1178" i="6"/>
  <c r="DE1177" i="6"/>
  <c r="DC1177" i="6"/>
  <c r="CY1177" i="6"/>
  <c r="CW1177" i="6"/>
  <c r="CU1177" i="6"/>
  <c r="CS1177" i="6"/>
  <c r="BM1177" i="6"/>
  <c r="BK1177" i="6"/>
  <c r="BI1177" i="6"/>
  <c r="BG1177" i="6"/>
  <c r="BE1177" i="6"/>
  <c r="BC1177" i="6"/>
  <c r="A1177" i="6"/>
  <c r="DE1176" i="6"/>
  <c r="DC1176" i="6"/>
  <c r="CY1176" i="6"/>
  <c r="CW1176" i="6"/>
  <c r="CU1176" i="6"/>
  <c r="CS1176" i="6"/>
  <c r="BM1176" i="6"/>
  <c r="BK1176" i="6"/>
  <c r="BI1176" i="6"/>
  <c r="BG1176" i="6"/>
  <c r="BE1176" i="6"/>
  <c r="BC1176" i="6"/>
  <c r="A1176" i="6"/>
  <c r="DE1175" i="6"/>
  <c r="DC1175" i="6"/>
  <c r="CY1175" i="6"/>
  <c r="CW1175" i="6"/>
  <c r="CU1175" i="6"/>
  <c r="CS1175" i="6"/>
  <c r="BM1175" i="6"/>
  <c r="BK1175" i="6"/>
  <c r="BI1175" i="6"/>
  <c r="BG1175" i="6"/>
  <c r="BE1175" i="6"/>
  <c r="BC1175" i="6"/>
  <c r="A1175" i="6"/>
  <c r="DE1174" i="6"/>
  <c r="DC1174" i="6"/>
  <c r="CY1174" i="6"/>
  <c r="CW1174" i="6"/>
  <c r="CU1174" i="6"/>
  <c r="CS1174" i="6"/>
  <c r="BM1174" i="6"/>
  <c r="BK1174" i="6"/>
  <c r="BI1174" i="6"/>
  <c r="BG1174" i="6"/>
  <c r="BE1174" i="6"/>
  <c r="BC1174" i="6"/>
  <c r="A1174" i="6"/>
  <c r="DE1173" i="6"/>
  <c r="DC1173" i="6"/>
  <c r="CY1173" i="6"/>
  <c r="CW1173" i="6"/>
  <c r="CU1173" i="6"/>
  <c r="CS1173" i="6"/>
  <c r="BM1173" i="6"/>
  <c r="BK1173" i="6"/>
  <c r="BI1173" i="6"/>
  <c r="BG1173" i="6"/>
  <c r="BE1173" i="6"/>
  <c r="BC1173" i="6"/>
  <c r="A1173" i="6"/>
  <c r="DE1172" i="6"/>
  <c r="DC1172" i="6"/>
  <c r="CY1172" i="6"/>
  <c r="CW1172" i="6"/>
  <c r="CU1172" i="6"/>
  <c r="CS1172" i="6"/>
  <c r="BM1172" i="6"/>
  <c r="BK1172" i="6"/>
  <c r="BI1172" i="6"/>
  <c r="BG1172" i="6"/>
  <c r="BE1172" i="6"/>
  <c r="BC1172" i="6"/>
  <c r="A1172" i="6"/>
  <c r="DE1171" i="6"/>
  <c r="DC1171" i="6"/>
  <c r="CY1171" i="6"/>
  <c r="CW1171" i="6"/>
  <c r="CU1171" i="6"/>
  <c r="CS1171" i="6"/>
  <c r="BM1171" i="6"/>
  <c r="BK1171" i="6"/>
  <c r="BI1171" i="6"/>
  <c r="BG1171" i="6"/>
  <c r="BE1171" i="6"/>
  <c r="BC1171" i="6"/>
  <c r="A1171" i="6"/>
  <c r="DE1170" i="6"/>
  <c r="DC1170" i="6"/>
  <c r="CY1170" i="6"/>
  <c r="CW1170" i="6"/>
  <c r="CU1170" i="6"/>
  <c r="CS1170" i="6"/>
  <c r="BM1170" i="6"/>
  <c r="BK1170" i="6"/>
  <c r="BI1170" i="6"/>
  <c r="BG1170" i="6"/>
  <c r="BE1170" i="6"/>
  <c r="BC1170" i="6"/>
  <c r="A1170" i="6"/>
  <c r="DE1169" i="6"/>
  <c r="DC1169" i="6"/>
  <c r="CY1169" i="6"/>
  <c r="CW1169" i="6"/>
  <c r="CU1169" i="6"/>
  <c r="CS1169" i="6"/>
  <c r="BM1169" i="6"/>
  <c r="BK1169" i="6"/>
  <c r="BI1169" i="6"/>
  <c r="BG1169" i="6"/>
  <c r="BE1169" i="6"/>
  <c r="BC1169" i="6"/>
  <c r="A1169" i="6"/>
  <c r="DE1168" i="6"/>
  <c r="DC1168" i="6"/>
  <c r="CY1168" i="6"/>
  <c r="CW1168" i="6"/>
  <c r="CU1168" i="6"/>
  <c r="CS1168" i="6"/>
  <c r="BM1168" i="6"/>
  <c r="BK1168" i="6"/>
  <c r="BI1168" i="6"/>
  <c r="BG1168" i="6"/>
  <c r="BE1168" i="6"/>
  <c r="BC1168" i="6"/>
  <c r="A1168" i="6"/>
  <c r="DE1167" i="6"/>
  <c r="DC1167" i="6"/>
  <c r="CY1167" i="6"/>
  <c r="CW1167" i="6"/>
  <c r="CU1167" i="6"/>
  <c r="CS1167" i="6"/>
  <c r="BM1167" i="6"/>
  <c r="BK1167" i="6"/>
  <c r="BI1167" i="6"/>
  <c r="BG1167" i="6"/>
  <c r="BE1167" i="6"/>
  <c r="BC1167" i="6"/>
  <c r="A1167" i="6"/>
  <c r="DE1166" i="6"/>
  <c r="DC1166" i="6"/>
  <c r="CY1166" i="6"/>
  <c r="CW1166" i="6"/>
  <c r="CU1166" i="6"/>
  <c r="CS1166" i="6"/>
  <c r="BM1166" i="6"/>
  <c r="BK1166" i="6"/>
  <c r="BI1166" i="6"/>
  <c r="BG1166" i="6"/>
  <c r="BE1166" i="6"/>
  <c r="BC1166" i="6"/>
  <c r="A1166" i="6"/>
  <c r="DE1165" i="6"/>
  <c r="DC1165" i="6"/>
  <c r="CY1165" i="6"/>
  <c r="CW1165" i="6"/>
  <c r="CU1165" i="6"/>
  <c r="CS1165" i="6"/>
  <c r="BM1165" i="6"/>
  <c r="BK1165" i="6"/>
  <c r="BI1165" i="6"/>
  <c r="BG1165" i="6"/>
  <c r="BE1165" i="6"/>
  <c r="BC1165" i="6"/>
  <c r="A1165" i="6"/>
  <c r="DE1164" i="6"/>
  <c r="DC1164" i="6"/>
  <c r="CY1164" i="6"/>
  <c r="CW1164" i="6"/>
  <c r="CU1164" i="6"/>
  <c r="CS1164" i="6"/>
  <c r="BM1164" i="6"/>
  <c r="BK1164" i="6"/>
  <c r="BI1164" i="6"/>
  <c r="BG1164" i="6"/>
  <c r="BE1164" i="6"/>
  <c r="BC1164" i="6"/>
  <c r="A1164" i="6"/>
  <c r="DE1163" i="6"/>
  <c r="DC1163" i="6"/>
  <c r="CY1163" i="6"/>
  <c r="CW1163" i="6"/>
  <c r="CU1163" i="6"/>
  <c r="CS1163" i="6"/>
  <c r="BM1163" i="6"/>
  <c r="BK1163" i="6"/>
  <c r="BI1163" i="6"/>
  <c r="BG1163" i="6"/>
  <c r="BE1163" i="6"/>
  <c r="BC1163" i="6"/>
  <c r="A1163" i="6"/>
  <c r="DE1162" i="6"/>
  <c r="DC1162" i="6"/>
  <c r="CY1162" i="6"/>
  <c r="CW1162" i="6"/>
  <c r="CU1162" i="6"/>
  <c r="CS1162" i="6"/>
  <c r="BM1162" i="6"/>
  <c r="BK1162" i="6"/>
  <c r="BI1162" i="6"/>
  <c r="BG1162" i="6"/>
  <c r="BE1162" i="6"/>
  <c r="BC1162" i="6"/>
  <c r="A1162" i="6"/>
  <c r="DE1161" i="6"/>
  <c r="DC1161" i="6"/>
  <c r="CY1161" i="6"/>
  <c r="CW1161" i="6"/>
  <c r="CU1161" i="6"/>
  <c r="CS1161" i="6"/>
  <c r="BM1161" i="6"/>
  <c r="BK1161" i="6"/>
  <c r="BI1161" i="6"/>
  <c r="BG1161" i="6"/>
  <c r="BE1161" i="6"/>
  <c r="BC1161" i="6"/>
  <c r="A1161" i="6"/>
  <c r="DE1160" i="6"/>
  <c r="DC1160" i="6"/>
  <c r="CY1160" i="6"/>
  <c r="CW1160" i="6"/>
  <c r="CU1160" i="6"/>
  <c r="CS1160" i="6"/>
  <c r="BM1160" i="6"/>
  <c r="BK1160" i="6"/>
  <c r="BI1160" i="6"/>
  <c r="BG1160" i="6"/>
  <c r="BE1160" i="6"/>
  <c r="BC1160" i="6"/>
  <c r="A1160" i="6"/>
  <c r="DE1159" i="6"/>
  <c r="DC1159" i="6"/>
  <c r="CY1159" i="6"/>
  <c r="CW1159" i="6"/>
  <c r="CU1159" i="6"/>
  <c r="CS1159" i="6"/>
  <c r="BM1159" i="6"/>
  <c r="BK1159" i="6"/>
  <c r="BI1159" i="6"/>
  <c r="BG1159" i="6"/>
  <c r="BE1159" i="6"/>
  <c r="BC1159" i="6"/>
  <c r="A1159" i="6"/>
  <c r="DE1158" i="6"/>
  <c r="DC1158" i="6"/>
  <c r="CY1158" i="6"/>
  <c r="CW1158" i="6"/>
  <c r="CU1158" i="6"/>
  <c r="CS1158" i="6"/>
  <c r="BM1158" i="6"/>
  <c r="BK1158" i="6"/>
  <c r="BI1158" i="6"/>
  <c r="BG1158" i="6"/>
  <c r="BE1158" i="6"/>
  <c r="BC1158" i="6"/>
  <c r="A1158" i="6"/>
  <c r="DE1157" i="6"/>
  <c r="DC1157" i="6"/>
  <c r="CY1157" i="6"/>
  <c r="CW1157" i="6"/>
  <c r="CU1157" i="6"/>
  <c r="CS1157" i="6"/>
  <c r="BM1157" i="6"/>
  <c r="BK1157" i="6"/>
  <c r="BI1157" i="6"/>
  <c r="BG1157" i="6"/>
  <c r="BE1157" i="6"/>
  <c r="BC1157" i="6"/>
  <c r="A1157" i="6"/>
  <c r="DE1156" i="6"/>
  <c r="DC1156" i="6"/>
  <c r="CY1156" i="6"/>
  <c r="CW1156" i="6"/>
  <c r="CU1156" i="6"/>
  <c r="CS1156" i="6"/>
  <c r="BM1156" i="6"/>
  <c r="BK1156" i="6"/>
  <c r="BI1156" i="6"/>
  <c r="BG1156" i="6"/>
  <c r="BE1156" i="6"/>
  <c r="BC1156" i="6"/>
  <c r="A1156" i="6"/>
  <c r="DE1155" i="6"/>
  <c r="DC1155" i="6"/>
  <c r="CY1155" i="6"/>
  <c r="CW1155" i="6"/>
  <c r="CU1155" i="6"/>
  <c r="CS1155" i="6"/>
  <c r="BM1155" i="6"/>
  <c r="BK1155" i="6"/>
  <c r="BI1155" i="6"/>
  <c r="BG1155" i="6"/>
  <c r="BE1155" i="6"/>
  <c r="BC1155" i="6"/>
  <c r="A1155" i="6"/>
  <c r="DE1154" i="6"/>
  <c r="DC1154" i="6"/>
  <c r="CY1154" i="6"/>
  <c r="CW1154" i="6"/>
  <c r="CU1154" i="6"/>
  <c r="CS1154" i="6"/>
  <c r="BM1154" i="6"/>
  <c r="BK1154" i="6"/>
  <c r="BI1154" i="6"/>
  <c r="BG1154" i="6"/>
  <c r="BE1154" i="6"/>
  <c r="BC1154" i="6"/>
  <c r="A1154" i="6"/>
  <c r="DE1153" i="6"/>
  <c r="DC1153" i="6"/>
  <c r="CY1153" i="6"/>
  <c r="CW1153" i="6"/>
  <c r="CU1153" i="6"/>
  <c r="CS1153" i="6"/>
  <c r="BM1153" i="6"/>
  <c r="BK1153" i="6"/>
  <c r="BI1153" i="6"/>
  <c r="BG1153" i="6"/>
  <c r="BE1153" i="6"/>
  <c r="BC1153" i="6"/>
  <c r="A1153" i="6"/>
  <c r="DE1152" i="6"/>
  <c r="DC1152" i="6"/>
  <c r="CY1152" i="6"/>
  <c r="CW1152" i="6"/>
  <c r="CU1152" i="6"/>
  <c r="CS1152" i="6"/>
  <c r="BM1152" i="6"/>
  <c r="BK1152" i="6"/>
  <c r="BI1152" i="6"/>
  <c r="BG1152" i="6"/>
  <c r="BE1152" i="6"/>
  <c r="BC1152" i="6"/>
  <c r="A1152" i="6"/>
  <c r="DE1151" i="6"/>
  <c r="DC1151" i="6"/>
  <c r="CY1151" i="6"/>
  <c r="CW1151" i="6"/>
  <c r="CU1151" i="6"/>
  <c r="CS1151" i="6"/>
  <c r="BM1151" i="6"/>
  <c r="BK1151" i="6"/>
  <c r="BI1151" i="6"/>
  <c r="BG1151" i="6"/>
  <c r="BE1151" i="6"/>
  <c r="BC1151" i="6"/>
  <c r="A1151" i="6"/>
  <c r="DE1150" i="6"/>
  <c r="DC1150" i="6"/>
  <c r="CY1150" i="6"/>
  <c r="CW1150" i="6"/>
  <c r="CU1150" i="6"/>
  <c r="CS1150" i="6"/>
  <c r="BM1150" i="6"/>
  <c r="BK1150" i="6"/>
  <c r="BI1150" i="6"/>
  <c r="BG1150" i="6"/>
  <c r="BE1150" i="6"/>
  <c r="BC1150" i="6"/>
  <c r="A1150" i="6"/>
  <c r="DE1149" i="6"/>
  <c r="DC1149" i="6"/>
  <c r="CY1149" i="6"/>
  <c r="CW1149" i="6"/>
  <c r="CU1149" i="6"/>
  <c r="CS1149" i="6"/>
  <c r="BM1149" i="6"/>
  <c r="BK1149" i="6"/>
  <c r="BI1149" i="6"/>
  <c r="BG1149" i="6"/>
  <c r="BE1149" i="6"/>
  <c r="BC1149" i="6"/>
  <c r="A1149" i="6"/>
  <c r="DE1148" i="6"/>
  <c r="DC1148" i="6"/>
  <c r="CY1148" i="6"/>
  <c r="CW1148" i="6"/>
  <c r="CU1148" i="6"/>
  <c r="CS1148" i="6"/>
  <c r="BM1148" i="6"/>
  <c r="BK1148" i="6"/>
  <c r="BI1148" i="6"/>
  <c r="BG1148" i="6"/>
  <c r="BE1148" i="6"/>
  <c r="BC1148" i="6"/>
  <c r="A1148" i="6"/>
  <c r="DE1147" i="6"/>
  <c r="DC1147" i="6"/>
  <c r="CY1147" i="6"/>
  <c r="CW1147" i="6"/>
  <c r="CU1147" i="6"/>
  <c r="CS1147" i="6"/>
  <c r="BM1147" i="6"/>
  <c r="BK1147" i="6"/>
  <c r="BI1147" i="6"/>
  <c r="BG1147" i="6"/>
  <c r="BE1147" i="6"/>
  <c r="BC1147" i="6"/>
  <c r="A1147" i="6"/>
  <c r="DE1146" i="6"/>
  <c r="DC1146" i="6"/>
  <c r="CY1146" i="6"/>
  <c r="CW1146" i="6"/>
  <c r="CU1146" i="6"/>
  <c r="CS1146" i="6"/>
  <c r="BM1146" i="6"/>
  <c r="BK1146" i="6"/>
  <c r="BI1146" i="6"/>
  <c r="BG1146" i="6"/>
  <c r="BE1146" i="6"/>
  <c r="BC1146" i="6"/>
  <c r="A1146" i="6"/>
  <c r="DE1145" i="6"/>
  <c r="DC1145" i="6"/>
  <c r="CY1145" i="6"/>
  <c r="CW1145" i="6"/>
  <c r="CU1145" i="6"/>
  <c r="CS1145" i="6"/>
  <c r="BM1145" i="6"/>
  <c r="BK1145" i="6"/>
  <c r="BI1145" i="6"/>
  <c r="BG1145" i="6"/>
  <c r="BE1145" i="6"/>
  <c r="BC1145" i="6"/>
  <c r="A1145" i="6"/>
  <c r="DE1144" i="6"/>
  <c r="DC1144" i="6"/>
  <c r="CY1144" i="6"/>
  <c r="CW1144" i="6"/>
  <c r="CU1144" i="6"/>
  <c r="CS1144" i="6"/>
  <c r="BM1144" i="6"/>
  <c r="BK1144" i="6"/>
  <c r="BI1144" i="6"/>
  <c r="BG1144" i="6"/>
  <c r="BE1144" i="6"/>
  <c r="BC1144" i="6"/>
  <c r="A1144" i="6"/>
  <c r="DE1143" i="6"/>
  <c r="DC1143" i="6"/>
  <c r="CY1143" i="6"/>
  <c r="CW1143" i="6"/>
  <c r="CU1143" i="6"/>
  <c r="CS1143" i="6"/>
  <c r="BM1143" i="6"/>
  <c r="BK1143" i="6"/>
  <c r="BI1143" i="6"/>
  <c r="BG1143" i="6"/>
  <c r="BE1143" i="6"/>
  <c r="BC1143" i="6"/>
  <c r="A1143" i="6"/>
  <c r="DE1142" i="6"/>
  <c r="DC1142" i="6"/>
  <c r="CY1142" i="6"/>
  <c r="CW1142" i="6"/>
  <c r="CU1142" i="6"/>
  <c r="CS1142" i="6"/>
  <c r="BM1142" i="6"/>
  <c r="BK1142" i="6"/>
  <c r="BI1142" i="6"/>
  <c r="BG1142" i="6"/>
  <c r="BE1142" i="6"/>
  <c r="BC1142" i="6"/>
  <c r="A1142" i="6"/>
  <c r="DE1141" i="6"/>
  <c r="DC1141" i="6"/>
  <c r="CY1141" i="6"/>
  <c r="CW1141" i="6"/>
  <c r="CU1141" i="6"/>
  <c r="CS1141" i="6"/>
  <c r="BM1141" i="6"/>
  <c r="BK1141" i="6"/>
  <c r="BI1141" i="6"/>
  <c r="BG1141" i="6"/>
  <c r="BE1141" i="6"/>
  <c r="BC1141" i="6"/>
  <c r="A1141" i="6"/>
  <c r="DE1140" i="6"/>
  <c r="DC1140" i="6"/>
  <c r="CY1140" i="6"/>
  <c r="CW1140" i="6"/>
  <c r="CU1140" i="6"/>
  <c r="CS1140" i="6"/>
  <c r="BM1140" i="6"/>
  <c r="BK1140" i="6"/>
  <c r="BI1140" i="6"/>
  <c r="BG1140" i="6"/>
  <c r="BE1140" i="6"/>
  <c r="BC1140" i="6"/>
  <c r="A1140" i="6"/>
  <c r="DE1139" i="6"/>
  <c r="DC1139" i="6"/>
  <c r="CY1139" i="6"/>
  <c r="CW1139" i="6"/>
  <c r="CU1139" i="6"/>
  <c r="CS1139" i="6"/>
  <c r="BM1139" i="6"/>
  <c r="BK1139" i="6"/>
  <c r="BI1139" i="6"/>
  <c r="BG1139" i="6"/>
  <c r="BE1139" i="6"/>
  <c r="BC1139" i="6"/>
  <c r="A1139" i="6"/>
  <c r="DE1138" i="6"/>
  <c r="DC1138" i="6"/>
  <c r="CY1138" i="6"/>
  <c r="CW1138" i="6"/>
  <c r="CU1138" i="6"/>
  <c r="CS1138" i="6"/>
  <c r="BM1138" i="6"/>
  <c r="BK1138" i="6"/>
  <c r="BI1138" i="6"/>
  <c r="BG1138" i="6"/>
  <c r="BE1138" i="6"/>
  <c r="BC1138" i="6"/>
  <c r="A1138" i="6"/>
  <c r="DE1137" i="6"/>
  <c r="DC1137" i="6"/>
  <c r="CY1137" i="6"/>
  <c r="CW1137" i="6"/>
  <c r="CU1137" i="6"/>
  <c r="CS1137" i="6"/>
  <c r="BM1137" i="6"/>
  <c r="BK1137" i="6"/>
  <c r="BI1137" i="6"/>
  <c r="BG1137" i="6"/>
  <c r="BE1137" i="6"/>
  <c r="BC1137" i="6"/>
  <c r="A1137" i="6"/>
  <c r="DE1136" i="6"/>
  <c r="DC1136" i="6"/>
  <c r="CY1136" i="6"/>
  <c r="CW1136" i="6"/>
  <c r="CU1136" i="6"/>
  <c r="CS1136" i="6"/>
  <c r="BM1136" i="6"/>
  <c r="BK1136" i="6"/>
  <c r="BI1136" i="6"/>
  <c r="BG1136" i="6"/>
  <c r="BE1136" i="6"/>
  <c r="BC1136" i="6"/>
  <c r="A1136" i="6"/>
  <c r="DE1135" i="6"/>
  <c r="DC1135" i="6"/>
  <c r="CY1135" i="6"/>
  <c r="CW1135" i="6"/>
  <c r="CU1135" i="6"/>
  <c r="CS1135" i="6"/>
  <c r="BM1135" i="6"/>
  <c r="BK1135" i="6"/>
  <c r="BI1135" i="6"/>
  <c r="BG1135" i="6"/>
  <c r="BE1135" i="6"/>
  <c r="BC1135" i="6"/>
  <c r="A1135" i="6"/>
  <c r="DE1134" i="6"/>
  <c r="DC1134" i="6"/>
  <c r="CY1134" i="6"/>
  <c r="CW1134" i="6"/>
  <c r="CU1134" i="6"/>
  <c r="CS1134" i="6"/>
  <c r="BM1134" i="6"/>
  <c r="BK1134" i="6"/>
  <c r="BI1134" i="6"/>
  <c r="BG1134" i="6"/>
  <c r="BE1134" i="6"/>
  <c r="BC1134" i="6"/>
  <c r="A1134" i="6"/>
  <c r="DE1133" i="6"/>
  <c r="DC1133" i="6"/>
  <c r="CY1133" i="6"/>
  <c r="CW1133" i="6"/>
  <c r="CU1133" i="6"/>
  <c r="CS1133" i="6"/>
  <c r="BM1133" i="6"/>
  <c r="BK1133" i="6"/>
  <c r="BI1133" i="6"/>
  <c r="BG1133" i="6"/>
  <c r="BE1133" i="6"/>
  <c r="BC1133" i="6"/>
  <c r="A1133" i="6"/>
  <c r="DE1132" i="6"/>
  <c r="DC1132" i="6"/>
  <c r="CY1132" i="6"/>
  <c r="CW1132" i="6"/>
  <c r="CU1132" i="6"/>
  <c r="CS1132" i="6"/>
  <c r="BM1132" i="6"/>
  <c r="BK1132" i="6"/>
  <c r="BI1132" i="6"/>
  <c r="BG1132" i="6"/>
  <c r="BE1132" i="6"/>
  <c r="BC1132" i="6"/>
  <c r="A1132" i="6"/>
  <c r="DE1131" i="6"/>
  <c r="DC1131" i="6"/>
  <c r="CY1131" i="6"/>
  <c r="CW1131" i="6"/>
  <c r="CU1131" i="6"/>
  <c r="CS1131" i="6"/>
  <c r="BM1131" i="6"/>
  <c r="BK1131" i="6"/>
  <c r="BI1131" i="6"/>
  <c r="BG1131" i="6"/>
  <c r="BE1131" i="6"/>
  <c r="BC1131" i="6"/>
  <c r="A1131" i="6"/>
  <c r="DE1130" i="6"/>
  <c r="DC1130" i="6"/>
  <c r="CY1130" i="6"/>
  <c r="CW1130" i="6"/>
  <c r="CU1130" i="6"/>
  <c r="CS1130" i="6"/>
  <c r="BM1130" i="6"/>
  <c r="BK1130" i="6"/>
  <c r="BI1130" i="6"/>
  <c r="BG1130" i="6"/>
  <c r="BE1130" i="6"/>
  <c r="BC1130" i="6"/>
  <c r="A1130" i="6"/>
  <c r="DE1129" i="6"/>
  <c r="DC1129" i="6"/>
  <c r="CY1129" i="6"/>
  <c r="CW1129" i="6"/>
  <c r="CU1129" i="6"/>
  <c r="CS1129" i="6"/>
  <c r="BM1129" i="6"/>
  <c r="BK1129" i="6"/>
  <c r="BI1129" i="6"/>
  <c r="BG1129" i="6"/>
  <c r="BE1129" i="6"/>
  <c r="BC1129" i="6"/>
  <c r="A1129" i="6"/>
  <c r="DE1128" i="6"/>
  <c r="DC1128" i="6"/>
  <c r="CY1128" i="6"/>
  <c r="CW1128" i="6"/>
  <c r="CU1128" i="6"/>
  <c r="CS1128" i="6"/>
  <c r="BM1128" i="6"/>
  <c r="BK1128" i="6"/>
  <c r="BI1128" i="6"/>
  <c r="BG1128" i="6"/>
  <c r="BE1128" i="6"/>
  <c r="BC1128" i="6"/>
  <c r="A1128" i="6"/>
  <c r="DE1127" i="6"/>
  <c r="DC1127" i="6"/>
  <c r="CY1127" i="6"/>
  <c r="CW1127" i="6"/>
  <c r="CU1127" i="6"/>
  <c r="CS1127" i="6"/>
  <c r="BM1127" i="6"/>
  <c r="BK1127" i="6"/>
  <c r="BI1127" i="6"/>
  <c r="BG1127" i="6"/>
  <c r="BE1127" i="6"/>
  <c r="BC1127" i="6"/>
  <c r="A1127" i="6"/>
  <c r="DE1126" i="6"/>
  <c r="DC1126" i="6"/>
  <c r="CY1126" i="6"/>
  <c r="CW1126" i="6"/>
  <c r="CU1126" i="6"/>
  <c r="CS1126" i="6"/>
  <c r="BM1126" i="6"/>
  <c r="BK1126" i="6"/>
  <c r="BI1126" i="6"/>
  <c r="BG1126" i="6"/>
  <c r="BE1126" i="6"/>
  <c r="BC1126" i="6"/>
  <c r="A1126" i="6"/>
  <c r="DE1125" i="6"/>
  <c r="DC1125" i="6"/>
  <c r="CY1125" i="6"/>
  <c r="CW1125" i="6"/>
  <c r="CU1125" i="6"/>
  <c r="CS1125" i="6"/>
  <c r="BM1125" i="6"/>
  <c r="BK1125" i="6"/>
  <c r="BI1125" i="6"/>
  <c r="BG1125" i="6"/>
  <c r="BE1125" i="6"/>
  <c r="BC1125" i="6"/>
  <c r="A1125" i="6"/>
  <c r="DE1124" i="6"/>
  <c r="DC1124" i="6"/>
  <c r="CY1124" i="6"/>
  <c r="CW1124" i="6"/>
  <c r="CU1124" i="6"/>
  <c r="CS1124" i="6"/>
  <c r="BM1124" i="6"/>
  <c r="BK1124" i="6"/>
  <c r="BI1124" i="6"/>
  <c r="BG1124" i="6"/>
  <c r="BE1124" i="6"/>
  <c r="BC1124" i="6"/>
  <c r="A1124" i="6"/>
  <c r="DE1123" i="6"/>
  <c r="DC1123" i="6"/>
  <c r="CY1123" i="6"/>
  <c r="CW1123" i="6"/>
  <c r="CU1123" i="6"/>
  <c r="CS1123" i="6"/>
  <c r="BM1123" i="6"/>
  <c r="BK1123" i="6"/>
  <c r="BI1123" i="6"/>
  <c r="BG1123" i="6"/>
  <c r="BE1123" i="6"/>
  <c r="BC1123" i="6"/>
  <c r="A1123" i="6"/>
  <c r="DE1122" i="6"/>
  <c r="DC1122" i="6"/>
  <c r="CY1122" i="6"/>
  <c r="CW1122" i="6"/>
  <c r="CU1122" i="6"/>
  <c r="CS1122" i="6"/>
  <c r="BM1122" i="6"/>
  <c r="BK1122" i="6"/>
  <c r="BI1122" i="6"/>
  <c r="BG1122" i="6"/>
  <c r="BE1122" i="6"/>
  <c r="BC1122" i="6"/>
  <c r="A1122" i="6"/>
  <c r="DE1121" i="6"/>
  <c r="DC1121" i="6"/>
  <c r="CY1121" i="6"/>
  <c r="CW1121" i="6"/>
  <c r="CU1121" i="6"/>
  <c r="CS1121" i="6"/>
  <c r="BM1121" i="6"/>
  <c r="BK1121" i="6"/>
  <c r="BI1121" i="6"/>
  <c r="BG1121" i="6"/>
  <c r="BE1121" i="6"/>
  <c r="BC1121" i="6"/>
  <c r="A1121" i="6"/>
  <c r="DE1120" i="6"/>
  <c r="DC1120" i="6"/>
  <c r="CY1120" i="6"/>
  <c r="CW1120" i="6"/>
  <c r="CU1120" i="6"/>
  <c r="CS1120" i="6"/>
  <c r="BM1120" i="6"/>
  <c r="BK1120" i="6"/>
  <c r="BI1120" i="6"/>
  <c r="BG1120" i="6"/>
  <c r="BE1120" i="6"/>
  <c r="BC1120" i="6"/>
  <c r="A1120" i="6"/>
  <c r="DE1119" i="6"/>
  <c r="DC1119" i="6"/>
  <c r="CY1119" i="6"/>
  <c r="CW1119" i="6"/>
  <c r="CU1119" i="6"/>
  <c r="CS1119" i="6"/>
  <c r="BM1119" i="6"/>
  <c r="BK1119" i="6"/>
  <c r="BI1119" i="6"/>
  <c r="BG1119" i="6"/>
  <c r="BE1119" i="6"/>
  <c r="BC1119" i="6"/>
  <c r="A1119" i="6"/>
  <c r="DE1118" i="6"/>
  <c r="DC1118" i="6"/>
  <c r="CY1118" i="6"/>
  <c r="CW1118" i="6"/>
  <c r="CU1118" i="6"/>
  <c r="CS1118" i="6"/>
  <c r="BM1118" i="6"/>
  <c r="BK1118" i="6"/>
  <c r="BI1118" i="6"/>
  <c r="BG1118" i="6"/>
  <c r="BE1118" i="6"/>
  <c r="BC1118" i="6"/>
  <c r="A1118" i="6"/>
  <c r="DE1117" i="6"/>
  <c r="DC1117" i="6"/>
  <c r="CY1117" i="6"/>
  <c r="CW1117" i="6"/>
  <c r="CU1117" i="6"/>
  <c r="CS1117" i="6"/>
  <c r="BM1117" i="6"/>
  <c r="BK1117" i="6"/>
  <c r="BI1117" i="6"/>
  <c r="BG1117" i="6"/>
  <c r="BE1117" i="6"/>
  <c r="BC1117" i="6"/>
  <c r="A1117" i="6"/>
  <c r="DE1116" i="6"/>
  <c r="DC1116" i="6"/>
  <c r="CY1116" i="6"/>
  <c r="CW1116" i="6"/>
  <c r="CU1116" i="6"/>
  <c r="CS1116" i="6"/>
  <c r="BM1116" i="6"/>
  <c r="BK1116" i="6"/>
  <c r="BI1116" i="6"/>
  <c r="BG1116" i="6"/>
  <c r="BE1116" i="6"/>
  <c r="BC1116" i="6"/>
  <c r="A1116" i="6"/>
  <c r="DE1115" i="6"/>
  <c r="DC1115" i="6"/>
  <c r="CY1115" i="6"/>
  <c r="CW1115" i="6"/>
  <c r="CU1115" i="6"/>
  <c r="CS1115" i="6"/>
  <c r="BM1115" i="6"/>
  <c r="BK1115" i="6"/>
  <c r="BI1115" i="6"/>
  <c r="BG1115" i="6"/>
  <c r="BE1115" i="6"/>
  <c r="BC1115" i="6"/>
  <c r="A1115" i="6"/>
  <c r="DE1114" i="6"/>
  <c r="DC1114" i="6"/>
  <c r="CY1114" i="6"/>
  <c r="CW1114" i="6"/>
  <c r="CU1114" i="6"/>
  <c r="CS1114" i="6"/>
  <c r="BM1114" i="6"/>
  <c r="BK1114" i="6"/>
  <c r="BI1114" i="6"/>
  <c r="BG1114" i="6"/>
  <c r="BE1114" i="6"/>
  <c r="BC1114" i="6"/>
  <c r="A1114" i="6"/>
  <c r="DE1113" i="6"/>
  <c r="DC1113" i="6"/>
  <c r="CY1113" i="6"/>
  <c r="CW1113" i="6"/>
  <c r="CU1113" i="6"/>
  <c r="CS1113" i="6"/>
  <c r="BM1113" i="6"/>
  <c r="BK1113" i="6"/>
  <c r="BI1113" i="6"/>
  <c r="BG1113" i="6"/>
  <c r="BE1113" i="6"/>
  <c r="BC1113" i="6"/>
  <c r="A1113" i="6"/>
  <c r="DE1112" i="6"/>
  <c r="DC1112" i="6"/>
  <c r="CY1112" i="6"/>
  <c r="CW1112" i="6"/>
  <c r="CU1112" i="6"/>
  <c r="CS1112" i="6"/>
  <c r="BM1112" i="6"/>
  <c r="BK1112" i="6"/>
  <c r="BI1112" i="6"/>
  <c r="BG1112" i="6"/>
  <c r="BE1112" i="6"/>
  <c r="BC1112" i="6"/>
  <c r="A1112" i="6"/>
  <c r="DE1111" i="6"/>
  <c r="DC1111" i="6"/>
  <c r="CY1111" i="6"/>
  <c r="CW1111" i="6"/>
  <c r="CU1111" i="6"/>
  <c r="CS1111" i="6"/>
  <c r="BM1111" i="6"/>
  <c r="BK1111" i="6"/>
  <c r="BI1111" i="6"/>
  <c r="BG1111" i="6"/>
  <c r="BE1111" i="6"/>
  <c r="BC1111" i="6"/>
  <c r="A1111" i="6"/>
  <c r="DE1110" i="6"/>
  <c r="DC1110" i="6"/>
  <c r="CY1110" i="6"/>
  <c r="CW1110" i="6"/>
  <c r="CU1110" i="6"/>
  <c r="CS1110" i="6"/>
  <c r="BM1110" i="6"/>
  <c r="BK1110" i="6"/>
  <c r="BI1110" i="6"/>
  <c r="BG1110" i="6"/>
  <c r="BE1110" i="6"/>
  <c r="BC1110" i="6"/>
  <c r="A1110" i="6"/>
  <c r="DE1109" i="6"/>
  <c r="DC1109" i="6"/>
  <c r="CY1109" i="6"/>
  <c r="CW1109" i="6"/>
  <c r="CU1109" i="6"/>
  <c r="CS1109" i="6"/>
  <c r="BM1109" i="6"/>
  <c r="BK1109" i="6"/>
  <c r="BI1109" i="6"/>
  <c r="BG1109" i="6"/>
  <c r="BE1109" i="6"/>
  <c r="BC1109" i="6"/>
  <c r="A1109" i="6"/>
  <c r="DE1108" i="6"/>
  <c r="DC1108" i="6"/>
  <c r="CY1108" i="6"/>
  <c r="CW1108" i="6"/>
  <c r="CU1108" i="6"/>
  <c r="CS1108" i="6"/>
  <c r="BM1108" i="6"/>
  <c r="BK1108" i="6"/>
  <c r="BI1108" i="6"/>
  <c r="BG1108" i="6"/>
  <c r="BE1108" i="6"/>
  <c r="BC1108" i="6"/>
  <c r="A1108" i="6"/>
  <c r="DE1107" i="6"/>
  <c r="DC1107" i="6"/>
  <c r="CY1107" i="6"/>
  <c r="CW1107" i="6"/>
  <c r="CU1107" i="6"/>
  <c r="CS1107" i="6"/>
  <c r="BM1107" i="6"/>
  <c r="BK1107" i="6"/>
  <c r="BI1107" i="6"/>
  <c r="BG1107" i="6"/>
  <c r="BE1107" i="6"/>
  <c r="BC1107" i="6"/>
  <c r="A1107" i="6"/>
  <c r="DE1106" i="6"/>
  <c r="DC1106" i="6"/>
  <c r="CY1106" i="6"/>
  <c r="CW1106" i="6"/>
  <c r="CU1106" i="6"/>
  <c r="CS1106" i="6"/>
  <c r="BM1106" i="6"/>
  <c r="BK1106" i="6"/>
  <c r="BI1106" i="6"/>
  <c r="BG1106" i="6"/>
  <c r="BE1106" i="6"/>
  <c r="BC1106" i="6"/>
  <c r="A1106" i="6"/>
  <c r="DE1105" i="6"/>
  <c r="DC1105" i="6"/>
  <c r="CY1105" i="6"/>
  <c r="CW1105" i="6"/>
  <c r="CU1105" i="6"/>
  <c r="CS1105" i="6"/>
  <c r="BM1105" i="6"/>
  <c r="BK1105" i="6"/>
  <c r="BI1105" i="6"/>
  <c r="BG1105" i="6"/>
  <c r="BE1105" i="6"/>
  <c r="BC1105" i="6"/>
  <c r="A1105" i="6"/>
  <c r="DE1104" i="6"/>
  <c r="DC1104" i="6"/>
  <c r="CY1104" i="6"/>
  <c r="CW1104" i="6"/>
  <c r="CU1104" i="6"/>
  <c r="CS1104" i="6"/>
  <c r="BM1104" i="6"/>
  <c r="BK1104" i="6"/>
  <c r="BI1104" i="6"/>
  <c r="BG1104" i="6"/>
  <c r="BE1104" i="6"/>
  <c r="BC1104" i="6"/>
  <c r="A1104" i="6"/>
  <c r="DE1103" i="6"/>
  <c r="DC1103" i="6"/>
  <c r="CY1103" i="6"/>
  <c r="CW1103" i="6"/>
  <c r="CU1103" i="6"/>
  <c r="CS1103" i="6"/>
  <c r="BM1103" i="6"/>
  <c r="BK1103" i="6"/>
  <c r="BI1103" i="6"/>
  <c r="BG1103" i="6"/>
  <c r="BE1103" i="6"/>
  <c r="BC1103" i="6"/>
  <c r="A1103" i="6"/>
  <c r="DE1102" i="6"/>
  <c r="DC1102" i="6"/>
  <c r="CY1102" i="6"/>
  <c r="CW1102" i="6"/>
  <c r="CU1102" i="6"/>
  <c r="CS1102" i="6"/>
  <c r="BM1102" i="6"/>
  <c r="BK1102" i="6"/>
  <c r="BI1102" i="6"/>
  <c r="BG1102" i="6"/>
  <c r="BE1102" i="6"/>
  <c r="BC1102" i="6"/>
  <c r="A1102" i="6"/>
  <c r="DE1101" i="6"/>
  <c r="DC1101" i="6"/>
  <c r="CY1101" i="6"/>
  <c r="CW1101" i="6"/>
  <c r="CU1101" i="6"/>
  <c r="CS1101" i="6"/>
  <c r="BM1101" i="6"/>
  <c r="BK1101" i="6"/>
  <c r="BI1101" i="6"/>
  <c r="BG1101" i="6"/>
  <c r="BE1101" i="6"/>
  <c r="BC1101" i="6"/>
  <c r="A1101" i="6"/>
  <c r="DE1100" i="6"/>
  <c r="DC1100" i="6"/>
  <c r="CY1100" i="6"/>
  <c r="CW1100" i="6"/>
  <c r="CU1100" i="6"/>
  <c r="CS1100" i="6"/>
  <c r="BM1100" i="6"/>
  <c r="BK1100" i="6"/>
  <c r="BI1100" i="6"/>
  <c r="BG1100" i="6"/>
  <c r="BE1100" i="6"/>
  <c r="BC1100" i="6"/>
  <c r="A1100" i="6"/>
  <c r="DE1099" i="6"/>
  <c r="DC1099" i="6"/>
  <c r="CY1099" i="6"/>
  <c r="CW1099" i="6"/>
  <c r="CU1099" i="6"/>
  <c r="CS1099" i="6"/>
  <c r="BM1099" i="6"/>
  <c r="BK1099" i="6"/>
  <c r="BI1099" i="6"/>
  <c r="BG1099" i="6"/>
  <c r="BE1099" i="6"/>
  <c r="BC1099" i="6"/>
  <c r="A1099" i="6"/>
  <c r="DE1098" i="6"/>
  <c r="DC1098" i="6"/>
  <c r="CY1098" i="6"/>
  <c r="CW1098" i="6"/>
  <c r="CU1098" i="6"/>
  <c r="CS1098" i="6"/>
  <c r="BM1098" i="6"/>
  <c r="BK1098" i="6"/>
  <c r="BI1098" i="6"/>
  <c r="BG1098" i="6"/>
  <c r="BE1098" i="6"/>
  <c r="BC1098" i="6"/>
  <c r="A1098" i="6"/>
  <c r="DE1097" i="6"/>
  <c r="DC1097" i="6"/>
  <c r="CY1097" i="6"/>
  <c r="CW1097" i="6"/>
  <c r="CU1097" i="6"/>
  <c r="CS1097" i="6"/>
  <c r="BM1097" i="6"/>
  <c r="BK1097" i="6"/>
  <c r="BI1097" i="6"/>
  <c r="BG1097" i="6"/>
  <c r="BE1097" i="6"/>
  <c r="BC1097" i="6"/>
  <c r="A1097" i="6"/>
  <c r="DE1096" i="6"/>
  <c r="DC1096" i="6"/>
  <c r="CY1096" i="6"/>
  <c r="CW1096" i="6"/>
  <c r="CU1096" i="6"/>
  <c r="CS1096" i="6"/>
  <c r="BM1096" i="6"/>
  <c r="BK1096" i="6"/>
  <c r="BI1096" i="6"/>
  <c r="BG1096" i="6"/>
  <c r="BE1096" i="6"/>
  <c r="BC1096" i="6"/>
  <c r="A1096" i="6"/>
  <c r="DE1095" i="6"/>
  <c r="DC1095" i="6"/>
  <c r="CY1095" i="6"/>
  <c r="CW1095" i="6"/>
  <c r="CU1095" i="6"/>
  <c r="CS1095" i="6"/>
  <c r="BM1095" i="6"/>
  <c r="BK1095" i="6"/>
  <c r="BI1095" i="6"/>
  <c r="BG1095" i="6"/>
  <c r="BE1095" i="6"/>
  <c r="BC1095" i="6"/>
  <c r="A1095" i="6"/>
  <c r="DE1094" i="6"/>
  <c r="DC1094" i="6"/>
  <c r="CY1094" i="6"/>
  <c r="CW1094" i="6"/>
  <c r="CU1094" i="6"/>
  <c r="CS1094" i="6"/>
  <c r="BM1094" i="6"/>
  <c r="BK1094" i="6"/>
  <c r="BI1094" i="6"/>
  <c r="BG1094" i="6"/>
  <c r="BE1094" i="6"/>
  <c r="BC1094" i="6"/>
  <c r="A1094" i="6"/>
  <c r="DE1093" i="6"/>
  <c r="DC1093" i="6"/>
  <c r="CY1093" i="6"/>
  <c r="CW1093" i="6"/>
  <c r="CU1093" i="6"/>
  <c r="CS1093" i="6"/>
  <c r="BM1093" i="6"/>
  <c r="BK1093" i="6"/>
  <c r="BI1093" i="6"/>
  <c r="BG1093" i="6"/>
  <c r="BE1093" i="6"/>
  <c r="BC1093" i="6"/>
  <c r="A1093" i="6"/>
  <c r="DE1092" i="6"/>
  <c r="DC1092" i="6"/>
  <c r="CY1092" i="6"/>
  <c r="CW1092" i="6"/>
  <c r="CU1092" i="6"/>
  <c r="CS1092" i="6"/>
  <c r="BM1092" i="6"/>
  <c r="BK1092" i="6"/>
  <c r="BI1092" i="6"/>
  <c r="BG1092" i="6"/>
  <c r="BE1092" i="6"/>
  <c r="BC1092" i="6"/>
  <c r="A1092" i="6"/>
  <c r="DE1091" i="6"/>
  <c r="DC1091" i="6"/>
  <c r="CY1091" i="6"/>
  <c r="CW1091" i="6"/>
  <c r="CU1091" i="6"/>
  <c r="CS1091" i="6"/>
  <c r="BM1091" i="6"/>
  <c r="BK1091" i="6"/>
  <c r="BI1091" i="6"/>
  <c r="BG1091" i="6"/>
  <c r="BE1091" i="6"/>
  <c r="BC1091" i="6"/>
  <c r="A1091" i="6"/>
  <c r="DE1090" i="6"/>
  <c r="DC1090" i="6"/>
  <c r="CY1090" i="6"/>
  <c r="CW1090" i="6"/>
  <c r="CU1090" i="6"/>
  <c r="CS1090" i="6"/>
  <c r="BM1090" i="6"/>
  <c r="BK1090" i="6"/>
  <c r="BI1090" i="6"/>
  <c r="BG1090" i="6"/>
  <c r="BE1090" i="6"/>
  <c r="BC1090" i="6"/>
  <c r="A1090" i="6"/>
  <c r="DE1089" i="6"/>
  <c r="DC1089" i="6"/>
  <c r="CY1089" i="6"/>
  <c r="CW1089" i="6"/>
  <c r="CU1089" i="6"/>
  <c r="CS1089" i="6"/>
  <c r="BM1089" i="6"/>
  <c r="BK1089" i="6"/>
  <c r="BI1089" i="6"/>
  <c r="BG1089" i="6"/>
  <c r="BE1089" i="6"/>
  <c r="BC1089" i="6"/>
  <c r="A1089" i="6"/>
  <c r="DE1088" i="6"/>
  <c r="DC1088" i="6"/>
  <c r="CY1088" i="6"/>
  <c r="CW1088" i="6"/>
  <c r="CU1088" i="6"/>
  <c r="CS1088" i="6"/>
  <c r="BM1088" i="6"/>
  <c r="BK1088" i="6"/>
  <c r="BI1088" i="6"/>
  <c r="BG1088" i="6"/>
  <c r="BE1088" i="6"/>
  <c r="BC1088" i="6"/>
  <c r="A1088" i="6"/>
  <c r="DE1087" i="6"/>
  <c r="DC1087" i="6"/>
  <c r="CY1087" i="6"/>
  <c r="CW1087" i="6"/>
  <c r="CU1087" i="6"/>
  <c r="CS1087" i="6"/>
  <c r="BM1087" i="6"/>
  <c r="BK1087" i="6"/>
  <c r="BI1087" i="6"/>
  <c r="BG1087" i="6"/>
  <c r="BE1087" i="6"/>
  <c r="BC1087" i="6"/>
  <c r="A1087" i="6"/>
  <c r="DE1086" i="6"/>
  <c r="DC1086" i="6"/>
  <c r="CY1086" i="6"/>
  <c r="CW1086" i="6"/>
  <c r="CU1086" i="6"/>
  <c r="CS1086" i="6"/>
  <c r="BM1086" i="6"/>
  <c r="BK1086" i="6"/>
  <c r="BI1086" i="6"/>
  <c r="BG1086" i="6"/>
  <c r="BE1086" i="6"/>
  <c r="BC1086" i="6"/>
  <c r="A1086" i="6"/>
  <c r="DE1085" i="6"/>
  <c r="DC1085" i="6"/>
  <c r="CY1085" i="6"/>
  <c r="CW1085" i="6"/>
  <c r="CU1085" i="6"/>
  <c r="CS1085" i="6"/>
  <c r="BM1085" i="6"/>
  <c r="BK1085" i="6"/>
  <c r="BI1085" i="6"/>
  <c r="BG1085" i="6"/>
  <c r="BE1085" i="6"/>
  <c r="BC1085" i="6"/>
  <c r="A1085" i="6"/>
  <c r="DE1084" i="6"/>
  <c r="DC1084" i="6"/>
  <c r="CY1084" i="6"/>
  <c r="CW1084" i="6"/>
  <c r="CU1084" i="6"/>
  <c r="CS1084" i="6"/>
  <c r="BM1084" i="6"/>
  <c r="BK1084" i="6"/>
  <c r="BI1084" i="6"/>
  <c r="BG1084" i="6"/>
  <c r="BE1084" i="6"/>
  <c r="BC1084" i="6"/>
  <c r="A1084" i="6"/>
  <c r="DE1083" i="6"/>
  <c r="DC1083" i="6"/>
  <c r="CY1083" i="6"/>
  <c r="CW1083" i="6"/>
  <c r="CU1083" i="6"/>
  <c r="CS1083" i="6"/>
  <c r="BM1083" i="6"/>
  <c r="BK1083" i="6"/>
  <c r="BI1083" i="6"/>
  <c r="BG1083" i="6"/>
  <c r="BE1083" i="6"/>
  <c r="BC1083" i="6"/>
  <c r="A1083" i="6"/>
  <c r="DE1082" i="6"/>
  <c r="DC1082" i="6"/>
  <c r="CY1082" i="6"/>
  <c r="CW1082" i="6"/>
  <c r="CU1082" i="6"/>
  <c r="CS1082" i="6"/>
  <c r="BM1082" i="6"/>
  <c r="BK1082" i="6"/>
  <c r="BI1082" i="6"/>
  <c r="BG1082" i="6"/>
  <c r="BE1082" i="6"/>
  <c r="BC1082" i="6"/>
  <c r="A1082" i="6"/>
  <c r="DE1081" i="6"/>
  <c r="DC1081" i="6"/>
  <c r="CY1081" i="6"/>
  <c r="CW1081" i="6"/>
  <c r="CU1081" i="6"/>
  <c r="CS1081" i="6"/>
  <c r="BM1081" i="6"/>
  <c r="BK1081" i="6"/>
  <c r="BI1081" i="6"/>
  <c r="BG1081" i="6"/>
  <c r="BE1081" i="6"/>
  <c r="BC1081" i="6"/>
  <c r="A1081" i="6"/>
  <c r="DE1080" i="6"/>
  <c r="DC1080" i="6"/>
  <c r="CY1080" i="6"/>
  <c r="CW1080" i="6"/>
  <c r="CU1080" i="6"/>
  <c r="CS1080" i="6"/>
  <c r="BM1080" i="6"/>
  <c r="BK1080" i="6"/>
  <c r="BI1080" i="6"/>
  <c r="BG1080" i="6"/>
  <c r="BE1080" i="6"/>
  <c r="BC1080" i="6"/>
  <c r="A1080" i="6"/>
  <c r="DE1079" i="6"/>
  <c r="DC1079" i="6"/>
  <c r="CY1079" i="6"/>
  <c r="CW1079" i="6"/>
  <c r="CU1079" i="6"/>
  <c r="CS1079" i="6"/>
  <c r="BM1079" i="6"/>
  <c r="BK1079" i="6"/>
  <c r="BI1079" i="6"/>
  <c r="BG1079" i="6"/>
  <c r="BE1079" i="6"/>
  <c r="BC1079" i="6"/>
  <c r="A1079" i="6"/>
  <c r="DE1078" i="6"/>
  <c r="DC1078" i="6"/>
  <c r="CY1078" i="6"/>
  <c r="CW1078" i="6"/>
  <c r="CU1078" i="6"/>
  <c r="CS1078" i="6"/>
  <c r="BM1078" i="6"/>
  <c r="BK1078" i="6"/>
  <c r="BI1078" i="6"/>
  <c r="BG1078" i="6"/>
  <c r="BE1078" i="6"/>
  <c r="BC1078" i="6"/>
  <c r="A1078" i="6"/>
  <c r="DE1077" i="6"/>
  <c r="DC1077" i="6"/>
  <c r="CY1077" i="6"/>
  <c r="CW1077" i="6"/>
  <c r="CU1077" i="6"/>
  <c r="CS1077" i="6"/>
  <c r="BM1077" i="6"/>
  <c r="BK1077" i="6"/>
  <c r="BI1077" i="6"/>
  <c r="BG1077" i="6"/>
  <c r="BE1077" i="6"/>
  <c r="BC1077" i="6"/>
  <c r="A1077" i="6"/>
  <c r="DE1076" i="6"/>
  <c r="DC1076" i="6"/>
  <c r="CY1076" i="6"/>
  <c r="CW1076" i="6"/>
  <c r="CU1076" i="6"/>
  <c r="CS1076" i="6"/>
  <c r="BM1076" i="6"/>
  <c r="BK1076" i="6"/>
  <c r="BI1076" i="6"/>
  <c r="BG1076" i="6"/>
  <c r="BE1076" i="6"/>
  <c r="BC1076" i="6"/>
  <c r="A1076" i="6"/>
  <c r="DE1075" i="6"/>
  <c r="DC1075" i="6"/>
  <c r="CY1075" i="6"/>
  <c r="CW1075" i="6"/>
  <c r="CU1075" i="6"/>
  <c r="CS1075" i="6"/>
  <c r="BM1075" i="6"/>
  <c r="BK1075" i="6"/>
  <c r="BI1075" i="6"/>
  <c r="BG1075" i="6"/>
  <c r="BE1075" i="6"/>
  <c r="BC1075" i="6"/>
  <c r="A1075" i="6"/>
  <c r="DE1074" i="6"/>
  <c r="DC1074" i="6"/>
  <c r="CY1074" i="6"/>
  <c r="CW1074" i="6"/>
  <c r="CU1074" i="6"/>
  <c r="CS1074" i="6"/>
  <c r="BM1074" i="6"/>
  <c r="BK1074" i="6"/>
  <c r="BI1074" i="6"/>
  <c r="BG1074" i="6"/>
  <c r="BE1074" i="6"/>
  <c r="BC1074" i="6"/>
  <c r="A1074" i="6"/>
  <c r="DE1073" i="6"/>
  <c r="DC1073" i="6"/>
  <c r="CY1073" i="6"/>
  <c r="CW1073" i="6"/>
  <c r="CU1073" i="6"/>
  <c r="CS1073" i="6"/>
  <c r="BM1073" i="6"/>
  <c r="BK1073" i="6"/>
  <c r="BI1073" i="6"/>
  <c r="BG1073" i="6"/>
  <c r="BE1073" i="6"/>
  <c r="BC1073" i="6"/>
  <c r="A1073" i="6"/>
  <c r="DE1072" i="6"/>
  <c r="DC1072" i="6"/>
  <c r="CY1072" i="6"/>
  <c r="CW1072" i="6"/>
  <c r="CU1072" i="6"/>
  <c r="CS1072" i="6"/>
  <c r="BM1072" i="6"/>
  <c r="BK1072" i="6"/>
  <c r="BI1072" i="6"/>
  <c r="BG1072" i="6"/>
  <c r="BE1072" i="6"/>
  <c r="BC1072" i="6"/>
  <c r="A1072" i="6"/>
  <c r="DE1071" i="6"/>
  <c r="DC1071" i="6"/>
  <c r="CY1071" i="6"/>
  <c r="CW1071" i="6"/>
  <c r="CU1071" i="6"/>
  <c r="CS1071" i="6"/>
  <c r="BM1071" i="6"/>
  <c r="BK1071" i="6"/>
  <c r="BI1071" i="6"/>
  <c r="BG1071" i="6"/>
  <c r="BE1071" i="6"/>
  <c r="BC1071" i="6"/>
  <c r="A1071" i="6"/>
  <c r="DE1070" i="6"/>
  <c r="DC1070" i="6"/>
  <c r="CY1070" i="6"/>
  <c r="CW1070" i="6"/>
  <c r="CU1070" i="6"/>
  <c r="CS1070" i="6"/>
  <c r="BM1070" i="6"/>
  <c r="BK1070" i="6"/>
  <c r="BI1070" i="6"/>
  <c r="BG1070" i="6"/>
  <c r="BE1070" i="6"/>
  <c r="BC1070" i="6"/>
  <c r="A1070" i="6"/>
  <c r="DE1069" i="6"/>
  <c r="DC1069" i="6"/>
  <c r="CY1069" i="6"/>
  <c r="CW1069" i="6"/>
  <c r="CU1069" i="6"/>
  <c r="CS1069" i="6"/>
  <c r="BM1069" i="6"/>
  <c r="BK1069" i="6"/>
  <c r="BI1069" i="6"/>
  <c r="BG1069" i="6"/>
  <c r="BE1069" i="6"/>
  <c r="BC1069" i="6"/>
  <c r="A1069" i="6"/>
  <c r="DE1068" i="6"/>
  <c r="DC1068" i="6"/>
  <c r="CY1068" i="6"/>
  <c r="CW1068" i="6"/>
  <c r="CU1068" i="6"/>
  <c r="CS1068" i="6"/>
  <c r="BM1068" i="6"/>
  <c r="BK1068" i="6"/>
  <c r="BI1068" i="6"/>
  <c r="BG1068" i="6"/>
  <c r="BE1068" i="6"/>
  <c r="BC1068" i="6"/>
  <c r="A1068" i="6"/>
  <c r="DE1067" i="6"/>
  <c r="DC1067" i="6"/>
  <c r="CY1067" i="6"/>
  <c r="CW1067" i="6"/>
  <c r="CU1067" i="6"/>
  <c r="CS1067" i="6"/>
  <c r="BM1067" i="6"/>
  <c r="BK1067" i="6"/>
  <c r="BI1067" i="6"/>
  <c r="BG1067" i="6"/>
  <c r="BE1067" i="6"/>
  <c r="BC1067" i="6"/>
  <c r="A1067" i="6"/>
  <c r="DE1066" i="6"/>
  <c r="DC1066" i="6"/>
  <c r="CY1066" i="6"/>
  <c r="CW1066" i="6"/>
  <c r="CU1066" i="6"/>
  <c r="CS1066" i="6"/>
  <c r="BM1066" i="6"/>
  <c r="BK1066" i="6"/>
  <c r="BI1066" i="6"/>
  <c r="BG1066" i="6"/>
  <c r="BE1066" i="6"/>
  <c r="BC1066" i="6"/>
  <c r="A1066" i="6"/>
  <c r="DE1065" i="6"/>
  <c r="DC1065" i="6"/>
  <c r="CY1065" i="6"/>
  <c r="CW1065" i="6"/>
  <c r="CU1065" i="6"/>
  <c r="CS1065" i="6"/>
  <c r="BM1065" i="6"/>
  <c r="BK1065" i="6"/>
  <c r="BI1065" i="6"/>
  <c r="BG1065" i="6"/>
  <c r="BE1065" i="6"/>
  <c r="BC1065" i="6"/>
  <c r="A1065" i="6"/>
  <c r="DE1064" i="6"/>
  <c r="DC1064" i="6"/>
  <c r="CY1064" i="6"/>
  <c r="CW1064" i="6"/>
  <c r="CU1064" i="6"/>
  <c r="CS1064" i="6"/>
  <c r="BM1064" i="6"/>
  <c r="BK1064" i="6"/>
  <c r="BI1064" i="6"/>
  <c r="BG1064" i="6"/>
  <c r="BE1064" i="6"/>
  <c r="BC1064" i="6"/>
  <c r="A1064" i="6"/>
  <c r="DE1063" i="6"/>
  <c r="DC1063" i="6"/>
  <c r="CY1063" i="6"/>
  <c r="CW1063" i="6"/>
  <c r="CU1063" i="6"/>
  <c r="CS1063" i="6"/>
  <c r="BM1063" i="6"/>
  <c r="BK1063" i="6"/>
  <c r="BI1063" i="6"/>
  <c r="BG1063" i="6"/>
  <c r="BE1063" i="6"/>
  <c r="BC1063" i="6"/>
  <c r="A1063" i="6"/>
  <c r="DE1062" i="6"/>
  <c r="DC1062" i="6"/>
  <c r="CY1062" i="6"/>
  <c r="CW1062" i="6"/>
  <c r="CU1062" i="6"/>
  <c r="CS1062" i="6"/>
  <c r="BM1062" i="6"/>
  <c r="BK1062" i="6"/>
  <c r="BI1062" i="6"/>
  <c r="BG1062" i="6"/>
  <c r="BE1062" i="6"/>
  <c r="BC1062" i="6"/>
  <c r="A1062" i="6"/>
  <c r="DE1061" i="6"/>
  <c r="DC1061" i="6"/>
  <c r="CY1061" i="6"/>
  <c r="CW1061" i="6"/>
  <c r="CU1061" i="6"/>
  <c r="CS1061" i="6"/>
  <c r="BM1061" i="6"/>
  <c r="BK1061" i="6"/>
  <c r="BI1061" i="6"/>
  <c r="BG1061" i="6"/>
  <c r="BE1061" i="6"/>
  <c r="BC1061" i="6"/>
  <c r="A1061" i="6"/>
  <c r="DE1060" i="6"/>
  <c r="DC1060" i="6"/>
  <c r="CY1060" i="6"/>
  <c r="CW1060" i="6"/>
  <c r="CU1060" i="6"/>
  <c r="CS1060" i="6"/>
  <c r="BM1060" i="6"/>
  <c r="BK1060" i="6"/>
  <c r="BI1060" i="6"/>
  <c r="BG1060" i="6"/>
  <c r="BE1060" i="6"/>
  <c r="BC1060" i="6"/>
  <c r="A1060" i="6"/>
  <c r="DE1059" i="6"/>
  <c r="DC1059" i="6"/>
  <c r="CY1059" i="6"/>
  <c r="CW1059" i="6"/>
  <c r="CU1059" i="6"/>
  <c r="CS1059" i="6"/>
  <c r="BM1059" i="6"/>
  <c r="BK1059" i="6"/>
  <c r="BI1059" i="6"/>
  <c r="BG1059" i="6"/>
  <c r="BE1059" i="6"/>
  <c r="BC1059" i="6"/>
  <c r="A1059" i="6"/>
  <c r="DE1058" i="6"/>
  <c r="DC1058" i="6"/>
  <c r="CY1058" i="6"/>
  <c r="CW1058" i="6"/>
  <c r="CU1058" i="6"/>
  <c r="CS1058" i="6"/>
  <c r="BM1058" i="6"/>
  <c r="BK1058" i="6"/>
  <c r="BI1058" i="6"/>
  <c r="BG1058" i="6"/>
  <c r="BE1058" i="6"/>
  <c r="BC1058" i="6"/>
  <c r="A1058" i="6"/>
  <c r="DE1057" i="6"/>
  <c r="DC1057" i="6"/>
  <c r="CY1057" i="6"/>
  <c r="CW1057" i="6"/>
  <c r="CU1057" i="6"/>
  <c r="CS1057" i="6"/>
  <c r="BM1057" i="6"/>
  <c r="BK1057" i="6"/>
  <c r="BI1057" i="6"/>
  <c r="BG1057" i="6"/>
  <c r="BE1057" i="6"/>
  <c r="BC1057" i="6"/>
  <c r="A1057" i="6"/>
  <c r="DE1056" i="6"/>
  <c r="DC1056" i="6"/>
  <c r="CY1056" i="6"/>
  <c r="CW1056" i="6"/>
  <c r="CU1056" i="6"/>
  <c r="CS1056" i="6"/>
  <c r="BM1056" i="6"/>
  <c r="BK1056" i="6"/>
  <c r="BI1056" i="6"/>
  <c r="BG1056" i="6"/>
  <c r="BE1056" i="6"/>
  <c r="BC1056" i="6"/>
  <c r="A1056" i="6"/>
  <c r="DE1055" i="6"/>
  <c r="DC1055" i="6"/>
  <c r="CY1055" i="6"/>
  <c r="CW1055" i="6"/>
  <c r="CU1055" i="6"/>
  <c r="CS1055" i="6"/>
  <c r="BM1055" i="6"/>
  <c r="BK1055" i="6"/>
  <c r="BI1055" i="6"/>
  <c r="BG1055" i="6"/>
  <c r="BE1055" i="6"/>
  <c r="BC1055" i="6"/>
  <c r="A1055" i="6"/>
  <c r="DE1054" i="6"/>
  <c r="DC1054" i="6"/>
  <c r="CY1054" i="6"/>
  <c r="CW1054" i="6"/>
  <c r="CU1054" i="6"/>
  <c r="CS1054" i="6"/>
  <c r="BM1054" i="6"/>
  <c r="BK1054" i="6"/>
  <c r="BI1054" i="6"/>
  <c r="BG1054" i="6"/>
  <c r="BE1054" i="6"/>
  <c r="BC1054" i="6"/>
  <c r="A1054" i="6"/>
  <c r="DE1053" i="6"/>
  <c r="DC1053" i="6"/>
  <c r="CY1053" i="6"/>
  <c r="CW1053" i="6"/>
  <c r="CU1053" i="6"/>
  <c r="CS1053" i="6"/>
  <c r="BM1053" i="6"/>
  <c r="BK1053" i="6"/>
  <c r="BI1053" i="6"/>
  <c r="BG1053" i="6"/>
  <c r="BE1053" i="6"/>
  <c r="BC1053" i="6"/>
  <c r="A1053" i="6"/>
  <c r="DE1052" i="6"/>
  <c r="DC1052" i="6"/>
  <c r="CY1052" i="6"/>
  <c r="CW1052" i="6"/>
  <c r="CU1052" i="6"/>
  <c r="CS1052" i="6"/>
  <c r="BM1052" i="6"/>
  <c r="BK1052" i="6"/>
  <c r="BI1052" i="6"/>
  <c r="BG1052" i="6"/>
  <c r="BE1052" i="6"/>
  <c r="BC1052" i="6"/>
  <c r="A1052" i="6"/>
  <c r="DE1051" i="6"/>
  <c r="DC1051" i="6"/>
  <c r="CY1051" i="6"/>
  <c r="CW1051" i="6"/>
  <c r="CU1051" i="6"/>
  <c r="CS1051" i="6"/>
  <c r="BM1051" i="6"/>
  <c r="BK1051" i="6"/>
  <c r="BI1051" i="6"/>
  <c r="BG1051" i="6"/>
  <c r="BE1051" i="6"/>
  <c r="BC1051" i="6"/>
  <c r="A1051" i="6"/>
  <c r="DE1050" i="6"/>
  <c r="DC1050" i="6"/>
  <c r="CY1050" i="6"/>
  <c r="CW1050" i="6"/>
  <c r="CU1050" i="6"/>
  <c r="CS1050" i="6"/>
  <c r="BM1050" i="6"/>
  <c r="BK1050" i="6"/>
  <c r="BI1050" i="6"/>
  <c r="BG1050" i="6"/>
  <c r="BE1050" i="6"/>
  <c r="BC1050" i="6"/>
  <c r="A1050" i="6"/>
  <c r="DE1049" i="6"/>
  <c r="DC1049" i="6"/>
  <c r="CY1049" i="6"/>
  <c r="CW1049" i="6"/>
  <c r="CU1049" i="6"/>
  <c r="CS1049" i="6"/>
  <c r="BM1049" i="6"/>
  <c r="BK1049" i="6"/>
  <c r="BI1049" i="6"/>
  <c r="BG1049" i="6"/>
  <c r="BE1049" i="6"/>
  <c r="BC1049" i="6"/>
  <c r="A1049" i="6"/>
  <c r="DE1048" i="6"/>
  <c r="DC1048" i="6"/>
  <c r="CY1048" i="6"/>
  <c r="CW1048" i="6"/>
  <c r="CU1048" i="6"/>
  <c r="CS1048" i="6"/>
  <c r="BM1048" i="6"/>
  <c r="BK1048" i="6"/>
  <c r="BI1048" i="6"/>
  <c r="BG1048" i="6"/>
  <c r="BE1048" i="6"/>
  <c r="BC1048" i="6"/>
  <c r="A1048" i="6"/>
  <c r="DE1047" i="6"/>
  <c r="DC1047" i="6"/>
  <c r="CY1047" i="6"/>
  <c r="CW1047" i="6"/>
  <c r="CU1047" i="6"/>
  <c r="CS1047" i="6"/>
  <c r="BM1047" i="6"/>
  <c r="BK1047" i="6"/>
  <c r="BI1047" i="6"/>
  <c r="BG1047" i="6"/>
  <c r="BE1047" i="6"/>
  <c r="BC1047" i="6"/>
  <c r="A1047" i="6"/>
  <c r="DE1046" i="6"/>
  <c r="DC1046" i="6"/>
  <c r="CY1046" i="6"/>
  <c r="CW1046" i="6"/>
  <c r="CU1046" i="6"/>
  <c r="CS1046" i="6"/>
  <c r="BM1046" i="6"/>
  <c r="BK1046" i="6"/>
  <c r="BI1046" i="6"/>
  <c r="BG1046" i="6"/>
  <c r="BE1046" i="6"/>
  <c r="BC1046" i="6"/>
  <c r="A1046" i="6"/>
  <c r="DE1045" i="6"/>
  <c r="DC1045" i="6"/>
  <c r="CY1045" i="6"/>
  <c r="CW1045" i="6"/>
  <c r="CU1045" i="6"/>
  <c r="CS1045" i="6"/>
  <c r="BM1045" i="6"/>
  <c r="BK1045" i="6"/>
  <c r="BI1045" i="6"/>
  <c r="BG1045" i="6"/>
  <c r="BE1045" i="6"/>
  <c r="BC1045" i="6"/>
  <c r="A1045" i="6"/>
  <c r="DE1044" i="6"/>
  <c r="DC1044" i="6"/>
  <c r="CY1044" i="6"/>
  <c r="CW1044" i="6"/>
  <c r="CU1044" i="6"/>
  <c r="CS1044" i="6"/>
  <c r="BM1044" i="6"/>
  <c r="BK1044" i="6"/>
  <c r="BI1044" i="6"/>
  <c r="BG1044" i="6"/>
  <c r="BE1044" i="6"/>
  <c r="BC1044" i="6"/>
  <c r="A1044" i="6"/>
  <c r="DE1043" i="6"/>
  <c r="DC1043" i="6"/>
  <c r="CY1043" i="6"/>
  <c r="CW1043" i="6"/>
  <c r="CU1043" i="6"/>
  <c r="CS1043" i="6"/>
  <c r="BM1043" i="6"/>
  <c r="BK1043" i="6"/>
  <c r="BI1043" i="6"/>
  <c r="BG1043" i="6"/>
  <c r="BE1043" i="6"/>
  <c r="BC1043" i="6"/>
  <c r="A1043" i="6"/>
  <c r="DE1042" i="6"/>
  <c r="DC1042" i="6"/>
  <c r="CY1042" i="6"/>
  <c r="CW1042" i="6"/>
  <c r="CU1042" i="6"/>
  <c r="CS1042" i="6"/>
  <c r="BM1042" i="6"/>
  <c r="BK1042" i="6"/>
  <c r="BI1042" i="6"/>
  <c r="BG1042" i="6"/>
  <c r="BE1042" i="6"/>
  <c r="BC1042" i="6"/>
  <c r="A1042" i="6"/>
  <c r="DE1041" i="6"/>
  <c r="DC1041" i="6"/>
  <c r="CY1041" i="6"/>
  <c r="CW1041" i="6"/>
  <c r="CU1041" i="6"/>
  <c r="CS1041" i="6"/>
  <c r="BM1041" i="6"/>
  <c r="BK1041" i="6"/>
  <c r="BI1041" i="6"/>
  <c r="BG1041" i="6"/>
  <c r="BE1041" i="6"/>
  <c r="BC1041" i="6"/>
  <c r="A1041" i="6"/>
  <c r="DE1040" i="6"/>
  <c r="DC1040" i="6"/>
  <c r="CY1040" i="6"/>
  <c r="CW1040" i="6"/>
  <c r="CU1040" i="6"/>
  <c r="CS1040" i="6"/>
  <c r="BM1040" i="6"/>
  <c r="BK1040" i="6"/>
  <c r="BI1040" i="6"/>
  <c r="BG1040" i="6"/>
  <c r="BE1040" i="6"/>
  <c r="BC1040" i="6"/>
  <c r="A1040" i="6"/>
  <c r="DE1039" i="6"/>
  <c r="DC1039" i="6"/>
  <c r="CY1039" i="6"/>
  <c r="CW1039" i="6"/>
  <c r="CU1039" i="6"/>
  <c r="CS1039" i="6"/>
  <c r="BM1039" i="6"/>
  <c r="BK1039" i="6"/>
  <c r="BI1039" i="6"/>
  <c r="BG1039" i="6"/>
  <c r="BE1039" i="6"/>
  <c r="BC1039" i="6"/>
  <c r="A1039" i="6"/>
  <c r="DE1038" i="6"/>
  <c r="DC1038" i="6"/>
  <c r="CY1038" i="6"/>
  <c r="CW1038" i="6"/>
  <c r="CU1038" i="6"/>
  <c r="CS1038" i="6"/>
  <c r="BM1038" i="6"/>
  <c r="BK1038" i="6"/>
  <c r="BI1038" i="6"/>
  <c r="BG1038" i="6"/>
  <c r="BE1038" i="6"/>
  <c r="BC1038" i="6"/>
  <c r="A1038" i="6"/>
  <c r="DE1037" i="6"/>
  <c r="DC1037" i="6"/>
  <c r="CY1037" i="6"/>
  <c r="CW1037" i="6"/>
  <c r="CU1037" i="6"/>
  <c r="CS1037" i="6"/>
  <c r="BM1037" i="6"/>
  <c r="BK1037" i="6"/>
  <c r="BI1037" i="6"/>
  <c r="BG1037" i="6"/>
  <c r="BE1037" i="6"/>
  <c r="BC1037" i="6"/>
  <c r="A1037" i="6"/>
  <c r="DE1036" i="6"/>
  <c r="DC1036" i="6"/>
  <c r="CY1036" i="6"/>
  <c r="CW1036" i="6"/>
  <c r="CU1036" i="6"/>
  <c r="CS1036" i="6"/>
  <c r="BM1036" i="6"/>
  <c r="BK1036" i="6"/>
  <c r="BI1036" i="6"/>
  <c r="BG1036" i="6"/>
  <c r="BE1036" i="6"/>
  <c r="BC1036" i="6"/>
  <c r="A1036" i="6"/>
  <c r="DE1035" i="6"/>
  <c r="DC1035" i="6"/>
  <c r="CY1035" i="6"/>
  <c r="CW1035" i="6"/>
  <c r="CU1035" i="6"/>
  <c r="CS1035" i="6"/>
  <c r="BM1035" i="6"/>
  <c r="BK1035" i="6"/>
  <c r="BI1035" i="6"/>
  <c r="BG1035" i="6"/>
  <c r="BE1035" i="6"/>
  <c r="BC1035" i="6"/>
  <c r="A1035" i="6"/>
  <c r="DE1034" i="6"/>
  <c r="DC1034" i="6"/>
  <c r="CY1034" i="6"/>
  <c r="CW1034" i="6"/>
  <c r="CU1034" i="6"/>
  <c r="CS1034" i="6"/>
  <c r="BM1034" i="6"/>
  <c r="BK1034" i="6"/>
  <c r="BI1034" i="6"/>
  <c r="BG1034" i="6"/>
  <c r="BE1034" i="6"/>
  <c r="BC1034" i="6"/>
  <c r="A1034" i="6"/>
  <c r="DE1033" i="6"/>
  <c r="DC1033" i="6"/>
  <c r="CY1033" i="6"/>
  <c r="CW1033" i="6"/>
  <c r="CU1033" i="6"/>
  <c r="CS1033" i="6"/>
  <c r="BM1033" i="6"/>
  <c r="BK1033" i="6"/>
  <c r="BI1033" i="6"/>
  <c r="BG1033" i="6"/>
  <c r="BE1033" i="6"/>
  <c r="BC1033" i="6"/>
  <c r="A1033" i="6"/>
  <c r="DE1032" i="6"/>
  <c r="DC1032" i="6"/>
  <c r="CY1032" i="6"/>
  <c r="CW1032" i="6"/>
  <c r="CU1032" i="6"/>
  <c r="CS1032" i="6"/>
  <c r="BM1032" i="6"/>
  <c r="BK1032" i="6"/>
  <c r="BI1032" i="6"/>
  <c r="BG1032" i="6"/>
  <c r="BE1032" i="6"/>
  <c r="BC1032" i="6"/>
  <c r="A1032" i="6"/>
  <c r="DE1031" i="6"/>
  <c r="DC1031" i="6"/>
  <c r="CY1031" i="6"/>
  <c r="CW1031" i="6"/>
  <c r="CU1031" i="6"/>
  <c r="CS1031" i="6"/>
  <c r="BM1031" i="6"/>
  <c r="BK1031" i="6"/>
  <c r="BI1031" i="6"/>
  <c r="BG1031" i="6"/>
  <c r="BE1031" i="6"/>
  <c r="BC1031" i="6"/>
  <c r="A1031" i="6"/>
  <c r="DE1030" i="6"/>
  <c r="DC1030" i="6"/>
  <c r="CY1030" i="6"/>
  <c r="CW1030" i="6"/>
  <c r="CU1030" i="6"/>
  <c r="CS1030" i="6"/>
  <c r="BM1030" i="6"/>
  <c r="BK1030" i="6"/>
  <c r="BI1030" i="6"/>
  <c r="BG1030" i="6"/>
  <c r="BE1030" i="6"/>
  <c r="BC1030" i="6"/>
  <c r="A1030" i="6"/>
  <c r="DE1029" i="6"/>
  <c r="DC1029" i="6"/>
  <c r="CY1029" i="6"/>
  <c r="CW1029" i="6"/>
  <c r="CU1029" i="6"/>
  <c r="CS1029" i="6"/>
  <c r="BM1029" i="6"/>
  <c r="BK1029" i="6"/>
  <c r="BI1029" i="6"/>
  <c r="BG1029" i="6"/>
  <c r="BE1029" i="6"/>
  <c r="BC1029" i="6"/>
  <c r="A1029" i="6"/>
  <c r="DE1028" i="6"/>
  <c r="DC1028" i="6"/>
  <c r="CY1028" i="6"/>
  <c r="CW1028" i="6"/>
  <c r="CU1028" i="6"/>
  <c r="CS1028" i="6"/>
  <c r="BM1028" i="6"/>
  <c r="BK1028" i="6"/>
  <c r="BI1028" i="6"/>
  <c r="BG1028" i="6"/>
  <c r="BE1028" i="6"/>
  <c r="BC1028" i="6"/>
  <c r="A1028" i="6"/>
  <c r="DE1027" i="6"/>
  <c r="DC1027" i="6"/>
  <c r="CY1027" i="6"/>
  <c r="CW1027" i="6"/>
  <c r="CU1027" i="6"/>
  <c r="CS1027" i="6"/>
  <c r="BM1027" i="6"/>
  <c r="BK1027" i="6"/>
  <c r="BI1027" i="6"/>
  <c r="BG1027" i="6"/>
  <c r="BE1027" i="6"/>
  <c r="BC1027" i="6"/>
  <c r="A1027" i="6"/>
  <c r="DE1026" i="6"/>
  <c r="DC1026" i="6"/>
  <c r="CY1026" i="6"/>
  <c r="CW1026" i="6"/>
  <c r="CU1026" i="6"/>
  <c r="CS1026" i="6"/>
  <c r="BM1026" i="6"/>
  <c r="BK1026" i="6"/>
  <c r="BI1026" i="6"/>
  <c r="BG1026" i="6"/>
  <c r="BE1026" i="6"/>
  <c r="BC1026" i="6"/>
  <c r="A1026" i="6"/>
  <c r="DE1025" i="6"/>
  <c r="DC1025" i="6"/>
  <c r="CY1025" i="6"/>
  <c r="CW1025" i="6"/>
  <c r="CU1025" i="6"/>
  <c r="CS1025" i="6"/>
  <c r="BM1025" i="6"/>
  <c r="BK1025" i="6"/>
  <c r="BI1025" i="6"/>
  <c r="BG1025" i="6"/>
  <c r="BE1025" i="6"/>
  <c r="BC1025" i="6"/>
  <c r="A1025" i="6"/>
  <c r="DE1024" i="6"/>
  <c r="DC1024" i="6"/>
  <c r="CY1024" i="6"/>
  <c r="CW1024" i="6"/>
  <c r="CU1024" i="6"/>
  <c r="CS1024" i="6"/>
  <c r="BM1024" i="6"/>
  <c r="BK1024" i="6"/>
  <c r="BI1024" i="6"/>
  <c r="BG1024" i="6"/>
  <c r="BE1024" i="6"/>
  <c r="BC1024" i="6"/>
  <c r="A1024" i="6"/>
  <c r="DE1023" i="6"/>
  <c r="DC1023" i="6"/>
  <c r="CY1023" i="6"/>
  <c r="CW1023" i="6"/>
  <c r="CU1023" i="6"/>
  <c r="CS1023" i="6"/>
  <c r="BM1023" i="6"/>
  <c r="BK1023" i="6"/>
  <c r="BI1023" i="6"/>
  <c r="BG1023" i="6"/>
  <c r="BE1023" i="6"/>
  <c r="BC1023" i="6"/>
  <c r="A1023" i="6"/>
  <c r="DE1022" i="6"/>
  <c r="DC1022" i="6"/>
  <c r="CY1022" i="6"/>
  <c r="CW1022" i="6"/>
  <c r="CU1022" i="6"/>
  <c r="CS1022" i="6"/>
  <c r="BM1022" i="6"/>
  <c r="BK1022" i="6"/>
  <c r="BI1022" i="6"/>
  <c r="BG1022" i="6"/>
  <c r="BE1022" i="6"/>
  <c r="BC1022" i="6"/>
  <c r="A1022" i="6"/>
  <c r="DE1021" i="6"/>
  <c r="DC1021" i="6"/>
  <c r="CY1021" i="6"/>
  <c r="CW1021" i="6"/>
  <c r="CU1021" i="6"/>
  <c r="CS1021" i="6"/>
  <c r="BM1021" i="6"/>
  <c r="BK1021" i="6"/>
  <c r="BI1021" i="6"/>
  <c r="BG1021" i="6"/>
  <c r="BE1021" i="6"/>
  <c r="BC1021" i="6"/>
  <c r="A1021" i="6"/>
  <c r="DE1020" i="6"/>
  <c r="DC1020" i="6"/>
  <c r="CY1020" i="6"/>
  <c r="CW1020" i="6"/>
  <c r="CU1020" i="6"/>
  <c r="CS1020" i="6"/>
  <c r="BM1020" i="6"/>
  <c r="BK1020" i="6"/>
  <c r="BI1020" i="6"/>
  <c r="BG1020" i="6"/>
  <c r="BE1020" i="6"/>
  <c r="BC1020" i="6"/>
  <c r="A1020" i="6"/>
  <c r="DE1019" i="6"/>
  <c r="DC1019" i="6"/>
  <c r="CY1019" i="6"/>
  <c r="CW1019" i="6"/>
  <c r="CU1019" i="6"/>
  <c r="CS1019" i="6"/>
  <c r="BM1019" i="6"/>
  <c r="BK1019" i="6"/>
  <c r="BI1019" i="6"/>
  <c r="BG1019" i="6"/>
  <c r="BE1019" i="6"/>
  <c r="BC1019" i="6"/>
  <c r="A1019" i="6"/>
  <c r="DE1018" i="6"/>
  <c r="DC1018" i="6"/>
  <c r="CY1018" i="6"/>
  <c r="CW1018" i="6"/>
  <c r="CU1018" i="6"/>
  <c r="CS1018" i="6"/>
  <c r="BM1018" i="6"/>
  <c r="BK1018" i="6"/>
  <c r="BI1018" i="6"/>
  <c r="BG1018" i="6"/>
  <c r="BE1018" i="6"/>
  <c r="BC1018" i="6"/>
  <c r="A1018" i="6"/>
  <c r="DE1017" i="6"/>
  <c r="DC1017" i="6"/>
  <c r="CY1017" i="6"/>
  <c r="CW1017" i="6"/>
  <c r="CU1017" i="6"/>
  <c r="CS1017" i="6"/>
  <c r="BM1017" i="6"/>
  <c r="BK1017" i="6"/>
  <c r="BI1017" i="6"/>
  <c r="BG1017" i="6"/>
  <c r="BE1017" i="6"/>
  <c r="BC1017" i="6"/>
  <c r="A1017" i="6"/>
  <c r="DE1016" i="6"/>
  <c r="DC1016" i="6"/>
  <c r="CY1016" i="6"/>
  <c r="CW1016" i="6"/>
  <c r="CU1016" i="6"/>
  <c r="CS1016" i="6"/>
  <c r="BM1016" i="6"/>
  <c r="BK1016" i="6"/>
  <c r="BI1016" i="6"/>
  <c r="BG1016" i="6"/>
  <c r="BE1016" i="6"/>
  <c r="BC1016" i="6"/>
  <c r="A1016" i="6"/>
  <c r="DE1015" i="6"/>
  <c r="DC1015" i="6"/>
  <c r="CY1015" i="6"/>
  <c r="CW1015" i="6"/>
  <c r="CU1015" i="6"/>
  <c r="CS1015" i="6"/>
  <c r="BM1015" i="6"/>
  <c r="BK1015" i="6"/>
  <c r="BI1015" i="6"/>
  <c r="BG1015" i="6"/>
  <c r="BE1015" i="6"/>
  <c r="BC1015" i="6"/>
  <c r="A1015" i="6"/>
  <c r="DE1014" i="6"/>
  <c r="DC1014" i="6"/>
  <c r="CY1014" i="6"/>
  <c r="CW1014" i="6"/>
  <c r="CU1014" i="6"/>
  <c r="CS1014" i="6"/>
  <c r="BM1014" i="6"/>
  <c r="BK1014" i="6"/>
  <c r="BI1014" i="6"/>
  <c r="BG1014" i="6"/>
  <c r="BE1014" i="6"/>
  <c r="BC1014" i="6"/>
  <c r="A1014" i="6"/>
  <c r="DE1013" i="6"/>
  <c r="DC1013" i="6"/>
  <c r="CY1013" i="6"/>
  <c r="CW1013" i="6"/>
  <c r="CU1013" i="6"/>
  <c r="CS1013" i="6"/>
  <c r="BM1013" i="6"/>
  <c r="BK1013" i="6"/>
  <c r="BI1013" i="6"/>
  <c r="BG1013" i="6"/>
  <c r="BE1013" i="6"/>
  <c r="BC1013" i="6"/>
  <c r="A1013" i="6"/>
  <c r="DE1012" i="6"/>
  <c r="DC1012" i="6"/>
  <c r="CY1012" i="6"/>
  <c r="CW1012" i="6"/>
  <c r="CU1012" i="6"/>
  <c r="CS1012" i="6"/>
  <c r="BM1012" i="6"/>
  <c r="BK1012" i="6"/>
  <c r="BI1012" i="6"/>
  <c r="BG1012" i="6"/>
  <c r="BE1012" i="6"/>
  <c r="BC1012" i="6"/>
  <c r="A1012" i="6"/>
  <c r="DE1011" i="6"/>
  <c r="DC1011" i="6"/>
  <c r="CY1011" i="6"/>
  <c r="CW1011" i="6"/>
  <c r="CU1011" i="6"/>
  <c r="CS1011" i="6"/>
  <c r="BM1011" i="6"/>
  <c r="BK1011" i="6"/>
  <c r="BI1011" i="6"/>
  <c r="BG1011" i="6"/>
  <c r="BE1011" i="6"/>
  <c r="BC1011" i="6"/>
  <c r="A1011" i="6"/>
  <c r="DE1010" i="6"/>
  <c r="DC1010" i="6"/>
  <c r="CY1010" i="6"/>
  <c r="CW1010" i="6"/>
  <c r="CU1010" i="6"/>
  <c r="CS1010" i="6"/>
  <c r="BM1010" i="6"/>
  <c r="BK1010" i="6"/>
  <c r="BI1010" i="6"/>
  <c r="BG1010" i="6"/>
  <c r="BE1010" i="6"/>
  <c r="BC1010" i="6"/>
  <c r="A1010" i="6"/>
  <c r="DE1009" i="6"/>
  <c r="DC1009" i="6"/>
  <c r="CY1009" i="6"/>
  <c r="CW1009" i="6"/>
  <c r="CU1009" i="6"/>
  <c r="CS1009" i="6"/>
  <c r="BM1009" i="6"/>
  <c r="BK1009" i="6"/>
  <c r="BI1009" i="6"/>
  <c r="BG1009" i="6"/>
  <c r="BE1009" i="6"/>
  <c r="BC1009" i="6"/>
  <c r="A1009" i="6"/>
  <c r="DE1008" i="6"/>
  <c r="DC1008" i="6"/>
  <c r="CY1008" i="6"/>
  <c r="CW1008" i="6"/>
  <c r="CU1008" i="6"/>
  <c r="CS1008" i="6"/>
  <c r="BM1008" i="6"/>
  <c r="BK1008" i="6"/>
  <c r="BI1008" i="6"/>
  <c r="BG1008" i="6"/>
  <c r="BE1008" i="6"/>
  <c r="BC1008" i="6"/>
  <c r="A1008" i="6"/>
  <c r="DE1007" i="6"/>
  <c r="DC1007" i="6"/>
  <c r="CY1007" i="6"/>
  <c r="CW1007" i="6"/>
  <c r="CU1007" i="6"/>
  <c r="CS1007" i="6"/>
  <c r="BM1007" i="6"/>
  <c r="BK1007" i="6"/>
  <c r="BI1007" i="6"/>
  <c r="BG1007" i="6"/>
  <c r="BE1007" i="6"/>
  <c r="BC1007" i="6"/>
  <c r="A1007" i="6"/>
  <c r="DE1006" i="6"/>
  <c r="DC1006" i="6"/>
  <c r="CY1006" i="6"/>
  <c r="CW1006" i="6"/>
  <c r="CU1006" i="6"/>
  <c r="CS1006" i="6"/>
  <c r="BM1006" i="6"/>
  <c r="BK1006" i="6"/>
  <c r="BI1006" i="6"/>
  <c r="BG1006" i="6"/>
  <c r="BE1006" i="6"/>
  <c r="BC1006" i="6"/>
  <c r="A1006" i="6"/>
  <c r="DE1005" i="6"/>
  <c r="DC1005" i="6"/>
  <c r="CY1005" i="6"/>
  <c r="CW1005" i="6"/>
  <c r="CU1005" i="6"/>
  <c r="CS1005" i="6"/>
  <c r="BM1005" i="6"/>
  <c r="BK1005" i="6"/>
  <c r="BI1005" i="6"/>
  <c r="BG1005" i="6"/>
  <c r="BE1005" i="6"/>
  <c r="BC1005" i="6"/>
  <c r="A1005" i="6"/>
  <c r="DE1004" i="6"/>
  <c r="DC1004" i="6"/>
  <c r="CY1004" i="6"/>
  <c r="CW1004" i="6"/>
  <c r="CU1004" i="6"/>
  <c r="CS1004" i="6"/>
  <c r="BM1004" i="6"/>
  <c r="BK1004" i="6"/>
  <c r="BI1004" i="6"/>
  <c r="BG1004" i="6"/>
  <c r="BE1004" i="6"/>
  <c r="BC1004" i="6"/>
  <c r="A1004" i="6"/>
  <c r="DE1003" i="6"/>
  <c r="DC1003" i="6"/>
  <c r="CY1003" i="6"/>
  <c r="CW1003" i="6"/>
  <c r="CU1003" i="6"/>
  <c r="CS1003" i="6"/>
  <c r="BM1003" i="6"/>
  <c r="BK1003" i="6"/>
  <c r="BI1003" i="6"/>
  <c r="BG1003" i="6"/>
  <c r="BE1003" i="6"/>
  <c r="BC1003" i="6"/>
  <c r="A1003" i="6"/>
  <c r="DE1002" i="6"/>
  <c r="DC1002" i="6"/>
  <c r="CY1002" i="6"/>
  <c r="CW1002" i="6"/>
  <c r="CU1002" i="6"/>
  <c r="CS1002" i="6"/>
  <c r="BM1002" i="6"/>
  <c r="BK1002" i="6"/>
  <c r="BI1002" i="6"/>
  <c r="BG1002" i="6"/>
  <c r="BE1002" i="6"/>
  <c r="BC1002" i="6"/>
  <c r="A1002" i="6"/>
  <c r="DE1001" i="6"/>
  <c r="DC1001" i="6"/>
  <c r="CY1001" i="6"/>
  <c r="CW1001" i="6"/>
  <c r="CU1001" i="6"/>
  <c r="CS1001" i="6"/>
  <c r="BM1001" i="6"/>
  <c r="BK1001" i="6"/>
  <c r="BI1001" i="6"/>
  <c r="BG1001" i="6"/>
  <c r="BE1001" i="6"/>
  <c r="BC1001" i="6"/>
  <c r="A1001" i="6"/>
  <c r="DE1000" i="6"/>
  <c r="DC1000" i="6"/>
  <c r="CY1000" i="6"/>
  <c r="CW1000" i="6"/>
  <c r="CU1000" i="6"/>
  <c r="CS1000" i="6"/>
  <c r="BM1000" i="6"/>
  <c r="BK1000" i="6"/>
  <c r="BI1000" i="6"/>
  <c r="BG1000" i="6"/>
  <c r="BE1000" i="6"/>
  <c r="BC1000" i="6"/>
  <c r="A1000" i="6"/>
  <c r="DE999" i="6"/>
  <c r="DC999" i="6"/>
  <c r="CY999" i="6"/>
  <c r="CW999" i="6"/>
  <c r="CU999" i="6"/>
  <c r="CS999" i="6"/>
  <c r="BM999" i="6"/>
  <c r="BK999" i="6"/>
  <c r="BI999" i="6"/>
  <c r="BG999" i="6"/>
  <c r="BE999" i="6"/>
  <c r="BC999" i="6"/>
  <c r="A999" i="6"/>
  <c r="DE998" i="6"/>
  <c r="DC998" i="6"/>
  <c r="CY998" i="6"/>
  <c r="CW998" i="6"/>
  <c r="CU998" i="6"/>
  <c r="CS998" i="6"/>
  <c r="BM998" i="6"/>
  <c r="BK998" i="6"/>
  <c r="BI998" i="6"/>
  <c r="BG998" i="6"/>
  <c r="BE998" i="6"/>
  <c r="BC998" i="6"/>
  <c r="A998" i="6"/>
  <c r="DE997" i="6"/>
  <c r="DC997" i="6"/>
  <c r="CY997" i="6"/>
  <c r="CW997" i="6"/>
  <c r="CU997" i="6"/>
  <c r="CS997" i="6"/>
  <c r="BM997" i="6"/>
  <c r="BK997" i="6"/>
  <c r="BI997" i="6"/>
  <c r="BG997" i="6"/>
  <c r="BE997" i="6"/>
  <c r="BC997" i="6"/>
  <c r="A997" i="6"/>
  <c r="DE996" i="6"/>
  <c r="DC996" i="6"/>
  <c r="CY996" i="6"/>
  <c r="CW996" i="6"/>
  <c r="CU996" i="6"/>
  <c r="CS996" i="6"/>
  <c r="BM996" i="6"/>
  <c r="BK996" i="6"/>
  <c r="BI996" i="6"/>
  <c r="BG996" i="6"/>
  <c r="BE996" i="6"/>
  <c r="BC996" i="6"/>
  <c r="A996" i="6"/>
  <c r="DE995" i="6"/>
  <c r="DC995" i="6"/>
  <c r="CY995" i="6"/>
  <c r="CW995" i="6"/>
  <c r="CU995" i="6"/>
  <c r="CS995" i="6"/>
  <c r="BM995" i="6"/>
  <c r="BK995" i="6"/>
  <c r="BI995" i="6"/>
  <c r="BG995" i="6"/>
  <c r="BE995" i="6"/>
  <c r="BC995" i="6"/>
  <c r="A995" i="6"/>
  <c r="DE994" i="6"/>
  <c r="DC994" i="6"/>
  <c r="CY994" i="6"/>
  <c r="CW994" i="6"/>
  <c r="CU994" i="6"/>
  <c r="CS994" i="6"/>
  <c r="BM994" i="6"/>
  <c r="BK994" i="6"/>
  <c r="BI994" i="6"/>
  <c r="BG994" i="6"/>
  <c r="BE994" i="6"/>
  <c r="BC994" i="6"/>
  <c r="A994" i="6"/>
  <c r="DE993" i="6"/>
  <c r="DC993" i="6"/>
  <c r="CY993" i="6"/>
  <c r="CW993" i="6"/>
  <c r="CU993" i="6"/>
  <c r="CS993" i="6"/>
  <c r="BM993" i="6"/>
  <c r="BK993" i="6"/>
  <c r="BI993" i="6"/>
  <c r="BG993" i="6"/>
  <c r="BE993" i="6"/>
  <c r="BC993" i="6"/>
  <c r="A993" i="6"/>
  <c r="DE992" i="6"/>
  <c r="DC992" i="6"/>
  <c r="CY992" i="6"/>
  <c r="CW992" i="6"/>
  <c r="CU992" i="6"/>
  <c r="CS992" i="6"/>
  <c r="BM992" i="6"/>
  <c r="BK992" i="6"/>
  <c r="BI992" i="6"/>
  <c r="BG992" i="6"/>
  <c r="BE992" i="6"/>
  <c r="BC992" i="6"/>
  <c r="A992" i="6"/>
  <c r="DE991" i="6"/>
  <c r="DC991" i="6"/>
  <c r="CY991" i="6"/>
  <c r="CW991" i="6"/>
  <c r="CU991" i="6"/>
  <c r="CS991" i="6"/>
  <c r="BM991" i="6"/>
  <c r="BK991" i="6"/>
  <c r="BI991" i="6"/>
  <c r="BG991" i="6"/>
  <c r="BE991" i="6"/>
  <c r="BC991" i="6"/>
  <c r="A991" i="6"/>
  <c r="DE990" i="6"/>
  <c r="DC990" i="6"/>
  <c r="CY990" i="6"/>
  <c r="CW990" i="6"/>
  <c r="CU990" i="6"/>
  <c r="CS990" i="6"/>
  <c r="BM990" i="6"/>
  <c r="BK990" i="6"/>
  <c r="BI990" i="6"/>
  <c r="BG990" i="6"/>
  <c r="BE990" i="6"/>
  <c r="BC990" i="6"/>
  <c r="A990" i="6"/>
  <c r="DE989" i="6"/>
  <c r="DC989" i="6"/>
  <c r="CY989" i="6"/>
  <c r="CW989" i="6"/>
  <c r="CU989" i="6"/>
  <c r="CS989" i="6"/>
  <c r="BM989" i="6"/>
  <c r="BK989" i="6"/>
  <c r="BI989" i="6"/>
  <c r="BG989" i="6"/>
  <c r="BE989" i="6"/>
  <c r="BC989" i="6"/>
  <c r="A989" i="6"/>
  <c r="DE988" i="6"/>
  <c r="DC988" i="6"/>
  <c r="CY988" i="6"/>
  <c r="CW988" i="6"/>
  <c r="CU988" i="6"/>
  <c r="CS988" i="6"/>
  <c r="BM988" i="6"/>
  <c r="BK988" i="6"/>
  <c r="BI988" i="6"/>
  <c r="BG988" i="6"/>
  <c r="BE988" i="6"/>
  <c r="BC988" i="6"/>
  <c r="A988" i="6"/>
  <c r="DE987" i="6"/>
  <c r="DC987" i="6"/>
  <c r="CY987" i="6"/>
  <c r="CW987" i="6"/>
  <c r="CU987" i="6"/>
  <c r="CS987" i="6"/>
  <c r="BM987" i="6"/>
  <c r="BK987" i="6"/>
  <c r="BI987" i="6"/>
  <c r="BG987" i="6"/>
  <c r="BE987" i="6"/>
  <c r="BC987" i="6"/>
  <c r="A987" i="6"/>
  <c r="DE986" i="6"/>
  <c r="DC986" i="6"/>
  <c r="CY986" i="6"/>
  <c r="CW986" i="6"/>
  <c r="CU986" i="6"/>
  <c r="CS986" i="6"/>
  <c r="BM986" i="6"/>
  <c r="BK986" i="6"/>
  <c r="BI986" i="6"/>
  <c r="BG986" i="6"/>
  <c r="BE986" i="6"/>
  <c r="BC986" i="6"/>
  <c r="A986" i="6"/>
  <c r="DE985" i="6"/>
  <c r="DC985" i="6"/>
  <c r="CY985" i="6"/>
  <c r="CW985" i="6"/>
  <c r="CU985" i="6"/>
  <c r="CS985" i="6"/>
  <c r="BM985" i="6"/>
  <c r="BK985" i="6"/>
  <c r="BI985" i="6"/>
  <c r="BG985" i="6"/>
  <c r="BE985" i="6"/>
  <c r="BC985" i="6"/>
  <c r="A985" i="6"/>
  <c r="DE984" i="6"/>
  <c r="DC984" i="6"/>
  <c r="CY984" i="6"/>
  <c r="CW984" i="6"/>
  <c r="CU984" i="6"/>
  <c r="CS984" i="6"/>
  <c r="BM984" i="6"/>
  <c r="BK984" i="6"/>
  <c r="BI984" i="6"/>
  <c r="BG984" i="6"/>
  <c r="BE984" i="6"/>
  <c r="BC984" i="6"/>
  <c r="A984" i="6"/>
  <c r="DE983" i="6"/>
  <c r="DC983" i="6"/>
  <c r="CY983" i="6"/>
  <c r="CW983" i="6"/>
  <c r="CU983" i="6"/>
  <c r="CS983" i="6"/>
  <c r="BM983" i="6"/>
  <c r="BK983" i="6"/>
  <c r="BI983" i="6"/>
  <c r="BG983" i="6"/>
  <c r="BE983" i="6"/>
  <c r="BC983" i="6"/>
  <c r="A983" i="6"/>
  <c r="DE982" i="6"/>
  <c r="DC982" i="6"/>
  <c r="CY982" i="6"/>
  <c r="CW982" i="6"/>
  <c r="CU982" i="6"/>
  <c r="CS982" i="6"/>
  <c r="BM982" i="6"/>
  <c r="BK982" i="6"/>
  <c r="BI982" i="6"/>
  <c r="BG982" i="6"/>
  <c r="BE982" i="6"/>
  <c r="BC982" i="6"/>
  <c r="A982" i="6"/>
  <c r="DE981" i="6"/>
  <c r="DC981" i="6"/>
  <c r="CY981" i="6"/>
  <c r="CW981" i="6"/>
  <c r="CU981" i="6"/>
  <c r="CS981" i="6"/>
  <c r="BM981" i="6"/>
  <c r="BK981" i="6"/>
  <c r="BI981" i="6"/>
  <c r="BG981" i="6"/>
  <c r="BE981" i="6"/>
  <c r="BC981" i="6"/>
  <c r="A981" i="6"/>
  <c r="DE980" i="6"/>
  <c r="DC980" i="6"/>
  <c r="CY980" i="6"/>
  <c r="CW980" i="6"/>
  <c r="CU980" i="6"/>
  <c r="CS980" i="6"/>
  <c r="BM980" i="6"/>
  <c r="BK980" i="6"/>
  <c r="BI980" i="6"/>
  <c r="BG980" i="6"/>
  <c r="BE980" i="6"/>
  <c r="BC980" i="6"/>
  <c r="A980" i="6"/>
  <c r="DE979" i="6"/>
  <c r="DC979" i="6"/>
  <c r="CY979" i="6"/>
  <c r="CW979" i="6"/>
  <c r="CU979" i="6"/>
  <c r="CS979" i="6"/>
  <c r="BM979" i="6"/>
  <c r="BK979" i="6"/>
  <c r="BI979" i="6"/>
  <c r="BG979" i="6"/>
  <c r="BE979" i="6"/>
  <c r="BC979" i="6"/>
  <c r="A979" i="6"/>
  <c r="DE978" i="6"/>
  <c r="DC978" i="6"/>
  <c r="CY978" i="6"/>
  <c r="CW978" i="6"/>
  <c r="CU978" i="6"/>
  <c r="CS978" i="6"/>
  <c r="BM978" i="6"/>
  <c r="BK978" i="6"/>
  <c r="BI978" i="6"/>
  <c r="BG978" i="6"/>
  <c r="BE978" i="6"/>
  <c r="BC978" i="6"/>
  <c r="A978" i="6"/>
  <c r="DE977" i="6"/>
  <c r="DC977" i="6"/>
  <c r="CY977" i="6"/>
  <c r="CW977" i="6"/>
  <c r="CU977" i="6"/>
  <c r="CS977" i="6"/>
  <c r="BM977" i="6"/>
  <c r="BK977" i="6"/>
  <c r="BI977" i="6"/>
  <c r="BG977" i="6"/>
  <c r="BE977" i="6"/>
  <c r="BC977" i="6"/>
  <c r="A977" i="6"/>
  <c r="DE976" i="6"/>
  <c r="DC976" i="6"/>
  <c r="CY976" i="6"/>
  <c r="CW976" i="6"/>
  <c r="CU976" i="6"/>
  <c r="CS976" i="6"/>
  <c r="BM976" i="6"/>
  <c r="BK976" i="6"/>
  <c r="BI976" i="6"/>
  <c r="BG976" i="6"/>
  <c r="BE976" i="6"/>
  <c r="BC976" i="6"/>
  <c r="A976" i="6"/>
  <c r="DE975" i="6"/>
  <c r="DC975" i="6"/>
  <c r="CY975" i="6"/>
  <c r="CW975" i="6"/>
  <c r="CU975" i="6"/>
  <c r="CS975" i="6"/>
  <c r="BM975" i="6"/>
  <c r="BK975" i="6"/>
  <c r="BI975" i="6"/>
  <c r="BG975" i="6"/>
  <c r="BE975" i="6"/>
  <c r="BC975" i="6"/>
  <c r="A975" i="6"/>
  <c r="DE974" i="6"/>
  <c r="DC974" i="6"/>
  <c r="CY974" i="6"/>
  <c r="CW974" i="6"/>
  <c r="CU974" i="6"/>
  <c r="CS974" i="6"/>
  <c r="BM974" i="6"/>
  <c r="BK974" i="6"/>
  <c r="BI974" i="6"/>
  <c r="BG974" i="6"/>
  <c r="BE974" i="6"/>
  <c r="BC974" i="6"/>
  <c r="A974" i="6"/>
  <c r="DE973" i="6"/>
  <c r="DC973" i="6"/>
  <c r="CY973" i="6"/>
  <c r="CW973" i="6"/>
  <c r="CU973" i="6"/>
  <c r="CS973" i="6"/>
  <c r="BM973" i="6"/>
  <c r="BK973" i="6"/>
  <c r="BI973" i="6"/>
  <c r="BG973" i="6"/>
  <c r="BE973" i="6"/>
  <c r="BC973" i="6"/>
  <c r="A973" i="6"/>
  <c r="DE972" i="6"/>
  <c r="DC972" i="6"/>
  <c r="CY972" i="6"/>
  <c r="CW972" i="6"/>
  <c r="CU972" i="6"/>
  <c r="CS972" i="6"/>
  <c r="BM972" i="6"/>
  <c r="BK972" i="6"/>
  <c r="BI972" i="6"/>
  <c r="BG972" i="6"/>
  <c r="BE972" i="6"/>
  <c r="BC972" i="6"/>
  <c r="A972" i="6"/>
  <c r="DE971" i="6"/>
  <c r="DC971" i="6"/>
  <c r="CY971" i="6"/>
  <c r="CW971" i="6"/>
  <c r="CU971" i="6"/>
  <c r="CS971" i="6"/>
  <c r="BM971" i="6"/>
  <c r="BK971" i="6"/>
  <c r="BI971" i="6"/>
  <c r="BG971" i="6"/>
  <c r="BE971" i="6"/>
  <c r="BC971" i="6"/>
  <c r="A971" i="6"/>
  <c r="DE970" i="6"/>
  <c r="DC970" i="6"/>
  <c r="CY970" i="6"/>
  <c r="CW970" i="6"/>
  <c r="CU970" i="6"/>
  <c r="CS970" i="6"/>
  <c r="BM970" i="6"/>
  <c r="BK970" i="6"/>
  <c r="BI970" i="6"/>
  <c r="BG970" i="6"/>
  <c r="BE970" i="6"/>
  <c r="BC970" i="6"/>
  <c r="A970" i="6"/>
  <c r="DE969" i="6"/>
  <c r="DC969" i="6"/>
  <c r="CY969" i="6"/>
  <c r="CW969" i="6"/>
  <c r="CU969" i="6"/>
  <c r="CS969" i="6"/>
  <c r="BM969" i="6"/>
  <c r="BK969" i="6"/>
  <c r="BI969" i="6"/>
  <c r="BG969" i="6"/>
  <c r="BE969" i="6"/>
  <c r="BC969" i="6"/>
  <c r="A969" i="6"/>
  <c r="DE968" i="6"/>
  <c r="DC968" i="6"/>
  <c r="CY968" i="6"/>
  <c r="CW968" i="6"/>
  <c r="CU968" i="6"/>
  <c r="CS968" i="6"/>
  <c r="BM968" i="6"/>
  <c r="BK968" i="6"/>
  <c r="BI968" i="6"/>
  <c r="BG968" i="6"/>
  <c r="BE968" i="6"/>
  <c r="BC968" i="6"/>
  <c r="A968" i="6"/>
  <c r="DE967" i="6"/>
  <c r="DC967" i="6"/>
  <c r="CY967" i="6"/>
  <c r="CW967" i="6"/>
  <c r="CU967" i="6"/>
  <c r="CS967" i="6"/>
  <c r="BM967" i="6"/>
  <c r="BK967" i="6"/>
  <c r="BI967" i="6"/>
  <c r="BG967" i="6"/>
  <c r="BE967" i="6"/>
  <c r="BC967" i="6"/>
  <c r="A967" i="6"/>
  <c r="DE966" i="6"/>
  <c r="DC966" i="6"/>
  <c r="CY966" i="6"/>
  <c r="CW966" i="6"/>
  <c r="CU966" i="6"/>
  <c r="CS966" i="6"/>
  <c r="BM966" i="6"/>
  <c r="BK966" i="6"/>
  <c r="BI966" i="6"/>
  <c r="BG966" i="6"/>
  <c r="BE966" i="6"/>
  <c r="BC966" i="6"/>
  <c r="A966" i="6"/>
  <c r="DE965" i="6"/>
  <c r="DC965" i="6"/>
  <c r="CY965" i="6"/>
  <c r="CW965" i="6"/>
  <c r="CU965" i="6"/>
  <c r="CS965" i="6"/>
  <c r="BM965" i="6"/>
  <c r="BK965" i="6"/>
  <c r="BI965" i="6"/>
  <c r="BG965" i="6"/>
  <c r="BE965" i="6"/>
  <c r="BC965" i="6"/>
  <c r="A965" i="6"/>
  <c r="DE964" i="6"/>
  <c r="DC964" i="6"/>
  <c r="CY964" i="6"/>
  <c r="CW964" i="6"/>
  <c r="CU964" i="6"/>
  <c r="CS964" i="6"/>
  <c r="BM964" i="6"/>
  <c r="BK964" i="6"/>
  <c r="BI964" i="6"/>
  <c r="BG964" i="6"/>
  <c r="BE964" i="6"/>
  <c r="BC964" i="6"/>
  <c r="A964" i="6"/>
  <c r="DE963" i="6"/>
  <c r="DC963" i="6"/>
  <c r="CY963" i="6"/>
  <c r="CW963" i="6"/>
  <c r="CU963" i="6"/>
  <c r="CS963" i="6"/>
  <c r="BM963" i="6"/>
  <c r="BK963" i="6"/>
  <c r="BI963" i="6"/>
  <c r="BG963" i="6"/>
  <c r="BE963" i="6"/>
  <c r="BC963" i="6"/>
  <c r="A963" i="6"/>
  <c r="DE962" i="6"/>
  <c r="DC962" i="6"/>
  <c r="CY962" i="6"/>
  <c r="CW962" i="6"/>
  <c r="CU962" i="6"/>
  <c r="CS962" i="6"/>
  <c r="BM962" i="6"/>
  <c r="BK962" i="6"/>
  <c r="BI962" i="6"/>
  <c r="BG962" i="6"/>
  <c r="BE962" i="6"/>
  <c r="BC962" i="6"/>
  <c r="A962" i="6"/>
  <c r="DE961" i="6"/>
  <c r="DC961" i="6"/>
  <c r="CY961" i="6"/>
  <c r="CW961" i="6"/>
  <c r="CU961" i="6"/>
  <c r="CS961" i="6"/>
  <c r="BM961" i="6"/>
  <c r="BK961" i="6"/>
  <c r="BI961" i="6"/>
  <c r="BG961" i="6"/>
  <c r="BE961" i="6"/>
  <c r="BC961" i="6"/>
  <c r="A961" i="6"/>
  <c r="DE960" i="6"/>
  <c r="DC960" i="6"/>
  <c r="CY960" i="6"/>
  <c r="CW960" i="6"/>
  <c r="CU960" i="6"/>
  <c r="CS960" i="6"/>
  <c r="BM960" i="6"/>
  <c r="BK960" i="6"/>
  <c r="BI960" i="6"/>
  <c r="BG960" i="6"/>
  <c r="BE960" i="6"/>
  <c r="BC960" i="6"/>
  <c r="A960" i="6"/>
  <c r="DE959" i="6"/>
  <c r="DC959" i="6"/>
  <c r="CY959" i="6"/>
  <c r="CW959" i="6"/>
  <c r="CU959" i="6"/>
  <c r="CS959" i="6"/>
  <c r="BM959" i="6"/>
  <c r="BK959" i="6"/>
  <c r="BI959" i="6"/>
  <c r="BG959" i="6"/>
  <c r="BE959" i="6"/>
  <c r="BC959" i="6"/>
  <c r="A959" i="6"/>
  <c r="DE958" i="6"/>
  <c r="DC958" i="6"/>
  <c r="CY958" i="6"/>
  <c r="CW958" i="6"/>
  <c r="CU958" i="6"/>
  <c r="CS958" i="6"/>
  <c r="BM958" i="6"/>
  <c r="BK958" i="6"/>
  <c r="BI958" i="6"/>
  <c r="BG958" i="6"/>
  <c r="BE958" i="6"/>
  <c r="BC958" i="6"/>
  <c r="A958" i="6"/>
  <c r="DE957" i="6"/>
  <c r="DC957" i="6"/>
  <c r="CY957" i="6"/>
  <c r="CW957" i="6"/>
  <c r="CU957" i="6"/>
  <c r="CS957" i="6"/>
  <c r="BM957" i="6"/>
  <c r="BK957" i="6"/>
  <c r="BI957" i="6"/>
  <c r="BG957" i="6"/>
  <c r="BE957" i="6"/>
  <c r="BC957" i="6"/>
  <c r="A957" i="6"/>
  <c r="DE956" i="6"/>
  <c r="DC956" i="6"/>
  <c r="CY956" i="6"/>
  <c r="CW956" i="6"/>
  <c r="CU956" i="6"/>
  <c r="CS956" i="6"/>
  <c r="BM956" i="6"/>
  <c r="BK956" i="6"/>
  <c r="BI956" i="6"/>
  <c r="BG956" i="6"/>
  <c r="BE956" i="6"/>
  <c r="BC956" i="6"/>
  <c r="A956" i="6"/>
  <c r="DE955" i="6"/>
  <c r="DC955" i="6"/>
  <c r="CY955" i="6"/>
  <c r="CW955" i="6"/>
  <c r="CU955" i="6"/>
  <c r="CS955" i="6"/>
  <c r="BM955" i="6"/>
  <c r="BK955" i="6"/>
  <c r="BI955" i="6"/>
  <c r="BG955" i="6"/>
  <c r="BE955" i="6"/>
  <c r="BC955" i="6"/>
  <c r="A955" i="6"/>
  <c r="DE954" i="6"/>
  <c r="DC954" i="6"/>
  <c r="CY954" i="6"/>
  <c r="CW954" i="6"/>
  <c r="CU954" i="6"/>
  <c r="CS954" i="6"/>
  <c r="BM954" i="6"/>
  <c r="BK954" i="6"/>
  <c r="BI954" i="6"/>
  <c r="BG954" i="6"/>
  <c r="BE954" i="6"/>
  <c r="BC954" i="6"/>
  <c r="A954" i="6"/>
  <c r="DE953" i="6"/>
  <c r="DC953" i="6"/>
  <c r="CY953" i="6"/>
  <c r="CW953" i="6"/>
  <c r="CU953" i="6"/>
  <c r="CS953" i="6"/>
  <c r="BM953" i="6"/>
  <c r="BK953" i="6"/>
  <c r="BI953" i="6"/>
  <c r="BG953" i="6"/>
  <c r="BE953" i="6"/>
  <c r="BC953" i="6"/>
  <c r="A953" i="6"/>
  <c r="DE952" i="6"/>
  <c r="DC952" i="6"/>
  <c r="CY952" i="6"/>
  <c r="CW952" i="6"/>
  <c r="CU952" i="6"/>
  <c r="CS952" i="6"/>
  <c r="BM952" i="6"/>
  <c r="BK952" i="6"/>
  <c r="BI952" i="6"/>
  <c r="BG952" i="6"/>
  <c r="BE952" i="6"/>
  <c r="BC952" i="6"/>
  <c r="A952" i="6"/>
  <c r="DE951" i="6"/>
  <c r="DC951" i="6"/>
  <c r="CY951" i="6"/>
  <c r="CW951" i="6"/>
  <c r="CU951" i="6"/>
  <c r="CS951" i="6"/>
  <c r="BM951" i="6"/>
  <c r="BK951" i="6"/>
  <c r="BI951" i="6"/>
  <c r="BG951" i="6"/>
  <c r="BE951" i="6"/>
  <c r="BC951" i="6"/>
  <c r="A951" i="6"/>
  <c r="DE950" i="6"/>
  <c r="DC950" i="6"/>
  <c r="CY950" i="6"/>
  <c r="CW950" i="6"/>
  <c r="CU950" i="6"/>
  <c r="CS950" i="6"/>
  <c r="BM950" i="6"/>
  <c r="BK950" i="6"/>
  <c r="BI950" i="6"/>
  <c r="BG950" i="6"/>
  <c r="BE950" i="6"/>
  <c r="BC950" i="6"/>
  <c r="A950" i="6"/>
  <c r="DE949" i="6"/>
  <c r="DC949" i="6"/>
  <c r="CY949" i="6"/>
  <c r="CW949" i="6"/>
  <c r="CU949" i="6"/>
  <c r="CS949" i="6"/>
  <c r="BM949" i="6"/>
  <c r="BK949" i="6"/>
  <c r="BI949" i="6"/>
  <c r="BG949" i="6"/>
  <c r="BE949" i="6"/>
  <c r="BC949" i="6"/>
  <c r="A949" i="6"/>
  <c r="DE948" i="6"/>
  <c r="DC948" i="6"/>
  <c r="CY948" i="6"/>
  <c r="CW948" i="6"/>
  <c r="CU948" i="6"/>
  <c r="CS948" i="6"/>
  <c r="BM948" i="6"/>
  <c r="BK948" i="6"/>
  <c r="BI948" i="6"/>
  <c r="BG948" i="6"/>
  <c r="BE948" i="6"/>
  <c r="BC948" i="6"/>
  <c r="A948" i="6"/>
  <c r="DE947" i="6"/>
  <c r="DC947" i="6"/>
  <c r="CY947" i="6"/>
  <c r="CW947" i="6"/>
  <c r="CU947" i="6"/>
  <c r="CS947" i="6"/>
  <c r="BM947" i="6"/>
  <c r="BK947" i="6"/>
  <c r="BI947" i="6"/>
  <c r="BG947" i="6"/>
  <c r="BE947" i="6"/>
  <c r="BC947" i="6"/>
  <c r="A947" i="6"/>
  <c r="DE946" i="6"/>
  <c r="DC946" i="6"/>
  <c r="CY946" i="6"/>
  <c r="CW946" i="6"/>
  <c r="CU946" i="6"/>
  <c r="CS946" i="6"/>
  <c r="BM946" i="6"/>
  <c r="BK946" i="6"/>
  <c r="BI946" i="6"/>
  <c r="BG946" i="6"/>
  <c r="BE946" i="6"/>
  <c r="BC946" i="6"/>
  <c r="A946" i="6"/>
  <c r="DE945" i="6"/>
  <c r="DC945" i="6"/>
  <c r="CY945" i="6"/>
  <c r="CW945" i="6"/>
  <c r="CU945" i="6"/>
  <c r="CS945" i="6"/>
  <c r="BM945" i="6"/>
  <c r="BK945" i="6"/>
  <c r="BI945" i="6"/>
  <c r="BG945" i="6"/>
  <c r="BE945" i="6"/>
  <c r="BC945" i="6"/>
  <c r="A945" i="6"/>
  <c r="DE944" i="6"/>
  <c r="DC944" i="6"/>
  <c r="CY944" i="6"/>
  <c r="CW944" i="6"/>
  <c r="CU944" i="6"/>
  <c r="CS944" i="6"/>
  <c r="BM944" i="6"/>
  <c r="BK944" i="6"/>
  <c r="BI944" i="6"/>
  <c r="BG944" i="6"/>
  <c r="BE944" i="6"/>
  <c r="BC944" i="6"/>
  <c r="A944" i="6"/>
  <c r="DE943" i="6"/>
  <c r="DC943" i="6"/>
  <c r="CY943" i="6"/>
  <c r="CW943" i="6"/>
  <c r="CU943" i="6"/>
  <c r="CS943" i="6"/>
  <c r="BM943" i="6"/>
  <c r="BK943" i="6"/>
  <c r="BI943" i="6"/>
  <c r="BG943" i="6"/>
  <c r="BE943" i="6"/>
  <c r="BC943" i="6"/>
  <c r="A943" i="6"/>
  <c r="DE942" i="6"/>
  <c r="DC942" i="6"/>
  <c r="CY942" i="6"/>
  <c r="CW942" i="6"/>
  <c r="CU942" i="6"/>
  <c r="CS942" i="6"/>
  <c r="BM942" i="6"/>
  <c r="BK942" i="6"/>
  <c r="BI942" i="6"/>
  <c r="BG942" i="6"/>
  <c r="BE942" i="6"/>
  <c r="BC942" i="6"/>
  <c r="A942" i="6"/>
  <c r="DE941" i="6"/>
  <c r="DC941" i="6"/>
  <c r="CY941" i="6"/>
  <c r="CW941" i="6"/>
  <c r="CU941" i="6"/>
  <c r="CS941" i="6"/>
  <c r="BM941" i="6"/>
  <c r="BK941" i="6"/>
  <c r="BI941" i="6"/>
  <c r="BG941" i="6"/>
  <c r="BE941" i="6"/>
  <c r="BC941" i="6"/>
  <c r="A941" i="6"/>
  <c r="DE940" i="6"/>
  <c r="DC940" i="6"/>
  <c r="CY940" i="6"/>
  <c r="CW940" i="6"/>
  <c r="CU940" i="6"/>
  <c r="CS940" i="6"/>
  <c r="BM940" i="6"/>
  <c r="BK940" i="6"/>
  <c r="BI940" i="6"/>
  <c r="BG940" i="6"/>
  <c r="BE940" i="6"/>
  <c r="BC940" i="6"/>
  <c r="A940" i="6"/>
  <c r="DE939" i="6"/>
  <c r="DC939" i="6"/>
  <c r="CY939" i="6"/>
  <c r="CW939" i="6"/>
  <c r="CU939" i="6"/>
  <c r="CS939" i="6"/>
  <c r="BM939" i="6"/>
  <c r="BK939" i="6"/>
  <c r="BI939" i="6"/>
  <c r="BG939" i="6"/>
  <c r="BE939" i="6"/>
  <c r="BC939" i="6"/>
  <c r="A939" i="6"/>
  <c r="DE938" i="6"/>
  <c r="DC938" i="6"/>
  <c r="CY938" i="6"/>
  <c r="CW938" i="6"/>
  <c r="CU938" i="6"/>
  <c r="CS938" i="6"/>
  <c r="BM938" i="6"/>
  <c r="BK938" i="6"/>
  <c r="BI938" i="6"/>
  <c r="BG938" i="6"/>
  <c r="BE938" i="6"/>
  <c r="BC938" i="6"/>
  <c r="A938" i="6"/>
  <c r="DE937" i="6"/>
  <c r="DC937" i="6"/>
  <c r="CY937" i="6"/>
  <c r="CW937" i="6"/>
  <c r="CU937" i="6"/>
  <c r="CS937" i="6"/>
  <c r="BM937" i="6"/>
  <c r="BK937" i="6"/>
  <c r="BI937" i="6"/>
  <c r="BG937" i="6"/>
  <c r="BE937" i="6"/>
  <c r="BC937" i="6"/>
  <c r="A937" i="6"/>
  <c r="DE936" i="6"/>
  <c r="DC936" i="6"/>
  <c r="CY936" i="6"/>
  <c r="CW936" i="6"/>
  <c r="CU936" i="6"/>
  <c r="CS936" i="6"/>
  <c r="BM936" i="6"/>
  <c r="BK936" i="6"/>
  <c r="BI936" i="6"/>
  <c r="BG936" i="6"/>
  <c r="BE936" i="6"/>
  <c r="BC936" i="6"/>
  <c r="A936" i="6"/>
  <c r="DE935" i="6"/>
  <c r="DC935" i="6"/>
  <c r="CY935" i="6"/>
  <c r="CW935" i="6"/>
  <c r="CU935" i="6"/>
  <c r="CS935" i="6"/>
  <c r="BM935" i="6"/>
  <c r="BK935" i="6"/>
  <c r="BI935" i="6"/>
  <c r="BG935" i="6"/>
  <c r="BE935" i="6"/>
  <c r="BC935" i="6"/>
  <c r="A935" i="6"/>
  <c r="DE934" i="6"/>
  <c r="DC934" i="6"/>
  <c r="CY934" i="6"/>
  <c r="CW934" i="6"/>
  <c r="CU934" i="6"/>
  <c r="CS934" i="6"/>
  <c r="BM934" i="6"/>
  <c r="BK934" i="6"/>
  <c r="BI934" i="6"/>
  <c r="BG934" i="6"/>
  <c r="BE934" i="6"/>
  <c r="BC934" i="6"/>
  <c r="A934" i="6"/>
  <c r="DE933" i="6"/>
  <c r="DC933" i="6"/>
  <c r="CY933" i="6"/>
  <c r="CW933" i="6"/>
  <c r="CU933" i="6"/>
  <c r="CS933" i="6"/>
  <c r="BM933" i="6"/>
  <c r="BK933" i="6"/>
  <c r="BI933" i="6"/>
  <c r="BG933" i="6"/>
  <c r="BE933" i="6"/>
  <c r="BC933" i="6"/>
  <c r="A933" i="6"/>
  <c r="DE932" i="6"/>
  <c r="DC932" i="6"/>
  <c r="CY932" i="6"/>
  <c r="CW932" i="6"/>
  <c r="CU932" i="6"/>
  <c r="CS932" i="6"/>
  <c r="BM932" i="6"/>
  <c r="BK932" i="6"/>
  <c r="BI932" i="6"/>
  <c r="BG932" i="6"/>
  <c r="BE932" i="6"/>
  <c r="BC932" i="6"/>
  <c r="A932" i="6"/>
  <c r="DE931" i="6"/>
  <c r="DC931" i="6"/>
  <c r="CY931" i="6"/>
  <c r="CW931" i="6"/>
  <c r="CU931" i="6"/>
  <c r="CS931" i="6"/>
  <c r="BM931" i="6"/>
  <c r="BK931" i="6"/>
  <c r="BI931" i="6"/>
  <c r="BG931" i="6"/>
  <c r="BE931" i="6"/>
  <c r="BC931" i="6"/>
  <c r="A931" i="6"/>
  <c r="DE930" i="6"/>
  <c r="DC930" i="6"/>
  <c r="CY930" i="6"/>
  <c r="CW930" i="6"/>
  <c r="CU930" i="6"/>
  <c r="CS930" i="6"/>
  <c r="BM930" i="6"/>
  <c r="BK930" i="6"/>
  <c r="BI930" i="6"/>
  <c r="BG930" i="6"/>
  <c r="BE930" i="6"/>
  <c r="BC930" i="6"/>
  <c r="A930" i="6"/>
  <c r="DE929" i="6"/>
  <c r="DC929" i="6"/>
  <c r="CY929" i="6"/>
  <c r="CW929" i="6"/>
  <c r="CU929" i="6"/>
  <c r="CS929" i="6"/>
  <c r="BM929" i="6"/>
  <c r="BK929" i="6"/>
  <c r="BI929" i="6"/>
  <c r="BG929" i="6"/>
  <c r="BE929" i="6"/>
  <c r="BC929" i="6"/>
  <c r="A929" i="6"/>
  <c r="DE928" i="6"/>
  <c r="DC928" i="6"/>
  <c r="CY928" i="6"/>
  <c r="CW928" i="6"/>
  <c r="CU928" i="6"/>
  <c r="CS928" i="6"/>
  <c r="BM928" i="6"/>
  <c r="BK928" i="6"/>
  <c r="BI928" i="6"/>
  <c r="BG928" i="6"/>
  <c r="BE928" i="6"/>
  <c r="BC928" i="6"/>
  <c r="A928" i="6"/>
  <c r="DE927" i="6"/>
  <c r="DC927" i="6"/>
  <c r="CY927" i="6"/>
  <c r="CW927" i="6"/>
  <c r="CU927" i="6"/>
  <c r="CS927" i="6"/>
  <c r="BM927" i="6"/>
  <c r="BK927" i="6"/>
  <c r="BI927" i="6"/>
  <c r="BG927" i="6"/>
  <c r="BE927" i="6"/>
  <c r="BC927" i="6"/>
  <c r="A927" i="6"/>
  <c r="DE926" i="6"/>
  <c r="DC926" i="6"/>
  <c r="CY926" i="6"/>
  <c r="CW926" i="6"/>
  <c r="CU926" i="6"/>
  <c r="CS926" i="6"/>
  <c r="BM926" i="6"/>
  <c r="BK926" i="6"/>
  <c r="BI926" i="6"/>
  <c r="BG926" i="6"/>
  <c r="BE926" i="6"/>
  <c r="BC926" i="6"/>
  <c r="A926" i="6"/>
  <c r="DE925" i="6"/>
  <c r="DC925" i="6"/>
  <c r="CY925" i="6"/>
  <c r="CW925" i="6"/>
  <c r="CU925" i="6"/>
  <c r="CS925" i="6"/>
  <c r="BM925" i="6"/>
  <c r="BK925" i="6"/>
  <c r="BI925" i="6"/>
  <c r="BG925" i="6"/>
  <c r="BE925" i="6"/>
  <c r="BC925" i="6"/>
  <c r="A925" i="6"/>
  <c r="DE924" i="6"/>
  <c r="DC924" i="6"/>
  <c r="CY924" i="6"/>
  <c r="CW924" i="6"/>
  <c r="CU924" i="6"/>
  <c r="CS924" i="6"/>
  <c r="BM924" i="6"/>
  <c r="BK924" i="6"/>
  <c r="BI924" i="6"/>
  <c r="BG924" i="6"/>
  <c r="BE924" i="6"/>
  <c r="BC924" i="6"/>
  <c r="A924" i="6"/>
  <c r="DE923" i="6"/>
  <c r="DC923" i="6"/>
  <c r="CY923" i="6"/>
  <c r="CW923" i="6"/>
  <c r="CU923" i="6"/>
  <c r="CS923" i="6"/>
  <c r="BM923" i="6"/>
  <c r="BK923" i="6"/>
  <c r="BI923" i="6"/>
  <c r="BG923" i="6"/>
  <c r="BE923" i="6"/>
  <c r="BC923" i="6"/>
  <c r="A923" i="6"/>
  <c r="DE922" i="6"/>
  <c r="DC922" i="6"/>
  <c r="CY922" i="6"/>
  <c r="CW922" i="6"/>
  <c r="CU922" i="6"/>
  <c r="CS922" i="6"/>
  <c r="BM922" i="6"/>
  <c r="BK922" i="6"/>
  <c r="BI922" i="6"/>
  <c r="BG922" i="6"/>
  <c r="BE922" i="6"/>
  <c r="BC922" i="6"/>
  <c r="A922" i="6"/>
  <c r="DE921" i="6"/>
  <c r="DC921" i="6"/>
  <c r="CY921" i="6"/>
  <c r="CW921" i="6"/>
  <c r="CU921" i="6"/>
  <c r="CS921" i="6"/>
  <c r="BM921" i="6"/>
  <c r="BK921" i="6"/>
  <c r="BI921" i="6"/>
  <c r="BG921" i="6"/>
  <c r="BE921" i="6"/>
  <c r="BC921" i="6"/>
  <c r="A921" i="6"/>
  <c r="DE920" i="6"/>
  <c r="DC920" i="6"/>
  <c r="CY920" i="6"/>
  <c r="CW920" i="6"/>
  <c r="CU920" i="6"/>
  <c r="CS920" i="6"/>
  <c r="BM920" i="6"/>
  <c r="BK920" i="6"/>
  <c r="BI920" i="6"/>
  <c r="BG920" i="6"/>
  <c r="BE920" i="6"/>
  <c r="BC920" i="6"/>
  <c r="A920" i="6"/>
  <c r="DE919" i="6"/>
  <c r="DC919" i="6"/>
  <c r="CY919" i="6"/>
  <c r="CW919" i="6"/>
  <c r="CU919" i="6"/>
  <c r="CS919" i="6"/>
  <c r="BM919" i="6"/>
  <c r="BK919" i="6"/>
  <c r="BI919" i="6"/>
  <c r="BG919" i="6"/>
  <c r="BE919" i="6"/>
  <c r="BC919" i="6"/>
  <c r="A919" i="6"/>
  <c r="DE918" i="6"/>
  <c r="DC918" i="6"/>
  <c r="CY918" i="6"/>
  <c r="CW918" i="6"/>
  <c r="CU918" i="6"/>
  <c r="CS918" i="6"/>
  <c r="BM918" i="6"/>
  <c r="BK918" i="6"/>
  <c r="BI918" i="6"/>
  <c r="BG918" i="6"/>
  <c r="BE918" i="6"/>
  <c r="BC918" i="6"/>
  <c r="A918" i="6"/>
  <c r="DE917" i="6"/>
  <c r="DC917" i="6"/>
  <c r="CY917" i="6"/>
  <c r="CW917" i="6"/>
  <c r="CU917" i="6"/>
  <c r="CS917" i="6"/>
  <c r="BM917" i="6"/>
  <c r="BK917" i="6"/>
  <c r="BI917" i="6"/>
  <c r="BG917" i="6"/>
  <c r="BE917" i="6"/>
  <c r="BC917" i="6"/>
  <c r="A917" i="6"/>
  <c r="DE916" i="6"/>
  <c r="DC916" i="6"/>
  <c r="CY916" i="6"/>
  <c r="CW916" i="6"/>
  <c r="CU916" i="6"/>
  <c r="CS916" i="6"/>
  <c r="BM916" i="6"/>
  <c r="BK916" i="6"/>
  <c r="BI916" i="6"/>
  <c r="BG916" i="6"/>
  <c r="BE916" i="6"/>
  <c r="BC916" i="6"/>
  <c r="A916" i="6"/>
  <c r="DE915" i="6"/>
  <c r="DC915" i="6"/>
  <c r="CY915" i="6"/>
  <c r="CW915" i="6"/>
  <c r="CU915" i="6"/>
  <c r="CS915" i="6"/>
  <c r="BM915" i="6"/>
  <c r="BK915" i="6"/>
  <c r="BI915" i="6"/>
  <c r="BG915" i="6"/>
  <c r="BE915" i="6"/>
  <c r="BC915" i="6"/>
  <c r="A915" i="6"/>
  <c r="DE914" i="6"/>
  <c r="DC914" i="6"/>
  <c r="CY914" i="6"/>
  <c r="CW914" i="6"/>
  <c r="CU914" i="6"/>
  <c r="CS914" i="6"/>
  <c r="BM914" i="6"/>
  <c r="BK914" i="6"/>
  <c r="BI914" i="6"/>
  <c r="BG914" i="6"/>
  <c r="BE914" i="6"/>
  <c r="BC914" i="6"/>
  <c r="A914" i="6"/>
  <c r="DE913" i="6"/>
  <c r="DC913" i="6"/>
  <c r="CY913" i="6"/>
  <c r="CW913" i="6"/>
  <c r="CU913" i="6"/>
  <c r="CS913" i="6"/>
  <c r="BM913" i="6"/>
  <c r="BK913" i="6"/>
  <c r="BI913" i="6"/>
  <c r="BG913" i="6"/>
  <c r="BE913" i="6"/>
  <c r="BC913" i="6"/>
  <c r="A913" i="6"/>
  <c r="DE912" i="6"/>
  <c r="DC912" i="6"/>
  <c r="CY912" i="6"/>
  <c r="CW912" i="6"/>
  <c r="CU912" i="6"/>
  <c r="CS912" i="6"/>
  <c r="BM912" i="6"/>
  <c r="BK912" i="6"/>
  <c r="BI912" i="6"/>
  <c r="BG912" i="6"/>
  <c r="BE912" i="6"/>
  <c r="BC912" i="6"/>
  <c r="A912" i="6"/>
  <c r="DE911" i="6"/>
  <c r="DC911" i="6"/>
  <c r="CY911" i="6"/>
  <c r="CW911" i="6"/>
  <c r="CU911" i="6"/>
  <c r="CS911" i="6"/>
  <c r="BM911" i="6"/>
  <c r="BK911" i="6"/>
  <c r="BI911" i="6"/>
  <c r="BG911" i="6"/>
  <c r="BE911" i="6"/>
  <c r="BC911" i="6"/>
  <c r="A911" i="6"/>
  <c r="DE910" i="6"/>
  <c r="DC910" i="6"/>
  <c r="CY910" i="6"/>
  <c r="CW910" i="6"/>
  <c r="CU910" i="6"/>
  <c r="CS910" i="6"/>
  <c r="BM910" i="6"/>
  <c r="BK910" i="6"/>
  <c r="BI910" i="6"/>
  <c r="BG910" i="6"/>
  <c r="BE910" i="6"/>
  <c r="BC910" i="6"/>
  <c r="A910" i="6"/>
  <c r="DE909" i="6"/>
  <c r="DC909" i="6"/>
  <c r="CY909" i="6"/>
  <c r="CW909" i="6"/>
  <c r="CU909" i="6"/>
  <c r="CS909" i="6"/>
  <c r="BM909" i="6"/>
  <c r="BK909" i="6"/>
  <c r="BI909" i="6"/>
  <c r="BG909" i="6"/>
  <c r="BE909" i="6"/>
  <c r="BC909" i="6"/>
  <c r="A909" i="6"/>
  <c r="DE908" i="6"/>
  <c r="DC908" i="6"/>
  <c r="CY908" i="6"/>
  <c r="CW908" i="6"/>
  <c r="CU908" i="6"/>
  <c r="CS908" i="6"/>
  <c r="BM908" i="6"/>
  <c r="BK908" i="6"/>
  <c r="BI908" i="6"/>
  <c r="BG908" i="6"/>
  <c r="BE908" i="6"/>
  <c r="BC908" i="6"/>
  <c r="A908" i="6"/>
  <c r="DE907" i="6"/>
  <c r="DC907" i="6"/>
  <c r="CY907" i="6"/>
  <c r="CW907" i="6"/>
  <c r="CU907" i="6"/>
  <c r="CS907" i="6"/>
  <c r="BM907" i="6"/>
  <c r="BK907" i="6"/>
  <c r="BI907" i="6"/>
  <c r="BG907" i="6"/>
  <c r="BE907" i="6"/>
  <c r="BC907" i="6"/>
  <c r="A907" i="6"/>
  <c r="DE906" i="6"/>
  <c r="DC906" i="6"/>
  <c r="CY906" i="6"/>
  <c r="CW906" i="6"/>
  <c r="CU906" i="6"/>
  <c r="CS906" i="6"/>
  <c r="BM906" i="6"/>
  <c r="BK906" i="6"/>
  <c r="BI906" i="6"/>
  <c r="BG906" i="6"/>
  <c r="BE906" i="6"/>
  <c r="BC906" i="6"/>
  <c r="A906" i="6"/>
  <c r="DE905" i="6"/>
  <c r="DC905" i="6"/>
  <c r="CY905" i="6"/>
  <c r="CW905" i="6"/>
  <c r="CU905" i="6"/>
  <c r="CS905" i="6"/>
  <c r="BM905" i="6"/>
  <c r="BK905" i="6"/>
  <c r="BI905" i="6"/>
  <c r="BG905" i="6"/>
  <c r="BE905" i="6"/>
  <c r="BC905" i="6"/>
  <c r="A905" i="6"/>
  <c r="DE904" i="6"/>
  <c r="DC904" i="6"/>
  <c r="CY904" i="6"/>
  <c r="CW904" i="6"/>
  <c r="CU904" i="6"/>
  <c r="CS904" i="6"/>
  <c r="BM904" i="6"/>
  <c r="BK904" i="6"/>
  <c r="BI904" i="6"/>
  <c r="BG904" i="6"/>
  <c r="BE904" i="6"/>
  <c r="BC904" i="6"/>
  <c r="A904" i="6"/>
  <c r="DE903" i="6"/>
  <c r="DC903" i="6"/>
  <c r="CY903" i="6"/>
  <c r="CW903" i="6"/>
  <c r="CU903" i="6"/>
  <c r="CS903" i="6"/>
  <c r="BM903" i="6"/>
  <c r="BK903" i="6"/>
  <c r="BI903" i="6"/>
  <c r="BG903" i="6"/>
  <c r="BE903" i="6"/>
  <c r="BC903" i="6"/>
  <c r="A903" i="6"/>
  <c r="DE902" i="6"/>
  <c r="DC902" i="6"/>
  <c r="CY902" i="6"/>
  <c r="CW902" i="6"/>
  <c r="CU902" i="6"/>
  <c r="CS902" i="6"/>
  <c r="BM902" i="6"/>
  <c r="BK902" i="6"/>
  <c r="BI902" i="6"/>
  <c r="BG902" i="6"/>
  <c r="BE902" i="6"/>
  <c r="BC902" i="6"/>
  <c r="A902" i="6"/>
  <c r="DE901" i="6"/>
  <c r="DC901" i="6"/>
  <c r="CY901" i="6"/>
  <c r="CW901" i="6"/>
  <c r="CU901" i="6"/>
  <c r="CS901" i="6"/>
  <c r="BM901" i="6"/>
  <c r="BK901" i="6"/>
  <c r="BI901" i="6"/>
  <c r="BG901" i="6"/>
  <c r="BE901" i="6"/>
  <c r="BC901" i="6"/>
  <c r="A901" i="6"/>
  <c r="DE900" i="6"/>
  <c r="DC900" i="6"/>
  <c r="CY900" i="6"/>
  <c r="CW900" i="6"/>
  <c r="CU900" i="6"/>
  <c r="CS900" i="6"/>
  <c r="BM900" i="6"/>
  <c r="BK900" i="6"/>
  <c r="BI900" i="6"/>
  <c r="BG900" i="6"/>
  <c r="BE900" i="6"/>
  <c r="BC900" i="6"/>
  <c r="A900" i="6"/>
  <c r="DE899" i="6"/>
  <c r="DC899" i="6"/>
  <c r="CY899" i="6"/>
  <c r="CW899" i="6"/>
  <c r="CU899" i="6"/>
  <c r="CS899" i="6"/>
  <c r="BM899" i="6"/>
  <c r="BK899" i="6"/>
  <c r="BI899" i="6"/>
  <c r="BG899" i="6"/>
  <c r="BE899" i="6"/>
  <c r="BC899" i="6"/>
  <c r="A899" i="6"/>
  <c r="DE898" i="6"/>
  <c r="DC898" i="6"/>
  <c r="CY898" i="6"/>
  <c r="CW898" i="6"/>
  <c r="CU898" i="6"/>
  <c r="CS898" i="6"/>
  <c r="BM898" i="6"/>
  <c r="BK898" i="6"/>
  <c r="BI898" i="6"/>
  <c r="BG898" i="6"/>
  <c r="BE898" i="6"/>
  <c r="BC898" i="6"/>
  <c r="A898" i="6"/>
  <c r="DE897" i="6"/>
  <c r="DC897" i="6"/>
  <c r="CY897" i="6"/>
  <c r="CW897" i="6"/>
  <c r="CU897" i="6"/>
  <c r="CS897" i="6"/>
  <c r="BM897" i="6"/>
  <c r="BK897" i="6"/>
  <c r="BI897" i="6"/>
  <c r="BG897" i="6"/>
  <c r="BE897" i="6"/>
  <c r="BC897" i="6"/>
  <c r="A897" i="6"/>
  <c r="DE896" i="6"/>
  <c r="DC896" i="6"/>
  <c r="CY896" i="6"/>
  <c r="CW896" i="6"/>
  <c r="CU896" i="6"/>
  <c r="CS896" i="6"/>
  <c r="BM896" i="6"/>
  <c r="BK896" i="6"/>
  <c r="BI896" i="6"/>
  <c r="BG896" i="6"/>
  <c r="BE896" i="6"/>
  <c r="BC896" i="6"/>
  <c r="A896" i="6"/>
  <c r="DE895" i="6"/>
  <c r="DC895" i="6"/>
  <c r="CY895" i="6"/>
  <c r="CW895" i="6"/>
  <c r="CU895" i="6"/>
  <c r="CS895" i="6"/>
  <c r="BM895" i="6"/>
  <c r="BK895" i="6"/>
  <c r="BI895" i="6"/>
  <c r="BG895" i="6"/>
  <c r="BE895" i="6"/>
  <c r="BC895" i="6"/>
  <c r="A895" i="6"/>
  <c r="DE894" i="6"/>
  <c r="DC894" i="6"/>
  <c r="CY894" i="6"/>
  <c r="CW894" i="6"/>
  <c r="CU894" i="6"/>
  <c r="CS894" i="6"/>
  <c r="BM894" i="6"/>
  <c r="BK894" i="6"/>
  <c r="BI894" i="6"/>
  <c r="BG894" i="6"/>
  <c r="BE894" i="6"/>
  <c r="BC894" i="6"/>
  <c r="A894" i="6"/>
  <c r="DE893" i="6"/>
  <c r="DC893" i="6"/>
  <c r="CY893" i="6"/>
  <c r="CW893" i="6"/>
  <c r="CU893" i="6"/>
  <c r="CS893" i="6"/>
  <c r="BM893" i="6"/>
  <c r="BK893" i="6"/>
  <c r="BI893" i="6"/>
  <c r="BG893" i="6"/>
  <c r="BE893" i="6"/>
  <c r="BC893" i="6"/>
  <c r="A893" i="6"/>
  <c r="DE892" i="6"/>
  <c r="DC892" i="6"/>
  <c r="CY892" i="6"/>
  <c r="CW892" i="6"/>
  <c r="CU892" i="6"/>
  <c r="CS892" i="6"/>
  <c r="BM892" i="6"/>
  <c r="BK892" i="6"/>
  <c r="BI892" i="6"/>
  <c r="BG892" i="6"/>
  <c r="BE892" i="6"/>
  <c r="BC892" i="6"/>
  <c r="A892" i="6"/>
  <c r="DE891" i="6"/>
  <c r="DC891" i="6"/>
  <c r="CY891" i="6"/>
  <c r="CW891" i="6"/>
  <c r="CU891" i="6"/>
  <c r="CS891" i="6"/>
  <c r="BM891" i="6"/>
  <c r="BK891" i="6"/>
  <c r="BI891" i="6"/>
  <c r="BG891" i="6"/>
  <c r="BE891" i="6"/>
  <c r="BC891" i="6"/>
  <c r="A891" i="6"/>
  <c r="DE890" i="6"/>
  <c r="DC890" i="6"/>
  <c r="CY890" i="6"/>
  <c r="CW890" i="6"/>
  <c r="CU890" i="6"/>
  <c r="CS890" i="6"/>
  <c r="BM890" i="6"/>
  <c r="BK890" i="6"/>
  <c r="BI890" i="6"/>
  <c r="BG890" i="6"/>
  <c r="BE890" i="6"/>
  <c r="BC890" i="6"/>
  <c r="A890" i="6"/>
  <c r="DE889" i="6"/>
  <c r="DC889" i="6"/>
  <c r="CY889" i="6"/>
  <c r="CW889" i="6"/>
  <c r="CU889" i="6"/>
  <c r="CS889" i="6"/>
  <c r="BM889" i="6"/>
  <c r="BK889" i="6"/>
  <c r="BI889" i="6"/>
  <c r="BG889" i="6"/>
  <c r="BE889" i="6"/>
  <c r="BC889" i="6"/>
  <c r="A889" i="6"/>
  <c r="DE888" i="6"/>
  <c r="DC888" i="6"/>
  <c r="CY888" i="6"/>
  <c r="CW888" i="6"/>
  <c r="CU888" i="6"/>
  <c r="CS888" i="6"/>
  <c r="BM888" i="6"/>
  <c r="BK888" i="6"/>
  <c r="BI888" i="6"/>
  <c r="BG888" i="6"/>
  <c r="BE888" i="6"/>
  <c r="BC888" i="6"/>
  <c r="A888" i="6"/>
  <c r="DE887" i="6"/>
  <c r="DC887" i="6"/>
  <c r="CY887" i="6"/>
  <c r="CW887" i="6"/>
  <c r="CU887" i="6"/>
  <c r="CS887" i="6"/>
  <c r="BM887" i="6"/>
  <c r="BK887" i="6"/>
  <c r="BI887" i="6"/>
  <c r="BG887" i="6"/>
  <c r="BE887" i="6"/>
  <c r="BC887" i="6"/>
  <c r="A887" i="6"/>
  <c r="DE886" i="6"/>
  <c r="DC886" i="6"/>
  <c r="CY886" i="6"/>
  <c r="CW886" i="6"/>
  <c r="CU886" i="6"/>
  <c r="CS886" i="6"/>
  <c r="BM886" i="6"/>
  <c r="BK886" i="6"/>
  <c r="BI886" i="6"/>
  <c r="BG886" i="6"/>
  <c r="BE886" i="6"/>
  <c r="BC886" i="6"/>
  <c r="A886" i="6"/>
  <c r="DE885" i="6"/>
  <c r="DC885" i="6"/>
  <c r="CY885" i="6"/>
  <c r="CW885" i="6"/>
  <c r="CU885" i="6"/>
  <c r="CS885" i="6"/>
  <c r="BM885" i="6"/>
  <c r="BK885" i="6"/>
  <c r="BI885" i="6"/>
  <c r="BG885" i="6"/>
  <c r="BE885" i="6"/>
  <c r="BC885" i="6"/>
  <c r="A885" i="6"/>
  <c r="DE884" i="6"/>
  <c r="DC884" i="6"/>
  <c r="CY884" i="6"/>
  <c r="CW884" i="6"/>
  <c r="CU884" i="6"/>
  <c r="CS884" i="6"/>
  <c r="BM884" i="6"/>
  <c r="BK884" i="6"/>
  <c r="BI884" i="6"/>
  <c r="BG884" i="6"/>
  <c r="BE884" i="6"/>
  <c r="BC884" i="6"/>
  <c r="A884" i="6"/>
  <c r="DE883" i="6"/>
  <c r="DC883" i="6"/>
  <c r="CY883" i="6"/>
  <c r="CW883" i="6"/>
  <c r="CU883" i="6"/>
  <c r="CS883" i="6"/>
  <c r="BM883" i="6"/>
  <c r="BK883" i="6"/>
  <c r="BI883" i="6"/>
  <c r="BG883" i="6"/>
  <c r="BE883" i="6"/>
  <c r="BC883" i="6"/>
  <c r="A883" i="6"/>
  <c r="DE882" i="6"/>
  <c r="DC882" i="6"/>
  <c r="CY882" i="6"/>
  <c r="CW882" i="6"/>
  <c r="CU882" i="6"/>
  <c r="CS882" i="6"/>
  <c r="BM882" i="6"/>
  <c r="BK882" i="6"/>
  <c r="BI882" i="6"/>
  <c r="BG882" i="6"/>
  <c r="BE882" i="6"/>
  <c r="BC882" i="6"/>
  <c r="A882" i="6"/>
  <c r="DE881" i="6"/>
  <c r="DC881" i="6"/>
  <c r="CY881" i="6"/>
  <c r="CW881" i="6"/>
  <c r="CU881" i="6"/>
  <c r="CS881" i="6"/>
  <c r="BM881" i="6"/>
  <c r="BK881" i="6"/>
  <c r="BI881" i="6"/>
  <c r="BG881" i="6"/>
  <c r="BE881" i="6"/>
  <c r="BC881" i="6"/>
  <c r="A881" i="6"/>
  <c r="DE880" i="6"/>
  <c r="DC880" i="6"/>
  <c r="CY880" i="6"/>
  <c r="CW880" i="6"/>
  <c r="CU880" i="6"/>
  <c r="CS880" i="6"/>
  <c r="BM880" i="6"/>
  <c r="BK880" i="6"/>
  <c r="BI880" i="6"/>
  <c r="BG880" i="6"/>
  <c r="BE880" i="6"/>
  <c r="BC880" i="6"/>
  <c r="A880" i="6"/>
  <c r="DE879" i="6"/>
  <c r="DC879" i="6"/>
  <c r="CY879" i="6"/>
  <c r="CW879" i="6"/>
  <c r="CU879" i="6"/>
  <c r="CS879" i="6"/>
  <c r="BM879" i="6"/>
  <c r="BK879" i="6"/>
  <c r="BI879" i="6"/>
  <c r="BG879" i="6"/>
  <c r="BE879" i="6"/>
  <c r="BC879" i="6"/>
  <c r="A879" i="6"/>
  <c r="DE878" i="6"/>
  <c r="DC878" i="6"/>
  <c r="CY878" i="6"/>
  <c r="CW878" i="6"/>
  <c r="CU878" i="6"/>
  <c r="CS878" i="6"/>
  <c r="BM878" i="6"/>
  <c r="BK878" i="6"/>
  <c r="BI878" i="6"/>
  <c r="BG878" i="6"/>
  <c r="BE878" i="6"/>
  <c r="BC878" i="6"/>
  <c r="A878" i="6"/>
  <c r="DE877" i="6"/>
  <c r="DC877" i="6"/>
  <c r="CY877" i="6"/>
  <c r="CW877" i="6"/>
  <c r="CU877" i="6"/>
  <c r="CS877" i="6"/>
  <c r="BM877" i="6"/>
  <c r="BK877" i="6"/>
  <c r="BI877" i="6"/>
  <c r="BG877" i="6"/>
  <c r="BE877" i="6"/>
  <c r="BC877" i="6"/>
  <c r="A877" i="6"/>
  <c r="DE876" i="6"/>
  <c r="DC876" i="6"/>
  <c r="CY876" i="6"/>
  <c r="CW876" i="6"/>
  <c r="CU876" i="6"/>
  <c r="CS876" i="6"/>
  <c r="BM876" i="6"/>
  <c r="BK876" i="6"/>
  <c r="BI876" i="6"/>
  <c r="BG876" i="6"/>
  <c r="BE876" i="6"/>
  <c r="BC876" i="6"/>
  <c r="A876" i="6"/>
  <c r="DE875" i="6"/>
  <c r="DC875" i="6"/>
  <c r="CY875" i="6"/>
  <c r="CW875" i="6"/>
  <c r="CU875" i="6"/>
  <c r="CS875" i="6"/>
  <c r="BM875" i="6"/>
  <c r="BK875" i="6"/>
  <c r="BI875" i="6"/>
  <c r="BG875" i="6"/>
  <c r="BE875" i="6"/>
  <c r="BC875" i="6"/>
  <c r="A875" i="6"/>
  <c r="DE874" i="6"/>
  <c r="DC874" i="6"/>
  <c r="CY874" i="6"/>
  <c r="CW874" i="6"/>
  <c r="CU874" i="6"/>
  <c r="CS874" i="6"/>
  <c r="BM874" i="6"/>
  <c r="BK874" i="6"/>
  <c r="BI874" i="6"/>
  <c r="BG874" i="6"/>
  <c r="BE874" i="6"/>
  <c r="BC874" i="6"/>
  <c r="A874" i="6"/>
  <c r="DE873" i="6"/>
  <c r="DC873" i="6"/>
  <c r="CY873" i="6"/>
  <c r="CW873" i="6"/>
  <c r="CU873" i="6"/>
  <c r="CS873" i="6"/>
  <c r="BM873" i="6"/>
  <c r="BK873" i="6"/>
  <c r="BI873" i="6"/>
  <c r="BG873" i="6"/>
  <c r="BE873" i="6"/>
  <c r="BC873" i="6"/>
  <c r="A873" i="6"/>
  <c r="DE872" i="6"/>
  <c r="DC872" i="6"/>
  <c r="CY872" i="6"/>
  <c r="CW872" i="6"/>
  <c r="CU872" i="6"/>
  <c r="CS872" i="6"/>
  <c r="BM872" i="6"/>
  <c r="BK872" i="6"/>
  <c r="BI872" i="6"/>
  <c r="BG872" i="6"/>
  <c r="BE872" i="6"/>
  <c r="BC872" i="6"/>
  <c r="A872" i="6"/>
  <c r="DE871" i="6"/>
  <c r="DC871" i="6"/>
  <c r="CY871" i="6"/>
  <c r="CW871" i="6"/>
  <c r="CU871" i="6"/>
  <c r="CS871" i="6"/>
  <c r="BM871" i="6"/>
  <c r="BK871" i="6"/>
  <c r="BI871" i="6"/>
  <c r="BG871" i="6"/>
  <c r="BE871" i="6"/>
  <c r="BC871" i="6"/>
  <c r="A871" i="6"/>
  <c r="DE870" i="6"/>
  <c r="DC870" i="6"/>
  <c r="CY870" i="6"/>
  <c r="CW870" i="6"/>
  <c r="CU870" i="6"/>
  <c r="CS870" i="6"/>
  <c r="BM870" i="6"/>
  <c r="BK870" i="6"/>
  <c r="BI870" i="6"/>
  <c r="BG870" i="6"/>
  <c r="BE870" i="6"/>
  <c r="BC870" i="6"/>
  <c r="A870" i="6"/>
  <c r="DE869" i="6"/>
  <c r="DC869" i="6"/>
  <c r="CY869" i="6"/>
  <c r="CW869" i="6"/>
  <c r="CU869" i="6"/>
  <c r="CS869" i="6"/>
  <c r="BM869" i="6"/>
  <c r="BK869" i="6"/>
  <c r="BI869" i="6"/>
  <c r="BG869" i="6"/>
  <c r="BE869" i="6"/>
  <c r="BC869" i="6"/>
  <c r="A869" i="6"/>
  <c r="DE868" i="6"/>
  <c r="DC868" i="6"/>
  <c r="CY868" i="6"/>
  <c r="CW868" i="6"/>
  <c r="CU868" i="6"/>
  <c r="CS868" i="6"/>
  <c r="BM868" i="6"/>
  <c r="BK868" i="6"/>
  <c r="BI868" i="6"/>
  <c r="BG868" i="6"/>
  <c r="BE868" i="6"/>
  <c r="BC868" i="6"/>
  <c r="A868" i="6"/>
  <c r="DE867" i="6"/>
  <c r="DC867" i="6"/>
  <c r="CY867" i="6"/>
  <c r="CW867" i="6"/>
  <c r="CU867" i="6"/>
  <c r="CS867" i="6"/>
  <c r="BM867" i="6"/>
  <c r="BK867" i="6"/>
  <c r="BI867" i="6"/>
  <c r="BG867" i="6"/>
  <c r="BE867" i="6"/>
  <c r="BC867" i="6"/>
  <c r="A867" i="6"/>
  <c r="DE866" i="6"/>
  <c r="DC866" i="6"/>
  <c r="CY866" i="6"/>
  <c r="CW866" i="6"/>
  <c r="CU866" i="6"/>
  <c r="CS866" i="6"/>
  <c r="BM866" i="6"/>
  <c r="BK866" i="6"/>
  <c r="BI866" i="6"/>
  <c r="BG866" i="6"/>
  <c r="BE866" i="6"/>
  <c r="BC866" i="6"/>
  <c r="A866" i="6"/>
  <c r="DE865" i="6"/>
  <c r="DC865" i="6"/>
  <c r="CY865" i="6"/>
  <c r="CW865" i="6"/>
  <c r="CU865" i="6"/>
  <c r="CS865" i="6"/>
  <c r="BM865" i="6"/>
  <c r="BK865" i="6"/>
  <c r="BI865" i="6"/>
  <c r="BG865" i="6"/>
  <c r="BE865" i="6"/>
  <c r="BC865" i="6"/>
  <c r="A865" i="6"/>
  <c r="DE864" i="6"/>
  <c r="DC864" i="6"/>
  <c r="CY864" i="6"/>
  <c r="CW864" i="6"/>
  <c r="CU864" i="6"/>
  <c r="CS864" i="6"/>
  <c r="BM864" i="6"/>
  <c r="BK864" i="6"/>
  <c r="BI864" i="6"/>
  <c r="BG864" i="6"/>
  <c r="BE864" i="6"/>
  <c r="BC864" i="6"/>
  <c r="A864" i="6"/>
  <c r="DE863" i="6"/>
  <c r="DC863" i="6"/>
  <c r="CY863" i="6"/>
  <c r="CW863" i="6"/>
  <c r="CU863" i="6"/>
  <c r="CS863" i="6"/>
  <c r="BM863" i="6"/>
  <c r="BK863" i="6"/>
  <c r="BI863" i="6"/>
  <c r="BG863" i="6"/>
  <c r="BE863" i="6"/>
  <c r="BC863" i="6"/>
  <c r="A863" i="6"/>
  <c r="DE862" i="6"/>
  <c r="DC862" i="6"/>
  <c r="CY862" i="6"/>
  <c r="CW862" i="6"/>
  <c r="CU862" i="6"/>
  <c r="CS862" i="6"/>
  <c r="BM862" i="6"/>
  <c r="BK862" i="6"/>
  <c r="BI862" i="6"/>
  <c r="BG862" i="6"/>
  <c r="BE862" i="6"/>
  <c r="BC862" i="6"/>
  <c r="A862" i="6"/>
  <c r="DE861" i="6"/>
  <c r="DC861" i="6"/>
  <c r="CY861" i="6"/>
  <c r="CW861" i="6"/>
  <c r="CU861" i="6"/>
  <c r="CS861" i="6"/>
  <c r="BM861" i="6"/>
  <c r="BK861" i="6"/>
  <c r="BI861" i="6"/>
  <c r="BG861" i="6"/>
  <c r="BE861" i="6"/>
  <c r="BC861" i="6"/>
  <c r="A861" i="6"/>
  <c r="DE860" i="6"/>
  <c r="DC860" i="6"/>
  <c r="CY860" i="6"/>
  <c r="CW860" i="6"/>
  <c r="CU860" i="6"/>
  <c r="CS860" i="6"/>
  <c r="BM860" i="6"/>
  <c r="BK860" i="6"/>
  <c r="BI860" i="6"/>
  <c r="BG860" i="6"/>
  <c r="BE860" i="6"/>
  <c r="BC860" i="6"/>
  <c r="A860" i="6"/>
  <c r="DE859" i="6"/>
  <c r="DC859" i="6"/>
  <c r="CY859" i="6"/>
  <c r="CW859" i="6"/>
  <c r="CU859" i="6"/>
  <c r="CS859" i="6"/>
  <c r="BM859" i="6"/>
  <c r="BK859" i="6"/>
  <c r="BI859" i="6"/>
  <c r="BG859" i="6"/>
  <c r="BE859" i="6"/>
  <c r="BC859" i="6"/>
  <c r="A859" i="6"/>
  <c r="DE858" i="6"/>
  <c r="DC858" i="6"/>
  <c r="CY858" i="6"/>
  <c r="CW858" i="6"/>
  <c r="CU858" i="6"/>
  <c r="CS858" i="6"/>
  <c r="BM858" i="6"/>
  <c r="BK858" i="6"/>
  <c r="BI858" i="6"/>
  <c r="BG858" i="6"/>
  <c r="BE858" i="6"/>
  <c r="BC858" i="6"/>
  <c r="A858" i="6"/>
  <c r="DE857" i="6"/>
  <c r="DC857" i="6"/>
  <c r="CY857" i="6"/>
  <c r="CW857" i="6"/>
  <c r="CU857" i="6"/>
  <c r="CS857" i="6"/>
  <c r="BM857" i="6"/>
  <c r="BK857" i="6"/>
  <c r="BI857" i="6"/>
  <c r="BG857" i="6"/>
  <c r="BE857" i="6"/>
  <c r="BC857" i="6"/>
  <c r="A857" i="6"/>
  <c r="DE856" i="6"/>
  <c r="DC856" i="6"/>
  <c r="CY856" i="6"/>
  <c r="CW856" i="6"/>
  <c r="CU856" i="6"/>
  <c r="CS856" i="6"/>
  <c r="BM856" i="6"/>
  <c r="BK856" i="6"/>
  <c r="BI856" i="6"/>
  <c r="BG856" i="6"/>
  <c r="BE856" i="6"/>
  <c r="BC856" i="6"/>
  <c r="A856" i="6"/>
  <c r="DE855" i="6"/>
  <c r="DC855" i="6"/>
  <c r="CY855" i="6"/>
  <c r="CW855" i="6"/>
  <c r="CU855" i="6"/>
  <c r="CS855" i="6"/>
  <c r="BM855" i="6"/>
  <c r="BK855" i="6"/>
  <c r="BI855" i="6"/>
  <c r="BG855" i="6"/>
  <c r="BE855" i="6"/>
  <c r="BC855" i="6"/>
  <c r="A855" i="6"/>
  <c r="DE854" i="6"/>
  <c r="DC854" i="6"/>
  <c r="CY854" i="6"/>
  <c r="CW854" i="6"/>
  <c r="CU854" i="6"/>
  <c r="CS854" i="6"/>
  <c r="BM854" i="6"/>
  <c r="BK854" i="6"/>
  <c r="BI854" i="6"/>
  <c r="BG854" i="6"/>
  <c r="BE854" i="6"/>
  <c r="BC854" i="6"/>
  <c r="A854" i="6"/>
  <c r="DE853" i="6"/>
  <c r="DC853" i="6"/>
  <c r="CY853" i="6"/>
  <c r="CW853" i="6"/>
  <c r="CU853" i="6"/>
  <c r="CS853" i="6"/>
  <c r="BM853" i="6"/>
  <c r="BK853" i="6"/>
  <c r="BI853" i="6"/>
  <c r="BG853" i="6"/>
  <c r="BE853" i="6"/>
  <c r="BC853" i="6"/>
  <c r="A853" i="6"/>
  <c r="DE852" i="6"/>
  <c r="DC852" i="6"/>
  <c r="CY852" i="6"/>
  <c r="CW852" i="6"/>
  <c r="CU852" i="6"/>
  <c r="CS852" i="6"/>
  <c r="BM852" i="6"/>
  <c r="BK852" i="6"/>
  <c r="BI852" i="6"/>
  <c r="BG852" i="6"/>
  <c r="BE852" i="6"/>
  <c r="BC852" i="6"/>
  <c r="A852" i="6"/>
  <c r="DE851" i="6"/>
  <c r="DC851" i="6"/>
  <c r="CY851" i="6"/>
  <c r="CW851" i="6"/>
  <c r="CU851" i="6"/>
  <c r="CS851" i="6"/>
  <c r="BM851" i="6"/>
  <c r="BK851" i="6"/>
  <c r="BI851" i="6"/>
  <c r="BG851" i="6"/>
  <c r="BE851" i="6"/>
  <c r="BC851" i="6"/>
  <c r="A851" i="6"/>
  <c r="DE850" i="6"/>
  <c r="DC850" i="6"/>
  <c r="CY850" i="6"/>
  <c r="CW850" i="6"/>
  <c r="CU850" i="6"/>
  <c r="CS850" i="6"/>
  <c r="BM850" i="6"/>
  <c r="BK850" i="6"/>
  <c r="BI850" i="6"/>
  <c r="BG850" i="6"/>
  <c r="BE850" i="6"/>
  <c r="BC850" i="6"/>
  <c r="A850" i="6"/>
  <c r="DE849" i="6"/>
  <c r="DC849" i="6"/>
  <c r="CY849" i="6"/>
  <c r="CW849" i="6"/>
  <c r="CU849" i="6"/>
  <c r="CS849" i="6"/>
  <c r="BM849" i="6"/>
  <c r="BK849" i="6"/>
  <c r="BI849" i="6"/>
  <c r="BG849" i="6"/>
  <c r="BE849" i="6"/>
  <c r="BC849" i="6"/>
  <c r="A849" i="6"/>
  <c r="DE848" i="6"/>
  <c r="DC848" i="6"/>
  <c r="CY848" i="6"/>
  <c r="CW848" i="6"/>
  <c r="CU848" i="6"/>
  <c r="CS848" i="6"/>
  <c r="BM848" i="6"/>
  <c r="BK848" i="6"/>
  <c r="BI848" i="6"/>
  <c r="BG848" i="6"/>
  <c r="BE848" i="6"/>
  <c r="BC848" i="6"/>
  <c r="A848" i="6"/>
  <c r="DE847" i="6"/>
  <c r="DC847" i="6"/>
  <c r="CY847" i="6"/>
  <c r="CW847" i="6"/>
  <c r="CU847" i="6"/>
  <c r="CS847" i="6"/>
  <c r="BM847" i="6"/>
  <c r="BK847" i="6"/>
  <c r="BI847" i="6"/>
  <c r="BG847" i="6"/>
  <c r="BE847" i="6"/>
  <c r="BC847" i="6"/>
  <c r="A847" i="6"/>
  <c r="DE846" i="6"/>
  <c r="DC846" i="6"/>
  <c r="CY846" i="6"/>
  <c r="CW846" i="6"/>
  <c r="CU846" i="6"/>
  <c r="CS846" i="6"/>
  <c r="BM846" i="6"/>
  <c r="BK846" i="6"/>
  <c r="BI846" i="6"/>
  <c r="BG846" i="6"/>
  <c r="BE846" i="6"/>
  <c r="BC846" i="6"/>
  <c r="A846" i="6"/>
  <c r="DE845" i="6"/>
  <c r="DC845" i="6"/>
  <c r="CY845" i="6"/>
  <c r="CW845" i="6"/>
  <c r="CU845" i="6"/>
  <c r="CS845" i="6"/>
  <c r="BM845" i="6"/>
  <c r="BK845" i="6"/>
  <c r="BI845" i="6"/>
  <c r="BG845" i="6"/>
  <c r="BE845" i="6"/>
  <c r="BC845" i="6"/>
  <c r="A845" i="6"/>
  <c r="DE844" i="6"/>
  <c r="DC844" i="6"/>
  <c r="CY844" i="6"/>
  <c r="CW844" i="6"/>
  <c r="CU844" i="6"/>
  <c r="CS844" i="6"/>
  <c r="BM844" i="6"/>
  <c r="BK844" i="6"/>
  <c r="BI844" i="6"/>
  <c r="BG844" i="6"/>
  <c r="BE844" i="6"/>
  <c r="BC844" i="6"/>
  <c r="A844" i="6"/>
  <c r="DE843" i="6"/>
  <c r="DC843" i="6"/>
  <c r="CY843" i="6"/>
  <c r="CW843" i="6"/>
  <c r="CU843" i="6"/>
  <c r="CS843" i="6"/>
  <c r="BM843" i="6"/>
  <c r="BK843" i="6"/>
  <c r="BI843" i="6"/>
  <c r="BG843" i="6"/>
  <c r="BE843" i="6"/>
  <c r="BC843" i="6"/>
  <c r="A843" i="6"/>
  <c r="DE842" i="6"/>
  <c r="DC842" i="6"/>
  <c r="CY842" i="6"/>
  <c r="CW842" i="6"/>
  <c r="CU842" i="6"/>
  <c r="CS842" i="6"/>
  <c r="BM842" i="6"/>
  <c r="BK842" i="6"/>
  <c r="BI842" i="6"/>
  <c r="BG842" i="6"/>
  <c r="BE842" i="6"/>
  <c r="BC842" i="6"/>
  <c r="A842" i="6"/>
  <c r="DE841" i="6"/>
  <c r="DC841" i="6"/>
  <c r="CY841" i="6"/>
  <c r="CW841" i="6"/>
  <c r="CU841" i="6"/>
  <c r="CS841" i="6"/>
  <c r="BM841" i="6"/>
  <c r="BK841" i="6"/>
  <c r="BI841" i="6"/>
  <c r="BG841" i="6"/>
  <c r="BE841" i="6"/>
  <c r="BC841" i="6"/>
  <c r="A841" i="6"/>
  <c r="DE840" i="6"/>
  <c r="DC840" i="6"/>
  <c r="CY840" i="6"/>
  <c r="CW840" i="6"/>
  <c r="CU840" i="6"/>
  <c r="CS840" i="6"/>
  <c r="BM840" i="6"/>
  <c r="BK840" i="6"/>
  <c r="BI840" i="6"/>
  <c r="BG840" i="6"/>
  <c r="BE840" i="6"/>
  <c r="BC840" i="6"/>
  <c r="A840" i="6"/>
  <c r="DE839" i="6"/>
  <c r="DC839" i="6"/>
  <c r="CY839" i="6"/>
  <c r="CW839" i="6"/>
  <c r="CU839" i="6"/>
  <c r="CS839" i="6"/>
  <c r="BM839" i="6"/>
  <c r="BK839" i="6"/>
  <c r="BI839" i="6"/>
  <c r="BG839" i="6"/>
  <c r="BE839" i="6"/>
  <c r="BC839" i="6"/>
  <c r="A839" i="6"/>
  <c r="DE838" i="6"/>
  <c r="DC838" i="6"/>
  <c r="CY838" i="6"/>
  <c r="CW838" i="6"/>
  <c r="CU838" i="6"/>
  <c r="CS838" i="6"/>
  <c r="BM838" i="6"/>
  <c r="BK838" i="6"/>
  <c r="BI838" i="6"/>
  <c r="BG838" i="6"/>
  <c r="BE838" i="6"/>
  <c r="BC838" i="6"/>
  <c r="A838" i="6"/>
  <c r="DE837" i="6"/>
  <c r="DC837" i="6"/>
  <c r="CY837" i="6"/>
  <c r="CW837" i="6"/>
  <c r="CU837" i="6"/>
  <c r="CS837" i="6"/>
  <c r="BM837" i="6"/>
  <c r="BK837" i="6"/>
  <c r="BI837" i="6"/>
  <c r="BG837" i="6"/>
  <c r="BE837" i="6"/>
  <c r="BC837" i="6"/>
  <c r="A837" i="6"/>
  <c r="DE836" i="6"/>
  <c r="DC836" i="6"/>
  <c r="CY836" i="6"/>
  <c r="CW836" i="6"/>
  <c r="CU836" i="6"/>
  <c r="CS836" i="6"/>
  <c r="BM836" i="6"/>
  <c r="BK836" i="6"/>
  <c r="BI836" i="6"/>
  <c r="BG836" i="6"/>
  <c r="BE836" i="6"/>
  <c r="BC836" i="6"/>
  <c r="A836" i="6"/>
  <c r="DE835" i="6"/>
  <c r="DC835" i="6"/>
  <c r="CY835" i="6"/>
  <c r="CW835" i="6"/>
  <c r="CU835" i="6"/>
  <c r="CS835" i="6"/>
  <c r="BM835" i="6"/>
  <c r="BK835" i="6"/>
  <c r="BI835" i="6"/>
  <c r="BG835" i="6"/>
  <c r="BE835" i="6"/>
  <c r="BC835" i="6"/>
  <c r="A835" i="6"/>
  <c r="DE834" i="6"/>
  <c r="DC834" i="6"/>
  <c r="CY834" i="6"/>
  <c r="CW834" i="6"/>
  <c r="CU834" i="6"/>
  <c r="CS834" i="6"/>
  <c r="BM834" i="6"/>
  <c r="BK834" i="6"/>
  <c r="BI834" i="6"/>
  <c r="BG834" i="6"/>
  <c r="BE834" i="6"/>
  <c r="BC834" i="6"/>
  <c r="A834" i="6"/>
  <c r="DE833" i="6"/>
  <c r="DC833" i="6"/>
  <c r="CY833" i="6"/>
  <c r="CW833" i="6"/>
  <c r="CU833" i="6"/>
  <c r="CS833" i="6"/>
  <c r="BM833" i="6"/>
  <c r="BK833" i="6"/>
  <c r="BI833" i="6"/>
  <c r="BG833" i="6"/>
  <c r="BE833" i="6"/>
  <c r="BC833" i="6"/>
  <c r="A833" i="6"/>
  <c r="DE832" i="6"/>
  <c r="DC832" i="6"/>
  <c r="CY832" i="6"/>
  <c r="CW832" i="6"/>
  <c r="CU832" i="6"/>
  <c r="CS832" i="6"/>
  <c r="BM832" i="6"/>
  <c r="BK832" i="6"/>
  <c r="BI832" i="6"/>
  <c r="BG832" i="6"/>
  <c r="BE832" i="6"/>
  <c r="BC832" i="6"/>
  <c r="A832" i="6"/>
  <c r="DE831" i="6"/>
  <c r="DC831" i="6"/>
  <c r="CY831" i="6"/>
  <c r="CW831" i="6"/>
  <c r="CU831" i="6"/>
  <c r="CS831" i="6"/>
  <c r="BM831" i="6"/>
  <c r="BK831" i="6"/>
  <c r="BI831" i="6"/>
  <c r="BG831" i="6"/>
  <c r="BE831" i="6"/>
  <c r="BC831" i="6"/>
  <c r="A831" i="6"/>
  <c r="DE830" i="6"/>
  <c r="DC830" i="6"/>
  <c r="CY830" i="6"/>
  <c r="CW830" i="6"/>
  <c r="CU830" i="6"/>
  <c r="CS830" i="6"/>
  <c r="BM830" i="6"/>
  <c r="BK830" i="6"/>
  <c r="BI830" i="6"/>
  <c r="BG830" i="6"/>
  <c r="BE830" i="6"/>
  <c r="BC830" i="6"/>
  <c r="A830" i="6"/>
  <c r="DE829" i="6"/>
  <c r="DC829" i="6"/>
  <c r="CY829" i="6"/>
  <c r="CW829" i="6"/>
  <c r="CU829" i="6"/>
  <c r="CS829" i="6"/>
  <c r="BM829" i="6"/>
  <c r="BK829" i="6"/>
  <c r="BI829" i="6"/>
  <c r="BG829" i="6"/>
  <c r="BE829" i="6"/>
  <c r="BC829" i="6"/>
  <c r="A829" i="6"/>
  <c r="DE828" i="6"/>
  <c r="DC828" i="6"/>
  <c r="CY828" i="6"/>
  <c r="CW828" i="6"/>
  <c r="CU828" i="6"/>
  <c r="CS828" i="6"/>
  <c r="BM828" i="6"/>
  <c r="BK828" i="6"/>
  <c r="BI828" i="6"/>
  <c r="BG828" i="6"/>
  <c r="BE828" i="6"/>
  <c r="BC828" i="6"/>
  <c r="A828" i="6"/>
  <c r="DE827" i="6"/>
  <c r="DC827" i="6"/>
  <c r="CY827" i="6"/>
  <c r="CW827" i="6"/>
  <c r="CU827" i="6"/>
  <c r="CS827" i="6"/>
  <c r="BM827" i="6"/>
  <c r="BK827" i="6"/>
  <c r="BI827" i="6"/>
  <c r="BG827" i="6"/>
  <c r="BE827" i="6"/>
  <c r="BC827" i="6"/>
  <c r="A827" i="6"/>
  <c r="DE826" i="6"/>
  <c r="DC826" i="6"/>
  <c r="CY826" i="6"/>
  <c r="CW826" i="6"/>
  <c r="CU826" i="6"/>
  <c r="CS826" i="6"/>
  <c r="BM826" i="6"/>
  <c r="BK826" i="6"/>
  <c r="BI826" i="6"/>
  <c r="BG826" i="6"/>
  <c r="BE826" i="6"/>
  <c r="BC826" i="6"/>
  <c r="A826" i="6"/>
  <c r="DE825" i="6"/>
  <c r="DC825" i="6"/>
  <c r="CY825" i="6"/>
  <c r="CW825" i="6"/>
  <c r="CU825" i="6"/>
  <c r="CS825" i="6"/>
  <c r="BM825" i="6"/>
  <c r="BK825" i="6"/>
  <c r="BI825" i="6"/>
  <c r="BG825" i="6"/>
  <c r="BE825" i="6"/>
  <c r="BC825" i="6"/>
  <c r="A825" i="6"/>
  <c r="DE824" i="6"/>
  <c r="DC824" i="6"/>
  <c r="CY824" i="6"/>
  <c r="CW824" i="6"/>
  <c r="CU824" i="6"/>
  <c r="CS824" i="6"/>
  <c r="BM824" i="6"/>
  <c r="BK824" i="6"/>
  <c r="BI824" i="6"/>
  <c r="BG824" i="6"/>
  <c r="BE824" i="6"/>
  <c r="BC824" i="6"/>
  <c r="A824" i="6"/>
  <c r="DE823" i="6"/>
  <c r="DC823" i="6"/>
  <c r="CY823" i="6"/>
  <c r="CW823" i="6"/>
  <c r="CU823" i="6"/>
  <c r="CS823" i="6"/>
  <c r="BM823" i="6"/>
  <c r="BK823" i="6"/>
  <c r="BI823" i="6"/>
  <c r="BG823" i="6"/>
  <c r="BE823" i="6"/>
  <c r="BC823" i="6"/>
  <c r="A823" i="6"/>
  <c r="DE822" i="6"/>
  <c r="DC822" i="6"/>
  <c r="CY822" i="6"/>
  <c r="CW822" i="6"/>
  <c r="CU822" i="6"/>
  <c r="CS822" i="6"/>
  <c r="BM822" i="6"/>
  <c r="BK822" i="6"/>
  <c r="BI822" i="6"/>
  <c r="BG822" i="6"/>
  <c r="BE822" i="6"/>
  <c r="BC822" i="6"/>
  <c r="A822" i="6"/>
  <c r="DE821" i="6"/>
  <c r="DC821" i="6"/>
  <c r="CY821" i="6"/>
  <c r="CW821" i="6"/>
  <c r="CU821" i="6"/>
  <c r="CS821" i="6"/>
  <c r="BM821" i="6"/>
  <c r="BK821" i="6"/>
  <c r="BI821" i="6"/>
  <c r="BG821" i="6"/>
  <c r="BE821" i="6"/>
  <c r="BC821" i="6"/>
  <c r="A821" i="6"/>
  <c r="DE820" i="6"/>
  <c r="DC820" i="6"/>
  <c r="CY820" i="6"/>
  <c r="CW820" i="6"/>
  <c r="CU820" i="6"/>
  <c r="CS820" i="6"/>
  <c r="BM820" i="6"/>
  <c r="BK820" i="6"/>
  <c r="BI820" i="6"/>
  <c r="BG820" i="6"/>
  <c r="BE820" i="6"/>
  <c r="BC820" i="6"/>
  <c r="A820" i="6"/>
  <c r="DE819" i="6"/>
  <c r="DC819" i="6"/>
  <c r="CY819" i="6"/>
  <c r="CW819" i="6"/>
  <c r="CU819" i="6"/>
  <c r="CS819" i="6"/>
  <c r="BM819" i="6"/>
  <c r="BK819" i="6"/>
  <c r="BI819" i="6"/>
  <c r="BG819" i="6"/>
  <c r="BE819" i="6"/>
  <c r="BC819" i="6"/>
  <c r="A819" i="6"/>
  <c r="DE818" i="6"/>
  <c r="DC818" i="6"/>
  <c r="CY818" i="6"/>
  <c r="CW818" i="6"/>
  <c r="CU818" i="6"/>
  <c r="CS818" i="6"/>
  <c r="BM818" i="6"/>
  <c r="BK818" i="6"/>
  <c r="BI818" i="6"/>
  <c r="BG818" i="6"/>
  <c r="BE818" i="6"/>
  <c r="BC818" i="6"/>
  <c r="A818" i="6"/>
  <c r="DE817" i="6"/>
  <c r="DC817" i="6"/>
  <c r="CY817" i="6"/>
  <c r="CW817" i="6"/>
  <c r="CU817" i="6"/>
  <c r="CS817" i="6"/>
  <c r="BM817" i="6"/>
  <c r="BK817" i="6"/>
  <c r="BI817" i="6"/>
  <c r="BG817" i="6"/>
  <c r="BE817" i="6"/>
  <c r="BC817" i="6"/>
  <c r="A817" i="6"/>
  <c r="DE816" i="6"/>
  <c r="DC816" i="6"/>
  <c r="CY816" i="6"/>
  <c r="CW816" i="6"/>
  <c r="CU816" i="6"/>
  <c r="CS816" i="6"/>
  <c r="BM816" i="6"/>
  <c r="BK816" i="6"/>
  <c r="BI816" i="6"/>
  <c r="BG816" i="6"/>
  <c r="BE816" i="6"/>
  <c r="BC816" i="6"/>
  <c r="A816" i="6"/>
  <c r="DE815" i="6"/>
  <c r="DC815" i="6"/>
  <c r="CY815" i="6"/>
  <c r="CW815" i="6"/>
  <c r="CU815" i="6"/>
  <c r="CS815" i="6"/>
  <c r="BM815" i="6"/>
  <c r="BK815" i="6"/>
  <c r="BI815" i="6"/>
  <c r="BG815" i="6"/>
  <c r="BE815" i="6"/>
  <c r="BC815" i="6"/>
  <c r="A815" i="6"/>
  <c r="DE814" i="6"/>
  <c r="DC814" i="6"/>
  <c r="CY814" i="6"/>
  <c r="CW814" i="6"/>
  <c r="CU814" i="6"/>
  <c r="CS814" i="6"/>
  <c r="BM814" i="6"/>
  <c r="BK814" i="6"/>
  <c r="BI814" i="6"/>
  <c r="BG814" i="6"/>
  <c r="BE814" i="6"/>
  <c r="BC814" i="6"/>
  <c r="A814" i="6"/>
  <c r="DE813" i="6"/>
  <c r="DC813" i="6"/>
  <c r="CY813" i="6"/>
  <c r="CW813" i="6"/>
  <c r="CU813" i="6"/>
  <c r="CS813" i="6"/>
  <c r="BM813" i="6"/>
  <c r="BK813" i="6"/>
  <c r="BI813" i="6"/>
  <c r="BG813" i="6"/>
  <c r="BE813" i="6"/>
  <c r="BC813" i="6"/>
  <c r="A813" i="6"/>
  <c r="DE812" i="6"/>
  <c r="DC812" i="6"/>
  <c r="CY812" i="6"/>
  <c r="CW812" i="6"/>
  <c r="CU812" i="6"/>
  <c r="CS812" i="6"/>
  <c r="BM812" i="6"/>
  <c r="BK812" i="6"/>
  <c r="BI812" i="6"/>
  <c r="BG812" i="6"/>
  <c r="BE812" i="6"/>
  <c r="BC812" i="6"/>
  <c r="A812" i="6"/>
  <c r="DE811" i="6"/>
  <c r="DC811" i="6"/>
  <c r="CY811" i="6"/>
  <c r="CW811" i="6"/>
  <c r="CU811" i="6"/>
  <c r="CS811" i="6"/>
  <c r="BM811" i="6"/>
  <c r="BK811" i="6"/>
  <c r="BI811" i="6"/>
  <c r="BG811" i="6"/>
  <c r="BE811" i="6"/>
  <c r="BC811" i="6"/>
  <c r="A811" i="6"/>
  <c r="DE810" i="6"/>
  <c r="DC810" i="6"/>
  <c r="CY810" i="6"/>
  <c r="CW810" i="6"/>
  <c r="CU810" i="6"/>
  <c r="CS810" i="6"/>
  <c r="BM810" i="6"/>
  <c r="BK810" i="6"/>
  <c r="BI810" i="6"/>
  <c r="BG810" i="6"/>
  <c r="BE810" i="6"/>
  <c r="BC810" i="6"/>
  <c r="A810" i="6"/>
  <c r="DE809" i="6"/>
  <c r="DC809" i="6"/>
  <c r="CY809" i="6"/>
  <c r="CW809" i="6"/>
  <c r="CU809" i="6"/>
  <c r="CS809" i="6"/>
  <c r="BM809" i="6"/>
  <c r="BK809" i="6"/>
  <c r="BI809" i="6"/>
  <c r="BG809" i="6"/>
  <c r="BE809" i="6"/>
  <c r="BC809" i="6"/>
  <c r="A809" i="6"/>
  <c r="DE808" i="6"/>
  <c r="DC808" i="6"/>
  <c r="CY808" i="6"/>
  <c r="CW808" i="6"/>
  <c r="CU808" i="6"/>
  <c r="CS808" i="6"/>
  <c r="BM808" i="6"/>
  <c r="BK808" i="6"/>
  <c r="BI808" i="6"/>
  <c r="BG808" i="6"/>
  <c r="BE808" i="6"/>
  <c r="BC808" i="6"/>
  <c r="A808" i="6"/>
  <c r="DE807" i="6"/>
  <c r="DC807" i="6"/>
  <c r="CY807" i="6"/>
  <c r="CW807" i="6"/>
  <c r="CU807" i="6"/>
  <c r="CS807" i="6"/>
  <c r="BM807" i="6"/>
  <c r="BK807" i="6"/>
  <c r="BI807" i="6"/>
  <c r="BG807" i="6"/>
  <c r="BE807" i="6"/>
  <c r="BC807" i="6"/>
  <c r="A807" i="6"/>
  <c r="DE806" i="6"/>
  <c r="DC806" i="6"/>
  <c r="CY806" i="6"/>
  <c r="CW806" i="6"/>
  <c r="CU806" i="6"/>
  <c r="CS806" i="6"/>
  <c r="BM806" i="6"/>
  <c r="BK806" i="6"/>
  <c r="BI806" i="6"/>
  <c r="BG806" i="6"/>
  <c r="BE806" i="6"/>
  <c r="BC806" i="6"/>
  <c r="A806" i="6"/>
  <c r="DE805" i="6"/>
  <c r="DC805" i="6"/>
  <c r="CY805" i="6"/>
  <c r="CW805" i="6"/>
  <c r="CU805" i="6"/>
  <c r="CS805" i="6"/>
  <c r="BM805" i="6"/>
  <c r="BK805" i="6"/>
  <c r="BI805" i="6"/>
  <c r="BG805" i="6"/>
  <c r="BE805" i="6"/>
  <c r="BC805" i="6"/>
  <c r="A805" i="6"/>
  <c r="DE804" i="6"/>
  <c r="DC804" i="6"/>
  <c r="CY804" i="6"/>
  <c r="CW804" i="6"/>
  <c r="CU804" i="6"/>
  <c r="CS804" i="6"/>
  <c r="BM804" i="6"/>
  <c r="BK804" i="6"/>
  <c r="BI804" i="6"/>
  <c r="BG804" i="6"/>
  <c r="BE804" i="6"/>
  <c r="BC804" i="6"/>
  <c r="A804" i="6"/>
  <c r="DE803" i="6"/>
  <c r="DC803" i="6"/>
  <c r="CY803" i="6"/>
  <c r="CW803" i="6"/>
  <c r="CU803" i="6"/>
  <c r="CS803" i="6"/>
  <c r="BM803" i="6"/>
  <c r="BK803" i="6"/>
  <c r="BI803" i="6"/>
  <c r="BG803" i="6"/>
  <c r="BE803" i="6"/>
  <c r="BC803" i="6"/>
  <c r="A803" i="6"/>
  <c r="DE802" i="6"/>
  <c r="DC802" i="6"/>
  <c r="CY802" i="6"/>
  <c r="CW802" i="6"/>
  <c r="CU802" i="6"/>
  <c r="CS802" i="6"/>
  <c r="BM802" i="6"/>
  <c r="BK802" i="6"/>
  <c r="BI802" i="6"/>
  <c r="BG802" i="6"/>
  <c r="BE802" i="6"/>
  <c r="BC802" i="6"/>
  <c r="A802" i="6"/>
  <c r="DE801" i="6"/>
  <c r="DC801" i="6"/>
  <c r="CY801" i="6"/>
  <c r="CW801" i="6"/>
  <c r="CU801" i="6"/>
  <c r="CS801" i="6"/>
  <c r="BM801" i="6"/>
  <c r="BK801" i="6"/>
  <c r="BI801" i="6"/>
  <c r="BG801" i="6"/>
  <c r="BE801" i="6"/>
  <c r="BC801" i="6"/>
  <c r="A801" i="6"/>
  <c r="DE800" i="6"/>
  <c r="DC800" i="6"/>
  <c r="CY800" i="6"/>
  <c r="CW800" i="6"/>
  <c r="CU800" i="6"/>
  <c r="CS800" i="6"/>
  <c r="BM800" i="6"/>
  <c r="BK800" i="6"/>
  <c r="BI800" i="6"/>
  <c r="BG800" i="6"/>
  <c r="BE800" i="6"/>
  <c r="BC800" i="6"/>
  <c r="A800" i="6"/>
  <c r="DE799" i="6"/>
  <c r="DC799" i="6"/>
  <c r="CY799" i="6"/>
  <c r="CW799" i="6"/>
  <c r="CU799" i="6"/>
  <c r="CS799" i="6"/>
  <c r="BM799" i="6"/>
  <c r="BK799" i="6"/>
  <c r="BI799" i="6"/>
  <c r="BG799" i="6"/>
  <c r="BE799" i="6"/>
  <c r="BC799" i="6"/>
  <c r="A799" i="6"/>
  <c r="DE798" i="6"/>
  <c r="DC798" i="6"/>
  <c r="CY798" i="6"/>
  <c r="CW798" i="6"/>
  <c r="CU798" i="6"/>
  <c r="CS798" i="6"/>
  <c r="BM798" i="6"/>
  <c r="BK798" i="6"/>
  <c r="BI798" i="6"/>
  <c r="BG798" i="6"/>
  <c r="BE798" i="6"/>
  <c r="BC798" i="6"/>
  <c r="A798" i="6"/>
  <c r="DE797" i="6"/>
  <c r="DC797" i="6"/>
  <c r="CY797" i="6"/>
  <c r="CW797" i="6"/>
  <c r="CU797" i="6"/>
  <c r="CS797" i="6"/>
  <c r="BM797" i="6"/>
  <c r="BK797" i="6"/>
  <c r="BI797" i="6"/>
  <c r="BG797" i="6"/>
  <c r="BE797" i="6"/>
  <c r="BC797" i="6"/>
  <c r="A797" i="6"/>
  <c r="DE796" i="6"/>
  <c r="DC796" i="6"/>
  <c r="CY796" i="6"/>
  <c r="CW796" i="6"/>
  <c r="CU796" i="6"/>
  <c r="CS796" i="6"/>
  <c r="BM796" i="6"/>
  <c r="BK796" i="6"/>
  <c r="BI796" i="6"/>
  <c r="BG796" i="6"/>
  <c r="BE796" i="6"/>
  <c r="BC796" i="6"/>
  <c r="A796" i="6"/>
  <c r="DE795" i="6"/>
  <c r="DC795" i="6"/>
  <c r="CY795" i="6"/>
  <c r="CW795" i="6"/>
  <c r="CU795" i="6"/>
  <c r="CS795" i="6"/>
  <c r="BM795" i="6"/>
  <c r="BK795" i="6"/>
  <c r="BI795" i="6"/>
  <c r="BG795" i="6"/>
  <c r="BE795" i="6"/>
  <c r="BC795" i="6"/>
  <c r="A795" i="6"/>
  <c r="DE794" i="6"/>
  <c r="DC794" i="6"/>
  <c r="CY794" i="6"/>
  <c r="CW794" i="6"/>
  <c r="CU794" i="6"/>
  <c r="CS794" i="6"/>
  <c r="BM794" i="6"/>
  <c r="BK794" i="6"/>
  <c r="BI794" i="6"/>
  <c r="BG794" i="6"/>
  <c r="BE794" i="6"/>
  <c r="BC794" i="6"/>
  <c r="A794" i="6"/>
  <c r="DE793" i="6"/>
  <c r="DC793" i="6"/>
  <c r="CY793" i="6"/>
  <c r="CW793" i="6"/>
  <c r="CU793" i="6"/>
  <c r="CS793" i="6"/>
  <c r="BM793" i="6"/>
  <c r="BK793" i="6"/>
  <c r="BI793" i="6"/>
  <c r="BG793" i="6"/>
  <c r="BE793" i="6"/>
  <c r="BC793" i="6"/>
  <c r="A793" i="6"/>
  <c r="DE792" i="6"/>
  <c r="DC792" i="6"/>
  <c r="CY792" i="6"/>
  <c r="CW792" i="6"/>
  <c r="CU792" i="6"/>
  <c r="CS792" i="6"/>
  <c r="BM792" i="6"/>
  <c r="BK792" i="6"/>
  <c r="BI792" i="6"/>
  <c r="BG792" i="6"/>
  <c r="BE792" i="6"/>
  <c r="BC792" i="6"/>
  <c r="A792" i="6"/>
  <c r="DE791" i="6"/>
  <c r="DC791" i="6"/>
  <c r="CY791" i="6"/>
  <c r="CW791" i="6"/>
  <c r="CU791" i="6"/>
  <c r="CS791" i="6"/>
  <c r="BM791" i="6"/>
  <c r="BK791" i="6"/>
  <c r="BI791" i="6"/>
  <c r="BG791" i="6"/>
  <c r="BE791" i="6"/>
  <c r="BC791" i="6"/>
  <c r="A791" i="6"/>
  <c r="DE790" i="6"/>
  <c r="DC790" i="6"/>
  <c r="CY790" i="6"/>
  <c r="CW790" i="6"/>
  <c r="CU790" i="6"/>
  <c r="CS790" i="6"/>
  <c r="BM790" i="6"/>
  <c r="BK790" i="6"/>
  <c r="BI790" i="6"/>
  <c r="BG790" i="6"/>
  <c r="BE790" i="6"/>
  <c r="BC790" i="6"/>
  <c r="A790" i="6"/>
  <c r="DE789" i="6"/>
  <c r="DC789" i="6"/>
  <c r="CY789" i="6"/>
  <c r="CW789" i="6"/>
  <c r="CU789" i="6"/>
  <c r="CS789" i="6"/>
  <c r="BM789" i="6"/>
  <c r="BK789" i="6"/>
  <c r="BI789" i="6"/>
  <c r="BG789" i="6"/>
  <c r="BE789" i="6"/>
  <c r="BC789" i="6"/>
  <c r="A789" i="6"/>
  <c r="DE788" i="6"/>
  <c r="DC788" i="6"/>
  <c r="CY788" i="6"/>
  <c r="CW788" i="6"/>
  <c r="CU788" i="6"/>
  <c r="CS788" i="6"/>
  <c r="BM788" i="6"/>
  <c r="BK788" i="6"/>
  <c r="BI788" i="6"/>
  <c r="BG788" i="6"/>
  <c r="BE788" i="6"/>
  <c r="BC788" i="6"/>
  <c r="A788" i="6"/>
  <c r="DE787" i="6"/>
  <c r="DC787" i="6"/>
  <c r="CY787" i="6"/>
  <c r="CW787" i="6"/>
  <c r="CU787" i="6"/>
  <c r="CS787" i="6"/>
  <c r="BM787" i="6"/>
  <c r="BK787" i="6"/>
  <c r="BI787" i="6"/>
  <c r="BG787" i="6"/>
  <c r="BE787" i="6"/>
  <c r="BC787" i="6"/>
  <c r="A787" i="6"/>
  <c r="DE786" i="6"/>
  <c r="DC786" i="6"/>
  <c r="CY786" i="6"/>
  <c r="CW786" i="6"/>
  <c r="CU786" i="6"/>
  <c r="CS786" i="6"/>
  <c r="BM786" i="6"/>
  <c r="BK786" i="6"/>
  <c r="BI786" i="6"/>
  <c r="BG786" i="6"/>
  <c r="BE786" i="6"/>
  <c r="BC786" i="6"/>
  <c r="A786" i="6"/>
  <c r="DE785" i="6"/>
  <c r="DC785" i="6"/>
  <c r="CY785" i="6"/>
  <c r="CW785" i="6"/>
  <c r="CU785" i="6"/>
  <c r="CS785" i="6"/>
  <c r="BM785" i="6"/>
  <c r="BK785" i="6"/>
  <c r="BI785" i="6"/>
  <c r="BG785" i="6"/>
  <c r="BE785" i="6"/>
  <c r="BC785" i="6"/>
  <c r="A785" i="6"/>
  <c r="DE784" i="6"/>
  <c r="DC784" i="6"/>
  <c r="CY784" i="6"/>
  <c r="CW784" i="6"/>
  <c r="CU784" i="6"/>
  <c r="CS784" i="6"/>
  <c r="BM784" i="6"/>
  <c r="BK784" i="6"/>
  <c r="BI784" i="6"/>
  <c r="BG784" i="6"/>
  <c r="BE784" i="6"/>
  <c r="BC784" i="6"/>
  <c r="A784" i="6"/>
  <c r="DE783" i="6"/>
  <c r="DC783" i="6"/>
  <c r="CY783" i="6"/>
  <c r="CW783" i="6"/>
  <c r="CU783" i="6"/>
  <c r="CS783" i="6"/>
  <c r="BM783" i="6"/>
  <c r="BK783" i="6"/>
  <c r="BI783" i="6"/>
  <c r="BG783" i="6"/>
  <c r="BE783" i="6"/>
  <c r="BC783" i="6"/>
  <c r="A783" i="6"/>
  <c r="DE782" i="6"/>
  <c r="DC782" i="6"/>
  <c r="CY782" i="6"/>
  <c r="CW782" i="6"/>
  <c r="CU782" i="6"/>
  <c r="CS782" i="6"/>
  <c r="BM782" i="6"/>
  <c r="BK782" i="6"/>
  <c r="BI782" i="6"/>
  <c r="BG782" i="6"/>
  <c r="BE782" i="6"/>
  <c r="BC782" i="6"/>
  <c r="A782" i="6"/>
  <c r="DE781" i="6"/>
  <c r="DC781" i="6"/>
  <c r="CY781" i="6"/>
  <c r="CW781" i="6"/>
  <c r="CU781" i="6"/>
  <c r="CS781" i="6"/>
  <c r="BM781" i="6"/>
  <c r="BK781" i="6"/>
  <c r="BI781" i="6"/>
  <c r="BG781" i="6"/>
  <c r="BE781" i="6"/>
  <c r="BC781" i="6"/>
  <c r="A781" i="6"/>
  <c r="DE780" i="6"/>
  <c r="DC780" i="6"/>
  <c r="CY780" i="6"/>
  <c r="CW780" i="6"/>
  <c r="CU780" i="6"/>
  <c r="CS780" i="6"/>
  <c r="BM780" i="6"/>
  <c r="BK780" i="6"/>
  <c r="BI780" i="6"/>
  <c r="BG780" i="6"/>
  <c r="BE780" i="6"/>
  <c r="BC780" i="6"/>
  <c r="A780" i="6"/>
  <c r="DE779" i="6"/>
  <c r="DC779" i="6"/>
  <c r="CY779" i="6"/>
  <c r="CW779" i="6"/>
  <c r="CU779" i="6"/>
  <c r="CS779" i="6"/>
  <c r="BM779" i="6"/>
  <c r="BK779" i="6"/>
  <c r="BI779" i="6"/>
  <c r="BG779" i="6"/>
  <c r="BE779" i="6"/>
  <c r="BC779" i="6"/>
  <c r="A779" i="6"/>
  <c r="DE778" i="6"/>
  <c r="DC778" i="6"/>
  <c r="CY778" i="6"/>
  <c r="CW778" i="6"/>
  <c r="CU778" i="6"/>
  <c r="CS778" i="6"/>
  <c r="BM778" i="6"/>
  <c r="BK778" i="6"/>
  <c r="BI778" i="6"/>
  <c r="BG778" i="6"/>
  <c r="BE778" i="6"/>
  <c r="BC778" i="6"/>
  <c r="A778" i="6"/>
  <c r="DE777" i="6"/>
  <c r="DC777" i="6"/>
  <c r="CY777" i="6"/>
  <c r="CW777" i="6"/>
  <c r="CU777" i="6"/>
  <c r="CS777" i="6"/>
  <c r="BM777" i="6"/>
  <c r="BK777" i="6"/>
  <c r="BI777" i="6"/>
  <c r="BG777" i="6"/>
  <c r="BE777" i="6"/>
  <c r="BC777" i="6"/>
  <c r="A777" i="6"/>
  <c r="DE776" i="6"/>
  <c r="DC776" i="6"/>
  <c r="CY776" i="6"/>
  <c r="CW776" i="6"/>
  <c r="CU776" i="6"/>
  <c r="CS776" i="6"/>
  <c r="BM776" i="6"/>
  <c r="BK776" i="6"/>
  <c r="BI776" i="6"/>
  <c r="BG776" i="6"/>
  <c r="BE776" i="6"/>
  <c r="BC776" i="6"/>
  <c r="A776" i="6"/>
  <c r="DE775" i="6"/>
  <c r="DC775" i="6"/>
  <c r="CY775" i="6"/>
  <c r="CW775" i="6"/>
  <c r="CU775" i="6"/>
  <c r="CS775" i="6"/>
  <c r="BM775" i="6"/>
  <c r="BK775" i="6"/>
  <c r="BI775" i="6"/>
  <c r="BG775" i="6"/>
  <c r="BE775" i="6"/>
  <c r="BC775" i="6"/>
  <c r="A775" i="6"/>
  <c r="DE774" i="6"/>
  <c r="DC774" i="6"/>
  <c r="CY774" i="6"/>
  <c r="CW774" i="6"/>
  <c r="CU774" i="6"/>
  <c r="CS774" i="6"/>
  <c r="BM774" i="6"/>
  <c r="BK774" i="6"/>
  <c r="BI774" i="6"/>
  <c r="BG774" i="6"/>
  <c r="BE774" i="6"/>
  <c r="BC774" i="6"/>
  <c r="A774" i="6"/>
  <c r="DE773" i="6"/>
  <c r="DC773" i="6"/>
  <c r="CY773" i="6"/>
  <c r="CW773" i="6"/>
  <c r="CU773" i="6"/>
  <c r="CS773" i="6"/>
  <c r="BM773" i="6"/>
  <c r="BK773" i="6"/>
  <c r="BI773" i="6"/>
  <c r="BG773" i="6"/>
  <c r="BE773" i="6"/>
  <c r="BC773" i="6"/>
  <c r="A773" i="6"/>
  <c r="DE772" i="6"/>
  <c r="DC772" i="6"/>
  <c r="CY772" i="6"/>
  <c r="CW772" i="6"/>
  <c r="CU772" i="6"/>
  <c r="CS772" i="6"/>
  <c r="BM772" i="6"/>
  <c r="BK772" i="6"/>
  <c r="BI772" i="6"/>
  <c r="BG772" i="6"/>
  <c r="BE772" i="6"/>
  <c r="BC772" i="6"/>
  <c r="A772" i="6"/>
  <c r="DE771" i="6"/>
  <c r="DC771" i="6"/>
  <c r="CY771" i="6"/>
  <c r="CW771" i="6"/>
  <c r="CU771" i="6"/>
  <c r="CS771" i="6"/>
  <c r="BM771" i="6"/>
  <c r="BK771" i="6"/>
  <c r="BI771" i="6"/>
  <c r="BG771" i="6"/>
  <c r="BE771" i="6"/>
  <c r="BC771" i="6"/>
  <c r="A771" i="6"/>
  <c r="DE770" i="6"/>
  <c r="DC770" i="6"/>
  <c r="CY770" i="6"/>
  <c r="CW770" i="6"/>
  <c r="CU770" i="6"/>
  <c r="CS770" i="6"/>
  <c r="BM770" i="6"/>
  <c r="BK770" i="6"/>
  <c r="BI770" i="6"/>
  <c r="BG770" i="6"/>
  <c r="BE770" i="6"/>
  <c r="BC770" i="6"/>
  <c r="A770" i="6"/>
  <c r="DE769" i="6"/>
  <c r="DC769" i="6"/>
  <c r="CY769" i="6"/>
  <c r="CW769" i="6"/>
  <c r="CU769" i="6"/>
  <c r="CS769" i="6"/>
  <c r="BM769" i="6"/>
  <c r="BK769" i="6"/>
  <c r="BI769" i="6"/>
  <c r="BG769" i="6"/>
  <c r="BE769" i="6"/>
  <c r="BC769" i="6"/>
  <c r="A769" i="6"/>
  <c r="DE768" i="6"/>
  <c r="DC768" i="6"/>
  <c r="CY768" i="6"/>
  <c r="CW768" i="6"/>
  <c r="CU768" i="6"/>
  <c r="CS768" i="6"/>
  <c r="BM768" i="6"/>
  <c r="BK768" i="6"/>
  <c r="BI768" i="6"/>
  <c r="BG768" i="6"/>
  <c r="BE768" i="6"/>
  <c r="BC768" i="6"/>
  <c r="A768" i="6"/>
  <c r="DE767" i="6"/>
  <c r="DC767" i="6"/>
  <c r="CY767" i="6"/>
  <c r="CW767" i="6"/>
  <c r="CU767" i="6"/>
  <c r="CS767" i="6"/>
  <c r="BM767" i="6"/>
  <c r="BK767" i="6"/>
  <c r="BI767" i="6"/>
  <c r="BG767" i="6"/>
  <c r="BE767" i="6"/>
  <c r="BC767" i="6"/>
  <c r="A767" i="6"/>
  <c r="DE766" i="6"/>
  <c r="DC766" i="6"/>
  <c r="CY766" i="6"/>
  <c r="CW766" i="6"/>
  <c r="CU766" i="6"/>
  <c r="CS766" i="6"/>
  <c r="BM766" i="6"/>
  <c r="BK766" i="6"/>
  <c r="BI766" i="6"/>
  <c r="BG766" i="6"/>
  <c r="BE766" i="6"/>
  <c r="BC766" i="6"/>
  <c r="A766" i="6"/>
  <c r="DE765" i="6"/>
  <c r="DC765" i="6"/>
  <c r="CY765" i="6"/>
  <c r="CW765" i="6"/>
  <c r="CU765" i="6"/>
  <c r="CS765" i="6"/>
  <c r="BM765" i="6"/>
  <c r="BK765" i="6"/>
  <c r="BI765" i="6"/>
  <c r="BG765" i="6"/>
  <c r="BE765" i="6"/>
  <c r="BC765" i="6"/>
  <c r="A765" i="6"/>
  <c r="DE764" i="6"/>
  <c r="DC764" i="6"/>
  <c r="CY764" i="6"/>
  <c r="CW764" i="6"/>
  <c r="CU764" i="6"/>
  <c r="CS764" i="6"/>
  <c r="BM764" i="6"/>
  <c r="BK764" i="6"/>
  <c r="BI764" i="6"/>
  <c r="BG764" i="6"/>
  <c r="BE764" i="6"/>
  <c r="BC764" i="6"/>
  <c r="A764" i="6"/>
  <c r="DE763" i="6"/>
  <c r="DC763" i="6"/>
  <c r="CY763" i="6"/>
  <c r="CW763" i="6"/>
  <c r="CU763" i="6"/>
  <c r="CS763" i="6"/>
  <c r="BM763" i="6"/>
  <c r="BK763" i="6"/>
  <c r="BI763" i="6"/>
  <c r="BG763" i="6"/>
  <c r="BE763" i="6"/>
  <c r="BC763" i="6"/>
  <c r="A763" i="6"/>
  <c r="DE762" i="6"/>
  <c r="DC762" i="6"/>
  <c r="CY762" i="6"/>
  <c r="CW762" i="6"/>
  <c r="CU762" i="6"/>
  <c r="CS762" i="6"/>
  <c r="BM762" i="6"/>
  <c r="BK762" i="6"/>
  <c r="BI762" i="6"/>
  <c r="BG762" i="6"/>
  <c r="BE762" i="6"/>
  <c r="BC762" i="6"/>
  <c r="A762" i="6"/>
  <c r="DE761" i="6"/>
  <c r="DC761" i="6"/>
  <c r="CY761" i="6"/>
  <c r="CW761" i="6"/>
  <c r="CU761" i="6"/>
  <c r="CS761" i="6"/>
  <c r="BM761" i="6"/>
  <c r="BK761" i="6"/>
  <c r="BI761" i="6"/>
  <c r="BG761" i="6"/>
  <c r="BE761" i="6"/>
  <c r="BC761" i="6"/>
  <c r="A761" i="6"/>
  <c r="DE760" i="6"/>
  <c r="DC760" i="6"/>
  <c r="CY760" i="6"/>
  <c r="CW760" i="6"/>
  <c r="CU760" i="6"/>
  <c r="CS760" i="6"/>
  <c r="BM760" i="6"/>
  <c r="BK760" i="6"/>
  <c r="BI760" i="6"/>
  <c r="BG760" i="6"/>
  <c r="BE760" i="6"/>
  <c r="BC760" i="6"/>
  <c r="A760" i="6"/>
  <c r="DE759" i="6"/>
  <c r="DC759" i="6"/>
  <c r="CY759" i="6"/>
  <c r="CW759" i="6"/>
  <c r="CU759" i="6"/>
  <c r="CS759" i="6"/>
  <c r="BM759" i="6"/>
  <c r="BK759" i="6"/>
  <c r="BI759" i="6"/>
  <c r="BG759" i="6"/>
  <c r="BE759" i="6"/>
  <c r="BC759" i="6"/>
  <c r="A759" i="6"/>
  <c r="DE758" i="6"/>
  <c r="DC758" i="6"/>
  <c r="CY758" i="6"/>
  <c r="CW758" i="6"/>
  <c r="CU758" i="6"/>
  <c r="CS758" i="6"/>
  <c r="BM758" i="6"/>
  <c r="BK758" i="6"/>
  <c r="BI758" i="6"/>
  <c r="BG758" i="6"/>
  <c r="BE758" i="6"/>
  <c r="BC758" i="6"/>
  <c r="A758" i="6"/>
  <c r="DE757" i="6"/>
  <c r="DC757" i="6"/>
  <c r="CY757" i="6"/>
  <c r="CW757" i="6"/>
  <c r="CU757" i="6"/>
  <c r="CS757" i="6"/>
  <c r="BM757" i="6"/>
  <c r="BK757" i="6"/>
  <c r="BI757" i="6"/>
  <c r="BG757" i="6"/>
  <c r="BE757" i="6"/>
  <c r="BC757" i="6"/>
  <c r="A757" i="6"/>
  <c r="DE756" i="6"/>
  <c r="DC756" i="6"/>
  <c r="CY756" i="6"/>
  <c r="CW756" i="6"/>
  <c r="CU756" i="6"/>
  <c r="CS756" i="6"/>
  <c r="BM756" i="6"/>
  <c r="BK756" i="6"/>
  <c r="BI756" i="6"/>
  <c r="BG756" i="6"/>
  <c r="BE756" i="6"/>
  <c r="BC756" i="6"/>
  <c r="A756" i="6"/>
  <c r="DE755" i="6"/>
  <c r="DC755" i="6"/>
  <c r="CY755" i="6"/>
  <c r="CW755" i="6"/>
  <c r="CU755" i="6"/>
  <c r="CS755" i="6"/>
  <c r="BM755" i="6"/>
  <c r="BK755" i="6"/>
  <c r="BI755" i="6"/>
  <c r="BG755" i="6"/>
  <c r="BE755" i="6"/>
  <c r="BC755" i="6"/>
  <c r="A755" i="6"/>
  <c r="DE754" i="6"/>
  <c r="DC754" i="6"/>
  <c r="CY754" i="6"/>
  <c r="CW754" i="6"/>
  <c r="CU754" i="6"/>
  <c r="CS754" i="6"/>
  <c r="BM754" i="6"/>
  <c r="BK754" i="6"/>
  <c r="BI754" i="6"/>
  <c r="BG754" i="6"/>
  <c r="BE754" i="6"/>
  <c r="BC754" i="6"/>
  <c r="A754" i="6"/>
  <c r="DE753" i="6"/>
  <c r="DC753" i="6"/>
  <c r="CY753" i="6"/>
  <c r="CW753" i="6"/>
  <c r="CU753" i="6"/>
  <c r="CS753" i="6"/>
  <c r="BM753" i="6"/>
  <c r="BK753" i="6"/>
  <c r="BI753" i="6"/>
  <c r="BG753" i="6"/>
  <c r="BE753" i="6"/>
  <c r="BC753" i="6"/>
  <c r="A753" i="6"/>
  <c r="DE752" i="6"/>
  <c r="DC752" i="6"/>
  <c r="CY752" i="6"/>
  <c r="CW752" i="6"/>
  <c r="CU752" i="6"/>
  <c r="CS752" i="6"/>
  <c r="BM752" i="6"/>
  <c r="BK752" i="6"/>
  <c r="BI752" i="6"/>
  <c r="BG752" i="6"/>
  <c r="BE752" i="6"/>
  <c r="BC752" i="6"/>
  <c r="A752" i="6"/>
  <c r="DE751" i="6"/>
  <c r="DC751" i="6"/>
  <c r="CY751" i="6"/>
  <c r="CW751" i="6"/>
  <c r="CU751" i="6"/>
  <c r="CS751" i="6"/>
  <c r="BM751" i="6"/>
  <c r="BK751" i="6"/>
  <c r="BI751" i="6"/>
  <c r="BG751" i="6"/>
  <c r="BE751" i="6"/>
  <c r="BC751" i="6"/>
  <c r="A751" i="6"/>
  <c r="DE750" i="6"/>
  <c r="DC750" i="6"/>
  <c r="CY750" i="6"/>
  <c r="CW750" i="6"/>
  <c r="CU750" i="6"/>
  <c r="CS750" i="6"/>
  <c r="BM750" i="6"/>
  <c r="BK750" i="6"/>
  <c r="BI750" i="6"/>
  <c r="BG750" i="6"/>
  <c r="BE750" i="6"/>
  <c r="BC750" i="6"/>
  <c r="A750" i="6"/>
  <c r="DE749" i="6"/>
  <c r="DC749" i="6"/>
  <c r="CY749" i="6"/>
  <c r="CW749" i="6"/>
  <c r="CU749" i="6"/>
  <c r="CS749" i="6"/>
  <c r="BM749" i="6"/>
  <c r="BK749" i="6"/>
  <c r="BI749" i="6"/>
  <c r="BG749" i="6"/>
  <c r="BE749" i="6"/>
  <c r="BC749" i="6"/>
  <c r="A749" i="6"/>
  <c r="DE748" i="6"/>
  <c r="DC748" i="6"/>
  <c r="CY748" i="6"/>
  <c r="CW748" i="6"/>
  <c r="CU748" i="6"/>
  <c r="CS748" i="6"/>
  <c r="BM748" i="6"/>
  <c r="BK748" i="6"/>
  <c r="BI748" i="6"/>
  <c r="BG748" i="6"/>
  <c r="BE748" i="6"/>
  <c r="BC748" i="6"/>
  <c r="A748" i="6"/>
  <c r="DE747" i="6"/>
  <c r="DC747" i="6"/>
  <c r="CY747" i="6"/>
  <c r="CW747" i="6"/>
  <c r="CU747" i="6"/>
  <c r="CS747" i="6"/>
  <c r="BM747" i="6"/>
  <c r="BK747" i="6"/>
  <c r="BI747" i="6"/>
  <c r="BG747" i="6"/>
  <c r="BE747" i="6"/>
  <c r="BC747" i="6"/>
  <c r="A747" i="6"/>
  <c r="DE746" i="6"/>
  <c r="DC746" i="6"/>
  <c r="CY746" i="6"/>
  <c r="CW746" i="6"/>
  <c r="CU746" i="6"/>
  <c r="CS746" i="6"/>
  <c r="BM746" i="6"/>
  <c r="BK746" i="6"/>
  <c r="BI746" i="6"/>
  <c r="BG746" i="6"/>
  <c r="BE746" i="6"/>
  <c r="BC746" i="6"/>
  <c r="A746" i="6"/>
  <c r="DE745" i="6"/>
  <c r="DC745" i="6"/>
  <c r="CY745" i="6"/>
  <c r="CW745" i="6"/>
  <c r="CU745" i="6"/>
  <c r="CS745" i="6"/>
  <c r="BM745" i="6"/>
  <c r="BK745" i="6"/>
  <c r="BI745" i="6"/>
  <c r="BG745" i="6"/>
  <c r="BE745" i="6"/>
  <c r="BC745" i="6"/>
  <c r="A745" i="6"/>
  <c r="DE744" i="6"/>
  <c r="DC744" i="6"/>
  <c r="CY744" i="6"/>
  <c r="CW744" i="6"/>
  <c r="CU744" i="6"/>
  <c r="CS744" i="6"/>
  <c r="BM744" i="6"/>
  <c r="BK744" i="6"/>
  <c r="BI744" i="6"/>
  <c r="BG744" i="6"/>
  <c r="BE744" i="6"/>
  <c r="BC744" i="6"/>
  <c r="A744" i="6"/>
  <c r="DE743" i="6"/>
  <c r="DC743" i="6"/>
  <c r="CY743" i="6"/>
  <c r="CW743" i="6"/>
  <c r="CU743" i="6"/>
  <c r="CS743" i="6"/>
  <c r="BM743" i="6"/>
  <c r="BK743" i="6"/>
  <c r="BI743" i="6"/>
  <c r="BG743" i="6"/>
  <c r="BE743" i="6"/>
  <c r="BC743" i="6"/>
  <c r="A743" i="6"/>
  <c r="DE742" i="6"/>
  <c r="DC742" i="6"/>
  <c r="CY742" i="6"/>
  <c r="CW742" i="6"/>
  <c r="CU742" i="6"/>
  <c r="CS742" i="6"/>
  <c r="BM742" i="6"/>
  <c r="BK742" i="6"/>
  <c r="BI742" i="6"/>
  <c r="BG742" i="6"/>
  <c r="BE742" i="6"/>
  <c r="BC742" i="6"/>
  <c r="A742" i="6"/>
  <c r="DE741" i="6"/>
  <c r="DC741" i="6"/>
  <c r="CY741" i="6"/>
  <c r="CW741" i="6"/>
  <c r="CU741" i="6"/>
  <c r="CS741" i="6"/>
  <c r="BM741" i="6"/>
  <c r="BK741" i="6"/>
  <c r="BI741" i="6"/>
  <c r="BG741" i="6"/>
  <c r="BE741" i="6"/>
  <c r="BC741" i="6"/>
  <c r="A741" i="6"/>
  <c r="DE740" i="6"/>
  <c r="DC740" i="6"/>
  <c r="CY740" i="6"/>
  <c r="CW740" i="6"/>
  <c r="CU740" i="6"/>
  <c r="CS740" i="6"/>
  <c r="BM740" i="6"/>
  <c r="BK740" i="6"/>
  <c r="BI740" i="6"/>
  <c r="BG740" i="6"/>
  <c r="BE740" i="6"/>
  <c r="BC740" i="6"/>
  <c r="A740" i="6"/>
  <c r="DE739" i="6"/>
  <c r="DC739" i="6"/>
  <c r="CY739" i="6"/>
  <c r="CW739" i="6"/>
  <c r="CU739" i="6"/>
  <c r="CS739" i="6"/>
  <c r="BM739" i="6"/>
  <c r="BK739" i="6"/>
  <c r="BI739" i="6"/>
  <c r="BG739" i="6"/>
  <c r="BE739" i="6"/>
  <c r="BC739" i="6"/>
  <c r="A739" i="6"/>
  <c r="DE738" i="6"/>
  <c r="DC738" i="6"/>
  <c r="CY738" i="6"/>
  <c r="CW738" i="6"/>
  <c r="CU738" i="6"/>
  <c r="CS738" i="6"/>
  <c r="BM738" i="6"/>
  <c r="BK738" i="6"/>
  <c r="BI738" i="6"/>
  <c r="BG738" i="6"/>
  <c r="BE738" i="6"/>
  <c r="BC738" i="6"/>
  <c r="A738" i="6"/>
  <c r="DE737" i="6"/>
  <c r="DC737" i="6"/>
  <c r="CY737" i="6"/>
  <c r="CW737" i="6"/>
  <c r="CU737" i="6"/>
  <c r="CS737" i="6"/>
  <c r="BM737" i="6"/>
  <c r="BK737" i="6"/>
  <c r="BI737" i="6"/>
  <c r="BG737" i="6"/>
  <c r="BE737" i="6"/>
  <c r="BC737" i="6"/>
  <c r="A737" i="6"/>
  <c r="DE736" i="6"/>
  <c r="DC736" i="6"/>
  <c r="CY736" i="6"/>
  <c r="CW736" i="6"/>
  <c r="CU736" i="6"/>
  <c r="CS736" i="6"/>
  <c r="BM736" i="6"/>
  <c r="BK736" i="6"/>
  <c r="BI736" i="6"/>
  <c r="BG736" i="6"/>
  <c r="BE736" i="6"/>
  <c r="BC736" i="6"/>
  <c r="A736" i="6"/>
  <c r="DE735" i="6"/>
  <c r="DC735" i="6"/>
  <c r="CY735" i="6"/>
  <c r="CW735" i="6"/>
  <c r="CU735" i="6"/>
  <c r="CS735" i="6"/>
  <c r="BM735" i="6"/>
  <c r="BK735" i="6"/>
  <c r="BI735" i="6"/>
  <c r="BG735" i="6"/>
  <c r="BE735" i="6"/>
  <c r="BC735" i="6"/>
  <c r="A735" i="6"/>
  <c r="DE734" i="6"/>
  <c r="DC734" i="6"/>
  <c r="CY734" i="6"/>
  <c r="CW734" i="6"/>
  <c r="CU734" i="6"/>
  <c r="CS734" i="6"/>
  <c r="BM734" i="6"/>
  <c r="BK734" i="6"/>
  <c r="BI734" i="6"/>
  <c r="BG734" i="6"/>
  <c r="BE734" i="6"/>
  <c r="BC734" i="6"/>
  <c r="A734" i="6"/>
  <c r="DE733" i="6"/>
  <c r="DC733" i="6"/>
  <c r="CY733" i="6"/>
  <c r="CW733" i="6"/>
  <c r="CU733" i="6"/>
  <c r="CS733" i="6"/>
  <c r="BM733" i="6"/>
  <c r="BK733" i="6"/>
  <c r="BI733" i="6"/>
  <c r="BG733" i="6"/>
  <c r="BE733" i="6"/>
  <c r="BC733" i="6"/>
  <c r="A733" i="6"/>
  <c r="DE732" i="6"/>
  <c r="DC732" i="6"/>
  <c r="CY732" i="6"/>
  <c r="CW732" i="6"/>
  <c r="CU732" i="6"/>
  <c r="CS732" i="6"/>
  <c r="BM732" i="6"/>
  <c r="BK732" i="6"/>
  <c r="BI732" i="6"/>
  <c r="BG732" i="6"/>
  <c r="BE732" i="6"/>
  <c r="BC732" i="6"/>
  <c r="A732" i="6"/>
  <c r="DE731" i="6"/>
  <c r="DC731" i="6"/>
  <c r="CY731" i="6"/>
  <c r="CW731" i="6"/>
  <c r="CU731" i="6"/>
  <c r="CS731" i="6"/>
  <c r="BM731" i="6"/>
  <c r="BK731" i="6"/>
  <c r="BI731" i="6"/>
  <c r="BG731" i="6"/>
  <c r="BE731" i="6"/>
  <c r="BC731" i="6"/>
  <c r="A731" i="6"/>
  <c r="DE730" i="6"/>
  <c r="DC730" i="6"/>
  <c r="CY730" i="6"/>
  <c r="CW730" i="6"/>
  <c r="CU730" i="6"/>
  <c r="CS730" i="6"/>
  <c r="BM730" i="6"/>
  <c r="BK730" i="6"/>
  <c r="BI730" i="6"/>
  <c r="BG730" i="6"/>
  <c r="BE730" i="6"/>
  <c r="BC730" i="6"/>
  <c r="A730" i="6"/>
  <c r="DE729" i="6"/>
  <c r="DC729" i="6"/>
  <c r="CY729" i="6"/>
  <c r="CW729" i="6"/>
  <c r="CU729" i="6"/>
  <c r="CS729" i="6"/>
  <c r="BM729" i="6"/>
  <c r="BK729" i="6"/>
  <c r="BI729" i="6"/>
  <c r="BG729" i="6"/>
  <c r="BE729" i="6"/>
  <c r="BC729" i="6"/>
  <c r="A729" i="6"/>
  <c r="DE728" i="6"/>
  <c r="DC728" i="6"/>
  <c r="CY728" i="6"/>
  <c r="CW728" i="6"/>
  <c r="CU728" i="6"/>
  <c r="CS728" i="6"/>
  <c r="BM728" i="6"/>
  <c r="BK728" i="6"/>
  <c r="BI728" i="6"/>
  <c r="BG728" i="6"/>
  <c r="BE728" i="6"/>
  <c r="BC728" i="6"/>
  <c r="A728" i="6"/>
  <c r="DE727" i="6"/>
  <c r="DC727" i="6"/>
  <c r="CY727" i="6"/>
  <c r="CW727" i="6"/>
  <c r="CU727" i="6"/>
  <c r="CS727" i="6"/>
  <c r="BM727" i="6"/>
  <c r="BK727" i="6"/>
  <c r="BI727" i="6"/>
  <c r="BG727" i="6"/>
  <c r="BE727" i="6"/>
  <c r="BC727" i="6"/>
  <c r="A727" i="6"/>
  <c r="DE726" i="6"/>
  <c r="DC726" i="6"/>
  <c r="CY726" i="6"/>
  <c r="CW726" i="6"/>
  <c r="CU726" i="6"/>
  <c r="CS726" i="6"/>
  <c r="BM726" i="6"/>
  <c r="BK726" i="6"/>
  <c r="BI726" i="6"/>
  <c r="BG726" i="6"/>
  <c r="BE726" i="6"/>
  <c r="BC726" i="6"/>
  <c r="A726" i="6"/>
  <c r="DE725" i="6"/>
  <c r="DC725" i="6"/>
  <c r="CY725" i="6"/>
  <c r="CW725" i="6"/>
  <c r="CU725" i="6"/>
  <c r="CS725" i="6"/>
  <c r="BM725" i="6"/>
  <c r="BK725" i="6"/>
  <c r="BI725" i="6"/>
  <c r="BG725" i="6"/>
  <c r="BE725" i="6"/>
  <c r="BC725" i="6"/>
  <c r="A725" i="6"/>
  <c r="DE724" i="6"/>
  <c r="DC724" i="6"/>
  <c r="CY724" i="6"/>
  <c r="CW724" i="6"/>
  <c r="CU724" i="6"/>
  <c r="CS724" i="6"/>
  <c r="BM724" i="6"/>
  <c r="BK724" i="6"/>
  <c r="BI724" i="6"/>
  <c r="BG724" i="6"/>
  <c r="BE724" i="6"/>
  <c r="BC724" i="6"/>
  <c r="A724" i="6"/>
  <c r="DE723" i="6"/>
  <c r="DC723" i="6"/>
  <c r="CY723" i="6"/>
  <c r="CW723" i="6"/>
  <c r="CU723" i="6"/>
  <c r="CS723" i="6"/>
  <c r="BM723" i="6"/>
  <c r="BK723" i="6"/>
  <c r="BI723" i="6"/>
  <c r="BG723" i="6"/>
  <c r="BE723" i="6"/>
  <c r="BC723" i="6"/>
  <c r="A723" i="6"/>
  <c r="DE722" i="6"/>
  <c r="DC722" i="6"/>
  <c r="CY722" i="6"/>
  <c r="CW722" i="6"/>
  <c r="CU722" i="6"/>
  <c r="CS722" i="6"/>
  <c r="BM722" i="6"/>
  <c r="BK722" i="6"/>
  <c r="BI722" i="6"/>
  <c r="BG722" i="6"/>
  <c r="BE722" i="6"/>
  <c r="BC722" i="6"/>
  <c r="A722" i="6"/>
  <c r="DE721" i="6"/>
  <c r="DC721" i="6"/>
  <c r="CY721" i="6"/>
  <c r="CW721" i="6"/>
  <c r="CU721" i="6"/>
  <c r="CS721" i="6"/>
  <c r="BM721" i="6"/>
  <c r="BK721" i="6"/>
  <c r="BI721" i="6"/>
  <c r="BG721" i="6"/>
  <c r="BE721" i="6"/>
  <c r="BC721" i="6"/>
  <c r="A721" i="6"/>
  <c r="DE720" i="6"/>
  <c r="DC720" i="6"/>
  <c r="CY720" i="6"/>
  <c r="CW720" i="6"/>
  <c r="CU720" i="6"/>
  <c r="CS720" i="6"/>
  <c r="BM720" i="6"/>
  <c r="BK720" i="6"/>
  <c r="BI720" i="6"/>
  <c r="BG720" i="6"/>
  <c r="BE720" i="6"/>
  <c r="BC720" i="6"/>
  <c r="A720" i="6"/>
  <c r="DE719" i="6"/>
  <c r="DC719" i="6"/>
  <c r="CY719" i="6"/>
  <c r="CW719" i="6"/>
  <c r="CU719" i="6"/>
  <c r="CS719" i="6"/>
  <c r="BM719" i="6"/>
  <c r="BK719" i="6"/>
  <c r="BI719" i="6"/>
  <c r="BG719" i="6"/>
  <c r="BE719" i="6"/>
  <c r="BC719" i="6"/>
  <c r="A719" i="6"/>
  <c r="DE718" i="6"/>
  <c r="DC718" i="6"/>
  <c r="CY718" i="6"/>
  <c r="CW718" i="6"/>
  <c r="CU718" i="6"/>
  <c r="CS718" i="6"/>
  <c r="BM718" i="6"/>
  <c r="BK718" i="6"/>
  <c r="BI718" i="6"/>
  <c r="BG718" i="6"/>
  <c r="BE718" i="6"/>
  <c r="BC718" i="6"/>
  <c r="A718" i="6"/>
  <c r="DE717" i="6"/>
  <c r="DC717" i="6"/>
  <c r="CY717" i="6"/>
  <c r="CW717" i="6"/>
  <c r="CU717" i="6"/>
  <c r="CS717" i="6"/>
  <c r="BM717" i="6"/>
  <c r="BK717" i="6"/>
  <c r="BI717" i="6"/>
  <c r="BG717" i="6"/>
  <c r="BE717" i="6"/>
  <c r="BC717" i="6"/>
  <c r="A717" i="6"/>
  <c r="DE716" i="6"/>
  <c r="DC716" i="6"/>
  <c r="CY716" i="6"/>
  <c r="CW716" i="6"/>
  <c r="CU716" i="6"/>
  <c r="CS716" i="6"/>
  <c r="BM716" i="6"/>
  <c r="BK716" i="6"/>
  <c r="BI716" i="6"/>
  <c r="BG716" i="6"/>
  <c r="BE716" i="6"/>
  <c r="BC716" i="6"/>
  <c r="A716" i="6"/>
  <c r="DE715" i="6"/>
  <c r="DC715" i="6"/>
  <c r="CY715" i="6"/>
  <c r="CW715" i="6"/>
  <c r="CU715" i="6"/>
  <c r="CS715" i="6"/>
  <c r="BM715" i="6"/>
  <c r="BK715" i="6"/>
  <c r="BI715" i="6"/>
  <c r="BG715" i="6"/>
  <c r="BE715" i="6"/>
  <c r="BC715" i="6"/>
  <c r="A715" i="6"/>
  <c r="DE714" i="6"/>
  <c r="DC714" i="6"/>
  <c r="CY714" i="6"/>
  <c r="CW714" i="6"/>
  <c r="CU714" i="6"/>
  <c r="CS714" i="6"/>
  <c r="BM714" i="6"/>
  <c r="BK714" i="6"/>
  <c r="BI714" i="6"/>
  <c r="BG714" i="6"/>
  <c r="BE714" i="6"/>
  <c r="BC714" i="6"/>
  <c r="A714" i="6"/>
  <c r="DE713" i="6"/>
  <c r="DC713" i="6"/>
  <c r="CY713" i="6"/>
  <c r="CW713" i="6"/>
  <c r="CU713" i="6"/>
  <c r="CS713" i="6"/>
  <c r="BM713" i="6"/>
  <c r="BK713" i="6"/>
  <c r="BI713" i="6"/>
  <c r="BG713" i="6"/>
  <c r="BE713" i="6"/>
  <c r="BC713" i="6"/>
  <c r="A713" i="6"/>
  <c r="DE712" i="6"/>
  <c r="DC712" i="6"/>
  <c r="CY712" i="6"/>
  <c r="CW712" i="6"/>
  <c r="CU712" i="6"/>
  <c r="CS712" i="6"/>
  <c r="BM712" i="6"/>
  <c r="BK712" i="6"/>
  <c r="BI712" i="6"/>
  <c r="BG712" i="6"/>
  <c r="BE712" i="6"/>
  <c r="BC712" i="6"/>
  <c r="A712" i="6"/>
  <c r="DE711" i="6"/>
  <c r="DC711" i="6"/>
  <c r="CY711" i="6"/>
  <c r="CW711" i="6"/>
  <c r="CU711" i="6"/>
  <c r="CS711" i="6"/>
  <c r="BM711" i="6"/>
  <c r="BK711" i="6"/>
  <c r="BI711" i="6"/>
  <c r="BG711" i="6"/>
  <c r="BE711" i="6"/>
  <c r="BC711" i="6"/>
  <c r="A711" i="6"/>
  <c r="DE710" i="6"/>
  <c r="DC710" i="6"/>
  <c r="CY710" i="6"/>
  <c r="CW710" i="6"/>
  <c r="CU710" i="6"/>
  <c r="CS710" i="6"/>
  <c r="BM710" i="6"/>
  <c r="BK710" i="6"/>
  <c r="BI710" i="6"/>
  <c r="BG710" i="6"/>
  <c r="BE710" i="6"/>
  <c r="BC710" i="6"/>
  <c r="A710" i="6"/>
  <c r="DE709" i="6"/>
  <c r="DC709" i="6"/>
  <c r="CY709" i="6"/>
  <c r="CW709" i="6"/>
  <c r="CU709" i="6"/>
  <c r="CS709" i="6"/>
  <c r="BM709" i="6"/>
  <c r="BK709" i="6"/>
  <c r="BI709" i="6"/>
  <c r="BG709" i="6"/>
  <c r="BE709" i="6"/>
  <c r="BC709" i="6"/>
  <c r="A709" i="6"/>
  <c r="DE708" i="6"/>
  <c r="DC708" i="6"/>
  <c r="CY708" i="6"/>
  <c r="CW708" i="6"/>
  <c r="CU708" i="6"/>
  <c r="CS708" i="6"/>
  <c r="BM708" i="6"/>
  <c r="BK708" i="6"/>
  <c r="BI708" i="6"/>
  <c r="BG708" i="6"/>
  <c r="BE708" i="6"/>
  <c r="BC708" i="6"/>
  <c r="A708" i="6"/>
  <c r="DE707" i="6"/>
  <c r="DC707" i="6"/>
  <c r="CY707" i="6"/>
  <c r="CW707" i="6"/>
  <c r="CU707" i="6"/>
  <c r="CS707" i="6"/>
  <c r="BM707" i="6"/>
  <c r="BK707" i="6"/>
  <c r="BI707" i="6"/>
  <c r="BG707" i="6"/>
  <c r="BE707" i="6"/>
  <c r="BC707" i="6"/>
  <c r="A707" i="6"/>
  <c r="DE706" i="6"/>
  <c r="DC706" i="6"/>
  <c r="CY706" i="6"/>
  <c r="CW706" i="6"/>
  <c r="CU706" i="6"/>
  <c r="CS706" i="6"/>
  <c r="BM706" i="6"/>
  <c r="BK706" i="6"/>
  <c r="BI706" i="6"/>
  <c r="BG706" i="6"/>
  <c r="BE706" i="6"/>
  <c r="BC706" i="6"/>
  <c r="A706" i="6"/>
  <c r="DE705" i="6"/>
  <c r="DC705" i="6"/>
  <c r="CY705" i="6"/>
  <c r="CW705" i="6"/>
  <c r="CU705" i="6"/>
  <c r="CS705" i="6"/>
  <c r="BM705" i="6"/>
  <c r="BK705" i="6"/>
  <c r="BI705" i="6"/>
  <c r="BG705" i="6"/>
  <c r="BE705" i="6"/>
  <c r="BC705" i="6"/>
  <c r="A705" i="6"/>
  <c r="DE704" i="6"/>
  <c r="DC704" i="6"/>
  <c r="CY704" i="6"/>
  <c r="CW704" i="6"/>
  <c r="CU704" i="6"/>
  <c r="CS704" i="6"/>
  <c r="BM704" i="6"/>
  <c r="BK704" i="6"/>
  <c r="BI704" i="6"/>
  <c r="BG704" i="6"/>
  <c r="BE704" i="6"/>
  <c r="BC704" i="6"/>
  <c r="A704" i="6"/>
  <c r="DE703" i="6"/>
  <c r="DC703" i="6"/>
  <c r="CY703" i="6"/>
  <c r="CW703" i="6"/>
  <c r="CU703" i="6"/>
  <c r="CS703" i="6"/>
  <c r="BM703" i="6"/>
  <c r="BK703" i="6"/>
  <c r="BI703" i="6"/>
  <c r="BG703" i="6"/>
  <c r="BE703" i="6"/>
  <c r="BC703" i="6"/>
  <c r="A703" i="6"/>
  <c r="DE702" i="6"/>
  <c r="DC702" i="6"/>
  <c r="CY702" i="6"/>
  <c r="CW702" i="6"/>
  <c r="CU702" i="6"/>
  <c r="CS702" i="6"/>
  <c r="BM702" i="6"/>
  <c r="BK702" i="6"/>
  <c r="BI702" i="6"/>
  <c r="BG702" i="6"/>
  <c r="BE702" i="6"/>
  <c r="BC702" i="6"/>
  <c r="A702" i="6"/>
  <c r="DE701" i="6"/>
  <c r="DC701" i="6"/>
  <c r="CY701" i="6"/>
  <c r="CW701" i="6"/>
  <c r="CU701" i="6"/>
  <c r="CS701" i="6"/>
  <c r="BM701" i="6"/>
  <c r="BK701" i="6"/>
  <c r="BI701" i="6"/>
  <c r="BG701" i="6"/>
  <c r="BE701" i="6"/>
  <c r="BC701" i="6"/>
  <c r="A701" i="6"/>
  <c r="DE700" i="6"/>
  <c r="DC700" i="6"/>
  <c r="CY700" i="6"/>
  <c r="CW700" i="6"/>
  <c r="CU700" i="6"/>
  <c r="CS700" i="6"/>
  <c r="BM700" i="6"/>
  <c r="BK700" i="6"/>
  <c r="BI700" i="6"/>
  <c r="BG700" i="6"/>
  <c r="BE700" i="6"/>
  <c r="BC700" i="6"/>
  <c r="A700" i="6"/>
  <c r="DE699" i="6"/>
  <c r="DC699" i="6"/>
  <c r="CY699" i="6"/>
  <c r="CW699" i="6"/>
  <c r="CU699" i="6"/>
  <c r="CS699" i="6"/>
  <c r="BM699" i="6"/>
  <c r="BK699" i="6"/>
  <c r="BI699" i="6"/>
  <c r="BG699" i="6"/>
  <c r="BE699" i="6"/>
  <c r="BC699" i="6"/>
  <c r="A699" i="6"/>
  <c r="DE698" i="6"/>
  <c r="DC698" i="6"/>
  <c r="CY698" i="6"/>
  <c r="CW698" i="6"/>
  <c r="CU698" i="6"/>
  <c r="CS698" i="6"/>
  <c r="BM698" i="6"/>
  <c r="BK698" i="6"/>
  <c r="BI698" i="6"/>
  <c r="BG698" i="6"/>
  <c r="BE698" i="6"/>
  <c r="BC698" i="6"/>
  <c r="A698" i="6"/>
  <c r="DE697" i="6"/>
  <c r="DC697" i="6"/>
  <c r="CY697" i="6"/>
  <c r="CW697" i="6"/>
  <c r="CU697" i="6"/>
  <c r="CS697" i="6"/>
  <c r="BM697" i="6"/>
  <c r="BK697" i="6"/>
  <c r="BI697" i="6"/>
  <c r="BG697" i="6"/>
  <c r="BE697" i="6"/>
  <c r="BC697" i="6"/>
  <c r="A697" i="6"/>
  <c r="DE696" i="6"/>
  <c r="DC696" i="6"/>
  <c r="CY696" i="6"/>
  <c r="CW696" i="6"/>
  <c r="CU696" i="6"/>
  <c r="CS696" i="6"/>
  <c r="BM696" i="6"/>
  <c r="BK696" i="6"/>
  <c r="BI696" i="6"/>
  <c r="BG696" i="6"/>
  <c r="BE696" i="6"/>
  <c r="BC696" i="6"/>
  <c r="A696" i="6"/>
  <c r="DE695" i="6"/>
  <c r="DC695" i="6"/>
  <c r="CY695" i="6"/>
  <c r="CW695" i="6"/>
  <c r="CU695" i="6"/>
  <c r="CS695" i="6"/>
  <c r="BM695" i="6"/>
  <c r="BK695" i="6"/>
  <c r="BI695" i="6"/>
  <c r="BG695" i="6"/>
  <c r="BE695" i="6"/>
  <c r="BC695" i="6"/>
  <c r="A695" i="6"/>
  <c r="DE694" i="6"/>
  <c r="DC694" i="6"/>
  <c r="CY694" i="6"/>
  <c r="CW694" i="6"/>
  <c r="CU694" i="6"/>
  <c r="CS694" i="6"/>
  <c r="BM694" i="6"/>
  <c r="BK694" i="6"/>
  <c r="BI694" i="6"/>
  <c r="BG694" i="6"/>
  <c r="BE694" i="6"/>
  <c r="BC694" i="6"/>
  <c r="A694" i="6"/>
  <c r="DE693" i="6"/>
  <c r="DC693" i="6"/>
  <c r="CY693" i="6"/>
  <c r="CW693" i="6"/>
  <c r="CU693" i="6"/>
  <c r="CS693" i="6"/>
  <c r="BM693" i="6"/>
  <c r="BK693" i="6"/>
  <c r="BI693" i="6"/>
  <c r="BG693" i="6"/>
  <c r="BE693" i="6"/>
  <c r="BC693" i="6"/>
  <c r="A693" i="6"/>
  <c r="DE692" i="6"/>
  <c r="DC692" i="6"/>
  <c r="CY692" i="6"/>
  <c r="CW692" i="6"/>
  <c r="CU692" i="6"/>
  <c r="CS692" i="6"/>
  <c r="BM692" i="6"/>
  <c r="BK692" i="6"/>
  <c r="BI692" i="6"/>
  <c r="BG692" i="6"/>
  <c r="BE692" i="6"/>
  <c r="BC692" i="6"/>
  <c r="A692" i="6"/>
  <c r="DE691" i="6"/>
  <c r="DC691" i="6"/>
  <c r="CY691" i="6"/>
  <c r="CW691" i="6"/>
  <c r="CU691" i="6"/>
  <c r="CS691" i="6"/>
  <c r="BM691" i="6"/>
  <c r="BK691" i="6"/>
  <c r="BI691" i="6"/>
  <c r="BG691" i="6"/>
  <c r="BE691" i="6"/>
  <c r="BC691" i="6"/>
  <c r="A691" i="6"/>
  <c r="DE690" i="6"/>
  <c r="DC690" i="6"/>
  <c r="CY690" i="6"/>
  <c r="CW690" i="6"/>
  <c r="CU690" i="6"/>
  <c r="CS690" i="6"/>
  <c r="BM690" i="6"/>
  <c r="BK690" i="6"/>
  <c r="BI690" i="6"/>
  <c r="BG690" i="6"/>
  <c r="BE690" i="6"/>
  <c r="BC690" i="6"/>
  <c r="A690" i="6"/>
  <c r="DE689" i="6"/>
  <c r="DC689" i="6"/>
  <c r="CY689" i="6"/>
  <c r="CW689" i="6"/>
  <c r="CU689" i="6"/>
  <c r="CS689" i="6"/>
  <c r="BM689" i="6"/>
  <c r="BK689" i="6"/>
  <c r="BI689" i="6"/>
  <c r="BG689" i="6"/>
  <c r="BE689" i="6"/>
  <c r="BC689" i="6"/>
  <c r="A689" i="6"/>
  <c r="DE688" i="6"/>
  <c r="DC688" i="6"/>
  <c r="CY688" i="6"/>
  <c r="CW688" i="6"/>
  <c r="CU688" i="6"/>
  <c r="CS688" i="6"/>
  <c r="BM688" i="6"/>
  <c r="BK688" i="6"/>
  <c r="BI688" i="6"/>
  <c r="BG688" i="6"/>
  <c r="BE688" i="6"/>
  <c r="BC688" i="6"/>
  <c r="A688" i="6"/>
  <c r="DE687" i="6"/>
  <c r="DC687" i="6"/>
  <c r="CY687" i="6"/>
  <c r="CW687" i="6"/>
  <c r="CU687" i="6"/>
  <c r="CS687" i="6"/>
  <c r="BM687" i="6"/>
  <c r="BK687" i="6"/>
  <c r="BI687" i="6"/>
  <c r="BG687" i="6"/>
  <c r="BE687" i="6"/>
  <c r="BC687" i="6"/>
  <c r="A687" i="6"/>
  <c r="DE686" i="6"/>
  <c r="DC686" i="6"/>
  <c r="CY686" i="6"/>
  <c r="CW686" i="6"/>
  <c r="CU686" i="6"/>
  <c r="CS686" i="6"/>
  <c r="BM686" i="6"/>
  <c r="BK686" i="6"/>
  <c r="BI686" i="6"/>
  <c r="BG686" i="6"/>
  <c r="BE686" i="6"/>
  <c r="BC686" i="6"/>
  <c r="A686" i="6"/>
  <c r="DE685" i="6"/>
  <c r="DC685" i="6"/>
  <c r="CY685" i="6"/>
  <c r="CW685" i="6"/>
  <c r="CU685" i="6"/>
  <c r="CS685" i="6"/>
  <c r="BM685" i="6"/>
  <c r="BK685" i="6"/>
  <c r="BI685" i="6"/>
  <c r="BG685" i="6"/>
  <c r="BE685" i="6"/>
  <c r="BC685" i="6"/>
  <c r="A685" i="6"/>
  <c r="DE684" i="6"/>
  <c r="DC684" i="6"/>
  <c r="CY684" i="6"/>
  <c r="CW684" i="6"/>
  <c r="CU684" i="6"/>
  <c r="CS684" i="6"/>
  <c r="BM684" i="6"/>
  <c r="BK684" i="6"/>
  <c r="BI684" i="6"/>
  <c r="BG684" i="6"/>
  <c r="BE684" i="6"/>
  <c r="BC684" i="6"/>
  <c r="A684" i="6"/>
  <c r="DE683" i="6"/>
  <c r="DC683" i="6"/>
  <c r="CY683" i="6"/>
  <c r="CW683" i="6"/>
  <c r="CU683" i="6"/>
  <c r="CS683" i="6"/>
  <c r="BM683" i="6"/>
  <c r="BK683" i="6"/>
  <c r="BI683" i="6"/>
  <c r="BG683" i="6"/>
  <c r="BE683" i="6"/>
  <c r="BC683" i="6"/>
  <c r="A683" i="6"/>
  <c r="DE682" i="6"/>
  <c r="DC682" i="6"/>
  <c r="CY682" i="6"/>
  <c r="CW682" i="6"/>
  <c r="CU682" i="6"/>
  <c r="CS682" i="6"/>
  <c r="BM682" i="6"/>
  <c r="BK682" i="6"/>
  <c r="BI682" i="6"/>
  <c r="BG682" i="6"/>
  <c r="BE682" i="6"/>
  <c r="BC682" i="6"/>
  <c r="A682" i="6"/>
  <c r="DE681" i="6"/>
  <c r="DC681" i="6"/>
  <c r="CY681" i="6"/>
  <c r="CW681" i="6"/>
  <c r="CU681" i="6"/>
  <c r="CS681" i="6"/>
  <c r="BM681" i="6"/>
  <c r="BK681" i="6"/>
  <c r="BI681" i="6"/>
  <c r="BG681" i="6"/>
  <c r="BE681" i="6"/>
  <c r="BC681" i="6"/>
  <c r="A681" i="6"/>
  <c r="DE680" i="6"/>
  <c r="DC680" i="6"/>
  <c r="CY680" i="6"/>
  <c r="CW680" i="6"/>
  <c r="CU680" i="6"/>
  <c r="CS680" i="6"/>
  <c r="BM680" i="6"/>
  <c r="BK680" i="6"/>
  <c r="BI680" i="6"/>
  <c r="BG680" i="6"/>
  <c r="BE680" i="6"/>
  <c r="BC680" i="6"/>
  <c r="A680" i="6"/>
  <c r="DE679" i="6"/>
  <c r="DC679" i="6"/>
  <c r="CY679" i="6"/>
  <c r="CW679" i="6"/>
  <c r="CU679" i="6"/>
  <c r="CS679" i="6"/>
  <c r="BM679" i="6"/>
  <c r="BK679" i="6"/>
  <c r="BI679" i="6"/>
  <c r="BG679" i="6"/>
  <c r="BE679" i="6"/>
  <c r="BC679" i="6"/>
  <c r="A679" i="6"/>
  <c r="DE678" i="6"/>
  <c r="DC678" i="6"/>
  <c r="CY678" i="6"/>
  <c r="CW678" i="6"/>
  <c r="CU678" i="6"/>
  <c r="CS678" i="6"/>
  <c r="BM678" i="6"/>
  <c r="BK678" i="6"/>
  <c r="BI678" i="6"/>
  <c r="BG678" i="6"/>
  <c r="BE678" i="6"/>
  <c r="BC678" i="6"/>
  <c r="A678" i="6"/>
  <c r="DE677" i="6"/>
  <c r="DC677" i="6"/>
  <c r="CY677" i="6"/>
  <c r="CW677" i="6"/>
  <c r="CU677" i="6"/>
  <c r="CS677" i="6"/>
  <c r="BM677" i="6"/>
  <c r="BK677" i="6"/>
  <c r="BI677" i="6"/>
  <c r="BG677" i="6"/>
  <c r="BE677" i="6"/>
  <c r="BC677" i="6"/>
  <c r="A677" i="6"/>
  <c r="DE676" i="6"/>
  <c r="DC676" i="6"/>
  <c r="CY676" i="6"/>
  <c r="CW676" i="6"/>
  <c r="CU676" i="6"/>
  <c r="CS676" i="6"/>
  <c r="BM676" i="6"/>
  <c r="BK676" i="6"/>
  <c r="BI676" i="6"/>
  <c r="BG676" i="6"/>
  <c r="BE676" i="6"/>
  <c r="BC676" i="6"/>
  <c r="A676" i="6"/>
  <c r="DE675" i="6"/>
  <c r="DC675" i="6"/>
  <c r="CY675" i="6"/>
  <c r="CW675" i="6"/>
  <c r="CU675" i="6"/>
  <c r="CS675" i="6"/>
  <c r="BM675" i="6"/>
  <c r="BK675" i="6"/>
  <c r="BI675" i="6"/>
  <c r="BG675" i="6"/>
  <c r="BE675" i="6"/>
  <c r="BC675" i="6"/>
  <c r="A675" i="6"/>
  <c r="DE674" i="6"/>
  <c r="DC674" i="6"/>
  <c r="CY674" i="6"/>
  <c r="CW674" i="6"/>
  <c r="CU674" i="6"/>
  <c r="CS674" i="6"/>
  <c r="BM674" i="6"/>
  <c r="BK674" i="6"/>
  <c r="BI674" i="6"/>
  <c r="BG674" i="6"/>
  <c r="BE674" i="6"/>
  <c r="BC674" i="6"/>
  <c r="A674" i="6"/>
  <c r="DE673" i="6"/>
  <c r="DC673" i="6"/>
  <c r="CY673" i="6"/>
  <c r="CW673" i="6"/>
  <c r="CU673" i="6"/>
  <c r="CS673" i="6"/>
  <c r="BM673" i="6"/>
  <c r="BK673" i="6"/>
  <c r="BI673" i="6"/>
  <c r="BG673" i="6"/>
  <c r="BE673" i="6"/>
  <c r="BC673" i="6"/>
  <c r="A673" i="6"/>
  <c r="DE672" i="6"/>
  <c r="DC672" i="6"/>
  <c r="CY672" i="6"/>
  <c r="CW672" i="6"/>
  <c r="CU672" i="6"/>
  <c r="CS672" i="6"/>
  <c r="BM672" i="6"/>
  <c r="BK672" i="6"/>
  <c r="BI672" i="6"/>
  <c r="BG672" i="6"/>
  <c r="BE672" i="6"/>
  <c r="BC672" i="6"/>
  <c r="A672" i="6"/>
  <c r="DE671" i="6"/>
  <c r="DC671" i="6"/>
  <c r="CY671" i="6"/>
  <c r="CW671" i="6"/>
  <c r="CU671" i="6"/>
  <c r="CS671" i="6"/>
  <c r="BM671" i="6"/>
  <c r="BK671" i="6"/>
  <c r="BI671" i="6"/>
  <c r="BG671" i="6"/>
  <c r="BE671" i="6"/>
  <c r="BC671" i="6"/>
  <c r="A671" i="6"/>
  <c r="DE670" i="6"/>
  <c r="DC670" i="6"/>
  <c r="CY670" i="6"/>
  <c r="CW670" i="6"/>
  <c r="CU670" i="6"/>
  <c r="CS670" i="6"/>
  <c r="BM670" i="6"/>
  <c r="BK670" i="6"/>
  <c r="BI670" i="6"/>
  <c r="BG670" i="6"/>
  <c r="BE670" i="6"/>
  <c r="BC670" i="6"/>
  <c r="A670" i="6"/>
  <c r="DE669" i="6"/>
  <c r="DC669" i="6"/>
  <c r="CY669" i="6"/>
  <c r="CW669" i="6"/>
  <c r="CU669" i="6"/>
  <c r="CS669" i="6"/>
  <c r="BM669" i="6"/>
  <c r="BK669" i="6"/>
  <c r="BI669" i="6"/>
  <c r="BG669" i="6"/>
  <c r="BE669" i="6"/>
  <c r="BC669" i="6"/>
  <c r="A669" i="6"/>
  <c r="DE668" i="6"/>
  <c r="DC668" i="6"/>
  <c r="CY668" i="6"/>
  <c r="CW668" i="6"/>
  <c r="CU668" i="6"/>
  <c r="CS668" i="6"/>
  <c r="BM668" i="6"/>
  <c r="BK668" i="6"/>
  <c r="BI668" i="6"/>
  <c r="BG668" i="6"/>
  <c r="BE668" i="6"/>
  <c r="BC668" i="6"/>
  <c r="A668" i="6"/>
  <c r="DE667" i="6"/>
  <c r="DC667" i="6"/>
  <c r="CY667" i="6"/>
  <c r="CW667" i="6"/>
  <c r="CU667" i="6"/>
  <c r="CS667" i="6"/>
  <c r="BM667" i="6"/>
  <c r="BK667" i="6"/>
  <c r="BI667" i="6"/>
  <c r="BG667" i="6"/>
  <c r="BE667" i="6"/>
  <c r="BC667" i="6"/>
  <c r="A667" i="6"/>
  <c r="DE666" i="6"/>
  <c r="DC666" i="6"/>
  <c r="CY666" i="6"/>
  <c r="CW666" i="6"/>
  <c r="CU666" i="6"/>
  <c r="CS666" i="6"/>
  <c r="BM666" i="6"/>
  <c r="BK666" i="6"/>
  <c r="BI666" i="6"/>
  <c r="BG666" i="6"/>
  <c r="BE666" i="6"/>
  <c r="BC666" i="6"/>
  <c r="A666" i="6"/>
  <c r="DE665" i="6"/>
  <c r="DC665" i="6"/>
  <c r="CY665" i="6"/>
  <c r="CW665" i="6"/>
  <c r="CU665" i="6"/>
  <c r="CS665" i="6"/>
  <c r="BM665" i="6"/>
  <c r="BK665" i="6"/>
  <c r="BI665" i="6"/>
  <c r="BG665" i="6"/>
  <c r="BE665" i="6"/>
  <c r="BC665" i="6"/>
  <c r="A665" i="6"/>
  <c r="DE664" i="6"/>
  <c r="DC664" i="6"/>
  <c r="CY664" i="6"/>
  <c r="CW664" i="6"/>
  <c r="CU664" i="6"/>
  <c r="CS664" i="6"/>
  <c r="BM664" i="6"/>
  <c r="BK664" i="6"/>
  <c r="BI664" i="6"/>
  <c r="BG664" i="6"/>
  <c r="BE664" i="6"/>
  <c r="BC664" i="6"/>
  <c r="A664" i="6"/>
  <c r="DE663" i="6"/>
  <c r="DC663" i="6"/>
  <c r="CY663" i="6"/>
  <c r="CW663" i="6"/>
  <c r="CU663" i="6"/>
  <c r="CS663" i="6"/>
  <c r="BM663" i="6"/>
  <c r="BK663" i="6"/>
  <c r="BI663" i="6"/>
  <c r="BG663" i="6"/>
  <c r="BE663" i="6"/>
  <c r="BC663" i="6"/>
  <c r="A663" i="6"/>
  <c r="DE662" i="6"/>
  <c r="DC662" i="6"/>
  <c r="CY662" i="6"/>
  <c r="CW662" i="6"/>
  <c r="CU662" i="6"/>
  <c r="CS662" i="6"/>
  <c r="BM662" i="6"/>
  <c r="BK662" i="6"/>
  <c r="BI662" i="6"/>
  <c r="BG662" i="6"/>
  <c r="BE662" i="6"/>
  <c r="BC662" i="6"/>
  <c r="A662" i="6"/>
  <c r="DE661" i="6"/>
  <c r="DC661" i="6"/>
  <c r="CY661" i="6"/>
  <c r="CW661" i="6"/>
  <c r="CU661" i="6"/>
  <c r="CS661" i="6"/>
  <c r="BM661" i="6"/>
  <c r="BK661" i="6"/>
  <c r="BI661" i="6"/>
  <c r="BG661" i="6"/>
  <c r="BE661" i="6"/>
  <c r="BC661" i="6"/>
  <c r="A661" i="6"/>
  <c r="DE660" i="6"/>
  <c r="DC660" i="6"/>
  <c r="CY660" i="6"/>
  <c r="CW660" i="6"/>
  <c r="CU660" i="6"/>
  <c r="CS660" i="6"/>
  <c r="BM660" i="6"/>
  <c r="BK660" i="6"/>
  <c r="BI660" i="6"/>
  <c r="BG660" i="6"/>
  <c r="BE660" i="6"/>
  <c r="BC660" i="6"/>
  <c r="A660" i="6"/>
  <c r="DE659" i="6"/>
  <c r="DC659" i="6"/>
  <c r="CY659" i="6"/>
  <c r="CW659" i="6"/>
  <c r="CU659" i="6"/>
  <c r="CS659" i="6"/>
  <c r="BM659" i="6"/>
  <c r="BK659" i="6"/>
  <c r="BI659" i="6"/>
  <c r="BG659" i="6"/>
  <c r="BE659" i="6"/>
  <c r="BC659" i="6"/>
  <c r="A659" i="6"/>
  <c r="DE658" i="6"/>
  <c r="DC658" i="6"/>
  <c r="CY658" i="6"/>
  <c r="CW658" i="6"/>
  <c r="CU658" i="6"/>
  <c r="CS658" i="6"/>
  <c r="BM658" i="6"/>
  <c r="BK658" i="6"/>
  <c r="BI658" i="6"/>
  <c r="BG658" i="6"/>
  <c r="BE658" i="6"/>
  <c r="BC658" i="6"/>
  <c r="A658" i="6"/>
  <c r="DE657" i="6"/>
  <c r="DC657" i="6"/>
  <c r="CY657" i="6"/>
  <c r="CW657" i="6"/>
  <c r="CU657" i="6"/>
  <c r="CS657" i="6"/>
  <c r="BM657" i="6"/>
  <c r="BK657" i="6"/>
  <c r="BI657" i="6"/>
  <c r="BG657" i="6"/>
  <c r="BE657" i="6"/>
  <c r="BC657" i="6"/>
  <c r="A657" i="6"/>
  <c r="DE656" i="6"/>
  <c r="DC656" i="6"/>
  <c r="CY656" i="6"/>
  <c r="CW656" i="6"/>
  <c r="CU656" i="6"/>
  <c r="CS656" i="6"/>
  <c r="BM656" i="6"/>
  <c r="BK656" i="6"/>
  <c r="BI656" i="6"/>
  <c r="BG656" i="6"/>
  <c r="BE656" i="6"/>
  <c r="BC656" i="6"/>
  <c r="A656" i="6"/>
  <c r="DE655" i="6"/>
  <c r="DC655" i="6"/>
  <c r="CY655" i="6"/>
  <c r="CW655" i="6"/>
  <c r="CU655" i="6"/>
  <c r="CS655" i="6"/>
  <c r="BM655" i="6"/>
  <c r="BK655" i="6"/>
  <c r="BI655" i="6"/>
  <c r="BG655" i="6"/>
  <c r="BE655" i="6"/>
  <c r="BC655" i="6"/>
  <c r="A655" i="6"/>
  <c r="DE654" i="6"/>
  <c r="DC654" i="6"/>
  <c r="CY654" i="6"/>
  <c r="CW654" i="6"/>
  <c r="CU654" i="6"/>
  <c r="CS654" i="6"/>
  <c r="BM654" i="6"/>
  <c r="BK654" i="6"/>
  <c r="BI654" i="6"/>
  <c r="BG654" i="6"/>
  <c r="BE654" i="6"/>
  <c r="BC654" i="6"/>
  <c r="A654" i="6"/>
  <c r="DE653" i="6"/>
  <c r="DC653" i="6"/>
  <c r="CY653" i="6"/>
  <c r="CW653" i="6"/>
  <c r="CU653" i="6"/>
  <c r="CS653" i="6"/>
  <c r="BM653" i="6"/>
  <c r="BK653" i="6"/>
  <c r="BI653" i="6"/>
  <c r="BG653" i="6"/>
  <c r="BE653" i="6"/>
  <c r="BC653" i="6"/>
  <c r="A653" i="6"/>
  <c r="DE652" i="6"/>
  <c r="DC652" i="6"/>
  <c r="CY652" i="6"/>
  <c r="CW652" i="6"/>
  <c r="CU652" i="6"/>
  <c r="CS652" i="6"/>
  <c r="BM652" i="6"/>
  <c r="BK652" i="6"/>
  <c r="BI652" i="6"/>
  <c r="BG652" i="6"/>
  <c r="BE652" i="6"/>
  <c r="BC652" i="6"/>
  <c r="A652" i="6"/>
  <c r="DE651" i="6"/>
  <c r="DC651" i="6"/>
  <c r="CY651" i="6"/>
  <c r="CW651" i="6"/>
  <c r="CU651" i="6"/>
  <c r="CS651" i="6"/>
  <c r="BM651" i="6"/>
  <c r="BK651" i="6"/>
  <c r="BI651" i="6"/>
  <c r="BG651" i="6"/>
  <c r="BE651" i="6"/>
  <c r="BC651" i="6"/>
  <c r="A651" i="6"/>
  <c r="DE650" i="6"/>
  <c r="DC650" i="6"/>
  <c r="CY650" i="6"/>
  <c r="CW650" i="6"/>
  <c r="CU650" i="6"/>
  <c r="CS650" i="6"/>
  <c r="BM650" i="6"/>
  <c r="BK650" i="6"/>
  <c r="BI650" i="6"/>
  <c r="BG650" i="6"/>
  <c r="BE650" i="6"/>
  <c r="BC650" i="6"/>
  <c r="A650" i="6"/>
  <c r="DE649" i="6"/>
  <c r="DC649" i="6"/>
  <c r="CY649" i="6"/>
  <c r="CW649" i="6"/>
  <c r="CU649" i="6"/>
  <c r="CS649" i="6"/>
  <c r="BM649" i="6"/>
  <c r="BK649" i="6"/>
  <c r="BI649" i="6"/>
  <c r="BG649" i="6"/>
  <c r="BE649" i="6"/>
  <c r="BC649" i="6"/>
  <c r="A649" i="6"/>
  <c r="DE648" i="6"/>
  <c r="DC648" i="6"/>
  <c r="CY648" i="6"/>
  <c r="CW648" i="6"/>
  <c r="CU648" i="6"/>
  <c r="CS648" i="6"/>
  <c r="BM648" i="6"/>
  <c r="BK648" i="6"/>
  <c r="BI648" i="6"/>
  <c r="BG648" i="6"/>
  <c r="BE648" i="6"/>
  <c r="BC648" i="6"/>
  <c r="A648" i="6"/>
  <c r="DE647" i="6"/>
  <c r="DC647" i="6"/>
  <c r="CY647" i="6"/>
  <c r="CW647" i="6"/>
  <c r="CU647" i="6"/>
  <c r="CS647" i="6"/>
  <c r="BM647" i="6"/>
  <c r="BK647" i="6"/>
  <c r="BI647" i="6"/>
  <c r="BG647" i="6"/>
  <c r="BE647" i="6"/>
  <c r="BC647" i="6"/>
  <c r="A647" i="6"/>
  <c r="DE646" i="6"/>
  <c r="DC646" i="6"/>
  <c r="CY646" i="6"/>
  <c r="CW646" i="6"/>
  <c r="CU646" i="6"/>
  <c r="CS646" i="6"/>
  <c r="BM646" i="6"/>
  <c r="BK646" i="6"/>
  <c r="BI646" i="6"/>
  <c r="BG646" i="6"/>
  <c r="BE646" i="6"/>
  <c r="BC646" i="6"/>
  <c r="A646" i="6"/>
  <c r="DE645" i="6"/>
  <c r="DC645" i="6"/>
  <c r="CY645" i="6"/>
  <c r="CW645" i="6"/>
  <c r="CU645" i="6"/>
  <c r="CS645" i="6"/>
  <c r="BM645" i="6"/>
  <c r="BK645" i="6"/>
  <c r="BI645" i="6"/>
  <c r="BG645" i="6"/>
  <c r="BE645" i="6"/>
  <c r="BC645" i="6"/>
  <c r="A645" i="6"/>
  <c r="DE644" i="6"/>
  <c r="DC644" i="6"/>
  <c r="CY644" i="6"/>
  <c r="CW644" i="6"/>
  <c r="CU644" i="6"/>
  <c r="CS644" i="6"/>
  <c r="BM644" i="6"/>
  <c r="BK644" i="6"/>
  <c r="BI644" i="6"/>
  <c r="BG644" i="6"/>
  <c r="BE644" i="6"/>
  <c r="BC644" i="6"/>
  <c r="A644" i="6"/>
  <c r="DE643" i="6"/>
  <c r="DC643" i="6"/>
  <c r="CY643" i="6"/>
  <c r="CW643" i="6"/>
  <c r="CU643" i="6"/>
  <c r="CS643" i="6"/>
  <c r="BM643" i="6"/>
  <c r="BK643" i="6"/>
  <c r="BI643" i="6"/>
  <c r="BG643" i="6"/>
  <c r="BE643" i="6"/>
  <c r="BC643" i="6"/>
  <c r="A643" i="6"/>
  <c r="DE642" i="6"/>
  <c r="DC642" i="6"/>
  <c r="CY642" i="6"/>
  <c r="CW642" i="6"/>
  <c r="CU642" i="6"/>
  <c r="CS642" i="6"/>
  <c r="BM642" i="6"/>
  <c r="BK642" i="6"/>
  <c r="BI642" i="6"/>
  <c r="BG642" i="6"/>
  <c r="BE642" i="6"/>
  <c r="BC642" i="6"/>
  <c r="A642" i="6"/>
  <c r="DE641" i="6"/>
  <c r="DC641" i="6"/>
  <c r="CY641" i="6"/>
  <c r="CW641" i="6"/>
  <c r="CU641" i="6"/>
  <c r="CS641" i="6"/>
  <c r="BM641" i="6"/>
  <c r="BK641" i="6"/>
  <c r="BI641" i="6"/>
  <c r="BG641" i="6"/>
  <c r="BE641" i="6"/>
  <c r="BC641" i="6"/>
  <c r="A641" i="6"/>
  <c r="DE640" i="6"/>
  <c r="DC640" i="6"/>
  <c r="CY640" i="6"/>
  <c r="CW640" i="6"/>
  <c r="CU640" i="6"/>
  <c r="CS640" i="6"/>
  <c r="BM640" i="6"/>
  <c r="BK640" i="6"/>
  <c r="BI640" i="6"/>
  <c r="BG640" i="6"/>
  <c r="BE640" i="6"/>
  <c r="BC640" i="6"/>
  <c r="A640" i="6"/>
  <c r="DE639" i="6"/>
  <c r="DC639" i="6"/>
  <c r="CY639" i="6"/>
  <c r="CW639" i="6"/>
  <c r="CU639" i="6"/>
  <c r="CS639" i="6"/>
  <c r="BM639" i="6"/>
  <c r="BK639" i="6"/>
  <c r="BI639" i="6"/>
  <c r="BG639" i="6"/>
  <c r="BE639" i="6"/>
  <c r="BC639" i="6"/>
  <c r="A639" i="6"/>
  <c r="DE638" i="6"/>
  <c r="DC638" i="6"/>
  <c r="CY638" i="6"/>
  <c r="CW638" i="6"/>
  <c r="CU638" i="6"/>
  <c r="CS638" i="6"/>
  <c r="BM638" i="6"/>
  <c r="BK638" i="6"/>
  <c r="BI638" i="6"/>
  <c r="BG638" i="6"/>
  <c r="BE638" i="6"/>
  <c r="BC638" i="6"/>
  <c r="A638" i="6"/>
  <c r="DE637" i="6"/>
  <c r="DC637" i="6"/>
  <c r="CY637" i="6"/>
  <c r="CW637" i="6"/>
  <c r="CU637" i="6"/>
  <c r="CS637" i="6"/>
  <c r="BM637" i="6"/>
  <c r="BK637" i="6"/>
  <c r="BI637" i="6"/>
  <c r="BG637" i="6"/>
  <c r="BE637" i="6"/>
  <c r="BC637" i="6"/>
  <c r="A637" i="6"/>
  <c r="DE636" i="6"/>
  <c r="DC636" i="6"/>
  <c r="CY636" i="6"/>
  <c r="CW636" i="6"/>
  <c r="CU636" i="6"/>
  <c r="CS636" i="6"/>
  <c r="BM636" i="6"/>
  <c r="BK636" i="6"/>
  <c r="BI636" i="6"/>
  <c r="BG636" i="6"/>
  <c r="BE636" i="6"/>
  <c r="BC636" i="6"/>
  <c r="A636" i="6"/>
  <c r="DE635" i="6"/>
  <c r="DC635" i="6"/>
  <c r="CY635" i="6"/>
  <c r="CW635" i="6"/>
  <c r="CU635" i="6"/>
  <c r="CS635" i="6"/>
  <c r="BM635" i="6"/>
  <c r="BK635" i="6"/>
  <c r="BI635" i="6"/>
  <c r="BG635" i="6"/>
  <c r="BE635" i="6"/>
  <c r="BC635" i="6"/>
  <c r="A635" i="6"/>
  <c r="DE634" i="6"/>
  <c r="DC634" i="6"/>
  <c r="CY634" i="6"/>
  <c r="CW634" i="6"/>
  <c r="CU634" i="6"/>
  <c r="CS634" i="6"/>
  <c r="BM634" i="6"/>
  <c r="BK634" i="6"/>
  <c r="BI634" i="6"/>
  <c r="BG634" i="6"/>
  <c r="BE634" i="6"/>
  <c r="BC634" i="6"/>
  <c r="A634" i="6"/>
  <c r="DE633" i="6"/>
  <c r="DC633" i="6"/>
  <c r="CY633" i="6"/>
  <c r="CW633" i="6"/>
  <c r="CU633" i="6"/>
  <c r="CS633" i="6"/>
  <c r="BM633" i="6"/>
  <c r="BK633" i="6"/>
  <c r="BI633" i="6"/>
  <c r="BG633" i="6"/>
  <c r="BE633" i="6"/>
  <c r="BC633" i="6"/>
  <c r="A633" i="6"/>
  <c r="DE632" i="6"/>
  <c r="DC632" i="6"/>
  <c r="CY632" i="6"/>
  <c r="CW632" i="6"/>
  <c r="CU632" i="6"/>
  <c r="CS632" i="6"/>
  <c r="BM632" i="6"/>
  <c r="BK632" i="6"/>
  <c r="BI632" i="6"/>
  <c r="BG632" i="6"/>
  <c r="BE632" i="6"/>
  <c r="BC632" i="6"/>
  <c r="A632" i="6"/>
  <c r="DE631" i="6"/>
  <c r="DC631" i="6"/>
  <c r="CY631" i="6"/>
  <c r="CW631" i="6"/>
  <c r="CU631" i="6"/>
  <c r="CS631" i="6"/>
  <c r="BM631" i="6"/>
  <c r="BK631" i="6"/>
  <c r="BI631" i="6"/>
  <c r="BG631" i="6"/>
  <c r="BE631" i="6"/>
  <c r="BC631" i="6"/>
  <c r="A631" i="6"/>
  <c r="DE630" i="6"/>
  <c r="DC630" i="6"/>
  <c r="CY630" i="6"/>
  <c r="CW630" i="6"/>
  <c r="CU630" i="6"/>
  <c r="CS630" i="6"/>
  <c r="BM630" i="6"/>
  <c r="BK630" i="6"/>
  <c r="BI630" i="6"/>
  <c r="BG630" i="6"/>
  <c r="BE630" i="6"/>
  <c r="BC630" i="6"/>
  <c r="A630" i="6"/>
  <c r="DE629" i="6"/>
  <c r="DC629" i="6"/>
  <c r="CY629" i="6"/>
  <c r="CW629" i="6"/>
  <c r="CU629" i="6"/>
  <c r="CS629" i="6"/>
  <c r="BM629" i="6"/>
  <c r="BK629" i="6"/>
  <c r="BI629" i="6"/>
  <c r="BG629" i="6"/>
  <c r="BE629" i="6"/>
  <c r="BC629" i="6"/>
  <c r="A629" i="6"/>
  <c r="DE628" i="6"/>
  <c r="DC628" i="6"/>
  <c r="CY628" i="6"/>
  <c r="CW628" i="6"/>
  <c r="CU628" i="6"/>
  <c r="CS628" i="6"/>
  <c r="BM628" i="6"/>
  <c r="BK628" i="6"/>
  <c r="BI628" i="6"/>
  <c r="BG628" i="6"/>
  <c r="BE628" i="6"/>
  <c r="BC628" i="6"/>
  <c r="A628" i="6"/>
  <c r="DE627" i="6"/>
  <c r="DC627" i="6"/>
  <c r="CY627" i="6"/>
  <c r="CW627" i="6"/>
  <c r="CU627" i="6"/>
  <c r="CS627" i="6"/>
  <c r="BM627" i="6"/>
  <c r="BK627" i="6"/>
  <c r="BI627" i="6"/>
  <c r="BG627" i="6"/>
  <c r="BE627" i="6"/>
  <c r="BC627" i="6"/>
  <c r="A627" i="6"/>
  <c r="DE626" i="6"/>
  <c r="DC626" i="6"/>
  <c r="CY626" i="6"/>
  <c r="CW626" i="6"/>
  <c r="CU626" i="6"/>
  <c r="CS626" i="6"/>
  <c r="BM626" i="6"/>
  <c r="BK626" i="6"/>
  <c r="BI626" i="6"/>
  <c r="BG626" i="6"/>
  <c r="BE626" i="6"/>
  <c r="BC626" i="6"/>
  <c r="A626" i="6"/>
  <c r="DE625" i="6"/>
  <c r="DC625" i="6"/>
  <c r="CY625" i="6"/>
  <c r="CW625" i="6"/>
  <c r="CU625" i="6"/>
  <c r="CS625" i="6"/>
  <c r="BM625" i="6"/>
  <c r="BK625" i="6"/>
  <c r="BI625" i="6"/>
  <c r="BG625" i="6"/>
  <c r="BE625" i="6"/>
  <c r="BC625" i="6"/>
  <c r="A625" i="6"/>
  <c r="DE624" i="6"/>
  <c r="DC624" i="6"/>
  <c r="CY624" i="6"/>
  <c r="CW624" i="6"/>
  <c r="CU624" i="6"/>
  <c r="CS624" i="6"/>
  <c r="BM624" i="6"/>
  <c r="BK624" i="6"/>
  <c r="BI624" i="6"/>
  <c r="BG624" i="6"/>
  <c r="BE624" i="6"/>
  <c r="BC624" i="6"/>
  <c r="A624" i="6"/>
  <c r="DE623" i="6"/>
  <c r="DC623" i="6"/>
  <c r="CY623" i="6"/>
  <c r="CW623" i="6"/>
  <c r="CU623" i="6"/>
  <c r="CS623" i="6"/>
  <c r="BM623" i="6"/>
  <c r="BK623" i="6"/>
  <c r="BI623" i="6"/>
  <c r="BG623" i="6"/>
  <c r="BE623" i="6"/>
  <c r="BC623" i="6"/>
  <c r="A623" i="6"/>
  <c r="DE622" i="6"/>
  <c r="DC622" i="6"/>
  <c r="CY622" i="6"/>
  <c r="CW622" i="6"/>
  <c r="CU622" i="6"/>
  <c r="CS622" i="6"/>
  <c r="BM622" i="6"/>
  <c r="BK622" i="6"/>
  <c r="BI622" i="6"/>
  <c r="BG622" i="6"/>
  <c r="BE622" i="6"/>
  <c r="BC622" i="6"/>
  <c r="A622" i="6"/>
  <c r="DE621" i="6"/>
  <c r="DC621" i="6"/>
  <c r="CY621" i="6"/>
  <c r="CW621" i="6"/>
  <c r="CU621" i="6"/>
  <c r="CS621" i="6"/>
  <c r="BM621" i="6"/>
  <c r="BK621" i="6"/>
  <c r="BI621" i="6"/>
  <c r="BG621" i="6"/>
  <c r="BE621" i="6"/>
  <c r="BC621" i="6"/>
  <c r="A621" i="6"/>
  <c r="DE620" i="6"/>
  <c r="DC620" i="6"/>
  <c r="CY620" i="6"/>
  <c r="CW620" i="6"/>
  <c r="CU620" i="6"/>
  <c r="CS620" i="6"/>
  <c r="BM620" i="6"/>
  <c r="BK620" i="6"/>
  <c r="BI620" i="6"/>
  <c r="BG620" i="6"/>
  <c r="BE620" i="6"/>
  <c r="BC620" i="6"/>
  <c r="A620" i="6"/>
  <c r="DE619" i="6"/>
  <c r="DC619" i="6"/>
  <c r="CY619" i="6"/>
  <c r="CW619" i="6"/>
  <c r="CU619" i="6"/>
  <c r="CS619" i="6"/>
  <c r="BM619" i="6"/>
  <c r="BK619" i="6"/>
  <c r="BI619" i="6"/>
  <c r="BG619" i="6"/>
  <c r="BE619" i="6"/>
  <c r="BC619" i="6"/>
  <c r="A619" i="6"/>
  <c r="DE618" i="6"/>
  <c r="DC618" i="6"/>
  <c r="CY618" i="6"/>
  <c r="CW618" i="6"/>
  <c r="CU618" i="6"/>
  <c r="CS618" i="6"/>
  <c r="BM618" i="6"/>
  <c r="BK618" i="6"/>
  <c r="BI618" i="6"/>
  <c r="BG618" i="6"/>
  <c r="BE618" i="6"/>
  <c r="BC618" i="6"/>
  <c r="A618" i="6"/>
  <c r="DE617" i="6"/>
  <c r="DC617" i="6"/>
  <c r="CY617" i="6"/>
  <c r="CW617" i="6"/>
  <c r="CU617" i="6"/>
  <c r="CS617" i="6"/>
  <c r="BM617" i="6"/>
  <c r="BK617" i="6"/>
  <c r="BI617" i="6"/>
  <c r="BG617" i="6"/>
  <c r="BE617" i="6"/>
  <c r="BC617" i="6"/>
  <c r="A617" i="6"/>
  <c r="DE616" i="6"/>
  <c r="DC616" i="6"/>
  <c r="CY616" i="6"/>
  <c r="CW616" i="6"/>
  <c r="CU616" i="6"/>
  <c r="CS616" i="6"/>
  <c r="BM616" i="6"/>
  <c r="BK616" i="6"/>
  <c r="BI616" i="6"/>
  <c r="BG616" i="6"/>
  <c r="BE616" i="6"/>
  <c r="BC616" i="6"/>
  <c r="A616" i="6"/>
  <c r="DE615" i="6"/>
  <c r="DC615" i="6"/>
  <c r="CY615" i="6"/>
  <c r="CW615" i="6"/>
  <c r="CU615" i="6"/>
  <c r="CS615" i="6"/>
  <c r="BM615" i="6"/>
  <c r="BK615" i="6"/>
  <c r="BI615" i="6"/>
  <c r="BG615" i="6"/>
  <c r="BE615" i="6"/>
  <c r="BC615" i="6"/>
  <c r="A615" i="6"/>
  <c r="DE614" i="6"/>
  <c r="DC614" i="6"/>
  <c r="CY614" i="6"/>
  <c r="CW614" i="6"/>
  <c r="CU614" i="6"/>
  <c r="CS614" i="6"/>
  <c r="BM614" i="6"/>
  <c r="BK614" i="6"/>
  <c r="BI614" i="6"/>
  <c r="BG614" i="6"/>
  <c r="BE614" i="6"/>
  <c r="BC614" i="6"/>
  <c r="A614" i="6"/>
  <c r="DE613" i="6"/>
  <c r="DC613" i="6"/>
  <c r="CY613" i="6"/>
  <c r="CW613" i="6"/>
  <c r="CU613" i="6"/>
  <c r="CS613" i="6"/>
  <c r="BM613" i="6"/>
  <c r="BK613" i="6"/>
  <c r="BI613" i="6"/>
  <c r="BG613" i="6"/>
  <c r="BE613" i="6"/>
  <c r="BC613" i="6"/>
  <c r="A613" i="6"/>
  <c r="DE612" i="6"/>
  <c r="DC612" i="6"/>
  <c r="CY612" i="6"/>
  <c r="CW612" i="6"/>
  <c r="CU612" i="6"/>
  <c r="CS612" i="6"/>
  <c r="BM612" i="6"/>
  <c r="BK612" i="6"/>
  <c r="BI612" i="6"/>
  <c r="BG612" i="6"/>
  <c r="BE612" i="6"/>
  <c r="BC612" i="6"/>
  <c r="A612" i="6"/>
  <c r="DE611" i="6"/>
  <c r="DC611" i="6"/>
  <c r="CY611" i="6"/>
  <c r="CW611" i="6"/>
  <c r="CU611" i="6"/>
  <c r="CS611" i="6"/>
  <c r="BM611" i="6"/>
  <c r="BK611" i="6"/>
  <c r="BI611" i="6"/>
  <c r="BG611" i="6"/>
  <c r="BE611" i="6"/>
  <c r="BC611" i="6"/>
  <c r="A611" i="6"/>
  <c r="DE610" i="6"/>
  <c r="DC610" i="6"/>
  <c r="CY610" i="6"/>
  <c r="CW610" i="6"/>
  <c r="CU610" i="6"/>
  <c r="CS610" i="6"/>
  <c r="BM610" i="6"/>
  <c r="BK610" i="6"/>
  <c r="BI610" i="6"/>
  <c r="BG610" i="6"/>
  <c r="BE610" i="6"/>
  <c r="BC610" i="6"/>
  <c r="A610" i="6"/>
  <c r="DE609" i="6"/>
  <c r="DC609" i="6"/>
  <c r="CY609" i="6"/>
  <c r="CW609" i="6"/>
  <c r="CU609" i="6"/>
  <c r="CS609" i="6"/>
  <c r="BM609" i="6"/>
  <c r="BK609" i="6"/>
  <c r="BI609" i="6"/>
  <c r="BG609" i="6"/>
  <c r="BE609" i="6"/>
  <c r="BC609" i="6"/>
  <c r="A609" i="6"/>
  <c r="DE608" i="6"/>
  <c r="DC608" i="6"/>
  <c r="CY608" i="6"/>
  <c r="CW608" i="6"/>
  <c r="CU608" i="6"/>
  <c r="CS608" i="6"/>
  <c r="BM608" i="6"/>
  <c r="BK608" i="6"/>
  <c r="BI608" i="6"/>
  <c r="BG608" i="6"/>
  <c r="BE608" i="6"/>
  <c r="BC608" i="6"/>
  <c r="A608" i="6"/>
  <c r="DE607" i="6"/>
  <c r="DC607" i="6"/>
  <c r="CY607" i="6"/>
  <c r="CW607" i="6"/>
  <c r="CU607" i="6"/>
  <c r="CS607" i="6"/>
  <c r="BM607" i="6"/>
  <c r="BK607" i="6"/>
  <c r="BI607" i="6"/>
  <c r="BG607" i="6"/>
  <c r="BE607" i="6"/>
  <c r="BC607" i="6"/>
  <c r="A607" i="6"/>
  <c r="DE606" i="6"/>
  <c r="DC606" i="6"/>
  <c r="CY606" i="6"/>
  <c r="CW606" i="6"/>
  <c r="CU606" i="6"/>
  <c r="CS606" i="6"/>
  <c r="BM606" i="6"/>
  <c r="BK606" i="6"/>
  <c r="BI606" i="6"/>
  <c r="BG606" i="6"/>
  <c r="BE606" i="6"/>
  <c r="BC606" i="6"/>
  <c r="A606" i="6"/>
  <c r="DE605" i="6"/>
  <c r="DC605" i="6"/>
  <c r="CY605" i="6"/>
  <c r="CW605" i="6"/>
  <c r="CU605" i="6"/>
  <c r="CS605" i="6"/>
  <c r="BM605" i="6"/>
  <c r="BK605" i="6"/>
  <c r="BI605" i="6"/>
  <c r="BG605" i="6"/>
  <c r="BE605" i="6"/>
  <c r="BC605" i="6"/>
  <c r="A605" i="6"/>
  <c r="DE604" i="6"/>
  <c r="DC604" i="6"/>
  <c r="CY604" i="6"/>
  <c r="CW604" i="6"/>
  <c r="CU604" i="6"/>
  <c r="CS604" i="6"/>
  <c r="BM604" i="6"/>
  <c r="BK604" i="6"/>
  <c r="BI604" i="6"/>
  <c r="BG604" i="6"/>
  <c r="BE604" i="6"/>
  <c r="BC604" i="6"/>
  <c r="A604" i="6"/>
  <c r="DE603" i="6"/>
  <c r="DC603" i="6"/>
  <c r="CY603" i="6"/>
  <c r="CW603" i="6"/>
  <c r="CU603" i="6"/>
  <c r="CS603" i="6"/>
  <c r="BM603" i="6"/>
  <c r="BK603" i="6"/>
  <c r="BI603" i="6"/>
  <c r="BG603" i="6"/>
  <c r="BE603" i="6"/>
  <c r="BC603" i="6"/>
  <c r="A603" i="6"/>
  <c r="DE602" i="6"/>
  <c r="DC602" i="6"/>
  <c r="CY602" i="6"/>
  <c r="CW602" i="6"/>
  <c r="CU602" i="6"/>
  <c r="CS602" i="6"/>
  <c r="BM602" i="6"/>
  <c r="BK602" i="6"/>
  <c r="BI602" i="6"/>
  <c r="BG602" i="6"/>
  <c r="BE602" i="6"/>
  <c r="BC602" i="6"/>
  <c r="A602" i="6"/>
  <c r="DE601" i="6"/>
  <c r="DC601" i="6"/>
  <c r="CY601" i="6"/>
  <c r="CW601" i="6"/>
  <c r="CU601" i="6"/>
  <c r="CS601" i="6"/>
  <c r="BM601" i="6"/>
  <c r="BK601" i="6"/>
  <c r="BI601" i="6"/>
  <c r="BG601" i="6"/>
  <c r="BE601" i="6"/>
  <c r="BC601" i="6"/>
  <c r="A601" i="6"/>
  <c r="DE600" i="6"/>
  <c r="DC600" i="6"/>
  <c r="CY600" i="6"/>
  <c r="CW600" i="6"/>
  <c r="CU600" i="6"/>
  <c r="CS600" i="6"/>
  <c r="BM600" i="6"/>
  <c r="BK600" i="6"/>
  <c r="BI600" i="6"/>
  <c r="BG600" i="6"/>
  <c r="BE600" i="6"/>
  <c r="BC600" i="6"/>
  <c r="A600" i="6"/>
  <c r="DE599" i="6"/>
  <c r="DC599" i="6"/>
  <c r="CY599" i="6"/>
  <c r="CW599" i="6"/>
  <c r="CU599" i="6"/>
  <c r="CS599" i="6"/>
  <c r="BM599" i="6"/>
  <c r="BK599" i="6"/>
  <c r="BI599" i="6"/>
  <c r="BG599" i="6"/>
  <c r="BE599" i="6"/>
  <c r="BC599" i="6"/>
  <c r="A599" i="6"/>
  <c r="DE598" i="6"/>
  <c r="DC598" i="6"/>
  <c r="CY598" i="6"/>
  <c r="CW598" i="6"/>
  <c r="CU598" i="6"/>
  <c r="CS598" i="6"/>
  <c r="BM598" i="6"/>
  <c r="BK598" i="6"/>
  <c r="BI598" i="6"/>
  <c r="BG598" i="6"/>
  <c r="BE598" i="6"/>
  <c r="BC598" i="6"/>
  <c r="A598" i="6"/>
  <c r="DE597" i="6"/>
  <c r="DC597" i="6"/>
  <c r="CY597" i="6"/>
  <c r="CW597" i="6"/>
  <c r="CU597" i="6"/>
  <c r="CS597" i="6"/>
  <c r="BM597" i="6"/>
  <c r="BK597" i="6"/>
  <c r="BI597" i="6"/>
  <c r="BG597" i="6"/>
  <c r="BE597" i="6"/>
  <c r="BC597" i="6"/>
  <c r="A597" i="6"/>
  <c r="DE596" i="6"/>
  <c r="DC596" i="6"/>
  <c r="CY596" i="6"/>
  <c r="CW596" i="6"/>
  <c r="CU596" i="6"/>
  <c r="CS596" i="6"/>
  <c r="BM596" i="6"/>
  <c r="BK596" i="6"/>
  <c r="BI596" i="6"/>
  <c r="BG596" i="6"/>
  <c r="BE596" i="6"/>
  <c r="BC596" i="6"/>
  <c r="A596" i="6"/>
  <c r="DE595" i="6"/>
  <c r="DC595" i="6"/>
  <c r="CY595" i="6"/>
  <c r="CW595" i="6"/>
  <c r="CU595" i="6"/>
  <c r="CS595" i="6"/>
  <c r="BM595" i="6"/>
  <c r="BK595" i="6"/>
  <c r="BI595" i="6"/>
  <c r="BG595" i="6"/>
  <c r="BE595" i="6"/>
  <c r="BC595" i="6"/>
  <c r="A595" i="6"/>
  <c r="DE594" i="6"/>
  <c r="DC594" i="6"/>
  <c r="CY594" i="6"/>
  <c r="CW594" i="6"/>
  <c r="CU594" i="6"/>
  <c r="CS594" i="6"/>
  <c r="BM594" i="6"/>
  <c r="BK594" i="6"/>
  <c r="BI594" i="6"/>
  <c r="BG594" i="6"/>
  <c r="BE594" i="6"/>
  <c r="BC594" i="6"/>
  <c r="A594" i="6"/>
  <c r="DE593" i="6"/>
  <c r="DC593" i="6"/>
  <c r="CY593" i="6"/>
  <c r="CW593" i="6"/>
  <c r="CU593" i="6"/>
  <c r="CS593" i="6"/>
  <c r="BM593" i="6"/>
  <c r="BK593" i="6"/>
  <c r="BI593" i="6"/>
  <c r="BG593" i="6"/>
  <c r="BE593" i="6"/>
  <c r="BC593" i="6"/>
  <c r="A593" i="6"/>
  <c r="DE592" i="6"/>
  <c r="DC592" i="6"/>
  <c r="CY592" i="6"/>
  <c r="CW592" i="6"/>
  <c r="CU592" i="6"/>
  <c r="CS592" i="6"/>
  <c r="BM592" i="6"/>
  <c r="BK592" i="6"/>
  <c r="BI592" i="6"/>
  <c r="BG592" i="6"/>
  <c r="BE592" i="6"/>
  <c r="BC592" i="6"/>
  <c r="A592" i="6"/>
  <c r="DE591" i="6"/>
  <c r="DC591" i="6"/>
  <c r="CY591" i="6"/>
  <c r="CW591" i="6"/>
  <c r="CU591" i="6"/>
  <c r="CS591" i="6"/>
  <c r="BM591" i="6"/>
  <c r="BK591" i="6"/>
  <c r="BI591" i="6"/>
  <c r="BG591" i="6"/>
  <c r="BE591" i="6"/>
  <c r="BC591" i="6"/>
  <c r="A591" i="6"/>
  <c r="DE590" i="6"/>
  <c r="DC590" i="6"/>
  <c r="CY590" i="6"/>
  <c r="CW590" i="6"/>
  <c r="CU590" i="6"/>
  <c r="CS590" i="6"/>
  <c r="BM590" i="6"/>
  <c r="BK590" i="6"/>
  <c r="BI590" i="6"/>
  <c r="BG590" i="6"/>
  <c r="BE590" i="6"/>
  <c r="BC590" i="6"/>
  <c r="A590" i="6"/>
  <c r="DE589" i="6"/>
  <c r="DC589" i="6"/>
  <c r="CY589" i="6"/>
  <c r="CW589" i="6"/>
  <c r="CU589" i="6"/>
  <c r="CS589" i="6"/>
  <c r="BM589" i="6"/>
  <c r="BK589" i="6"/>
  <c r="BI589" i="6"/>
  <c r="BG589" i="6"/>
  <c r="BE589" i="6"/>
  <c r="BC589" i="6"/>
  <c r="A589" i="6"/>
  <c r="DE588" i="6"/>
  <c r="DC588" i="6"/>
  <c r="CY588" i="6"/>
  <c r="CW588" i="6"/>
  <c r="CU588" i="6"/>
  <c r="CS588" i="6"/>
  <c r="BM588" i="6"/>
  <c r="BK588" i="6"/>
  <c r="BI588" i="6"/>
  <c r="BG588" i="6"/>
  <c r="BE588" i="6"/>
  <c r="BC588" i="6"/>
  <c r="A588" i="6"/>
  <c r="DE587" i="6"/>
  <c r="DC587" i="6"/>
  <c r="CY587" i="6"/>
  <c r="CW587" i="6"/>
  <c r="CU587" i="6"/>
  <c r="CS587" i="6"/>
  <c r="BM587" i="6"/>
  <c r="BK587" i="6"/>
  <c r="BI587" i="6"/>
  <c r="BG587" i="6"/>
  <c r="BE587" i="6"/>
  <c r="BC587" i="6"/>
  <c r="A587" i="6"/>
  <c r="DE586" i="6"/>
  <c r="DC586" i="6"/>
  <c r="CY586" i="6"/>
  <c r="CW586" i="6"/>
  <c r="CU586" i="6"/>
  <c r="CS586" i="6"/>
  <c r="BM586" i="6"/>
  <c r="BK586" i="6"/>
  <c r="BI586" i="6"/>
  <c r="BG586" i="6"/>
  <c r="BE586" i="6"/>
  <c r="BC586" i="6"/>
  <c r="A586" i="6"/>
  <c r="DE585" i="6"/>
  <c r="DC585" i="6"/>
  <c r="CY585" i="6"/>
  <c r="CW585" i="6"/>
  <c r="CU585" i="6"/>
  <c r="CS585" i="6"/>
  <c r="BM585" i="6"/>
  <c r="BK585" i="6"/>
  <c r="BI585" i="6"/>
  <c r="BG585" i="6"/>
  <c r="BE585" i="6"/>
  <c r="BC585" i="6"/>
  <c r="A585" i="6"/>
  <c r="DE584" i="6"/>
  <c r="DC584" i="6"/>
  <c r="CY584" i="6"/>
  <c r="CW584" i="6"/>
  <c r="CU584" i="6"/>
  <c r="CS584" i="6"/>
  <c r="BM584" i="6"/>
  <c r="BK584" i="6"/>
  <c r="BI584" i="6"/>
  <c r="BG584" i="6"/>
  <c r="BE584" i="6"/>
  <c r="BC584" i="6"/>
  <c r="A584" i="6"/>
  <c r="DE583" i="6"/>
  <c r="DC583" i="6"/>
  <c r="CY583" i="6"/>
  <c r="CW583" i="6"/>
  <c r="CU583" i="6"/>
  <c r="CS583" i="6"/>
  <c r="BM583" i="6"/>
  <c r="BK583" i="6"/>
  <c r="BI583" i="6"/>
  <c r="BG583" i="6"/>
  <c r="BE583" i="6"/>
  <c r="BC583" i="6"/>
  <c r="A583" i="6"/>
  <c r="DE582" i="6"/>
  <c r="DC582" i="6"/>
  <c r="CY582" i="6"/>
  <c r="CW582" i="6"/>
  <c r="CU582" i="6"/>
  <c r="CS582" i="6"/>
  <c r="BM582" i="6"/>
  <c r="BK582" i="6"/>
  <c r="BI582" i="6"/>
  <c r="BG582" i="6"/>
  <c r="BE582" i="6"/>
  <c r="BC582" i="6"/>
  <c r="A582" i="6"/>
  <c r="DE581" i="6"/>
  <c r="DC581" i="6"/>
  <c r="CY581" i="6"/>
  <c r="CW581" i="6"/>
  <c r="CU581" i="6"/>
  <c r="CS581" i="6"/>
  <c r="BM581" i="6"/>
  <c r="BK581" i="6"/>
  <c r="BI581" i="6"/>
  <c r="BG581" i="6"/>
  <c r="BE581" i="6"/>
  <c r="BC581" i="6"/>
  <c r="A581" i="6"/>
  <c r="DE580" i="6"/>
  <c r="DC580" i="6"/>
  <c r="CY580" i="6"/>
  <c r="CW580" i="6"/>
  <c r="CU580" i="6"/>
  <c r="CS580" i="6"/>
  <c r="BM580" i="6"/>
  <c r="BK580" i="6"/>
  <c r="BI580" i="6"/>
  <c r="BG580" i="6"/>
  <c r="BE580" i="6"/>
  <c r="BC580" i="6"/>
  <c r="A580" i="6"/>
  <c r="DE579" i="6"/>
  <c r="DC579" i="6"/>
  <c r="CY579" i="6"/>
  <c r="CW579" i="6"/>
  <c r="CU579" i="6"/>
  <c r="CS579" i="6"/>
  <c r="BM579" i="6"/>
  <c r="BK579" i="6"/>
  <c r="BI579" i="6"/>
  <c r="BG579" i="6"/>
  <c r="BE579" i="6"/>
  <c r="BC579" i="6"/>
  <c r="A579" i="6"/>
  <c r="DE578" i="6"/>
  <c r="DC578" i="6"/>
  <c r="CY578" i="6"/>
  <c r="CW578" i="6"/>
  <c r="CU578" i="6"/>
  <c r="CS578" i="6"/>
  <c r="BM578" i="6"/>
  <c r="BK578" i="6"/>
  <c r="BI578" i="6"/>
  <c r="BG578" i="6"/>
  <c r="BE578" i="6"/>
  <c r="BC578" i="6"/>
  <c r="A578" i="6"/>
  <c r="DE577" i="6"/>
  <c r="DC577" i="6"/>
  <c r="CY577" i="6"/>
  <c r="CW577" i="6"/>
  <c r="CU577" i="6"/>
  <c r="CS577" i="6"/>
  <c r="BM577" i="6"/>
  <c r="BK577" i="6"/>
  <c r="BI577" i="6"/>
  <c r="BG577" i="6"/>
  <c r="BE577" i="6"/>
  <c r="BC577" i="6"/>
  <c r="A577" i="6"/>
  <c r="DE576" i="6"/>
  <c r="DC576" i="6"/>
  <c r="CY576" i="6"/>
  <c r="CW576" i="6"/>
  <c r="CU576" i="6"/>
  <c r="CS576" i="6"/>
  <c r="BM576" i="6"/>
  <c r="BK576" i="6"/>
  <c r="BI576" i="6"/>
  <c r="BG576" i="6"/>
  <c r="BE576" i="6"/>
  <c r="BC576" i="6"/>
  <c r="A576" i="6"/>
  <c r="DE575" i="6"/>
  <c r="DC575" i="6"/>
  <c r="CY575" i="6"/>
  <c r="CW575" i="6"/>
  <c r="CU575" i="6"/>
  <c r="CS575" i="6"/>
  <c r="BM575" i="6"/>
  <c r="BK575" i="6"/>
  <c r="BI575" i="6"/>
  <c r="BG575" i="6"/>
  <c r="BE575" i="6"/>
  <c r="BC575" i="6"/>
  <c r="A575" i="6"/>
  <c r="DE574" i="6"/>
  <c r="DC574" i="6"/>
  <c r="CY574" i="6"/>
  <c r="CW574" i="6"/>
  <c r="CU574" i="6"/>
  <c r="CS574" i="6"/>
  <c r="BM574" i="6"/>
  <c r="BK574" i="6"/>
  <c r="BI574" i="6"/>
  <c r="BG574" i="6"/>
  <c r="BE574" i="6"/>
  <c r="BC574" i="6"/>
  <c r="A574" i="6"/>
  <c r="DE573" i="6"/>
  <c r="DC573" i="6"/>
  <c r="CY573" i="6"/>
  <c r="CW573" i="6"/>
  <c r="CU573" i="6"/>
  <c r="CS573" i="6"/>
  <c r="BM573" i="6"/>
  <c r="BK573" i="6"/>
  <c r="BI573" i="6"/>
  <c r="BG573" i="6"/>
  <c r="BE573" i="6"/>
  <c r="BC573" i="6"/>
  <c r="A573" i="6"/>
  <c r="DE572" i="6"/>
  <c r="DC572" i="6"/>
  <c r="CY572" i="6"/>
  <c r="CW572" i="6"/>
  <c r="CU572" i="6"/>
  <c r="CS572" i="6"/>
  <c r="BM572" i="6"/>
  <c r="BK572" i="6"/>
  <c r="BI572" i="6"/>
  <c r="BG572" i="6"/>
  <c r="BE572" i="6"/>
  <c r="BC572" i="6"/>
  <c r="A572" i="6"/>
  <c r="DE571" i="6"/>
  <c r="DC571" i="6"/>
  <c r="CY571" i="6"/>
  <c r="CW571" i="6"/>
  <c r="CU571" i="6"/>
  <c r="CS571" i="6"/>
  <c r="BM571" i="6"/>
  <c r="BK571" i="6"/>
  <c r="BI571" i="6"/>
  <c r="BG571" i="6"/>
  <c r="BE571" i="6"/>
  <c r="BC571" i="6"/>
  <c r="A571" i="6"/>
  <c r="DE570" i="6"/>
  <c r="DC570" i="6"/>
  <c r="CY570" i="6"/>
  <c r="CW570" i="6"/>
  <c r="CU570" i="6"/>
  <c r="CS570" i="6"/>
  <c r="BM570" i="6"/>
  <c r="BK570" i="6"/>
  <c r="BI570" i="6"/>
  <c r="BG570" i="6"/>
  <c r="BE570" i="6"/>
  <c r="BC570" i="6"/>
  <c r="A570" i="6"/>
  <c r="DE569" i="6"/>
  <c r="DC569" i="6"/>
  <c r="CY569" i="6"/>
  <c r="CW569" i="6"/>
  <c r="CU569" i="6"/>
  <c r="CS569" i="6"/>
  <c r="BM569" i="6"/>
  <c r="BK569" i="6"/>
  <c r="BI569" i="6"/>
  <c r="BG569" i="6"/>
  <c r="BE569" i="6"/>
  <c r="BC569" i="6"/>
  <c r="A569" i="6"/>
  <c r="DE568" i="6"/>
  <c r="DC568" i="6"/>
  <c r="CY568" i="6"/>
  <c r="CW568" i="6"/>
  <c r="CU568" i="6"/>
  <c r="CS568" i="6"/>
  <c r="BM568" i="6"/>
  <c r="BK568" i="6"/>
  <c r="BI568" i="6"/>
  <c r="BG568" i="6"/>
  <c r="BE568" i="6"/>
  <c r="BC568" i="6"/>
  <c r="A568" i="6"/>
  <c r="DE567" i="6"/>
  <c r="DC567" i="6"/>
  <c r="CY567" i="6"/>
  <c r="CW567" i="6"/>
  <c r="CU567" i="6"/>
  <c r="CS567" i="6"/>
  <c r="BM567" i="6"/>
  <c r="BK567" i="6"/>
  <c r="BI567" i="6"/>
  <c r="BG567" i="6"/>
  <c r="BE567" i="6"/>
  <c r="BC567" i="6"/>
  <c r="A567" i="6"/>
  <c r="DE566" i="6"/>
  <c r="DC566" i="6"/>
  <c r="CY566" i="6"/>
  <c r="CW566" i="6"/>
  <c r="CU566" i="6"/>
  <c r="CS566" i="6"/>
  <c r="BM566" i="6"/>
  <c r="BK566" i="6"/>
  <c r="BI566" i="6"/>
  <c r="BG566" i="6"/>
  <c r="BE566" i="6"/>
  <c r="BC566" i="6"/>
  <c r="A566" i="6"/>
  <c r="DE565" i="6"/>
  <c r="DC565" i="6"/>
  <c r="CY565" i="6"/>
  <c r="CW565" i="6"/>
  <c r="CU565" i="6"/>
  <c r="CS565" i="6"/>
  <c r="BM565" i="6"/>
  <c r="BK565" i="6"/>
  <c r="BI565" i="6"/>
  <c r="BG565" i="6"/>
  <c r="BE565" i="6"/>
  <c r="BC565" i="6"/>
  <c r="A565" i="6"/>
  <c r="DE564" i="6"/>
  <c r="DC564" i="6"/>
  <c r="CY564" i="6"/>
  <c r="CW564" i="6"/>
  <c r="CU564" i="6"/>
  <c r="CS564" i="6"/>
  <c r="BM564" i="6"/>
  <c r="BK564" i="6"/>
  <c r="BI564" i="6"/>
  <c r="BG564" i="6"/>
  <c r="BE564" i="6"/>
  <c r="BC564" i="6"/>
  <c r="A564" i="6"/>
  <c r="DE563" i="6"/>
  <c r="DC563" i="6"/>
  <c r="CY563" i="6"/>
  <c r="CW563" i="6"/>
  <c r="CU563" i="6"/>
  <c r="CS563" i="6"/>
  <c r="BM563" i="6"/>
  <c r="BK563" i="6"/>
  <c r="BI563" i="6"/>
  <c r="BG563" i="6"/>
  <c r="BE563" i="6"/>
  <c r="BC563" i="6"/>
  <c r="A563" i="6"/>
  <c r="DE562" i="6"/>
  <c r="DC562" i="6"/>
  <c r="CY562" i="6"/>
  <c r="CW562" i="6"/>
  <c r="CU562" i="6"/>
  <c r="CS562" i="6"/>
  <c r="BM562" i="6"/>
  <c r="BK562" i="6"/>
  <c r="BI562" i="6"/>
  <c r="BG562" i="6"/>
  <c r="BE562" i="6"/>
  <c r="BC562" i="6"/>
  <c r="A562" i="6"/>
  <c r="DE561" i="6"/>
  <c r="DC561" i="6"/>
  <c r="CY561" i="6"/>
  <c r="CW561" i="6"/>
  <c r="CU561" i="6"/>
  <c r="CS561" i="6"/>
  <c r="BM561" i="6"/>
  <c r="BK561" i="6"/>
  <c r="BI561" i="6"/>
  <c r="BG561" i="6"/>
  <c r="BE561" i="6"/>
  <c r="BC561" i="6"/>
  <c r="A561" i="6"/>
  <c r="DE560" i="6"/>
  <c r="DC560" i="6"/>
  <c r="CY560" i="6"/>
  <c r="CW560" i="6"/>
  <c r="CU560" i="6"/>
  <c r="CS560" i="6"/>
  <c r="BM560" i="6"/>
  <c r="BK560" i="6"/>
  <c r="BI560" i="6"/>
  <c r="BG560" i="6"/>
  <c r="BE560" i="6"/>
  <c r="BC560" i="6"/>
  <c r="A560" i="6"/>
  <c r="DE559" i="6"/>
  <c r="DC559" i="6"/>
  <c r="CY559" i="6"/>
  <c r="CW559" i="6"/>
  <c r="CU559" i="6"/>
  <c r="CS559" i="6"/>
  <c r="BM559" i="6"/>
  <c r="BK559" i="6"/>
  <c r="BI559" i="6"/>
  <c r="BG559" i="6"/>
  <c r="BE559" i="6"/>
  <c r="BC559" i="6"/>
  <c r="A559" i="6"/>
  <c r="DE558" i="6"/>
  <c r="DC558" i="6"/>
  <c r="CY558" i="6"/>
  <c r="CW558" i="6"/>
  <c r="CU558" i="6"/>
  <c r="CS558" i="6"/>
  <c r="BM558" i="6"/>
  <c r="BK558" i="6"/>
  <c r="BI558" i="6"/>
  <c r="BG558" i="6"/>
  <c r="BE558" i="6"/>
  <c r="BC558" i="6"/>
  <c r="A558" i="6"/>
  <c r="DE557" i="6"/>
  <c r="DC557" i="6"/>
  <c r="CY557" i="6"/>
  <c r="CW557" i="6"/>
  <c r="CU557" i="6"/>
  <c r="CS557" i="6"/>
  <c r="BM557" i="6"/>
  <c r="BK557" i="6"/>
  <c r="BI557" i="6"/>
  <c r="BG557" i="6"/>
  <c r="BE557" i="6"/>
  <c r="BC557" i="6"/>
  <c r="A557" i="6"/>
  <c r="DE556" i="6"/>
  <c r="DC556" i="6"/>
  <c r="CY556" i="6"/>
  <c r="CW556" i="6"/>
  <c r="CU556" i="6"/>
  <c r="CS556" i="6"/>
  <c r="BM556" i="6"/>
  <c r="BK556" i="6"/>
  <c r="BI556" i="6"/>
  <c r="BG556" i="6"/>
  <c r="BE556" i="6"/>
  <c r="BC556" i="6"/>
  <c r="A556" i="6"/>
  <c r="DE555" i="6"/>
  <c r="DC555" i="6"/>
  <c r="CY555" i="6"/>
  <c r="CW555" i="6"/>
  <c r="CU555" i="6"/>
  <c r="CS555" i="6"/>
  <c r="BM555" i="6"/>
  <c r="BK555" i="6"/>
  <c r="BI555" i="6"/>
  <c r="BG555" i="6"/>
  <c r="BE555" i="6"/>
  <c r="BC555" i="6"/>
  <c r="A555" i="6"/>
  <c r="DE554" i="6"/>
  <c r="DC554" i="6"/>
  <c r="CY554" i="6"/>
  <c r="CW554" i="6"/>
  <c r="CU554" i="6"/>
  <c r="CS554" i="6"/>
  <c r="BM554" i="6"/>
  <c r="BK554" i="6"/>
  <c r="BI554" i="6"/>
  <c r="BG554" i="6"/>
  <c r="BE554" i="6"/>
  <c r="BC554" i="6"/>
  <c r="A554" i="6"/>
  <c r="DE553" i="6"/>
  <c r="DC553" i="6"/>
  <c r="CY553" i="6"/>
  <c r="CW553" i="6"/>
  <c r="CU553" i="6"/>
  <c r="CS553" i="6"/>
  <c r="BM553" i="6"/>
  <c r="BK553" i="6"/>
  <c r="BI553" i="6"/>
  <c r="BG553" i="6"/>
  <c r="BE553" i="6"/>
  <c r="BC553" i="6"/>
  <c r="A553" i="6"/>
  <c r="DE552" i="6"/>
  <c r="DC552" i="6"/>
  <c r="CY552" i="6"/>
  <c r="CW552" i="6"/>
  <c r="CU552" i="6"/>
  <c r="CS552" i="6"/>
  <c r="BM552" i="6"/>
  <c r="BK552" i="6"/>
  <c r="BI552" i="6"/>
  <c r="BG552" i="6"/>
  <c r="BE552" i="6"/>
  <c r="BC552" i="6"/>
  <c r="A552" i="6"/>
  <c r="DE551" i="6"/>
  <c r="DC551" i="6"/>
  <c r="CY551" i="6"/>
  <c r="CW551" i="6"/>
  <c r="CU551" i="6"/>
  <c r="CS551" i="6"/>
  <c r="BM551" i="6"/>
  <c r="BK551" i="6"/>
  <c r="BI551" i="6"/>
  <c r="BG551" i="6"/>
  <c r="BE551" i="6"/>
  <c r="BC551" i="6"/>
  <c r="A551" i="6"/>
  <c r="DE550" i="6"/>
  <c r="DC550" i="6"/>
  <c r="CY550" i="6"/>
  <c r="CW550" i="6"/>
  <c r="CU550" i="6"/>
  <c r="CS550" i="6"/>
  <c r="BM550" i="6"/>
  <c r="BK550" i="6"/>
  <c r="BI550" i="6"/>
  <c r="BG550" i="6"/>
  <c r="BE550" i="6"/>
  <c r="BC550" i="6"/>
  <c r="A550" i="6"/>
  <c r="DE549" i="6"/>
  <c r="DC549" i="6"/>
  <c r="CY549" i="6"/>
  <c r="CW549" i="6"/>
  <c r="CU549" i="6"/>
  <c r="CS549" i="6"/>
  <c r="BM549" i="6"/>
  <c r="BK549" i="6"/>
  <c r="BI549" i="6"/>
  <c r="BG549" i="6"/>
  <c r="BE549" i="6"/>
  <c r="BC549" i="6"/>
  <c r="A549" i="6"/>
  <c r="DE548" i="6"/>
  <c r="DC548" i="6"/>
  <c r="CY548" i="6"/>
  <c r="CW548" i="6"/>
  <c r="CU548" i="6"/>
  <c r="CS548" i="6"/>
  <c r="BM548" i="6"/>
  <c r="BK548" i="6"/>
  <c r="BI548" i="6"/>
  <c r="BG548" i="6"/>
  <c r="BE548" i="6"/>
  <c r="BC548" i="6"/>
  <c r="A548" i="6"/>
  <c r="DE547" i="6"/>
  <c r="DC547" i="6"/>
  <c r="CY547" i="6"/>
  <c r="CW547" i="6"/>
  <c r="CU547" i="6"/>
  <c r="CS547" i="6"/>
  <c r="BM547" i="6"/>
  <c r="BK547" i="6"/>
  <c r="BI547" i="6"/>
  <c r="BG547" i="6"/>
  <c r="BE547" i="6"/>
  <c r="BC547" i="6"/>
  <c r="A547" i="6"/>
  <c r="DE546" i="6"/>
  <c r="DC546" i="6"/>
  <c r="CY546" i="6"/>
  <c r="CW546" i="6"/>
  <c r="CU546" i="6"/>
  <c r="CS546" i="6"/>
  <c r="BM546" i="6"/>
  <c r="BK546" i="6"/>
  <c r="BI546" i="6"/>
  <c r="BG546" i="6"/>
  <c r="BE546" i="6"/>
  <c r="BC546" i="6"/>
  <c r="A546" i="6"/>
  <c r="DE545" i="6"/>
  <c r="DC545" i="6"/>
  <c r="CY545" i="6"/>
  <c r="CW545" i="6"/>
  <c r="CU545" i="6"/>
  <c r="CS545" i="6"/>
  <c r="BM545" i="6"/>
  <c r="BK545" i="6"/>
  <c r="BI545" i="6"/>
  <c r="BG545" i="6"/>
  <c r="BE545" i="6"/>
  <c r="BC545" i="6"/>
  <c r="A545" i="6"/>
  <c r="DE544" i="6"/>
  <c r="DC544" i="6"/>
  <c r="CY544" i="6"/>
  <c r="CW544" i="6"/>
  <c r="CU544" i="6"/>
  <c r="CS544" i="6"/>
  <c r="BM544" i="6"/>
  <c r="BK544" i="6"/>
  <c r="BI544" i="6"/>
  <c r="BG544" i="6"/>
  <c r="BE544" i="6"/>
  <c r="BC544" i="6"/>
  <c r="A544" i="6"/>
  <c r="DE543" i="6"/>
  <c r="DC543" i="6"/>
  <c r="CY543" i="6"/>
  <c r="CW543" i="6"/>
  <c r="CU543" i="6"/>
  <c r="CS543" i="6"/>
  <c r="BM543" i="6"/>
  <c r="BK543" i="6"/>
  <c r="BI543" i="6"/>
  <c r="BG543" i="6"/>
  <c r="BE543" i="6"/>
  <c r="BC543" i="6"/>
  <c r="A543" i="6"/>
  <c r="DE542" i="6"/>
  <c r="DC542" i="6"/>
  <c r="CY542" i="6"/>
  <c r="CW542" i="6"/>
  <c r="CU542" i="6"/>
  <c r="CS542" i="6"/>
  <c r="BM542" i="6"/>
  <c r="BK542" i="6"/>
  <c r="BI542" i="6"/>
  <c r="BG542" i="6"/>
  <c r="BE542" i="6"/>
  <c r="BC542" i="6"/>
  <c r="A542" i="6"/>
  <c r="DE541" i="6"/>
  <c r="DC541" i="6"/>
  <c r="CY541" i="6"/>
  <c r="CW541" i="6"/>
  <c r="CU541" i="6"/>
  <c r="CS541" i="6"/>
  <c r="BM541" i="6"/>
  <c r="BK541" i="6"/>
  <c r="BI541" i="6"/>
  <c r="BG541" i="6"/>
  <c r="BE541" i="6"/>
  <c r="BC541" i="6"/>
  <c r="A541" i="6"/>
  <c r="DE540" i="6"/>
  <c r="DC540" i="6"/>
  <c r="CY540" i="6"/>
  <c r="CW540" i="6"/>
  <c r="CU540" i="6"/>
  <c r="CS540" i="6"/>
  <c r="BM540" i="6"/>
  <c r="BK540" i="6"/>
  <c r="BI540" i="6"/>
  <c r="BG540" i="6"/>
  <c r="BE540" i="6"/>
  <c r="BC540" i="6"/>
  <c r="A540" i="6"/>
  <c r="DE539" i="6"/>
  <c r="DC539" i="6"/>
  <c r="CY539" i="6"/>
  <c r="CW539" i="6"/>
  <c r="CU539" i="6"/>
  <c r="CS539" i="6"/>
  <c r="BM539" i="6"/>
  <c r="BK539" i="6"/>
  <c r="BI539" i="6"/>
  <c r="BG539" i="6"/>
  <c r="BE539" i="6"/>
  <c r="BC539" i="6"/>
  <c r="A539" i="6"/>
  <c r="DE538" i="6"/>
  <c r="DC538" i="6"/>
  <c r="CY538" i="6"/>
  <c r="CW538" i="6"/>
  <c r="CU538" i="6"/>
  <c r="CS538" i="6"/>
  <c r="BM538" i="6"/>
  <c r="BK538" i="6"/>
  <c r="BI538" i="6"/>
  <c r="BG538" i="6"/>
  <c r="BE538" i="6"/>
  <c r="BC538" i="6"/>
  <c r="A538" i="6"/>
  <c r="DE537" i="6"/>
  <c r="DC537" i="6"/>
  <c r="CY537" i="6"/>
  <c r="CW537" i="6"/>
  <c r="CU537" i="6"/>
  <c r="CS537" i="6"/>
  <c r="BM537" i="6"/>
  <c r="BK537" i="6"/>
  <c r="BI537" i="6"/>
  <c r="BG537" i="6"/>
  <c r="BE537" i="6"/>
  <c r="BC537" i="6"/>
  <c r="A537" i="6"/>
  <c r="DE536" i="6"/>
  <c r="DC536" i="6"/>
  <c r="CY536" i="6"/>
  <c r="CW536" i="6"/>
  <c r="CU536" i="6"/>
  <c r="CS536" i="6"/>
  <c r="BM536" i="6"/>
  <c r="BK536" i="6"/>
  <c r="BI536" i="6"/>
  <c r="BG536" i="6"/>
  <c r="BE536" i="6"/>
  <c r="BC536" i="6"/>
  <c r="A536" i="6"/>
  <c r="DE535" i="6"/>
  <c r="DC535" i="6"/>
  <c r="CY535" i="6"/>
  <c r="CW535" i="6"/>
  <c r="CU535" i="6"/>
  <c r="CS535" i="6"/>
  <c r="BM535" i="6"/>
  <c r="BK535" i="6"/>
  <c r="BI535" i="6"/>
  <c r="BG535" i="6"/>
  <c r="BE535" i="6"/>
  <c r="BC535" i="6"/>
  <c r="A535" i="6"/>
  <c r="DE534" i="6"/>
  <c r="DC534" i="6"/>
  <c r="CY534" i="6"/>
  <c r="CW534" i="6"/>
  <c r="CU534" i="6"/>
  <c r="CS534" i="6"/>
  <c r="BM534" i="6"/>
  <c r="BK534" i="6"/>
  <c r="BI534" i="6"/>
  <c r="BG534" i="6"/>
  <c r="BE534" i="6"/>
  <c r="BC534" i="6"/>
  <c r="A534" i="6"/>
  <c r="DE533" i="6"/>
  <c r="DC533" i="6"/>
  <c r="CY533" i="6"/>
  <c r="CW533" i="6"/>
  <c r="CU533" i="6"/>
  <c r="CS533" i="6"/>
  <c r="BM533" i="6"/>
  <c r="BK533" i="6"/>
  <c r="BI533" i="6"/>
  <c r="BG533" i="6"/>
  <c r="BE533" i="6"/>
  <c r="BC533" i="6"/>
  <c r="A533" i="6"/>
  <c r="DE532" i="6"/>
  <c r="DC532" i="6"/>
  <c r="CY532" i="6"/>
  <c r="CW532" i="6"/>
  <c r="CU532" i="6"/>
  <c r="CS532" i="6"/>
  <c r="BM532" i="6"/>
  <c r="BK532" i="6"/>
  <c r="BI532" i="6"/>
  <c r="BG532" i="6"/>
  <c r="BE532" i="6"/>
  <c r="BC532" i="6"/>
  <c r="A532" i="6"/>
  <c r="DE531" i="6"/>
  <c r="DC531" i="6"/>
  <c r="CY531" i="6"/>
  <c r="CW531" i="6"/>
  <c r="CU531" i="6"/>
  <c r="CS531" i="6"/>
  <c r="BM531" i="6"/>
  <c r="BK531" i="6"/>
  <c r="BI531" i="6"/>
  <c r="BG531" i="6"/>
  <c r="BE531" i="6"/>
  <c r="BC531" i="6"/>
  <c r="A531" i="6"/>
  <c r="DE530" i="6"/>
  <c r="DC530" i="6"/>
  <c r="CY530" i="6"/>
  <c r="CW530" i="6"/>
  <c r="CU530" i="6"/>
  <c r="CS530" i="6"/>
  <c r="BM530" i="6"/>
  <c r="BK530" i="6"/>
  <c r="BI530" i="6"/>
  <c r="BG530" i="6"/>
  <c r="BE530" i="6"/>
  <c r="BC530" i="6"/>
  <c r="A530" i="6"/>
  <c r="DE529" i="6"/>
  <c r="DC529" i="6"/>
  <c r="CY529" i="6"/>
  <c r="CW529" i="6"/>
  <c r="CU529" i="6"/>
  <c r="CS529" i="6"/>
  <c r="BM529" i="6"/>
  <c r="BK529" i="6"/>
  <c r="BI529" i="6"/>
  <c r="BG529" i="6"/>
  <c r="BE529" i="6"/>
  <c r="BC529" i="6"/>
  <c r="A529" i="6"/>
  <c r="DE528" i="6"/>
  <c r="DC528" i="6"/>
  <c r="CY528" i="6"/>
  <c r="CW528" i="6"/>
  <c r="CU528" i="6"/>
  <c r="CS528" i="6"/>
  <c r="BM528" i="6"/>
  <c r="BK528" i="6"/>
  <c r="BI528" i="6"/>
  <c r="BG528" i="6"/>
  <c r="BE528" i="6"/>
  <c r="BC528" i="6"/>
  <c r="A528" i="6"/>
  <c r="DE527" i="6"/>
  <c r="DC527" i="6"/>
  <c r="CY527" i="6"/>
  <c r="CW527" i="6"/>
  <c r="CU527" i="6"/>
  <c r="CS527" i="6"/>
  <c r="BM527" i="6"/>
  <c r="BK527" i="6"/>
  <c r="BI527" i="6"/>
  <c r="BG527" i="6"/>
  <c r="BE527" i="6"/>
  <c r="BC527" i="6"/>
  <c r="A527" i="6"/>
  <c r="DE526" i="6"/>
  <c r="DC526" i="6"/>
  <c r="CY526" i="6"/>
  <c r="CW526" i="6"/>
  <c r="CU526" i="6"/>
  <c r="CS526" i="6"/>
  <c r="BM526" i="6"/>
  <c r="BK526" i="6"/>
  <c r="BI526" i="6"/>
  <c r="BG526" i="6"/>
  <c r="BE526" i="6"/>
  <c r="BC526" i="6"/>
  <c r="A526" i="6"/>
  <c r="DE525" i="6"/>
  <c r="DC525" i="6"/>
  <c r="CY525" i="6"/>
  <c r="CW525" i="6"/>
  <c r="CU525" i="6"/>
  <c r="CS525" i="6"/>
  <c r="BM525" i="6"/>
  <c r="BK525" i="6"/>
  <c r="BI525" i="6"/>
  <c r="BG525" i="6"/>
  <c r="BE525" i="6"/>
  <c r="BC525" i="6"/>
  <c r="A525" i="6"/>
  <c r="DE524" i="6"/>
  <c r="DC524" i="6"/>
  <c r="CY524" i="6"/>
  <c r="CW524" i="6"/>
  <c r="CU524" i="6"/>
  <c r="CS524" i="6"/>
  <c r="BM524" i="6"/>
  <c r="BK524" i="6"/>
  <c r="BI524" i="6"/>
  <c r="BG524" i="6"/>
  <c r="BE524" i="6"/>
  <c r="BC524" i="6"/>
  <c r="A524" i="6"/>
  <c r="DE523" i="6"/>
  <c r="DC523" i="6"/>
  <c r="CY523" i="6"/>
  <c r="CW523" i="6"/>
  <c r="CU523" i="6"/>
  <c r="CS523" i="6"/>
  <c r="BM523" i="6"/>
  <c r="BK523" i="6"/>
  <c r="BI523" i="6"/>
  <c r="BG523" i="6"/>
  <c r="BE523" i="6"/>
  <c r="BC523" i="6"/>
  <c r="A523" i="6"/>
  <c r="DE522" i="6"/>
  <c r="DC522" i="6"/>
  <c r="CY522" i="6"/>
  <c r="CW522" i="6"/>
  <c r="CU522" i="6"/>
  <c r="CS522" i="6"/>
  <c r="BM522" i="6"/>
  <c r="BK522" i="6"/>
  <c r="BI522" i="6"/>
  <c r="BG522" i="6"/>
  <c r="BE522" i="6"/>
  <c r="BC522" i="6"/>
  <c r="A522" i="6"/>
  <c r="DE521" i="6"/>
  <c r="DC521" i="6"/>
  <c r="CY521" i="6"/>
  <c r="CW521" i="6"/>
  <c r="CU521" i="6"/>
  <c r="CS521" i="6"/>
  <c r="BM521" i="6"/>
  <c r="BK521" i="6"/>
  <c r="BI521" i="6"/>
  <c r="BG521" i="6"/>
  <c r="BE521" i="6"/>
  <c r="BC521" i="6"/>
  <c r="A521" i="6"/>
  <c r="DE520" i="6"/>
  <c r="DC520" i="6"/>
  <c r="CY520" i="6"/>
  <c r="CW520" i="6"/>
  <c r="CU520" i="6"/>
  <c r="CS520" i="6"/>
  <c r="BM520" i="6"/>
  <c r="BK520" i="6"/>
  <c r="BI520" i="6"/>
  <c r="BG520" i="6"/>
  <c r="BE520" i="6"/>
  <c r="BC520" i="6"/>
  <c r="A520" i="6"/>
  <c r="DE519" i="6"/>
  <c r="DC519" i="6"/>
  <c r="CY519" i="6"/>
  <c r="CW519" i="6"/>
  <c r="CU519" i="6"/>
  <c r="CS519" i="6"/>
  <c r="BM519" i="6"/>
  <c r="BK519" i="6"/>
  <c r="BI519" i="6"/>
  <c r="BG519" i="6"/>
  <c r="BE519" i="6"/>
  <c r="BC519" i="6"/>
  <c r="A519" i="6"/>
  <c r="DE518" i="6"/>
  <c r="DC518" i="6"/>
  <c r="CY518" i="6"/>
  <c r="CW518" i="6"/>
  <c r="CU518" i="6"/>
  <c r="CS518" i="6"/>
  <c r="BM518" i="6"/>
  <c r="BK518" i="6"/>
  <c r="BI518" i="6"/>
  <c r="BG518" i="6"/>
  <c r="BE518" i="6"/>
  <c r="BC518" i="6"/>
  <c r="A518" i="6"/>
  <c r="DE517" i="6"/>
  <c r="DC517" i="6"/>
  <c r="CY517" i="6"/>
  <c r="CW517" i="6"/>
  <c r="CU517" i="6"/>
  <c r="CS517" i="6"/>
  <c r="BM517" i="6"/>
  <c r="BK517" i="6"/>
  <c r="BI517" i="6"/>
  <c r="BG517" i="6"/>
  <c r="BE517" i="6"/>
  <c r="BC517" i="6"/>
  <c r="A517" i="6"/>
  <c r="DE516" i="6"/>
  <c r="DC516" i="6"/>
  <c r="CY516" i="6"/>
  <c r="CW516" i="6"/>
  <c r="CU516" i="6"/>
  <c r="CS516" i="6"/>
  <c r="BM516" i="6"/>
  <c r="BK516" i="6"/>
  <c r="BI516" i="6"/>
  <c r="BG516" i="6"/>
  <c r="BE516" i="6"/>
  <c r="BC516" i="6"/>
  <c r="A516" i="6"/>
  <c r="DE515" i="6"/>
  <c r="DC515" i="6"/>
  <c r="CY515" i="6"/>
  <c r="CW515" i="6"/>
  <c r="CU515" i="6"/>
  <c r="CS515" i="6"/>
  <c r="BM515" i="6"/>
  <c r="BK515" i="6"/>
  <c r="BI515" i="6"/>
  <c r="BG515" i="6"/>
  <c r="BE515" i="6"/>
  <c r="BC515" i="6"/>
  <c r="A515" i="6"/>
  <c r="DE514" i="6"/>
  <c r="DC514" i="6"/>
  <c r="CY514" i="6"/>
  <c r="CW514" i="6"/>
  <c r="CU514" i="6"/>
  <c r="CS514" i="6"/>
  <c r="BM514" i="6"/>
  <c r="BK514" i="6"/>
  <c r="BI514" i="6"/>
  <c r="BG514" i="6"/>
  <c r="BE514" i="6"/>
  <c r="BC514" i="6"/>
  <c r="A514" i="6"/>
  <c r="DE513" i="6"/>
  <c r="DC513" i="6"/>
  <c r="CY513" i="6"/>
  <c r="CW513" i="6"/>
  <c r="CU513" i="6"/>
  <c r="CS513" i="6"/>
  <c r="BM513" i="6"/>
  <c r="BK513" i="6"/>
  <c r="BI513" i="6"/>
  <c r="BG513" i="6"/>
  <c r="BE513" i="6"/>
  <c r="BC513" i="6"/>
  <c r="A513" i="6"/>
  <c r="DE512" i="6"/>
  <c r="DC512" i="6"/>
  <c r="CY512" i="6"/>
  <c r="CW512" i="6"/>
  <c r="CU512" i="6"/>
  <c r="CS512" i="6"/>
  <c r="BM512" i="6"/>
  <c r="BK512" i="6"/>
  <c r="BI512" i="6"/>
  <c r="BG512" i="6"/>
  <c r="BE512" i="6"/>
  <c r="BC512" i="6"/>
  <c r="A512" i="6"/>
  <c r="DE511" i="6"/>
  <c r="DC511" i="6"/>
  <c r="CY511" i="6"/>
  <c r="CW511" i="6"/>
  <c r="CU511" i="6"/>
  <c r="CS511" i="6"/>
  <c r="BM511" i="6"/>
  <c r="BK511" i="6"/>
  <c r="BI511" i="6"/>
  <c r="BG511" i="6"/>
  <c r="BE511" i="6"/>
  <c r="BC511" i="6"/>
  <c r="A511" i="6"/>
  <c r="DE510" i="6"/>
  <c r="DC510" i="6"/>
  <c r="CY510" i="6"/>
  <c r="CW510" i="6"/>
  <c r="CU510" i="6"/>
  <c r="CS510" i="6"/>
  <c r="BM510" i="6"/>
  <c r="BK510" i="6"/>
  <c r="BI510" i="6"/>
  <c r="BG510" i="6"/>
  <c r="BE510" i="6"/>
  <c r="BC510" i="6"/>
  <c r="A510" i="6"/>
  <c r="DE509" i="6"/>
  <c r="DC509" i="6"/>
  <c r="CY509" i="6"/>
  <c r="CW509" i="6"/>
  <c r="CU509" i="6"/>
  <c r="CS509" i="6"/>
  <c r="BM509" i="6"/>
  <c r="BK509" i="6"/>
  <c r="BI509" i="6"/>
  <c r="BG509" i="6"/>
  <c r="BE509" i="6"/>
  <c r="BC509" i="6"/>
  <c r="A509" i="6"/>
  <c r="DE508" i="6"/>
  <c r="DC508" i="6"/>
  <c r="CY508" i="6"/>
  <c r="CW508" i="6"/>
  <c r="CU508" i="6"/>
  <c r="CS508" i="6"/>
  <c r="BM508" i="6"/>
  <c r="BK508" i="6"/>
  <c r="BI508" i="6"/>
  <c r="BG508" i="6"/>
  <c r="BE508" i="6"/>
  <c r="BC508" i="6"/>
  <c r="A508" i="6"/>
  <c r="DE507" i="6"/>
  <c r="DC507" i="6"/>
  <c r="CY507" i="6"/>
  <c r="CW507" i="6"/>
  <c r="CU507" i="6"/>
  <c r="CS507" i="6"/>
  <c r="BM507" i="6"/>
  <c r="BK507" i="6"/>
  <c r="BI507" i="6"/>
  <c r="BG507" i="6"/>
  <c r="BE507" i="6"/>
  <c r="BC507" i="6"/>
  <c r="A507" i="6"/>
  <c r="DE506" i="6"/>
  <c r="DC506" i="6"/>
  <c r="CY506" i="6"/>
  <c r="CW506" i="6"/>
  <c r="CU506" i="6"/>
  <c r="CS506" i="6"/>
  <c r="BM506" i="6"/>
  <c r="BK506" i="6"/>
  <c r="BI506" i="6"/>
  <c r="BG506" i="6"/>
  <c r="BE506" i="6"/>
  <c r="BC506" i="6"/>
  <c r="A506" i="6"/>
  <c r="DE505" i="6"/>
  <c r="DC505" i="6"/>
  <c r="CY505" i="6"/>
  <c r="CW505" i="6"/>
  <c r="CU505" i="6"/>
  <c r="CS505" i="6"/>
  <c r="BM505" i="6"/>
  <c r="BK505" i="6"/>
  <c r="BI505" i="6"/>
  <c r="BG505" i="6"/>
  <c r="BE505" i="6"/>
  <c r="BC505" i="6"/>
  <c r="A505" i="6"/>
  <c r="DE504" i="6"/>
  <c r="DC504" i="6"/>
  <c r="CY504" i="6"/>
  <c r="CW504" i="6"/>
  <c r="CU504" i="6"/>
  <c r="CS504" i="6"/>
  <c r="BM504" i="6"/>
  <c r="BK504" i="6"/>
  <c r="BI504" i="6"/>
  <c r="BG504" i="6"/>
  <c r="BE504" i="6"/>
  <c r="BC504" i="6"/>
  <c r="A504" i="6"/>
  <c r="DE503" i="6"/>
  <c r="DC503" i="6"/>
  <c r="CY503" i="6"/>
  <c r="CW503" i="6"/>
  <c r="CU503" i="6"/>
  <c r="CS503" i="6"/>
  <c r="BM503" i="6"/>
  <c r="BK503" i="6"/>
  <c r="BI503" i="6"/>
  <c r="BG503" i="6"/>
  <c r="BE503" i="6"/>
  <c r="BC503" i="6"/>
  <c r="A503" i="6"/>
  <c r="DE502" i="6"/>
  <c r="DC502" i="6"/>
  <c r="CY502" i="6"/>
  <c r="CW502" i="6"/>
  <c r="CU502" i="6"/>
  <c r="CS502" i="6"/>
  <c r="BM502" i="6"/>
  <c r="BK502" i="6"/>
  <c r="BI502" i="6"/>
  <c r="BG502" i="6"/>
  <c r="BE502" i="6"/>
  <c r="BC502" i="6"/>
  <c r="A502" i="6"/>
  <c r="DE501" i="6"/>
  <c r="DC501" i="6"/>
  <c r="CY501" i="6"/>
  <c r="CW501" i="6"/>
  <c r="CU501" i="6"/>
  <c r="CS501" i="6"/>
  <c r="BM501" i="6"/>
  <c r="BK501" i="6"/>
  <c r="BI501" i="6"/>
  <c r="BG501" i="6"/>
  <c r="BE501" i="6"/>
  <c r="BC501" i="6"/>
  <c r="A501" i="6"/>
  <c r="DE500" i="6"/>
  <c r="DC500" i="6"/>
  <c r="CY500" i="6"/>
  <c r="CW500" i="6"/>
  <c r="CU500" i="6"/>
  <c r="CS500" i="6"/>
  <c r="BM500" i="6"/>
  <c r="BK500" i="6"/>
  <c r="BI500" i="6"/>
  <c r="BG500" i="6"/>
  <c r="BE500" i="6"/>
  <c r="BC500" i="6"/>
  <c r="A500" i="6"/>
  <c r="DE499" i="6"/>
  <c r="DC499" i="6"/>
  <c r="CY499" i="6"/>
  <c r="CW499" i="6"/>
  <c r="CU499" i="6"/>
  <c r="CS499" i="6"/>
  <c r="BM499" i="6"/>
  <c r="BK499" i="6"/>
  <c r="BI499" i="6"/>
  <c r="BG499" i="6"/>
  <c r="BE499" i="6"/>
  <c r="BC499" i="6"/>
  <c r="A499" i="6"/>
  <c r="DE498" i="6"/>
  <c r="DC498" i="6"/>
  <c r="CY498" i="6"/>
  <c r="CW498" i="6"/>
  <c r="CU498" i="6"/>
  <c r="CS498" i="6"/>
  <c r="BM498" i="6"/>
  <c r="BK498" i="6"/>
  <c r="BI498" i="6"/>
  <c r="BG498" i="6"/>
  <c r="BE498" i="6"/>
  <c r="BC498" i="6"/>
  <c r="A498" i="6"/>
  <c r="DE497" i="6"/>
  <c r="DC497" i="6"/>
  <c r="CY497" i="6"/>
  <c r="CW497" i="6"/>
  <c r="CU497" i="6"/>
  <c r="CS497" i="6"/>
  <c r="BM497" i="6"/>
  <c r="BK497" i="6"/>
  <c r="BI497" i="6"/>
  <c r="BG497" i="6"/>
  <c r="BE497" i="6"/>
  <c r="BC497" i="6"/>
  <c r="A497" i="6"/>
  <c r="DE496" i="6"/>
  <c r="DC496" i="6"/>
  <c r="CY496" i="6"/>
  <c r="CW496" i="6"/>
  <c r="CU496" i="6"/>
  <c r="CS496" i="6"/>
  <c r="BM496" i="6"/>
  <c r="BK496" i="6"/>
  <c r="BI496" i="6"/>
  <c r="BG496" i="6"/>
  <c r="BE496" i="6"/>
  <c r="BC496" i="6"/>
  <c r="A496" i="6"/>
  <c r="DE495" i="6"/>
  <c r="DC495" i="6"/>
  <c r="CY495" i="6"/>
  <c r="CW495" i="6"/>
  <c r="CU495" i="6"/>
  <c r="CS495" i="6"/>
  <c r="BM495" i="6"/>
  <c r="BK495" i="6"/>
  <c r="BI495" i="6"/>
  <c r="BG495" i="6"/>
  <c r="BE495" i="6"/>
  <c r="BC495" i="6"/>
  <c r="A495" i="6"/>
  <c r="DE494" i="6"/>
  <c r="DC494" i="6"/>
  <c r="CY494" i="6"/>
  <c r="CW494" i="6"/>
  <c r="CU494" i="6"/>
  <c r="CS494" i="6"/>
  <c r="BM494" i="6"/>
  <c r="BK494" i="6"/>
  <c r="BI494" i="6"/>
  <c r="BG494" i="6"/>
  <c r="BE494" i="6"/>
  <c r="BC494" i="6"/>
  <c r="A494" i="6"/>
  <c r="DE493" i="6"/>
  <c r="DC493" i="6"/>
  <c r="CY493" i="6"/>
  <c r="CW493" i="6"/>
  <c r="CU493" i="6"/>
  <c r="CS493" i="6"/>
  <c r="BM493" i="6"/>
  <c r="BK493" i="6"/>
  <c r="BI493" i="6"/>
  <c r="BG493" i="6"/>
  <c r="BE493" i="6"/>
  <c r="BC493" i="6"/>
  <c r="A493" i="6"/>
  <c r="DE492" i="6"/>
  <c r="DC492" i="6"/>
  <c r="CY492" i="6"/>
  <c r="CW492" i="6"/>
  <c r="CU492" i="6"/>
  <c r="CS492" i="6"/>
  <c r="BM492" i="6"/>
  <c r="BK492" i="6"/>
  <c r="BI492" i="6"/>
  <c r="BG492" i="6"/>
  <c r="BE492" i="6"/>
  <c r="BC492" i="6"/>
  <c r="A492" i="6"/>
  <c r="DE491" i="6"/>
  <c r="DC491" i="6"/>
  <c r="CY491" i="6"/>
  <c r="CW491" i="6"/>
  <c r="CU491" i="6"/>
  <c r="CS491" i="6"/>
  <c r="BM491" i="6"/>
  <c r="BK491" i="6"/>
  <c r="BI491" i="6"/>
  <c r="BG491" i="6"/>
  <c r="BE491" i="6"/>
  <c r="BC491" i="6"/>
  <c r="A491" i="6"/>
  <c r="DE490" i="6"/>
  <c r="DC490" i="6"/>
  <c r="CY490" i="6"/>
  <c r="CW490" i="6"/>
  <c r="CU490" i="6"/>
  <c r="CS490" i="6"/>
  <c r="BM490" i="6"/>
  <c r="BK490" i="6"/>
  <c r="BI490" i="6"/>
  <c r="BG490" i="6"/>
  <c r="BE490" i="6"/>
  <c r="BC490" i="6"/>
  <c r="A490" i="6"/>
  <c r="DE489" i="6"/>
  <c r="DC489" i="6"/>
  <c r="CY489" i="6"/>
  <c r="CW489" i="6"/>
  <c r="CU489" i="6"/>
  <c r="CS489" i="6"/>
  <c r="BM489" i="6"/>
  <c r="BK489" i="6"/>
  <c r="BI489" i="6"/>
  <c r="BG489" i="6"/>
  <c r="BE489" i="6"/>
  <c r="BC489" i="6"/>
  <c r="A489" i="6"/>
  <c r="DE488" i="6"/>
  <c r="DC488" i="6"/>
  <c r="CY488" i="6"/>
  <c r="CW488" i="6"/>
  <c r="CU488" i="6"/>
  <c r="CS488" i="6"/>
  <c r="BM488" i="6"/>
  <c r="BK488" i="6"/>
  <c r="BI488" i="6"/>
  <c r="BG488" i="6"/>
  <c r="BE488" i="6"/>
  <c r="BC488" i="6"/>
  <c r="A488" i="6"/>
  <c r="DE487" i="6"/>
  <c r="DC487" i="6"/>
  <c r="CY487" i="6"/>
  <c r="CW487" i="6"/>
  <c r="CU487" i="6"/>
  <c r="CS487" i="6"/>
  <c r="BM487" i="6"/>
  <c r="BK487" i="6"/>
  <c r="BI487" i="6"/>
  <c r="BG487" i="6"/>
  <c r="BE487" i="6"/>
  <c r="BC487" i="6"/>
  <c r="A487" i="6"/>
  <c r="DE486" i="6"/>
  <c r="DC486" i="6"/>
  <c r="CY486" i="6"/>
  <c r="CW486" i="6"/>
  <c r="CU486" i="6"/>
  <c r="CS486" i="6"/>
  <c r="BM486" i="6"/>
  <c r="BK486" i="6"/>
  <c r="BI486" i="6"/>
  <c r="BG486" i="6"/>
  <c r="BE486" i="6"/>
  <c r="BC486" i="6"/>
  <c r="A486" i="6"/>
  <c r="DE485" i="6"/>
  <c r="DC485" i="6"/>
  <c r="CY485" i="6"/>
  <c r="CW485" i="6"/>
  <c r="CU485" i="6"/>
  <c r="CS485" i="6"/>
  <c r="BM485" i="6"/>
  <c r="BK485" i="6"/>
  <c r="BI485" i="6"/>
  <c r="BG485" i="6"/>
  <c r="BE485" i="6"/>
  <c r="BC485" i="6"/>
  <c r="A485" i="6"/>
  <c r="DE484" i="6"/>
  <c r="DC484" i="6"/>
  <c r="CY484" i="6"/>
  <c r="CW484" i="6"/>
  <c r="CU484" i="6"/>
  <c r="CS484" i="6"/>
  <c r="BM484" i="6"/>
  <c r="BK484" i="6"/>
  <c r="BI484" i="6"/>
  <c r="BG484" i="6"/>
  <c r="BE484" i="6"/>
  <c r="BC484" i="6"/>
  <c r="A484" i="6"/>
  <c r="DE483" i="6"/>
  <c r="DC483" i="6"/>
  <c r="CY483" i="6"/>
  <c r="CW483" i="6"/>
  <c r="CU483" i="6"/>
  <c r="CS483" i="6"/>
  <c r="BM483" i="6"/>
  <c r="BK483" i="6"/>
  <c r="BI483" i="6"/>
  <c r="BG483" i="6"/>
  <c r="BE483" i="6"/>
  <c r="BC483" i="6"/>
  <c r="A483" i="6"/>
  <c r="DE482" i="6"/>
  <c r="DC482" i="6"/>
  <c r="CY482" i="6"/>
  <c r="CW482" i="6"/>
  <c r="CU482" i="6"/>
  <c r="CS482" i="6"/>
  <c r="BM482" i="6"/>
  <c r="BK482" i="6"/>
  <c r="BI482" i="6"/>
  <c r="BG482" i="6"/>
  <c r="BE482" i="6"/>
  <c r="BC482" i="6"/>
  <c r="A482" i="6"/>
  <c r="DE481" i="6"/>
  <c r="DC481" i="6"/>
  <c r="CY481" i="6"/>
  <c r="CW481" i="6"/>
  <c r="CU481" i="6"/>
  <c r="CS481" i="6"/>
  <c r="BM481" i="6"/>
  <c r="BK481" i="6"/>
  <c r="BI481" i="6"/>
  <c r="BG481" i="6"/>
  <c r="BE481" i="6"/>
  <c r="BC481" i="6"/>
  <c r="A481" i="6"/>
  <c r="DE480" i="6"/>
  <c r="DC480" i="6"/>
  <c r="CY480" i="6"/>
  <c r="CW480" i="6"/>
  <c r="CU480" i="6"/>
  <c r="CS480" i="6"/>
  <c r="BM480" i="6"/>
  <c r="BK480" i="6"/>
  <c r="BI480" i="6"/>
  <c r="BG480" i="6"/>
  <c r="BE480" i="6"/>
  <c r="BC480" i="6"/>
  <c r="A480" i="6"/>
  <c r="DE479" i="6"/>
  <c r="DC479" i="6"/>
  <c r="CY479" i="6"/>
  <c r="CW479" i="6"/>
  <c r="CU479" i="6"/>
  <c r="CS479" i="6"/>
  <c r="BM479" i="6"/>
  <c r="BK479" i="6"/>
  <c r="BI479" i="6"/>
  <c r="BG479" i="6"/>
  <c r="BE479" i="6"/>
  <c r="BC479" i="6"/>
  <c r="A479" i="6"/>
  <c r="DE478" i="6"/>
  <c r="DC478" i="6"/>
  <c r="CY478" i="6"/>
  <c r="CW478" i="6"/>
  <c r="CU478" i="6"/>
  <c r="CS478" i="6"/>
  <c r="BM478" i="6"/>
  <c r="BK478" i="6"/>
  <c r="BI478" i="6"/>
  <c r="BG478" i="6"/>
  <c r="BE478" i="6"/>
  <c r="BC478" i="6"/>
  <c r="A478" i="6"/>
  <c r="DE477" i="6"/>
  <c r="DC477" i="6"/>
  <c r="CY477" i="6"/>
  <c r="CW477" i="6"/>
  <c r="CU477" i="6"/>
  <c r="CS477" i="6"/>
  <c r="BM477" i="6"/>
  <c r="BK477" i="6"/>
  <c r="BI477" i="6"/>
  <c r="BG477" i="6"/>
  <c r="BE477" i="6"/>
  <c r="BC477" i="6"/>
  <c r="A477" i="6"/>
  <c r="DE476" i="6"/>
  <c r="DC476" i="6"/>
  <c r="CY476" i="6"/>
  <c r="CW476" i="6"/>
  <c r="CU476" i="6"/>
  <c r="CS476" i="6"/>
  <c r="BM476" i="6"/>
  <c r="BK476" i="6"/>
  <c r="BI476" i="6"/>
  <c r="BG476" i="6"/>
  <c r="BE476" i="6"/>
  <c r="BC476" i="6"/>
  <c r="A476" i="6"/>
  <c r="DE475" i="6"/>
  <c r="DC475" i="6"/>
  <c r="CY475" i="6"/>
  <c r="CW475" i="6"/>
  <c r="CU475" i="6"/>
  <c r="CS475" i="6"/>
  <c r="BM475" i="6"/>
  <c r="BK475" i="6"/>
  <c r="BI475" i="6"/>
  <c r="BG475" i="6"/>
  <c r="BE475" i="6"/>
  <c r="BC475" i="6"/>
  <c r="A475" i="6"/>
  <c r="DE474" i="6"/>
  <c r="DC474" i="6"/>
  <c r="CY474" i="6"/>
  <c r="CW474" i="6"/>
  <c r="CU474" i="6"/>
  <c r="CS474" i="6"/>
  <c r="BM474" i="6"/>
  <c r="BK474" i="6"/>
  <c r="BI474" i="6"/>
  <c r="BG474" i="6"/>
  <c r="BE474" i="6"/>
  <c r="BC474" i="6"/>
  <c r="A474" i="6"/>
  <c r="DE473" i="6"/>
  <c r="DC473" i="6"/>
  <c r="CY473" i="6"/>
  <c r="CW473" i="6"/>
  <c r="CU473" i="6"/>
  <c r="CS473" i="6"/>
  <c r="BM473" i="6"/>
  <c r="BK473" i="6"/>
  <c r="BI473" i="6"/>
  <c r="BG473" i="6"/>
  <c r="BE473" i="6"/>
  <c r="BC473" i="6"/>
  <c r="A473" i="6"/>
  <c r="DE472" i="6"/>
  <c r="DC472" i="6"/>
  <c r="CY472" i="6"/>
  <c r="CW472" i="6"/>
  <c r="CU472" i="6"/>
  <c r="CS472" i="6"/>
  <c r="BM472" i="6"/>
  <c r="BK472" i="6"/>
  <c r="BI472" i="6"/>
  <c r="BG472" i="6"/>
  <c r="BE472" i="6"/>
  <c r="BC472" i="6"/>
  <c r="A472" i="6"/>
  <c r="DE471" i="6"/>
  <c r="DC471" i="6"/>
  <c r="CY471" i="6"/>
  <c r="CW471" i="6"/>
  <c r="CU471" i="6"/>
  <c r="CS471" i="6"/>
  <c r="BM471" i="6"/>
  <c r="BK471" i="6"/>
  <c r="BI471" i="6"/>
  <c r="BG471" i="6"/>
  <c r="BE471" i="6"/>
  <c r="BC471" i="6"/>
  <c r="A471" i="6"/>
  <c r="DE470" i="6"/>
  <c r="DC470" i="6"/>
  <c r="CY470" i="6"/>
  <c r="CW470" i="6"/>
  <c r="CU470" i="6"/>
  <c r="CS470" i="6"/>
  <c r="BM470" i="6"/>
  <c r="BK470" i="6"/>
  <c r="BI470" i="6"/>
  <c r="BG470" i="6"/>
  <c r="BE470" i="6"/>
  <c r="BC470" i="6"/>
  <c r="A470" i="6"/>
  <c r="DE469" i="6"/>
  <c r="DC469" i="6"/>
  <c r="CY469" i="6"/>
  <c r="CW469" i="6"/>
  <c r="CU469" i="6"/>
  <c r="CS469" i="6"/>
  <c r="BM469" i="6"/>
  <c r="BK469" i="6"/>
  <c r="BI469" i="6"/>
  <c r="BG469" i="6"/>
  <c r="BE469" i="6"/>
  <c r="BC469" i="6"/>
  <c r="A469" i="6"/>
  <c r="DE468" i="6"/>
  <c r="DC468" i="6"/>
  <c r="CY468" i="6"/>
  <c r="CW468" i="6"/>
  <c r="CU468" i="6"/>
  <c r="CS468" i="6"/>
  <c r="BM468" i="6"/>
  <c r="BK468" i="6"/>
  <c r="BI468" i="6"/>
  <c r="BG468" i="6"/>
  <c r="BE468" i="6"/>
  <c r="BC468" i="6"/>
  <c r="A468" i="6"/>
  <c r="DE467" i="6"/>
  <c r="DC467" i="6"/>
  <c r="CY467" i="6"/>
  <c r="CW467" i="6"/>
  <c r="CU467" i="6"/>
  <c r="CS467" i="6"/>
  <c r="BM467" i="6"/>
  <c r="BK467" i="6"/>
  <c r="BI467" i="6"/>
  <c r="BG467" i="6"/>
  <c r="BE467" i="6"/>
  <c r="BC467" i="6"/>
  <c r="A467" i="6"/>
  <c r="DE466" i="6"/>
  <c r="DC466" i="6"/>
  <c r="CY466" i="6"/>
  <c r="CW466" i="6"/>
  <c r="CU466" i="6"/>
  <c r="CS466" i="6"/>
  <c r="BM466" i="6"/>
  <c r="BK466" i="6"/>
  <c r="BI466" i="6"/>
  <c r="BG466" i="6"/>
  <c r="BE466" i="6"/>
  <c r="BC466" i="6"/>
  <c r="A466" i="6"/>
  <c r="DE465" i="6"/>
  <c r="DC465" i="6"/>
  <c r="CY465" i="6"/>
  <c r="CW465" i="6"/>
  <c r="CU465" i="6"/>
  <c r="CS465" i="6"/>
  <c r="BM465" i="6"/>
  <c r="BK465" i="6"/>
  <c r="BI465" i="6"/>
  <c r="BG465" i="6"/>
  <c r="BE465" i="6"/>
  <c r="BC465" i="6"/>
  <c r="A465" i="6"/>
  <c r="DE464" i="6"/>
  <c r="DC464" i="6"/>
  <c r="CY464" i="6"/>
  <c r="CW464" i="6"/>
  <c r="CU464" i="6"/>
  <c r="CS464" i="6"/>
  <c r="BM464" i="6"/>
  <c r="BK464" i="6"/>
  <c r="BI464" i="6"/>
  <c r="BG464" i="6"/>
  <c r="BE464" i="6"/>
  <c r="BC464" i="6"/>
  <c r="A464" i="6"/>
  <c r="DE463" i="6"/>
  <c r="DC463" i="6"/>
  <c r="CY463" i="6"/>
  <c r="CW463" i="6"/>
  <c r="CU463" i="6"/>
  <c r="CS463" i="6"/>
  <c r="BM463" i="6"/>
  <c r="BK463" i="6"/>
  <c r="BI463" i="6"/>
  <c r="BG463" i="6"/>
  <c r="BE463" i="6"/>
  <c r="BC463" i="6"/>
  <c r="A463" i="6"/>
  <c r="DE462" i="6"/>
  <c r="DC462" i="6"/>
  <c r="CY462" i="6"/>
  <c r="CW462" i="6"/>
  <c r="CU462" i="6"/>
  <c r="CS462" i="6"/>
  <c r="BM462" i="6"/>
  <c r="BK462" i="6"/>
  <c r="BI462" i="6"/>
  <c r="BG462" i="6"/>
  <c r="BE462" i="6"/>
  <c r="BC462" i="6"/>
  <c r="A462" i="6"/>
  <c r="DE461" i="6"/>
  <c r="DC461" i="6"/>
  <c r="CY461" i="6"/>
  <c r="CW461" i="6"/>
  <c r="CU461" i="6"/>
  <c r="CS461" i="6"/>
  <c r="BM461" i="6"/>
  <c r="BK461" i="6"/>
  <c r="BI461" i="6"/>
  <c r="BG461" i="6"/>
  <c r="BE461" i="6"/>
  <c r="BC461" i="6"/>
  <c r="A461" i="6"/>
  <c r="DE460" i="6"/>
  <c r="DC460" i="6"/>
  <c r="CY460" i="6"/>
  <c r="CW460" i="6"/>
  <c r="CU460" i="6"/>
  <c r="CS460" i="6"/>
  <c r="BM460" i="6"/>
  <c r="BK460" i="6"/>
  <c r="BI460" i="6"/>
  <c r="BG460" i="6"/>
  <c r="BE460" i="6"/>
  <c r="BC460" i="6"/>
  <c r="A460" i="6"/>
  <c r="DE459" i="6"/>
  <c r="DC459" i="6"/>
  <c r="CY459" i="6"/>
  <c r="CW459" i="6"/>
  <c r="CU459" i="6"/>
  <c r="CS459" i="6"/>
  <c r="BM459" i="6"/>
  <c r="BK459" i="6"/>
  <c r="BI459" i="6"/>
  <c r="BG459" i="6"/>
  <c r="BE459" i="6"/>
  <c r="BC459" i="6"/>
  <c r="A459" i="6"/>
  <c r="DE458" i="6"/>
  <c r="DC458" i="6"/>
  <c r="CY458" i="6"/>
  <c r="CW458" i="6"/>
  <c r="CU458" i="6"/>
  <c r="CS458" i="6"/>
  <c r="BM458" i="6"/>
  <c r="BK458" i="6"/>
  <c r="BI458" i="6"/>
  <c r="BG458" i="6"/>
  <c r="BE458" i="6"/>
  <c r="BC458" i="6"/>
  <c r="A458" i="6"/>
  <c r="DE457" i="6"/>
  <c r="DC457" i="6"/>
  <c r="CY457" i="6"/>
  <c r="CW457" i="6"/>
  <c r="CU457" i="6"/>
  <c r="CS457" i="6"/>
  <c r="BM457" i="6"/>
  <c r="BK457" i="6"/>
  <c r="BI457" i="6"/>
  <c r="BG457" i="6"/>
  <c r="BE457" i="6"/>
  <c r="BC457" i="6"/>
  <c r="A457" i="6"/>
  <c r="DE456" i="6"/>
  <c r="DC456" i="6"/>
  <c r="CY456" i="6"/>
  <c r="CW456" i="6"/>
  <c r="CU456" i="6"/>
  <c r="CS456" i="6"/>
  <c r="BM456" i="6"/>
  <c r="BK456" i="6"/>
  <c r="BI456" i="6"/>
  <c r="BG456" i="6"/>
  <c r="BE456" i="6"/>
  <c r="BC456" i="6"/>
  <c r="A456" i="6"/>
  <c r="DE455" i="6"/>
  <c r="DC455" i="6"/>
  <c r="CY455" i="6"/>
  <c r="CW455" i="6"/>
  <c r="CU455" i="6"/>
  <c r="CS455" i="6"/>
  <c r="BM455" i="6"/>
  <c r="BK455" i="6"/>
  <c r="BI455" i="6"/>
  <c r="BG455" i="6"/>
  <c r="BE455" i="6"/>
  <c r="BC455" i="6"/>
  <c r="A455" i="6"/>
  <c r="DE454" i="6"/>
  <c r="DC454" i="6"/>
  <c r="CY454" i="6"/>
  <c r="CW454" i="6"/>
  <c r="CU454" i="6"/>
  <c r="CS454" i="6"/>
  <c r="BM454" i="6"/>
  <c r="BK454" i="6"/>
  <c r="BI454" i="6"/>
  <c r="BG454" i="6"/>
  <c r="BE454" i="6"/>
  <c r="BC454" i="6"/>
  <c r="A454" i="6"/>
  <c r="DE453" i="6"/>
  <c r="DC453" i="6"/>
  <c r="CY453" i="6"/>
  <c r="CW453" i="6"/>
  <c r="CU453" i="6"/>
  <c r="CS453" i="6"/>
  <c r="BM453" i="6"/>
  <c r="BK453" i="6"/>
  <c r="BI453" i="6"/>
  <c r="BG453" i="6"/>
  <c r="BE453" i="6"/>
  <c r="BC453" i="6"/>
  <c r="A453" i="6"/>
  <c r="DE452" i="6"/>
  <c r="DC452" i="6"/>
  <c r="CY452" i="6"/>
  <c r="CW452" i="6"/>
  <c r="CU452" i="6"/>
  <c r="CS452" i="6"/>
  <c r="BM452" i="6"/>
  <c r="BK452" i="6"/>
  <c r="BI452" i="6"/>
  <c r="BG452" i="6"/>
  <c r="BE452" i="6"/>
  <c r="BC452" i="6"/>
  <c r="A452" i="6"/>
  <c r="DE451" i="6"/>
  <c r="DC451" i="6"/>
  <c r="CY451" i="6"/>
  <c r="CW451" i="6"/>
  <c r="CU451" i="6"/>
  <c r="CS451" i="6"/>
  <c r="BM451" i="6"/>
  <c r="BK451" i="6"/>
  <c r="BI451" i="6"/>
  <c r="BG451" i="6"/>
  <c r="BE451" i="6"/>
  <c r="BC451" i="6"/>
  <c r="A451" i="6"/>
  <c r="DE450" i="6"/>
  <c r="DC450" i="6"/>
  <c r="CY450" i="6"/>
  <c r="CW450" i="6"/>
  <c r="CU450" i="6"/>
  <c r="CS450" i="6"/>
  <c r="BM450" i="6"/>
  <c r="BK450" i="6"/>
  <c r="BI450" i="6"/>
  <c r="BG450" i="6"/>
  <c r="BE450" i="6"/>
  <c r="BC450" i="6"/>
  <c r="A450" i="6"/>
  <c r="DE449" i="6"/>
  <c r="DC449" i="6"/>
  <c r="CY449" i="6"/>
  <c r="CW449" i="6"/>
  <c r="CU449" i="6"/>
  <c r="CS449" i="6"/>
  <c r="BM449" i="6"/>
  <c r="BK449" i="6"/>
  <c r="BI449" i="6"/>
  <c r="BG449" i="6"/>
  <c r="BE449" i="6"/>
  <c r="BC449" i="6"/>
  <c r="A449" i="6"/>
  <c r="DE448" i="6"/>
  <c r="DC448" i="6"/>
  <c r="CY448" i="6"/>
  <c r="CW448" i="6"/>
  <c r="CU448" i="6"/>
  <c r="CS448" i="6"/>
  <c r="BM448" i="6"/>
  <c r="BK448" i="6"/>
  <c r="BI448" i="6"/>
  <c r="BG448" i="6"/>
  <c r="BE448" i="6"/>
  <c r="BC448" i="6"/>
  <c r="A448" i="6"/>
  <c r="DE447" i="6"/>
  <c r="DC447" i="6"/>
  <c r="CY447" i="6"/>
  <c r="CW447" i="6"/>
  <c r="CU447" i="6"/>
  <c r="CS447" i="6"/>
  <c r="BM447" i="6"/>
  <c r="BK447" i="6"/>
  <c r="BI447" i="6"/>
  <c r="BG447" i="6"/>
  <c r="BE447" i="6"/>
  <c r="BC447" i="6"/>
  <c r="A447" i="6"/>
  <c r="DE446" i="6"/>
  <c r="DC446" i="6"/>
  <c r="CY446" i="6"/>
  <c r="CW446" i="6"/>
  <c r="CU446" i="6"/>
  <c r="CS446" i="6"/>
  <c r="BM446" i="6"/>
  <c r="BK446" i="6"/>
  <c r="BI446" i="6"/>
  <c r="BG446" i="6"/>
  <c r="BE446" i="6"/>
  <c r="BC446" i="6"/>
  <c r="A446" i="6"/>
  <c r="DE445" i="6"/>
  <c r="DC445" i="6"/>
  <c r="CY445" i="6"/>
  <c r="CW445" i="6"/>
  <c r="CU445" i="6"/>
  <c r="CS445" i="6"/>
  <c r="BM445" i="6"/>
  <c r="BK445" i="6"/>
  <c r="BI445" i="6"/>
  <c r="BG445" i="6"/>
  <c r="BE445" i="6"/>
  <c r="BC445" i="6"/>
  <c r="A445" i="6"/>
  <c r="DE444" i="6"/>
  <c r="DC444" i="6"/>
  <c r="CY444" i="6"/>
  <c r="CW444" i="6"/>
  <c r="CU444" i="6"/>
  <c r="CS444" i="6"/>
  <c r="BM444" i="6"/>
  <c r="BK444" i="6"/>
  <c r="BI444" i="6"/>
  <c r="BG444" i="6"/>
  <c r="BE444" i="6"/>
  <c r="BC444" i="6"/>
  <c r="A444" i="6"/>
  <c r="DE443" i="6"/>
  <c r="DC443" i="6"/>
  <c r="CY443" i="6"/>
  <c r="CW443" i="6"/>
  <c r="CU443" i="6"/>
  <c r="CS443" i="6"/>
  <c r="BM443" i="6"/>
  <c r="BK443" i="6"/>
  <c r="BI443" i="6"/>
  <c r="BG443" i="6"/>
  <c r="BE443" i="6"/>
  <c r="BC443" i="6"/>
  <c r="A443" i="6"/>
  <c r="DE442" i="6"/>
  <c r="DC442" i="6"/>
  <c r="CY442" i="6"/>
  <c r="CW442" i="6"/>
  <c r="CU442" i="6"/>
  <c r="CS442" i="6"/>
  <c r="BM442" i="6"/>
  <c r="BK442" i="6"/>
  <c r="BI442" i="6"/>
  <c r="BG442" i="6"/>
  <c r="BE442" i="6"/>
  <c r="BC442" i="6"/>
  <c r="A442" i="6"/>
  <c r="DE441" i="6"/>
  <c r="DC441" i="6"/>
  <c r="CY441" i="6"/>
  <c r="CW441" i="6"/>
  <c r="CU441" i="6"/>
  <c r="CS441" i="6"/>
  <c r="BM441" i="6"/>
  <c r="BK441" i="6"/>
  <c r="BI441" i="6"/>
  <c r="BG441" i="6"/>
  <c r="BE441" i="6"/>
  <c r="BC441" i="6"/>
  <c r="A441" i="6"/>
  <c r="DE440" i="6"/>
  <c r="DC440" i="6"/>
  <c r="CY440" i="6"/>
  <c r="CW440" i="6"/>
  <c r="CU440" i="6"/>
  <c r="CS440" i="6"/>
  <c r="BM440" i="6"/>
  <c r="BK440" i="6"/>
  <c r="BI440" i="6"/>
  <c r="BG440" i="6"/>
  <c r="BE440" i="6"/>
  <c r="BC440" i="6"/>
  <c r="A440" i="6"/>
  <c r="DE439" i="6"/>
  <c r="DC439" i="6"/>
  <c r="CY439" i="6"/>
  <c r="CW439" i="6"/>
  <c r="CU439" i="6"/>
  <c r="CS439" i="6"/>
  <c r="BM439" i="6"/>
  <c r="BK439" i="6"/>
  <c r="BI439" i="6"/>
  <c r="BG439" i="6"/>
  <c r="BE439" i="6"/>
  <c r="BC439" i="6"/>
  <c r="A439" i="6"/>
  <c r="DE438" i="6"/>
  <c r="DC438" i="6"/>
  <c r="CY438" i="6"/>
  <c r="CW438" i="6"/>
  <c r="CU438" i="6"/>
  <c r="CS438" i="6"/>
  <c r="BM438" i="6"/>
  <c r="BK438" i="6"/>
  <c r="BI438" i="6"/>
  <c r="BG438" i="6"/>
  <c r="BE438" i="6"/>
  <c r="BC438" i="6"/>
  <c r="A438" i="6"/>
  <c r="DE437" i="6"/>
  <c r="DC437" i="6"/>
  <c r="CY437" i="6"/>
  <c r="CW437" i="6"/>
  <c r="CU437" i="6"/>
  <c r="CS437" i="6"/>
  <c r="BM437" i="6"/>
  <c r="BK437" i="6"/>
  <c r="BI437" i="6"/>
  <c r="BG437" i="6"/>
  <c r="BE437" i="6"/>
  <c r="BC437" i="6"/>
  <c r="A437" i="6"/>
  <c r="DE436" i="6"/>
  <c r="DC436" i="6"/>
  <c r="CY436" i="6"/>
  <c r="CW436" i="6"/>
  <c r="CU436" i="6"/>
  <c r="CS436" i="6"/>
  <c r="BM436" i="6"/>
  <c r="BK436" i="6"/>
  <c r="BI436" i="6"/>
  <c r="BG436" i="6"/>
  <c r="BE436" i="6"/>
  <c r="BC436" i="6"/>
  <c r="A436" i="6"/>
  <c r="DE435" i="6"/>
  <c r="DC435" i="6"/>
  <c r="CY435" i="6"/>
  <c r="CW435" i="6"/>
  <c r="CU435" i="6"/>
  <c r="CS435" i="6"/>
  <c r="BM435" i="6"/>
  <c r="BK435" i="6"/>
  <c r="BI435" i="6"/>
  <c r="BG435" i="6"/>
  <c r="BE435" i="6"/>
  <c r="BC435" i="6"/>
  <c r="A435" i="6"/>
  <c r="DE434" i="6"/>
  <c r="DC434" i="6"/>
  <c r="CY434" i="6"/>
  <c r="CW434" i="6"/>
  <c r="CU434" i="6"/>
  <c r="CS434" i="6"/>
  <c r="BM434" i="6"/>
  <c r="BK434" i="6"/>
  <c r="BI434" i="6"/>
  <c r="BG434" i="6"/>
  <c r="BE434" i="6"/>
  <c r="BC434" i="6"/>
  <c r="A434" i="6"/>
  <c r="DE433" i="6"/>
  <c r="DC433" i="6"/>
  <c r="CY433" i="6"/>
  <c r="CW433" i="6"/>
  <c r="CU433" i="6"/>
  <c r="CS433" i="6"/>
  <c r="BM433" i="6"/>
  <c r="BK433" i="6"/>
  <c r="BI433" i="6"/>
  <c r="BG433" i="6"/>
  <c r="BE433" i="6"/>
  <c r="BC433" i="6"/>
  <c r="A433" i="6"/>
  <c r="DE432" i="6"/>
  <c r="DC432" i="6"/>
  <c r="CY432" i="6"/>
  <c r="CW432" i="6"/>
  <c r="CU432" i="6"/>
  <c r="CS432" i="6"/>
  <c r="BM432" i="6"/>
  <c r="BK432" i="6"/>
  <c r="BI432" i="6"/>
  <c r="BG432" i="6"/>
  <c r="BE432" i="6"/>
  <c r="BC432" i="6"/>
  <c r="A432" i="6"/>
  <c r="DE431" i="6"/>
  <c r="DC431" i="6"/>
  <c r="CY431" i="6"/>
  <c r="CW431" i="6"/>
  <c r="CU431" i="6"/>
  <c r="CS431" i="6"/>
  <c r="BM431" i="6"/>
  <c r="BK431" i="6"/>
  <c r="BI431" i="6"/>
  <c r="BG431" i="6"/>
  <c r="BE431" i="6"/>
  <c r="BC431" i="6"/>
  <c r="A431" i="6"/>
  <c r="DE430" i="6"/>
  <c r="DC430" i="6"/>
  <c r="CY430" i="6"/>
  <c r="CW430" i="6"/>
  <c r="CU430" i="6"/>
  <c r="CS430" i="6"/>
  <c r="BM430" i="6"/>
  <c r="BK430" i="6"/>
  <c r="BI430" i="6"/>
  <c r="BG430" i="6"/>
  <c r="BE430" i="6"/>
  <c r="BC430" i="6"/>
  <c r="A430" i="6"/>
  <c r="DE429" i="6"/>
  <c r="DC429" i="6"/>
  <c r="CY429" i="6"/>
  <c r="CW429" i="6"/>
  <c r="CU429" i="6"/>
  <c r="CS429" i="6"/>
  <c r="BM429" i="6"/>
  <c r="BK429" i="6"/>
  <c r="BI429" i="6"/>
  <c r="BG429" i="6"/>
  <c r="BE429" i="6"/>
  <c r="BC429" i="6"/>
  <c r="A429" i="6"/>
  <c r="DE428" i="6"/>
  <c r="DC428" i="6"/>
  <c r="CY428" i="6"/>
  <c r="CW428" i="6"/>
  <c r="CU428" i="6"/>
  <c r="CS428" i="6"/>
  <c r="BM428" i="6"/>
  <c r="BK428" i="6"/>
  <c r="BI428" i="6"/>
  <c r="BG428" i="6"/>
  <c r="BE428" i="6"/>
  <c r="BC428" i="6"/>
  <c r="A428" i="6"/>
  <c r="DE427" i="6"/>
  <c r="DC427" i="6"/>
  <c r="CY427" i="6"/>
  <c r="CW427" i="6"/>
  <c r="CU427" i="6"/>
  <c r="CS427" i="6"/>
  <c r="BM427" i="6"/>
  <c r="BK427" i="6"/>
  <c r="BI427" i="6"/>
  <c r="BG427" i="6"/>
  <c r="BE427" i="6"/>
  <c r="BC427" i="6"/>
  <c r="A427" i="6"/>
  <c r="DE426" i="6"/>
  <c r="DC426" i="6"/>
  <c r="CY426" i="6"/>
  <c r="CW426" i="6"/>
  <c r="CU426" i="6"/>
  <c r="CS426" i="6"/>
  <c r="BM426" i="6"/>
  <c r="BK426" i="6"/>
  <c r="BI426" i="6"/>
  <c r="BG426" i="6"/>
  <c r="BE426" i="6"/>
  <c r="BC426" i="6"/>
  <c r="A426" i="6"/>
  <c r="DE425" i="6"/>
  <c r="DC425" i="6"/>
  <c r="CY425" i="6"/>
  <c r="CW425" i="6"/>
  <c r="CU425" i="6"/>
  <c r="CS425" i="6"/>
  <c r="BM425" i="6"/>
  <c r="BK425" i="6"/>
  <c r="BI425" i="6"/>
  <c r="BG425" i="6"/>
  <c r="BE425" i="6"/>
  <c r="BC425" i="6"/>
  <c r="A425" i="6"/>
  <c r="DE424" i="6"/>
  <c r="DC424" i="6"/>
  <c r="CY424" i="6"/>
  <c r="CW424" i="6"/>
  <c r="CU424" i="6"/>
  <c r="CS424" i="6"/>
  <c r="BM424" i="6"/>
  <c r="BK424" i="6"/>
  <c r="BI424" i="6"/>
  <c r="BG424" i="6"/>
  <c r="BE424" i="6"/>
  <c r="BC424" i="6"/>
  <c r="A424" i="6"/>
  <c r="DE423" i="6"/>
  <c r="DC423" i="6"/>
  <c r="CY423" i="6"/>
  <c r="CW423" i="6"/>
  <c r="CU423" i="6"/>
  <c r="CS423" i="6"/>
  <c r="BM423" i="6"/>
  <c r="BK423" i="6"/>
  <c r="BI423" i="6"/>
  <c r="BG423" i="6"/>
  <c r="BE423" i="6"/>
  <c r="BC423" i="6"/>
  <c r="A423" i="6"/>
  <c r="DE422" i="6"/>
  <c r="DC422" i="6"/>
  <c r="CY422" i="6"/>
  <c r="CW422" i="6"/>
  <c r="CU422" i="6"/>
  <c r="CS422" i="6"/>
  <c r="BM422" i="6"/>
  <c r="BK422" i="6"/>
  <c r="BI422" i="6"/>
  <c r="BG422" i="6"/>
  <c r="BE422" i="6"/>
  <c r="BC422" i="6"/>
  <c r="A422" i="6"/>
  <c r="DE421" i="6"/>
  <c r="DC421" i="6"/>
  <c r="CY421" i="6"/>
  <c r="CW421" i="6"/>
  <c r="CU421" i="6"/>
  <c r="CS421" i="6"/>
  <c r="BM421" i="6"/>
  <c r="BK421" i="6"/>
  <c r="BI421" i="6"/>
  <c r="BG421" i="6"/>
  <c r="BE421" i="6"/>
  <c r="BC421" i="6"/>
  <c r="A421" i="6"/>
  <c r="DE420" i="6"/>
  <c r="DC420" i="6"/>
  <c r="CY420" i="6"/>
  <c r="CW420" i="6"/>
  <c r="CU420" i="6"/>
  <c r="CS420" i="6"/>
  <c r="BM420" i="6"/>
  <c r="BK420" i="6"/>
  <c r="BI420" i="6"/>
  <c r="BG420" i="6"/>
  <c r="BE420" i="6"/>
  <c r="BC420" i="6"/>
  <c r="A420" i="6"/>
  <c r="DE419" i="6"/>
  <c r="DC419" i="6"/>
  <c r="CY419" i="6"/>
  <c r="CW419" i="6"/>
  <c r="CU419" i="6"/>
  <c r="CS419" i="6"/>
  <c r="BM419" i="6"/>
  <c r="BK419" i="6"/>
  <c r="BI419" i="6"/>
  <c r="BG419" i="6"/>
  <c r="BE419" i="6"/>
  <c r="BC419" i="6"/>
  <c r="A419" i="6"/>
  <c r="DE418" i="6"/>
  <c r="DC418" i="6"/>
  <c r="CY418" i="6"/>
  <c r="CW418" i="6"/>
  <c r="CU418" i="6"/>
  <c r="CS418" i="6"/>
  <c r="BM418" i="6"/>
  <c r="BK418" i="6"/>
  <c r="BI418" i="6"/>
  <c r="BG418" i="6"/>
  <c r="BE418" i="6"/>
  <c r="BC418" i="6"/>
  <c r="A418" i="6"/>
  <c r="DE417" i="6"/>
  <c r="DC417" i="6"/>
  <c r="CY417" i="6"/>
  <c r="CW417" i="6"/>
  <c r="CU417" i="6"/>
  <c r="CS417" i="6"/>
  <c r="BM417" i="6"/>
  <c r="BK417" i="6"/>
  <c r="BI417" i="6"/>
  <c r="BG417" i="6"/>
  <c r="BE417" i="6"/>
  <c r="BC417" i="6"/>
  <c r="A417" i="6"/>
  <c r="DE416" i="6"/>
  <c r="DC416" i="6"/>
  <c r="CY416" i="6"/>
  <c r="CW416" i="6"/>
  <c r="CU416" i="6"/>
  <c r="CS416" i="6"/>
  <c r="BM416" i="6"/>
  <c r="BK416" i="6"/>
  <c r="BI416" i="6"/>
  <c r="BG416" i="6"/>
  <c r="BE416" i="6"/>
  <c r="BC416" i="6"/>
  <c r="A416" i="6"/>
  <c r="DE415" i="6"/>
  <c r="DC415" i="6"/>
  <c r="CY415" i="6"/>
  <c r="CW415" i="6"/>
  <c r="CU415" i="6"/>
  <c r="CS415" i="6"/>
  <c r="BM415" i="6"/>
  <c r="BK415" i="6"/>
  <c r="BI415" i="6"/>
  <c r="BG415" i="6"/>
  <c r="BE415" i="6"/>
  <c r="BC415" i="6"/>
  <c r="A415" i="6"/>
  <c r="DE414" i="6"/>
  <c r="DC414" i="6"/>
  <c r="CY414" i="6"/>
  <c r="CW414" i="6"/>
  <c r="CU414" i="6"/>
  <c r="CS414" i="6"/>
  <c r="BM414" i="6"/>
  <c r="BK414" i="6"/>
  <c r="BI414" i="6"/>
  <c r="BG414" i="6"/>
  <c r="BE414" i="6"/>
  <c r="BC414" i="6"/>
  <c r="A414" i="6"/>
  <c r="DE413" i="6"/>
  <c r="DC413" i="6"/>
  <c r="CY413" i="6"/>
  <c r="CW413" i="6"/>
  <c r="CU413" i="6"/>
  <c r="CS413" i="6"/>
  <c r="BM413" i="6"/>
  <c r="BK413" i="6"/>
  <c r="BI413" i="6"/>
  <c r="BG413" i="6"/>
  <c r="BE413" i="6"/>
  <c r="BC413" i="6"/>
  <c r="A413" i="6"/>
  <c r="DE412" i="6"/>
  <c r="DC412" i="6"/>
  <c r="CY412" i="6"/>
  <c r="CW412" i="6"/>
  <c r="CU412" i="6"/>
  <c r="CS412" i="6"/>
  <c r="BM412" i="6"/>
  <c r="BK412" i="6"/>
  <c r="BI412" i="6"/>
  <c r="BG412" i="6"/>
  <c r="BE412" i="6"/>
  <c r="BC412" i="6"/>
  <c r="A412" i="6"/>
  <c r="DE411" i="6"/>
  <c r="DC411" i="6"/>
  <c r="CY411" i="6"/>
  <c r="CW411" i="6"/>
  <c r="CU411" i="6"/>
  <c r="CS411" i="6"/>
  <c r="BM411" i="6"/>
  <c r="BK411" i="6"/>
  <c r="BI411" i="6"/>
  <c r="BG411" i="6"/>
  <c r="BE411" i="6"/>
  <c r="BC411" i="6"/>
  <c r="A411" i="6"/>
  <c r="DE410" i="6"/>
  <c r="DC410" i="6"/>
  <c r="CY410" i="6"/>
  <c r="CW410" i="6"/>
  <c r="CU410" i="6"/>
  <c r="CS410" i="6"/>
  <c r="BM410" i="6"/>
  <c r="BK410" i="6"/>
  <c r="BI410" i="6"/>
  <c r="BG410" i="6"/>
  <c r="BE410" i="6"/>
  <c r="BC410" i="6"/>
  <c r="A410" i="6"/>
  <c r="DE409" i="6"/>
  <c r="DC409" i="6"/>
  <c r="CY409" i="6"/>
  <c r="CW409" i="6"/>
  <c r="CU409" i="6"/>
  <c r="CS409" i="6"/>
  <c r="BM409" i="6"/>
  <c r="BK409" i="6"/>
  <c r="BI409" i="6"/>
  <c r="BG409" i="6"/>
  <c r="BE409" i="6"/>
  <c r="BC409" i="6"/>
  <c r="A409" i="6"/>
  <c r="DE408" i="6"/>
  <c r="DC408" i="6"/>
  <c r="CY408" i="6"/>
  <c r="CW408" i="6"/>
  <c r="CU408" i="6"/>
  <c r="CS408" i="6"/>
  <c r="BM408" i="6"/>
  <c r="BK408" i="6"/>
  <c r="BI408" i="6"/>
  <c r="BG408" i="6"/>
  <c r="BE408" i="6"/>
  <c r="BC408" i="6"/>
  <c r="A408" i="6"/>
  <c r="DE407" i="6"/>
  <c r="DC407" i="6"/>
  <c r="CY407" i="6"/>
  <c r="CW407" i="6"/>
  <c r="CU407" i="6"/>
  <c r="CS407" i="6"/>
  <c r="BM407" i="6"/>
  <c r="BK407" i="6"/>
  <c r="BI407" i="6"/>
  <c r="BG407" i="6"/>
  <c r="BE407" i="6"/>
  <c r="BC407" i="6"/>
  <c r="A407" i="6"/>
  <c r="DE406" i="6"/>
  <c r="DC406" i="6"/>
  <c r="CY406" i="6"/>
  <c r="CW406" i="6"/>
  <c r="CU406" i="6"/>
  <c r="CS406" i="6"/>
  <c r="BM406" i="6"/>
  <c r="BK406" i="6"/>
  <c r="BI406" i="6"/>
  <c r="BG406" i="6"/>
  <c r="BE406" i="6"/>
  <c r="BC406" i="6"/>
  <c r="A406" i="6"/>
  <c r="DE405" i="6"/>
  <c r="DC405" i="6"/>
  <c r="CY405" i="6"/>
  <c r="CW405" i="6"/>
  <c r="CU405" i="6"/>
  <c r="CS405" i="6"/>
  <c r="BM405" i="6"/>
  <c r="BK405" i="6"/>
  <c r="BI405" i="6"/>
  <c r="BG405" i="6"/>
  <c r="BE405" i="6"/>
  <c r="BC405" i="6"/>
  <c r="A405" i="6"/>
  <c r="DE404" i="6"/>
  <c r="DC404" i="6"/>
  <c r="CY404" i="6"/>
  <c r="CW404" i="6"/>
  <c r="CU404" i="6"/>
  <c r="CS404" i="6"/>
  <c r="BM404" i="6"/>
  <c r="BK404" i="6"/>
  <c r="BI404" i="6"/>
  <c r="BG404" i="6"/>
  <c r="BE404" i="6"/>
  <c r="BC404" i="6"/>
  <c r="A404" i="6"/>
  <c r="DE403" i="6"/>
  <c r="DC403" i="6"/>
  <c r="CY403" i="6"/>
  <c r="CW403" i="6"/>
  <c r="CU403" i="6"/>
  <c r="CS403" i="6"/>
  <c r="BM403" i="6"/>
  <c r="BK403" i="6"/>
  <c r="BI403" i="6"/>
  <c r="BG403" i="6"/>
  <c r="BE403" i="6"/>
  <c r="BC403" i="6"/>
  <c r="A403" i="6"/>
  <c r="DL402" i="6"/>
  <c r="DK402" i="6"/>
  <c r="DE402" i="6"/>
  <c r="DC402" i="6"/>
  <c r="CY402" i="6"/>
  <c r="CW402" i="6"/>
  <c r="CU402" i="6"/>
  <c r="CS402" i="6"/>
  <c r="CK402" i="6"/>
  <c r="CI402" i="6"/>
  <c r="CG402" i="6"/>
  <c r="CE402" i="6"/>
  <c r="CC402" i="6"/>
  <c r="CA402" i="6"/>
  <c r="BY402" i="6"/>
  <c r="BW402" i="6"/>
  <c r="BU402" i="6"/>
  <c r="BS402" i="6"/>
  <c r="BQ402" i="6"/>
  <c r="BO402" i="6"/>
  <c r="BM402" i="6"/>
  <c r="BK402" i="6"/>
  <c r="BI402" i="6"/>
  <c r="BG402" i="6"/>
  <c r="BE402" i="6"/>
  <c r="BC402" i="6"/>
  <c r="AG402" i="6"/>
  <c r="AF402" i="6"/>
  <c r="AE402" i="6"/>
  <c r="AB402" i="6"/>
  <c r="AA402" i="6"/>
  <c r="Z402" i="6"/>
  <c r="V402" i="6"/>
  <c r="U402" i="6"/>
  <c r="T402" i="6"/>
  <c r="S402" i="6"/>
  <c r="Q402" i="6"/>
  <c r="E402" i="6"/>
  <c r="D402" i="6"/>
  <c r="B402" i="6"/>
  <c r="A402" i="6"/>
  <c r="DL401" i="6"/>
  <c r="DE401" i="6"/>
  <c r="DC401" i="6"/>
  <c r="CY401" i="6"/>
  <c r="CW401" i="6"/>
  <c r="CU401" i="6"/>
  <c r="CS401" i="6"/>
  <c r="CK401" i="6"/>
  <c r="CI401" i="6"/>
  <c r="CG401" i="6"/>
  <c r="CE401" i="6"/>
  <c r="CC401" i="6"/>
  <c r="CA401" i="6"/>
  <c r="BY401" i="6"/>
  <c r="BW401" i="6"/>
  <c r="BU401" i="6"/>
  <c r="BS401" i="6"/>
  <c r="BQ401" i="6"/>
  <c r="BO401" i="6"/>
  <c r="BM401" i="6"/>
  <c r="BK401" i="6"/>
  <c r="BI401" i="6"/>
  <c r="BG401" i="6"/>
  <c r="BE401" i="6"/>
  <c r="BC401" i="6"/>
  <c r="AG401" i="6"/>
  <c r="AF401" i="6"/>
  <c r="AE401" i="6"/>
  <c r="AB401" i="6"/>
  <c r="AA401" i="6"/>
  <c r="Z401" i="6"/>
  <c r="V401" i="6"/>
  <c r="U401" i="6"/>
  <c r="T401" i="6"/>
  <c r="S401" i="6"/>
  <c r="Q401" i="6"/>
  <c r="E401" i="6"/>
  <c r="D401" i="6"/>
  <c r="B401" i="6"/>
  <c r="A401" i="6"/>
  <c r="DL400" i="6"/>
  <c r="DE400" i="6"/>
  <c r="DC400" i="6"/>
  <c r="CY400" i="6"/>
  <c r="CW400" i="6"/>
  <c r="CV400" i="6"/>
  <c r="CU400" i="6"/>
  <c r="CS400" i="6"/>
  <c r="CK400" i="6"/>
  <c r="CI400" i="6"/>
  <c r="CG400" i="6"/>
  <c r="CE400" i="6"/>
  <c r="CC400" i="6"/>
  <c r="CA400" i="6"/>
  <c r="BY400" i="6"/>
  <c r="BW400" i="6"/>
  <c r="BU400" i="6"/>
  <c r="BS400" i="6"/>
  <c r="BQ400" i="6"/>
  <c r="BO400" i="6"/>
  <c r="BM400" i="6"/>
  <c r="BK400" i="6"/>
  <c r="BI400" i="6"/>
  <c r="BG400" i="6"/>
  <c r="BE400" i="6"/>
  <c r="BC400" i="6"/>
  <c r="AG400" i="6"/>
  <c r="AF400" i="6"/>
  <c r="AE400" i="6"/>
  <c r="AB400" i="6"/>
  <c r="AA400" i="6"/>
  <c r="Z400" i="6"/>
  <c r="V400" i="6"/>
  <c r="U400" i="6"/>
  <c r="T400" i="6"/>
  <c r="S400" i="6"/>
  <c r="L400" i="6"/>
  <c r="K400" i="6"/>
  <c r="J400" i="6"/>
  <c r="E400" i="6"/>
  <c r="D400" i="6"/>
  <c r="B400" i="6"/>
  <c r="A400" i="6"/>
  <c r="DL399" i="6"/>
  <c r="DK399" i="6"/>
  <c r="DJ399" i="6"/>
  <c r="DI399" i="6"/>
  <c r="DH399" i="6"/>
  <c r="DE399" i="6"/>
  <c r="DC399" i="6"/>
  <c r="CY399" i="6"/>
  <c r="CW399" i="6"/>
  <c r="CU399" i="6"/>
  <c r="CS399" i="6"/>
  <c r="CK399" i="6"/>
  <c r="CI399" i="6"/>
  <c r="CG399" i="6"/>
  <c r="CF399" i="6"/>
  <c r="CE399" i="6"/>
  <c r="CD399" i="6"/>
  <c r="CC399" i="6"/>
  <c r="CA399" i="6"/>
  <c r="BY399" i="6"/>
  <c r="BW399" i="6"/>
  <c r="BU399" i="6"/>
  <c r="BS399" i="6"/>
  <c r="BQ399" i="6"/>
  <c r="BO399" i="6"/>
  <c r="BM399" i="6"/>
  <c r="BK399" i="6"/>
  <c r="BI399" i="6"/>
  <c r="BG399" i="6"/>
  <c r="BE399" i="6"/>
  <c r="BC399" i="6"/>
  <c r="BA399" i="6"/>
  <c r="AY399" i="6"/>
  <c r="AW399" i="6"/>
  <c r="AU399" i="6"/>
  <c r="AS399" i="6"/>
  <c r="AQ399" i="6"/>
  <c r="AO399" i="6"/>
  <c r="AM399" i="6"/>
  <c r="AK399" i="6"/>
  <c r="AI399" i="6"/>
  <c r="AG399" i="6"/>
  <c r="AF399" i="6"/>
  <c r="AE399" i="6"/>
  <c r="AB399" i="6"/>
  <c r="AA399" i="6"/>
  <c r="Z399" i="6"/>
  <c r="V399" i="6"/>
  <c r="U399" i="6"/>
  <c r="T399" i="6"/>
  <c r="S399" i="6"/>
  <c r="L399" i="6"/>
  <c r="K399" i="6"/>
  <c r="J399" i="6"/>
  <c r="E399" i="6"/>
  <c r="D399" i="6"/>
  <c r="B399" i="6"/>
  <c r="A399" i="6"/>
  <c r="DL398" i="6"/>
  <c r="DJ398" i="6"/>
  <c r="DI398" i="6"/>
  <c r="DE398" i="6"/>
  <c r="DC398" i="6"/>
  <c r="CY398" i="6"/>
  <c r="CX398" i="6"/>
  <c r="CW398" i="6"/>
  <c r="CU398" i="6"/>
  <c r="CS398" i="6"/>
  <c r="CK398" i="6"/>
  <c r="CI398" i="6"/>
  <c r="CG398" i="6"/>
  <c r="CE398" i="6"/>
  <c r="CC398" i="6"/>
  <c r="CA398" i="6"/>
  <c r="BY398" i="6"/>
  <c r="BW398" i="6"/>
  <c r="BU398" i="6"/>
  <c r="BS398" i="6"/>
  <c r="BQ398" i="6"/>
  <c r="BO398" i="6"/>
  <c r="BM398" i="6"/>
  <c r="BK398" i="6"/>
  <c r="BI398" i="6"/>
  <c r="BG398" i="6"/>
  <c r="BE398" i="6"/>
  <c r="BC398" i="6"/>
  <c r="BA398" i="6"/>
  <c r="AY398" i="6"/>
  <c r="AW398" i="6"/>
  <c r="AU398" i="6"/>
  <c r="AS398" i="6"/>
  <c r="AQ398" i="6"/>
  <c r="AO398" i="6"/>
  <c r="AM398" i="6"/>
  <c r="AK398" i="6"/>
  <c r="AI398" i="6"/>
  <c r="AG398" i="6"/>
  <c r="AF398" i="6"/>
  <c r="AE398" i="6"/>
  <c r="AD398" i="6"/>
  <c r="AB398" i="6"/>
  <c r="AA398" i="6"/>
  <c r="Z398" i="6"/>
  <c r="V398" i="6"/>
  <c r="U398" i="6"/>
  <c r="T398" i="6"/>
  <c r="S398" i="6"/>
  <c r="Q398" i="6"/>
  <c r="E398" i="6"/>
  <c r="D398" i="6"/>
  <c r="B398" i="6"/>
  <c r="A398" i="6"/>
  <c r="DL397" i="6"/>
  <c r="DK397" i="6"/>
  <c r="DJ397" i="6"/>
  <c r="DI397" i="6"/>
  <c r="DH397" i="6"/>
  <c r="DE397" i="6"/>
  <c r="DC397" i="6"/>
  <c r="CY397" i="6"/>
  <c r="CW397" i="6"/>
  <c r="CV397" i="6"/>
  <c r="CU397" i="6"/>
  <c r="CS397" i="6"/>
  <c r="CK397" i="6"/>
  <c r="CI397" i="6"/>
  <c r="CG397" i="6"/>
  <c r="CF397" i="6"/>
  <c r="CE397" i="6"/>
  <c r="CD397" i="6"/>
  <c r="CC397" i="6"/>
  <c r="CA397" i="6"/>
  <c r="BY397" i="6"/>
  <c r="BW397" i="6"/>
  <c r="BU397" i="6"/>
  <c r="BS397" i="6"/>
  <c r="BQ397" i="6"/>
  <c r="BO397" i="6"/>
  <c r="BM397" i="6"/>
  <c r="BK397" i="6"/>
  <c r="BI397" i="6"/>
  <c r="BG397" i="6"/>
  <c r="BE397" i="6"/>
  <c r="BC397" i="6"/>
  <c r="BA397" i="6"/>
  <c r="AY397" i="6"/>
  <c r="AW397" i="6"/>
  <c r="AU397" i="6"/>
  <c r="AS397" i="6"/>
  <c r="AQ397" i="6"/>
  <c r="AO397" i="6"/>
  <c r="AM397" i="6"/>
  <c r="AK397" i="6"/>
  <c r="AJ397" i="6"/>
  <c r="AI397" i="6"/>
  <c r="AH397" i="6"/>
  <c r="AG397" i="6"/>
  <c r="AF397" i="6"/>
  <c r="AE397" i="6"/>
  <c r="AB397" i="6"/>
  <c r="AA397" i="6"/>
  <c r="Z397" i="6"/>
  <c r="V397" i="6"/>
  <c r="U397" i="6"/>
  <c r="T397" i="6"/>
  <c r="S397" i="6"/>
  <c r="L397" i="6"/>
  <c r="K397" i="6"/>
  <c r="J397" i="6"/>
  <c r="E397" i="6"/>
  <c r="D397" i="6"/>
  <c r="B397" i="6"/>
  <c r="A397" i="6"/>
  <c r="DL396" i="6"/>
  <c r="DK396" i="6"/>
  <c r="DJ396" i="6"/>
  <c r="DI396" i="6"/>
  <c r="DE396" i="6"/>
  <c r="DC396" i="6"/>
  <c r="CY396" i="6"/>
  <c r="CW396" i="6"/>
  <c r="CU396" i="6"/>
  <c r="CS396" i="6"/>
  <c r="CK396" i="6"/>
  <c r="CI396" i="6"/>
  <c r="CG396" i="6"/>
  <c r="CE396" i="6"/>
  <c r="CC396" i="6"/>
  <c r="CA396" i="6"/>
  <c r="BY396" i="6"/>
  <c r="BW396" i="6"/>
  <c r="BU396" i="6"/>
  <c r="BS396" i="6"/>
  <c r="BQ396" i="6"/>
  <c r="BO396" i="6"/>
  <c r="BM396" i="6"/>
  <c r="BK396" i="6"/>
  <c r="BI396" i="6"/>
  <c r="BG396" i="6"/>
  <c r="BE396" i="6"/>
  <c r="BC396" i="6"/>
  <c r="BA396" i="6"/>
  <c r="AY396" i="6"/>
  <c r="AW396" i="6"/>
  <c r="AU396" i="6"/>
  <c r="AS396" i="6"/>
  <c r="AQ396" i="6"/>
  <c r="AO396" i="6"/>
  <c r="AM396" i="6"/>
  <c r="AK396" i="6"/>
  <c r="AI396" i="6"/>
  <c r="AG396" i="6"/>
  <c r="AF396" i="6"/>
  <c r="AE396" i="6"/>
  <c r="AB396" i="6"/>
  <c r="AA396" i="6"/>
  <c r="Z396" i="6"/>
  <c r="V396" i="6"/>
  <c r="T396" i="6"/>
  <c r="S396" i="6"/>
  <c r="L396" i="6"/>
  <c r="K396" i="6"/>
  <c r="J396" i="6"/>
  <c r="D396" i="6"/>
  <c r="B396" i="6"/>
  <c r="A396" i="6"/>
  <c r="DL395" i="6"/>
  <c r="DK395" i="6"/>
  <c r="DJ395" i="6"/>
  <c r="DI395" i="6"/>
  <c r="DE395" i="6"/>
  <c r="DC395" i="6"/>
  <c r="CY395" i="6"/>
  <c r="CW395" i="6"/>
  <c r="CU395" i="6"/>
  <c r="CS395" i="6"/>
  <c r="CK395" i="6"/>
  <c r="CI395" i="6"/>
  <c r="CG395" i="6"/>
  <c r="CE395" i="6"/>
  <c r="CC395" i="6"/>
  <c r="CA395" i="6"/>
  <c r="BY395" i="6"/>
  <c r="BW395" i="6"/>
  <c r="BU395" i="6"/>
  <c r="BS395" i="6"/>
  <c r="BQ395" i="6"/>
  <c r="BO395" i="6"/>
  <c r="BM395" i="6"/>
  <c r="BK395" i="6"/>
  <c r="BI395" i="6"/>
  <c r="BG395" i="6"/>
  <c r="BE395" i="6"/>
  <c r="BC395" i="6"/>
  <c r="BA395" i="6"/>
  <c r="AY395" i="6"/>
  <c r="AW395" i="6"/>
  <c r="AU395" i="6"/>
  <c r="AS395" i="6"/>
  <c r="AQ395" i="6"/>
  <c r="AO395" i="6"/>
  <c r="AM395" i="6"/>
  <c r="AK395" i="6"/>
  <c r="AI395" i="6"/>
  <c r="AG395" i="6"/>
  <c r="AF395" i="6"/>
  <c r="AE395" i="6"/>
  <c r="AB395" i="6"/>
  <c r="AA395" i="6"/>
  <c r="Z395" i="6"/>
  <c r="V395" i="6"/>
  <c r="U395" i="6"/>
  <c r="T395" i="6"/>
  <c r="S395" i="6"/>
  <c r="E395" i="6"/>
  <c r="D395" i="6"/>
  <c r="B395" i="6"/>
  <c r="A395" i="6"/>
  <c r="DL394" i="6"/>
  <c r="DJ394" i="6"/>
  <c r="DI394" i="6"/>
  <c r="DH394" i="6"/>
  <c r="DE394" i="6"/>
  <c r="DC394" i="6"/>
  <c r="CY394" i="6"/>
  <c r="CW394" i="6"/>
  <c r="CV394" i="6"/>
  <c r="CU394" i="6"/>
  <c r="CT394" i="6"/>
  <c r="CS394" i="6"/>
  <c r="CK394" i="6"/>
  <c r="CI394" i="6"/>
  <c r="CG394" i="6"/>
  <c r="CF394" i="6"/>
  <c r="CE394" i="6"/>
  <c r="CD394" i="6"/>
  <c r="CC394" i="6"/>
  <c r="CA394" i="6"/>
  <c r="BY394" i="6"/>
  <c r="BW394" i="6"/>
  <c r="BU394" i="6"/>
  <c r="BS394" i="6"/>
  <c r="BQ394" i="6"/>
  <c r="BO394" i="6"/>
  <c r="BM394" i="6"/>
  <c r="BK394" i="6"/>
  <c r="BI394" i="6"/>
  <c r="BG394" i="6"/>
  <c r="BE394" i="6"/>
  <c r="BC394" i="6"/>
  <c r="BA394" i="6"/>
  <c r="AY394" i="6"/>
  <c r="AW394" i="6"/>
  <c r="AU394" i="6"/>
  <c r="AS394" i="6"/>
  <c r="AQ394" i="6"/>
  <c r="AO394" i="6"/>
  <c r="AM394" i="6"/>
  <c r="AK394" i="6"/>
  <c r="AI394" i="6"/>
  <c r="AG394" i="6"/>
  <c r="AF394" i="6"/>
  <c r="AE394" i="6"/>
  <c r="AB394" i="6"/>
  <c r="AA394" i="6"/>
  <c r="Z394" i="6"/>
  <c r="V394" i="6"/>
  <c r="U394" i="6"/>
  <c r="T394" i="6"/>
  <c r="S394" i="6"/>
  <c r="L394" i="6"/>
  <c r="K394" i="6"/>
  <c r="E394" i="6"/>
  <c r="D394" i="6"/>
  <c r="B394" i="6"/>
  <c r="A394" i="6"/>
  <c r="DL393" i="6"/>
  <c r="DJ393" i="6"/>
  <c r="DI393" i="6"/>
  <c r="DE393" i="6"/>
  <c r="DC393" i="6"/>
  <c r="CY393" i="6"/>
  <c r="CW393" i="6"/>
  <c r="CV393" i="6"/>
  <c r="CU393" i="6"/>
  <c r="CS393" i="6"/>
  <c r="CK393" i="6"/>
  <c r="CI393" i="6"/>
  <c r="CG393" i="6"/>
  <c r="CE393" i="6"/>
  <c r="CC393" i="6"/>
  <c r="CA393" i="6"/>
  <c r="BY393" i="6"/>
  <c r="BW393" i="6"/>
  <c r="BU393" i="6"/>
  <c r="BS393" i="6"/>
  <c r="BQ393" i="6"/>
  <c r="BO393" i="6"/>
  <c r="BM393" i="6"/>
  <c r="BK393" i="6"/>
  <c r="BI393" i="6"/>
  <c r="BG393" i="6"/>
  <c r="BE393" i="6"/>
  <c r="BC393" i="6"/>
  <c r="BA393" i="6"/>
  <c r="AY393" i="6"/>
  <c r="AW393" i="6"/>
  <c r="AU393" i="6"/>
  <c r="AS393" i="6"/>
  <c r="AQ393" i="6"/>
  <c r="AO393" i="6"/>
  <c r="AM393" i="6"/>
  <c r="AK393" i="6"/>
  <c r="AJ393" i="6"/>
  <c r="AI393" i="6"/>
  <c r="AH393" i="6"/>
  <c r="AG393" i="6"/>
  <c r="AF393" i="6"/>
  <c r="AE393" i="6"/>
  <c r="AB393" i="6"/>
  <c r="AA393" i="6"/>
  <c r="Z393" i="6"/>
  <c r="V393" i="6"/>
  <c r="U393" i="6"/>
  <c r="T393" i="6"/>
  <c r="S393" i="6"/>
  <c r="L393" i="6"/>
  <c r="K393" i="6"/>
  <c r="J393" i="6"/>
  <c r="E393" i="6"/>
  <c r="D393" i="6"/>
  <c r="B393" i="6"/>
  <c r="A393" i="6"/>
  <c r="DL392" i="6"/>
  <c r="DJ392" i="6"/>
  <c r="DI392" i="6"/>
  <c r="DH392" i="6"/>
  <c r="DG392" i="6"/>
  <c r="DF392" i="6"/>
  <c r="DE392" i="6"/>
  <c r="DC392" i="6"/>
  <c r="CY392" i="6"/>
  <c r="CW392" i="6"/>
  <c r="CU392" i="6"/>
  <c r="CS392" i="6"/>
  <c r="CK392" i="6"/>
  <c r="CI392" i="6"/>
  <c r="CG392" i="6"/>
  <c r="CF392" i="6"/>
  <c r="CE392" i="6"/>
  <c r="CD392" i="6"/>
  <c r="CC392" i="6"/>
  <c r="CA392" i="6"/>
  <c r="BY392" i="6"/>
  <c r="BW392" i="6"/>
  <c r="BU392" i="6"/>
  <c r="BS392" i="6"/>
  <c r="BQ392" i="6"/>
  <c r="BO392" i="6"/>
  <c r="BM392" i="6"/>
  <c r="BK392" i="6"/>
  <c r="BI392" i="6"/>
  <c r="BG392" i="6"/>
  <c r="BE392" i="6"/>
  <c r="BC392" i="6"/>
  <c r="BA392" i="6"/>
  <c r="AY392" i="6"/>
  <c r="AW392" i="6"/>
  <c r="AU392" i="6"/>
  <c r="AS392" i="6"/>
  <c r="AQ392" i="6"/>
  <c r="AO392" i="6"/>
  <c r="AM392" i="6"/>
  <c r="AK392" i="6"/>
  <c r="AI392" i="6"/>
  <c r="AG392" i="6"/>
  <c r="AF392" i="6"/>
  <c r="AE392" i="6"/>
  <c r="AD392" i="6"/>
  <c r="AB392" i="6"/>
  <c r="AA392" i="6"/>
  <c r="Z392" i="6"/>
  <c r="V392" i="6"/>
  <c r="U392" i="6"/>
  <c r="T392" i="6"/>
  <c r="S392" i="6"/>
  <c r="Q392" i="6"/>
  <c r="E392" i="6"/>
  <c r="D392" i="6"/>
  <c r="B392" i="6"/>
  <c r="A392" i="6"/>
  <c r="DL391" i="6"/>
  <c r="DJ391" i="6"/>
  <c r="DI391" i="6"/>
  <c r="DH391" i="6"/>
  <c r="DE391" i="6"/>
  <c r="DC391" i="6"/>
  <c r="CY391" i="6"/>
  <c r="CW391" i="6"/>
  <c r="CU391" i="6"/>
  <c r="CS391" i="6"/>
  <c r="CK391" i="6"/>
  <c r="CI391" i="6"/>
  <c r="CG391" i="6"/>
  <c r="CF391" i="6"/>
  <c r="CE391" i="6"/>
  <c r="CD391" i="6"/>
  <c r="CC391" i="6"/>
  <c r="CA391" i="6"/>
  <c r="BY391" i="6"/>
  <c r="BW391" i="6"/>
  <c r="BU391" i="6"/>
  <c r="BS391" i="6"/>
  <c r="BQ391" i="6"/>
  <c r="BO391" i="6"/>
  <c r="BM391" i="6"/>
  <c r="BK391" i="6"/>
  <c r="BI391" i="6"/>
  <c r="BG391" i="6"/>
  <c r="BE391" i="6"/>
  <c r="BC391" i="6"/>
  <c r="BA391" i="6"/>
  <c r="AY391" i="6"/>
  <c r="AW391" i="6"/>
  <c r="AU391" i="6"/>
  <c r="AS391" i="6"/>
  <c r="AQ391" i="6"/>
  <c r="AO391" i="6"/>
  <c r="AM391" i="6"/>
  <c r="AK391" i="6"/>
  <c r="AJ391" i="6"/>
  <c r="AI391" i="6"/>
  <c r="AH391" i="6"/>
  <c r="AG391" i="6"/>
  <c r="AF391" i="6"/>
  <c r="AE391" i="6"/>
  <c r="AD391" i="6"/>
  <c r="AC391" i="6"/>
  <c r="AB391" i="6"/>
  <c r="AA391" i="6"/>
  <c r="Z391" i="6"/>
  <c r="V391" i="6"/>
  <c r="U391" i="6"/>
  <c r="T391" i="6"/>
  <c r="S391" i="6"/>
  <c r="L391" i="6"/>
  <c r="K391" i="6"/>
  <c r="E391" i="6"/>
  <c r="D391" i="6"/>
  <c r="B391" i="6"/>
  <c r="A391" i="6"/>
  <c r="DL390" i="6"/>
  <c r="DJ390" i="6"/>
  <c r="DI390" i="6"/>
  <c r="DH390" i="6"/>
  <c r="DE390" i="6"/>
  <c r="DC390" i="6"/>
  <c r="CY390" i="6"/>
  <c r="CW390" i="6"/>
  <c r="CU390" i="6"/>
  <c r="CS390" i="6"/>
  <c r="CK390" i="6"/>
  <c r="CI390" i="6"/>
  <c r="CG390" i="6"/>
  <c r="CF390" i="6"/>
  <c r="CE390" i="6"/>
  <c r="CD390" i="6"/>
  <c r="CC390" i="6"/>
  <c r="CA390" i="6"/>
  <c r="BY390" i="6"/>
  <c r="BW390" i="6"/>
  <c r="BU390" i="6"/>
  <c r="BS390" i="6"/>
  <c r="BQ390" i="6"/>
  <c r="BO390" i="6"/>
  <c r="BM390" i="6"/>
  <c r="BK390" i="6"/>
  <c r="BI390" i="6"/>
  <c r="BG390" i="6"/>
  <c r="BE390" i="6"/>
  <c r="BC390" i="6"/>
  <c r="BA390" i="6"/>
  <c r="AY390" i="6"/>
  <c r="AW390" i="6"/>
  <c r="AU390" i="6"/>
  <c r="AS390" i="6"/>
  <c r="AQ390" i="6"/>
  <c r="AO390" i="6"/>
  <c r="AM390" i="6"/>
  <c r="AK390" i="6"/>
  <c r="AI390" i="6"/>
  <c r="AG390" i="6"/>
  <c r="AF390" i="6"/>
  <c r="AE390" i="6"/>
  <c r="AB390" i="6"/>
  <c r="AA390" i="6"/>
  <c r="Z390" i="6"/>
  <c r="V390" i="6"/>
  <c r="U390" i="6"/>
  <c r="T390" i="6"/>
  <c r="S390" i="6"/>
  <c r="Q390" i="6"/>
  <c r="E390" i="6"/>
  <c r="D390" i="6"/>
  <c r="B390" i="6"/>
  <c r="A390" i="6"/>
  <c r="DL389" i="6"/>
  <c r="DJ389" i="6"/>
  <c r="DI389" i="6"/>
  <c r="DE389" i="6"/>
  <c r="DC389" i="6"/>
  <c r="CY389" i="6"/>
  <c r="CW389" i="6"/>
  <c r="CU389" i="6"/>
  <c r="CS389" i="6"/>
  <c r="CK389" i="6"/>
  <c r="CI389" i="6"/>
  <c r="CG389" i="6"/>
  <c r="CE389" i="6"/>
  <c r="CC389" i="6"/>
  <c r="CA389" i="6"/>
  <c r="BY389" i="6"/>
  <c r="BW389" i="6"/>
  <c r="BU389" i="6"/>
  <c r="BS389" i="6"/>
  <c r="BQ389" i="6"/>
  <c r="BO389" i="6"/>
  <c r="BM389" i="6"/>
  <c r="BK389" i="6"/>
  <c r="BI389" i="6"/>
  <c r="BG389" i="6"/>
  <c r="BE389" i="6"/>
  <c r="BC389" i="6"/>
  <c r="BA389" i="6"/>
  <c r="AY389" i="6"/>
  <c r="AW389" i="6"/>
  <c r="AU389" i="6"/>
  <c r="AS389" i="6"/>
  <c r="AQ389" i="6"/>
  <c r="AO389" i="6"/>
  <c r="AM389" i="6"/>
  <c r="AK389" i="6"/>
  <c r="AI389" i="6"/>
  <c r="AG389" i="6"/>
  <c r="AF389" i="6"/>
  <c r="AE389" i="6"/>
  <c r="AD389" i="6"/>
  <c r="AB389" i="6"/>
  <c r="AA389" i="6"/>
  <c r="Z389" i="6"/>
  <c r="V389" i="6"/>
  <c r="U389" i="6"/>
  <c r="T389" i="6"/>
  <c r="S389" i="6"/>
  <c r="L389" i="6"/>
  <c r="K389" i="6"/>
  <c r="J389" i="6"/>
  <c r="E389" i="6"/>
  <c r="D389" i="6"/>
  <c r="B389" i="6"/>
  <c r="A389" i="6"/>
  <c r="DL388" i="6"/>
  <c r="DJ388" i="6"/>
  <c r="DI388" i="6"/>
  <c r="DH388" i="6"/>
  <c r="DG388" i="6"/>
  <c r="DF388" i="6"/>
  <c r="DE388" i="6"/>
  <c r="DC388" i="6"/>
  <c r="CY388" i="6"/>
  <c r="CW388" i="6"/>
  <c r="CU388" i="6"/>
  <c r="CS388" i="6"/>
  <c r="CK388" i="6"/>
  <c r="CJ388" i="6"/>
  <c r="CI388" i="6"/>
  <c r="CG388" i="6"/>
  <c r="CF388" i="6"/>
  <c r="CE388" i="6"/>
  <c r="CD388" i="6"/>
  <c r="CC388" i="6"/>
  <c r="CA388" i="6"/>
  <c r="BY388" i="6"/>
  <c r="BW388" i="6"/>
  <c r="BU388" i="6"/>
  <c r="BS388" i="6"/>
  <c r="BQ388" i="6"/>
  <c r="BO388" i="6"/>
  <c r="BM388" i="6"/>
  <c r="BK388" i="6"/>
  <c r="BI388" i="6"/>
  <c r="BG388" i="6"/>
  <c r="BE388" i="6"/>
  <c r="BC388" i="6"/>
  <c r="BA388" i="6"/>
  <c r="AY388" i="6"/>
  <c r="AW388" i="6"/>
  <c r="AU388" i="6"/>
  <c r="AS388" i="6"/>
  <c r="AQ388" i="6"/>
  <c r="AO388" i="6"/>
  <c r="AM388" i="6"/>
  <c r="AK388" i="6"/>
  <c r="AI388" i="6"/>
  <c r="AG388" i="6"/>
  <c r="AF388" i="6"/>
  <c r="AE388" i="6"/>
  <c r="AD388" i="6"/>
  <c r="AB388" i="6"/>
  <c r="AA388" i="6"/>
  <c r="Z388" i="6"/>
  <c r="V388" i="6"/>
  <c r="U388" i="6"/>
  <c r="T388" i="6"/>
  <c r="S388" i="6"/>
  <c r="Q388" i="6"/>
  <c r="E388" i="6"/>
  <c r="D388" i="6"/>
  <c r="B388" i="6"/>
  <c r="A388" i="6"/>
  <c r="DL387" i="6"/>
  <c r="DJ387" i="6"/>
  <c r="DI387" i="6"/>
  <c r="DE387" i="6"/>
  <c r="DC387" i="6"/>
  <c r="CY387" i="6"/>
  <c r="CW387" i="6"/>
  <c r="CU387" i="6"/>
  <c r="CS387" i="6"/>
  <c r="CK387" i="6"/>
  <c r="CI387" i="6"/>
  <c r="CG387" i="6"/>
  <c r="CE387" i="6"/>
  <c r="CC387" i="6"/>
  <c r="CA387" i="6"/>
  <c r="BY387" i="6"/>
  <c r="BW387" i="6"/>
  <c r="BU387" i="6"/>
  <c r="BS387" i="6"/>
  <c r="BQ387" i="6"/>
  <c r="BO387" i="6"/>
  <c r="BM387" i="6"/>
  <c r="BK387" i="6"/>
  <c r="BI387" i="6"/>
  <c r="BG387" i="6"/>
  <c r="BE387" i="6"/>
  <c r="BC387" i="6"/>
  <c r="BA387" i="6"/>
  <c r="AY387" i="6"/>
  <c r="AW387" i="6"/>
  <c r="AU387" i="6"/>
  <c r="AS387" i="6"/>
  <c r="AQ387" i="6"/>
  <c r="AO387" i="6"/>
  <c r="AM387" i="6"/>
  <c r="AK387" i="6"/>
  <c r="AI387" i="6"/>
  <c r="AG387" i="6"/>
  <c r="AF387" i="6"/>
  <c r="AE387" i="6"/>
  <c r="AB387" i="6"/>
  <c r="AA387" i="6"/>
  <c r="Z387" i="6"/>
  <c r="V387" i="6"/>
  <c r="U387" i="6"/>
  <c r="T387" i="6"/>
  <c r="S387" i="6"/>
  <c r="Q387" i="6"/>
  <c r="E387" i="6"/>
  <c r="D387" i="6"/>
  <c r="B387" i="6"/>
  <c r="A387" i="6"/>
  <c r="DL386" i="6"/>
  <c r="DJ386" i="6"/>
  <c r="DI386" i="6"/>
  <c r="DH386" i="6"/>
  <c r="DE386" i="6"/>
  <c r="DC386" i="6"/>
  <c r="CY386" i="6"/>
  <c r="CW386" i="6"/>
  <c r="CU386" i="6"/>
  <c r="CS386" i="6"/>
  <c r="CK386" i="6"/>
  <c r="CI386" i="6"/>
  <c r="CG386" i="6"/>
  <c r="CF386" i="6"/>
  <c r="CE386" i="6"/>
  <c r="CD386" i="6"/>
  <c r="CC386" i="6"/>
  <c r="CA386" i="6"/>
  <c r="BY386" i="6"/>
  <c r="BW386" i="6"/>
  <c r="BU386" i="6"/>
  <c r="BS386" i="6"/>
  <c r="BQ386" i="6"/>
  <c r="BO386" i="6"/>
  <c r="BM386" i="6"/>
  <c r="BK386" i="6"/>
  <c r="BI386" i="6"/>
  <c r="BG386" i="6"/>
  <c r="BE386" i="6"/>
  <c r="BC386" i="6"/>
  <c r="BA386" i="6"/>
  <c r="AY386" i="6"/>
  <c r="AW386" i="6"/>
  <c r="AU386" i="6"/>
  <c r="AS386" i="6"/>
  <c r="AQ386" i="6"/>
  <c r="AO386" i="6"/>
  <c r="AM386" i="6"/>
  <c r="AK386" i="6"/>
  <c r="AI386" i="6"/>
  <c r="AG386" i="6"/>
  <c r="AF386" i="6"/>
  <c r="AE386" i="6"/>
  <c r="AB386" i="6"/>
  <c r="AA386" i="6"/>
  <c r="Z386" i="6"/>
  <c r="V386" i="6"/>
  <c r="U386" i="6"/>
  <c r="T386" i="6"/>
  <c r="S386" i="6"/>
  <c r="Q386" i="6"/>
  <c r="F386" i="6"/>
  <c r="E386" i="6"/>
  <c r="D386" i="6"/>
  <c r="B386" i="6"/>
  <c r="A386" i="6"/>
  <c r="DL385" i="6"/>
  <c r="DK385" i="6"/>
  <c r="DJ385" i="6"/>
  <c r="DI385" i="6"/>
  <c r="DH385" i="6"/>
  <c r="DE385" i="6"/>
  <c r="DC385" i="6"/>
  <c r="DA385" i="6"/>
  <c r="CY385" i="6"/>
  <c r="CW385" i="6"/>
  <c r="CU385" i="6"/>
  <c r="CS385" i="6"/>
  <c r="CK385" i="6"/>
  <c r="CI385" i="6"/>
  <c r="CG385" i="6"/>
  <c r="CF385" i="6"/>
  <c r="CE385" i="6"/>
  <c r="CD385" i="6"/>
  <c r="CC385" i="6"/>
  <c r="CA385" i="6"/>
  <c r="BY385" i="6"/>
  <c r="BW385" i="6"/>
  <c r="BU385" i="6"/>
  <c r="BS385" i="6"/>
  <c r="BQ385" i="6"/>
  <c r="BO385" i="6"/>
  <c r="BM385" i="6"/>
  <c r="BK385" i="6"/>
  <c r="BI385" i="6"/>
  <c r="BG385" i="6"/>
  <c r="BE385" i="6"/>
  <c r="BC385" i="6"/>
  <c r="BA385" i="6"/>
  <c r="AY385" i="6"/>
  <c r="AW385" i="6"/>
  <c r="AU385" i="6"/>
  <c r="AS385" i="6"/>
  <c r="AQ385" i="6"/>
  <c r="AO385" i="6"/>
  <c r="AM385" i="6"/>
  <c r="AK385" i="6"/>
  <c r="AJ385" i="6"/>
  <c r="AI385" i="6"/>
  <c r="AH385" i="6"/>
  <c r="AG385" i="6"/>
  <c r="AF385" i="6"/>
  <c r="AE385" i="6"/>
  <c r="AB385" i="6"/>
  <c r="AA385" i="6"/>
  <c r="Z385" i="6"/>
  <c r="V385" i="6"/>
  <c r="U385" i="6"/>
  <c r="T385" i="6"/>
  <c r="S385" i="6"/>
  <c r="Q385" i="6"/>
  <c r="E385" i="6"/>
  <c r="D385" i="6"/>
  <c r="B385" i="6"/>
  <c r="A385" i="6"/>
  <c r="DL384" i="6"/>
  <c r="DJ384" i="6"/>
  <c r="DI384" i="6"/>
  <c r="DH384" i="6"/>
  <c r="DG384" i="6"/>
  <c r="DF384" i="6"/>
  <c r="DE384" i="6"/>
  <c r="DC384" i="6"/>
  <c r="CY384" i="6"/>
  <c r="CW384" i="6"/>
  <c r="CU384" i="6"/>
  <c r="CS384" i="6"/>
  <c r="CK384" i="6"/>
  <c r="CI384" i="6"/>
  <c r="CG384" i="6"/>
  <c r="CF384" i="6"/>
  <c r="CE384" i="6"/>
  <c r="CD384" i="6"/>
  <c r="CC384" i="6"/>
  <c r="CA384" i="6"/>
  <c r="BY384" i="6"/>
  <c r="BW384" i="6"/>
  <c r="BU384" i="6"/>
  <c r="BS384" i="6"/>
  <c r="BQ384" i="6"/>
  <c r="BO384" i="6"/>
  <c r="BM384" i="6"/>
  <c r="BK384" i="6"/>
  <c r="BI384" i="6"/>
  <c r="BG384" i="6"/>
  <c r="BE384" i="6"/>
  <c r="BC384" i="6"/>
  <c r="BA384" i="6"/>
  <c r="AY384" i="6"/>
  <c r="AW384" i="6"/>
  <c r="AU384" i="6"/>
  <c r="AS384" i="6"/>
  <c r="AQ384" i="6"/>
  <c r="AO384" i="6"/>
  <c r="AM384" i="6"/>
  <c r="AK384" i="6"/>
  <c r="AI384" i="6"/>
  <c r="AG384" i="6"/>
  <c r="AF384" i="6"/>
  <c r="AE384" i="6"/>
  <c r="AD384" i="6"/>
  <c r="AB384" i="6"/>
  <c r="AA384" i="6"/>
  <c r="Z384" i="6"/>
  <c r="V384" i="6"/>
  <c r="U384" i="6"/>
  <c r="T384" i="6"/>
  <c r="S384" i="6"/>
  <c r="Q384" i="6"/>
  <c r="E384" i="6"/>
  <c r="D384" i="6"/>
  <c r="B384" i="6"/>
  <c r="A384" i="6"/>
  <c r="DL383" i="6"/>
  <c r="DJ383" i="6"/>
  <c r="DI383" i="6"/>
  <c r="DE383" i="6"/>
  <c r="DC383" i="6"/>
  <c r="CY383" i="6"/>
  <c r="CW383" i="6"/>
  <c r="CU383" i="6"/>
  <c r="CS383" i="6"/>
  <c r="CK383" i="6"/>
  <c r="CI383" i="6"/>
  <c r="CG383" i="6"/>
  <c r="CE383" i="6"/>
  <c r="CC383" i="6"/>
  <c r="CA383" i="6"/>
  <c r="BY383" i="6"/>
  <c r="BW383" i="6"/>
  <c r="BU383" i="6"/>
  <c r="BS383" i="6"/>
  <c r="BQ383" i="6"/>
  <c r="BO383" i="6"/>
  <c r="BM383" i="6"/>
  <c r="BK383" i="6"/>
  <c r="BI383" i="6"/>
  <c r="BG383" i="6"/>
  <c r="BE383" i="6"/>
  <c r="BC383" i="6"/>
  <c r="BA383" i="6"/>
  <c r="AY383" i="6"/>
  <c r="AW383" i="6"/>
  <c r="AU383" i="6"/>
  <c r="AS383" i="6"/>
  <c r="AQ383" i="6"/>
  <c r="AO383" i="6"/>
  <c r="AM383" i="6"/>
  <c r="AK383" i="6"/>
  <c r="AI383" i="6"/>
  <c r="AG383" i="6"/>
  <c r="AF383" i="6"/>
  <c r="AE383" i="6"/>
  <c r="AD383" i="6"/>
  <c r="AC383" i="6"/>
  <c r="AB383" i="6"/>
  <c r="AA383" i="6"/>
  <c r="Z383" i="6"/>
  <c r="V383" i="6"/>
  <c r="U383" i="6"/>
  <c r="T383" i="6"/>
  <c r="S383" i="6"/>
  <c r="Q383" i="6"/>
  <c r="E383" i="6"/>
  <c r="D383" i="6"/>
  <c r="B383" i="6"/>
  <c r="A383" i="6"/>
  <c r="DL382" i="6"/>
  <c r="DJ382" i="6"/>
  <c r="DI382" i="6"/>
  <c r="DG382" i="6"/>
  <c r="DF382" i="6"/>
  <c r="DE382" i="6"/>
  <c r="DC382" i="6"/>
  <c r="CY382" i="6"/>
  <c r="CW382" i="6"/>
  <c r="CU382" i="6"/>
  <c r="CS382" i="6"/>
  <c r="CK382" i="6"/>
  <c r="CI382" i="6"/>
  <c r="CG382" i="6"/>
  <c r="CE382" i="6"/>
  <c r="CC382" i="6"/>
  <c r="CA382" i="6"/>
  <c r="BY382" i="6"/>
  <c r="BW382" i="6"/>
  <c r="BU382" i="6"/>
  <c r="BS382" i="6"/>
  <c r="BQ382" i="6"/>
  <c r="BO382" i="6"/>
  <c r="BM382" i="6"/>
  <c r="BK382" i="6"/>
  <c r="BI382" i="6"/>
  <c r="BG382" i="6"/>
  <c r="BE382" i="6"/>
  <c r="BC382" i="6"/>
  <c r="BA382" i="6"/>
  <c r="AY382" i="6"/>
  <c r="AW382" i="6"/>
  <c r="AU382" i="6"/>
  <c r="AS382" i="6"/>
  <c r="AQ382" i="6"/>
  <c r="AO382" i="6"/>
  <c r="AM382" i="6"/>
  <c r="AK382" i="6"/>
  <c r="AI382" i="6"/>
  <c r="AG382" i="6"/>
  <c r="AF382" i="6"/>
  <c r="AE382" i="6"/>
  <c r="AD382" i="6"/>
  <c r="AB382" i="6"/>
  <c r="AA382" i="6"/>
  <c r="Z382" i="6"/>
  <c r="V382" i="6"/>
  <c r="U382" i="6"/>
  <c r="T382" i="6"/>
  <c r="S382" i="6"/>
  <c r="E382" i="6"/>
  <c r="D382" i="6"/>
  <c r="B382" i="6"/>
  <c r="A382" i="6"/>
  <c r="DL381" i="6"/>
  <c r="DK381" i="6"/>
  <c r="DJ381" i="6"/>
  <c r="DI381" i="6"/>
  <c r="DG381" i="6"/>
  <c r="DF381" i="6"/>
  <c r="DE381" i="6"/>
  <c r="DC381" i="6"/>
  <c r="CY381" i="6"/>
  <c r="CW381" i="6"/>
  <c r="CV381" i="6"/>
  <c r="CU381" i="6"/>
  <c r="CS381" i="6"/>
  <c r="CK381" i="6"/>
  <c r="CI381" i="6"/>
  <c r="CG381" i="6"/>
  <c r="CE381" i="6"/>
  <c r="CC381" i="6"/>
  <c r="CA381" i="6"/>
  <c r="BY381" i="6"/>
  <c r="BW381" i="6"/>
  <c r="BU381" i="6"/>
  <c r="BS381" i="6"/>
  <c r="BQ381" i="6"/>
  <c r="BO381" i="6"/>
  <c r="BM381" i="6"/>
  <c r="BK381" i="6"/>
  <c r="BI381" i="6"/>
  <c r="BG381" i="6"/>
  <c r="BE381" i="6"/>
  <c r="BC381" i="6"/>
  <c r="BA381" i="6"/>
  <c r="AY381" i="6"/>
  <c r="AW381" i="6"/>
  <c r="AU381" i="6"/>
  <c r="AS381" i="6"/>
  <c r="AQ381" i="6"/>
  <c r="AO381" i="6"/>
  <c r="AM381" i="6"/>
  <c r="AK381" i="6"/>
  <c r="AI381" i="6"/>
  <c r="AG381" i="6"/>
  <c r="AF381" i="6"/>
  <c r="AE381" i="6"/>
  <c r="AD381" i="6"/>
  <c r="AB381" i="6"/>
  <c r="AA381" i="6"/>
  <c r="Z381" i="6"/>
  <c r="V381" i="6"/>
  <c r="U381" i="6"/>
  <c r="T381" i="6"/>
  <c r="S381" i="6"/>
  <c r="Q381" i="6"/>
  <c r="E381" i="6"/>
  <c r="D381" i="6"/>
  <c r="B381" i="6"/>
  <c r="A381" i="6"/>
  <c r="DL380" i="6"/>
  <c r="DJ380" i="6"/>
  <c r="DI380" i="6"/>
  <c r="DH380" i="6"/>
  <c r="DG380" i="6"/>
  <c r="DF380" i="6"/>
  <c r="DE380" i="6"/>
  <c r="DC380" i="6"/>
  <c r="CY380" i="6"/>
  <c r="CW380" i="6"/>
  <c r="CU380" i="6"/>
  <c r="CS380" i="6"/>
  <c r="CK380" i="6"/>
  <c r="CI380" i="6"/>
  <c r="CG380" i="6"/>
  <c r="CF380" i="6"/>
  <c r="CE380" i="6"/>
  <c r="CD380" i="6"/>
  <c r="CC380" i="6"/>
  <c r="CA380" i="6"/>
  <c r="BY380" i="6"/>
  <c r="BW380" i="6"/>
  <c r="BU380" i="6"/>
  <c r="BS380" i="6"/>
  <c r="BQ380" i="6"/>
  <c r="BO380" i="6"/>
  <c r="BM380" i="6"/>
  <c r="BK380" i="6"/>
  <c r="BI380" i="6"/>
  <c r="BG380" i="6"/>
  <c r="BE380" i="6"/>
  <c r="BC380" i="6"/>
  <c r="BA380" i="6"/>
  <c r="AY380" i="6"/>
  <c r="AW380" i="6"/>
  <c r="AU380" i="6"/>
  <c r="AS380" i="6"/>
  <c r="AQ380" i="6"/>
  <c r="AO380" i="6"/>
  <c r="AM380" i="6"/>
  <c r="AK380" i="6"/>
  <c r="AI380" i="6"/>
  <c r="AG380" i="6"/>
  <c r="AF380" i="6"/>
  <c r="AE380" i="6"/>
  <c r="AD380" i="6"/>
  <c r="AB380" i="6"/>
  <c r="AA380" i="6"/>
  <c r="Z380" i="6"/>
  <c r="V380" i="6"/>
  <c r="U380" i="6"/>
  <c r="T380" i="6"/>
  <c r="S380" i="6"/>
  <c r="Q380" i="6"/>
  <c r="E380" i="6"/>
  <c r="D380" i="6"/>
  <c r="B380" i="6"/>
  <c r="A380" i="6"/>
  <c r="DL379" i="6"/>
  <c r="DJ379" i="6"/>
  <c r="DI379" i="6"/>
  <c r="DG379" i="6"/>
  <c r="DF379" i="6"/>
  <c r="DE379" i="6"/>
  <c r="DC379" i="6"/>
  <c r="CY379" i="6"/>
  <c r="CW379" i="6"/>
  <c r="CU379" i="6"/>
  <c r="CS379" i="6"/>
  <c r="CK379" i="6"/>
  <c r="CI379" i="6"/>
  <c r="CG379" i="6"/>
  <c r="CE379" i="6"/>
  <c r="CC379" i="6"/>
  <c r="CA379" i="6"/>
  <c r="BY379" i="6"/>
  <c r="BW379" i="6"/>
  <c r="BU379" i="6"/>
  <c r="BS379" i="6"/>
  <c r="BQ379" i="6"/>
  <c r="BO379" i="6"/>
  <c r="BM379" i="6"/>
  <c r="BK379" i="6"/>
  <c r="BI379" i="6"/>
  <c r="BG379" i="6"/>
  <c r="BE379" i="6"/>
  <c r="BC379" i="6"/>
  <c r="BA379" i="6"/>
  <c r="AY379" i="6"/>
  <c r="AW379" i="6"/>
  <c r="AU379" i="6"/>
  <c r="AS379" i="6"/>
  <c r="AQ379" i="6"/>
  <c r="AO379" i="6"/>
  <c r="AM379" i="6"/>
  <c r="AK379" i="6"/>
  <c r="AI379" i="6"/>
  <c r="AG379" i="6"/>
  <c r="AF379" i="6"/>
  <c r="AE379" i="6"/>
  <c r="AB379" i="6"/>
  <c r="AA379" i="6"/>
  <c r="Z379" i="6"/>
  <c r="V379" i="6"/>
  <c r="U379" i="6"/>
  <c r="T379" i="6"/>
  <c r="S379" i="6"/>
  <c r="E379" i="6"/>
  <c r="D379" i="6"/>
  <c r="B379" i="6"/>
  <c r="A379" i="6"/>
  <c r="DL378" i="6"/>
  <c r="DJ378" i="6"/>
  <c r="DI378" i="6"/>
  <c r="DH378" i="6"/>
  <c r="DG378" i="6"/>
  <c r="DF378" i="6"/>
  <c r="DE378" i="6"/>
  <c r="DC378" i="6"/>
  <c r="CY378" i="6"/>
  <c r="CW378" i="6"/>
  <c r="CU378" i="6"/>
  <c r="CS378" i="6"/>
  <c r="CK378" i="6"/>
  <c r="CI378" i="6"/>
  <c r="CG378" i="6"/>
  <c r="CF378" i="6"/>
  <c r="CE378" i="6"/>
  <c r="CD378" i="6"/>
  <c r="CC378" i="6"/>
  <c r="CA378" i="6"/>
  <c r="BY378" i="6"/>
  <c r="BW378" i="6"/>
  <c r="BU378" i="6"/>
  <c r="BS378" i="6"/>
  <c r="BQ378" i="6"/>
  <c r="BO378" i="6"/>
  <c r="BM378" i="6"/>
  <c r="BK378" i="6"/>
  <c r="BI378" i="6"/>
  <c r="BG378" i="6"/>
  <c r="BE378" i="6"/>
  <c r="BC378" i="6"/>
  <c r="BA378" i="6"/>
  <c r="AY378" i="6"/>
  <c r="AW378" i="6"/>
  <c r="AU378" i="6"/>
  <c r="AS378" i="6"/>
  <c r="AQ378" i="6"/>
  <c r="AO378" i="6"/>
  <c r="AM378" i="6"/>
  <c r="AK378" i="6"/>
  <c r="AI378" i="6"/>
  <c r="AG378" i="6"/>
  <c r="AF378" i="6"/>
  <c r="AE378" i="6"/>
  <c r="AD378" i="6"/>
  <c r="AB378" i="6"/>
  <c r="AA378" i="6"/>
  <c r="Z378" i="6"/>
  <c r="V378" i="6"/>
  <c r="U378" i="6"/>
  <c r="T378" i="6"/>
  <c r="S378" i="6"/>
  <c r="Q378" i="6"/>
  <c r="E378" i="6"/>
  <c r="D378" i="6"/>
  <c r="B378" i="6"/>
  <c r="A378" i="6"/>
  <c r="DL377" i="6"/>
  <c r="DJ377" i="6"/>
  <c r="DI377" i="6"/>
  <c r="DH377" i="6"/>
  <c r="DE377" i="6"/>
  <c r="DC377" i="6"/>
  <c r="CY377" i="6"/>
  <c r="CW377" i="6"/>
  <c r="CV377" i="6"/>
  <c r="CU377" i="6"/>
  <c r="CS377" i="6"/>
  <c r="CK377" i="6"/>
  <c r="CI377" i="6"/>
  <c r="CG377" i="6"/>
  <c r="CF377" i="6"/>
  <c r="CE377" i="6"/>
  <c r="CD377" i="6"/>
  <c r="CC377" i="6"/>
  <c r="CA377" i="6"/>
  <c r="BY377" i="6"/>
  <c r="BW377" i="6"/>
  <c r="BU377" i="6"/>
  <c r="BS377" i="6"/>
  <c r="BQ377" i="6"/>
  <c r="BO377" i="6"/>
  <c r="BM377" i="6"/>
  <c r="BK377" i="6"/>
  <c r="BI377" i="6"/>
  <c r="BG377" i="6"/>
  <c r="BE377" i="6"/>
  <c r="BC377" i="6"/>
  <c r="BA377" i="6"/>
  <c r="AY377" i="6"/>
  <c r="AW377" i="6"/>
  <c r="AU377" i="6"/>
  <c r="AS377" i="6"/>
  <c r="AQ377" i="6"/>
  <c r="AO377" i="6"/>
  <c r="AM377" i="6"/>
  <c r="AK377" i="6"/>
  <c r="AI377" i="6"/>
  <c r="AG377" i="6"/>
  <c r="AF377" i="6"/>
  <c r="AE377" i="6"/>
  <c r="AD377" i="6"/>
  <c r="AC377" i="6"/>
  <c r="AB377" i="6"/>
  <c r="AA377" i="6"/>
  <c r="Z377" i="6"/>
  <c r="V377" i="6"/>
  <c r="U377" i="6"/>
  <c r="T377" i="6"/>
  <c r="S377" i="6"/>
  <c r="Q377" i="6"/>
  <c r="E377" i="6"/>
  <c r="D377" i="6"/>
  <c r="B377" i="6"/>
  <c r="A377" i="6"/>
  <c r="DL376" i="6"/>
  <c r="DJ376" i="6"/>
  <c r="DI376" i="6"/>
  <c r="DH376" i="6"/>
  <c r="DE376" i="6"/>
  <c r="DC376" i="6"/>
  <c r="CY376" i="6"/>
  <c r="CW376" i="6"/>
  <c r="CU376" i="6"/>
  <c r="CS376" i="6"/>
  <c r="CK376" i="6"/>
  <c r="CI376" i="6"/>
  <c r="CG376" i="6"/>
  <c r="CF376" i="6"/>
  <c r="CE376" i="6"/>
  <c r="CD376" i="6"/>
  <c r="CC376" i="6"/>
  <c r="CA376" i="6"/>
  <c r="BY376" i="6"/>
  <c r="BW376" i="6"/>
  <c r="BU376" i="6"/>
  <c r="BS376" i="6"/>
  <c r="BQ376" i="6"/>
  <c r="BO376" i="6"/>
  <c r="BM376" i="6"/>
  <c r="BK376" i="6"/>
  <c r="BI376" i="6"/>
  <c r="BG376" i="6"/>
  <c r="BE376" i="6"/>
  <c r="BC376" i="6"/>
  <c r="BA376" i="6"/>
  <c r="AY376" i="6"/>
  <c r="AW376" i="6"/>
  <c r="AU376" i="6"/>
  <c r="AS376" i="6"/>
  <c r="AQ376" i="6"/>
  <c r="AO376" i="6"/>
  <c r="AM376" i="6"/>
  <c r="AK376" i="6"/>
  <c r="AI376" i="6"/>
  <c r="AG376" i="6"/>
  <c r="AF376" i="6"/>
  <c r="AE376" i="6"/>
  <c r="AB376" i="6"/>
  <c r="AA376" i="6"/>
  <c r="Z376" i="6"/>
  <c r="V376" i="6"/>
  <c r="U376" i="6"/>
  <c r="T376" i="6"/>
  <c r="S376" i="6"/>
  <c r="E376" i="6"/>
  <c r="D376" i="6"/>
  <c r="B376" i="6"/>
  <c r="A376" i="6"/>
  <c r="DL375" i="6"/>
  <c r="DJ375" i="6"/>
  <c r="DI375" i="6"/>
  <c r="DH375" i="6"/>
  <c r="DE375" i="6"/>
  <c r="DC375" i="6"/>
  <c r="CY375" i="6"/>
  <c r="CW375" i="6"/>
  <c r="CV375" i="6"/>
  <c r="CU375" i="6"/>
  <c r="CS375" i="6"/>
  <c r="CK375" i="6"/>
  <c r="CI375" i="6"/>
  <c r="CG375" i="6"/>
  <c r="CF375" i="6"/>
  <c r="CE375" i="6"/>
  <c r="CD375" i="6"/>
  <c r="CC375" i="6"/>
  <c r="CA375" i="6"/>
  <c r="BY375" i="6"/>
  <c r="BW375" i="6"/>
  <c r="BU375" i="6"/>
  <c r="BS375" i="6"/>
  <c r="BQ375" i="6"/>
  <c r="BO375" i="6"/>
  <c r="BM375" i="6"/>
  <c r="BK375" i="6"/>
  <c r="BI375" i="6"/>
  <c r="BG375" i="6"/>
  <c r="BE375" i="6"/>
  <c r="BC375" i="6"/>
  <c r="BA375" i="6"/>
  <c r="AY375" i="6"/>
  <c r="AW375" i="6"/>
  <c r="AU375" i="6"/>
  <c r="AS375" i="6"/>
  <c r="AQ375" i="6"/>
  <c r="AO375" i="6"/>
  <c r="AM375" i="6"/>
  <c r="AK375" i="6"/>
  <c r="AI375" i="6"/>
  <c r="AG375" i="6"/>
  <c r="AF375" i="6"/>
  <c r="AE375" i="6"/>
  <c r="AB375" i="6"/>
  <c r="AA375" i="6"/>
  <c r="Z375" i="6"/>
  <c r="V375" i="6"/>
  <c r="U375" i="6"/>
  <c r="T375" i="6"/>
  <c r="S375" i="6"/>
  <c r="Q375" i="6"/>
  <c r="E375" i="6"/>
  <c r="D375" i="6"/>
  <c r="B375" i="6"/>
  <c r="A375" i="6"/>
  <c r="DL374" i="6"/>
  <c r="DK374" i="6"/>
  <c r="DJ374" i="6"/>
  <c r="DI374" i="6"/>
  <c r="DE374" i="6"/>
  <c r="DC374" i="6"/>
  <c r="CY374" i="6"/>
  <c r="CW374" i="6"/>
  <c r="CU374" i="6"/>
  <c r="CS374" i="6"/>
  <c r="CK374" i="6"/>
  <c r="CI374" i="6"/>
  <c r="CG374" i="6"/>
  <c r="CE374" i="6"/>
  <c r="CC374" i="6"/>
  <c r="CA374" i="6"/>
  <c r="BY374" i="6"/>
  <c r="BW374" i="6"/>
  <c r="BU374" i="6"/>
  <c r="BS374" i="6"/>
  <c r="BQ374" i="6"/>
  <c r="BO374" i="6"/>
  <c r="BM374" i="6"/>
  <c r="BK374" i="6"/>
  <c r="BI374" i="6"/>
  <c r="BG374" i="6"/>
  <c r="BE374" i="6"/>
  <c r="BC374" i="6"/>
  <c r="BA374" i="6"/>
  <c r="AY374" i="6"/>
  <c r="AW374" i="6"/>
  <c r="AU374" i="6"/>
  <c r="AS374" i="6"/>
  <c r="AQ374" i="6"/>
  <c r="AO374" i="6"/>
  <c r="AM374" i="6"/>
  <c r="AK374" i="6"/>
  <c r="AJ374" i="6"/>
  <c r="AI374" i="6"/>
  <c r="AH374" i="6"/>
  <c r="AG374" i="6"/>
  <c r="AF374" i="6"/>
  <c r="AE374" i="6"/>
  <c r="AB374" i="6"/>
  <c r="AA374" i="6"/>
  <c r="Z374" i="6"/>
  <c r="V374" i="6"/>
  <c r="U374" i="6"/>
  <c r="T374" i="6"/>
  <c r="S374" i="6"/>
  <c r="O374" i="6"/>
  <c r="N374" i="6"/>
  <c r="M374" i="6"/>
  <c r="L374" i="6"/>
  <c r="K374" i="6"/>
  <c r="J374" i="6"/>
  <c r="E374" i="6"/>
  <c r="D374" i="6"/>
  <c r="B374" i="6"/>
  <c r="A374" i="6"/>
  <c r="DL373" i="6"/>
  <c r="DJ373" i="6"/>
  <c r="DI373" i="6"/>
  <c r="DE373" i="6"/>
  <c r="DC373" i="6"/>
  <c r="CY373" i="6"/>
  <c r="CW373" i="6"/>
  <c r="CU373" i="6"/>
  <c r="CS373" i="6"/>
  <c r="CK373" i="6"/>
  <c r="CI373" i="6"/>
  <c r="CG373" i="6"/>
  <c r="CE373" i="6"/>
  <c r="CC373" i="6"/>
  <c r="CA373" i="6"/>
  <c r="BY373" i="6"/>
  <c r="BW373" i="6"/>
  <c r="BU373" i="6"/>
  <c r="BS373" i="6"/>
  <c r="BQ373" i="6"/>
  <c r="BO373" i="6"/>
  <c r="BM373" i="6"/>
  <c r="BK373" i="6"/>
  <c r="BI373" i="6"/>
  <c r="BG373" i="6"/>
  <c r="BE373" i="6"/>
  <c r="BC373" i="6"/>
  <c r="BA373" i="6"/>
  <c r="AY373" i="6"/>
  <c r="AW373" i="6"/>
  <c r="AU373" i="6"/>
  <c r="AS373" i="6"/>
  <c r="AQ373" i="6"/>
  <c r="AO373" i="6"/>
  <c r="AM373" i="6"/>
  <c r="AK373" i="6"/>
  <c r="AJ373" i="6"/>
  <c r="AI373" i="6"/>
  <c r="AH373" i="6"/>
  <c r="AG373" i="6"/>
  <c r="AF373" i="6"/>
  <c r="AE373" i="6"/>
  <c r="AD373" i="6"/>
  <c r="AB373" i="6"/>
  <c r="AA373" i="6"/>
  <c r="Z373" i="6"/>
  <c r="V373" i="6"/>
  <c r="U373" i="6"/>
  <c r="T373" i="6"/>
  <c r="S373" i="6"/>
  <c r="L373" i="6"/>
  <c r="K373" i="6"/>
  <c r="E373" i="6"/>
  <c r="D373" i="6"/>
  <c r="B373" i="6"/>
  <c r="A373" i="6"/>
  <c r="DL372" i="6"/>
  <c r="DJ372" i="6"/>
  <c r="DI372" i="6"/>
  <c r="DH372" i="6"/>
  <c r="DE372" i="6"/>
  <c r="DC372" i="6"/>
  <c r="CY372" i="6"/>
  <c r="CW372" i="6"/>
  <c r="CU372" i="6"/>
  <c r="CS372" i="6"/>
  <c r="CK372" i="6"/>
  <c r="CI372" i="6"/>
  <c r="CG372" i="6"/>
  <c r="CF372" i="6"/>
  <c r="CE372" i="6"/>
  <c r="CD372" i="6"/>
  <c r="CC372" i="6"/>
  <c r="CA372" i="6"/>
  <c r="BY372" i="6"/>
  <c r="BW372" i="6"/>
  <c r="BU372" i="6"/>
  <c r="BS372" i="6"/>
  <c r="BQ372" i="6"/>
  <c r="BO372" i="6"/>
  <c r="BM372" i="6"/>
  <c r="BK372" i="6"/>
  <c r="BI372" i="6"/>
  <c r="BG372" i="6"/>
  <c r="BE372" i="6"/>
  <c r="BC372" i="6"/>
  <c r="BA372" i="6"/>
  <c r="AY372" i="6"/>
  <c r="AW372" i="6"/>
  <c r="AU372" i="6"/>
  <c r="AS372" i="6"/>
  <c r="AQ372" i="6"/>
  <c r="AO372" i="6"/>
  <c r="AM372" i="6"/>
  <c r="AK372" i="6"/>
  <c r="AI372" i="6"/>
  <c r="AG372" i="6"/>
  <c r="AF372" i="6"/>
  <c r="AE372" i="6"/>
  <c r="AB372" i="6"/>
  <c r="AA372" i="6"/>
  <c r="Z372" i="6"/>
  <c r="V372" i="6"/>
  <c r="U372" i="6"/>
  <c r="T372" i="6"/>
  <c r="S372" i="6"/>
  <c r="Q372" i="6"/>
  <c r="E372" i="6"/>
  <c r="D372" i="6"/>
  <c r="B372" i="6"/>
  <c r="A372" i="6"/>
  <c r="DL371" i="6"/>
  <c r="DJ371" i="6"/>
  <c r="DI371" i="6"/>
  <c r="DH371" i="6"/>
  <c r="DE371" i="6"/>
  <c r="DC371" i="6"/>
  <c r="CY371" i="6"/>
  <c r="CW371" i="6"/>
  <c r="CU371" i="6"/>
  <c r="CS371" i="6"/>
  <c r="CK371" i="6"/>
  <c r="CI371" i="6"/>
  <c r="CG371" i="6"/>
  <c r="CF371" i="6"/>
  <c r="CE371" i="6"/>
  <c r="CD371" i="6"/>
  <c r="CC371" i="6"/>
  <c r="CA371" i="6"/>
  <c r="BY371" i="6"/>
  <c r="BW371" i="6"/>
  <c r="BU371" i="6"/>
  <c r="BS371" i="6"/>
  <c r="BQ371" i="6"/>
  <c r="BO371" i="6"/>
  <c r="BM371" i="6"/>
  <c r="BK371" i="6"/>
  <c r="BI371" i="6"/>
  <c r="BG371" i="6"/>
  <c r="BE371" i="6"/>
  <c r="BC371" i="6"/>
  <c r="BA371" i="6"/>
  <c r="AY371" i="6"/>
  <c r="AW371" i="6"/>
  <c r="AU371" i="6"/>
  <c r="AS371" i="6"/>
  <c r="AQ371" i="6"/>
  <c r="AO371" i="6"/>
  <c r="AM371" i="6"/>
  <c r="AK371" i="6"/>
  <c r="AJ371" i="6"/>
  <c r="AI371" i="6"/>
  <c r="AH371" i="6"/>
  <c r="AG371" i="6"/>
  <c r="AF371" i="6"/>
  <c r="AE371" i="6"/>
  <c r="AB371" i="6"/>
  <c r="AA371" i="6"/>
  <c r="Z371" i="6"/>
  <c r="V371" i="6"/>
  <c r="U371" i="6"/>
  <c r="T371" i="6"/>
  <c r="S371" i="6"/>
  <c r="L371" i="6"/>
  <c r="K371" i="6"/>
  <c r="J371" i="6"/>
  <c r="E371" i="6"/>
  <c r="D371" i="6"/>
  <c r="B371" i="6"/>
  <c r="A371" i="6"/>
  <c r="DL370" i="6"/>
  <c r="DJ370" i="6"/>
  <c r="DI370" i="6"/>
  <c r="DE370" i="6"/>
  <c r="DC370" i="6"/>
  <c r="CY370" i="6"/>
  <c r="CW370" i="6"/>
  <c r="CU370" i="6"/>
  <c r="CS370" i="6"/>
  <c r="CK370" i="6"/>
  <c r="CI370" i="6"/>
  <c r="CG370" i="6"/>
  <c r="CE370" i="6"/>
  <c r="CC370" i="6"/>
  <c r="CA370" i="6"/>
  <c r="BY370" i="6"/>
  <c r="BW370" i="6"/>
  <c r="BU370" i="6"/>
  <c r="BS370" i="6"/>
  <c r="BQ370" i="6"/>
  <c r="BO370" i="6"/>
  <c r="BM370" i="6"/>
  <c r="BK370" i="6"/>
  <c r="BI370" i="6"/>
  <c r="BG370" i="6"/>
  <c r="BE370" i="6"/>
  <c r="BC370" i="6"/>
  <c r="BA370" i="6"/>
  <c r="AY370" i="6"/>
  <c r="AW370" i="6"/>
  <c r="AU370" i="6"/>
  <c r="AS370" i="6"/>
  <c r="AQ370" i="6"/>
  <c r="AO370" i="6"/>
  <c r="AM370" i="6"/>
  <c r="AK370" i="6"/>
  <c r="AI370" i="6"/>
  <c r="AG370" i="6"/>
  <c r="AF370" i="6"/>
  <c r="AE370" i="6"/>
  <c r="AD370" i="6"/>
  <c r="AB370" i="6"/>
  <c r="AA370" i="6"/>
  <c r="Z370" i="6"/>
  <c r="V370" i="6"/>
  <c r="U370" i="6"/>
  <c r="T370" i="6"/>
  <c r="S370" i="6"/>
  <c r="L370" i="6"/>
  <c r="K370" i="6"/>
  <c r="J370" i="6"/>
  <c r="E370" i="6"/>
  <c r="D370" i="6"/>
  <c r="B370" i="6"/>
  <c r="A370" i="6"/>
  <c r="DL369" i="6"/>
  <c r="DK369" i="6"/>
  <c r="DJ369" i="6"/>
  <c r="DI369" i="6"/>
  <c r="DE369" i="6"/>
  <c r="DC369" i="6"/>
  <c r="CY369" i="6"/>
  <c r="CW369" i="6"/>
  <c r="CU369" i="6"/>
  <c r="CS369" i="6"/>
  <c r="CK369" i="6"/>
  <c r="CI369" i="6"/>
  <c r="CG369" i="6"/>
  <c r="CE369" i="6"/>
  <c r="CC369" i="6"/>
  <c r="CA369" i="6"/>
  <c r="BY369" i="6"/>
  <c r="BW369" i="6"/>
  <c r="BU369" i="6"/>
  <c r="BS369" i="6"/>
  <c r="BQ369" i="6"/>
  <c r="BO369" i="6"/>
  <c r="BM369" i="6"/>
  <c r="BK369" i="6"/>
  <c r="BI369" i="6"/>
  <c r="BG369" i="6"/>
  <c r="BE369" i="6"/>
  <c r="BC369" i="6"/>
  <c r="BA369" i="6"/>
  <c r="AY369" i="6"/>
  <c r="AW369" i="6"/>
  <c r="AU369" i="6"/>
  <c r="AS369" i="6"/>
  <c r="AQ369" i="6"/>
  <c r="AO369" i="6"/>
  <c r="AM369" i="6"/>
  <c r="AK369" i="6"/>
  <c r="AI369" i="6"/>
  <c r="AG369" i="6"/>
  <c r="AF369" i="6"/>
  <c r="AE369" i="6"/>
  <c r="AB369" i="6"/>
  <c r="AA369" i="6"/>
  <c r="Z369" i="6"/>
  <c r="V369" i="6"/>
  <c r="U369" i="6"/>
  <c r="T369" i="6"/>
  <c r="S369" i="6"/>
  <c r="L369" i="6"/>
  <c r="K369" i="6"/>
  <c r="E369" i="6"/>
  <c r="D369" i="6"/>
  <c r="B369" i="6"/>
  <c r="A369" i="6"/>
  <c r="DL368" i="6"/>
  <c r="DJ368" i="6"/>
  <c r="DI368" i="6"/>
  <c r="DE368" i="6"/>
  <c r="DC368" i="6"/>
  <c r="CY368" i="6"/>
  <c r="CW368" i="6"/>
  <c r="CU368" i="6"/>
  <c r="CS368" i="6"/>
  <c r="CK368" i="6"/>
  <c r="CI368" i="6"/>
  <c r="CG368" i="6"/>
  <c r="CE368" i="6"/>
  <c r="CC368" i="6"/>
  <c r="CA368" i="6"/>
  <c r="BY368" i="6"/>
  <c r="BW368" i="6"/>
  <c r="BU368" i="6"/>
  <c r="BS368" i="6"/>
  <c r="BQ368" i="6"/>
  <c r="BO368" i="6"/>
  <c r="BM368" i="6"/>
  <c r="BK368" i="6"/>
  <c r="BI368" i="6"/>
  <c r="BG368" i="6"/>
  <c r="BE368" i="6"/>
  <c r="BC368" i="6"/>
  <c r="BA368" i="6"/>
  <c r="AY368" i="6"/>
  <c r="AW368" i="6"/>
  <c r="AU368" i="6"/>
  <c r="AS368" i="6"/>
  <c r="AQ368" i="6"/>
  <c r="AO368" i="6"/>
  <c r="AM368" i="6"/>
  <c r="AK368" i="6"/>
  <c r="AJ368" i="6"/>
  <c r="AI368" i="6"/>
  <c r="AH368" i="6"/>
  <c r="AG368" i="6"/>
  <c r="AF368" i="6"/>
  <c r="AE368" i="6"/>
  <c r="AB368" i="6"/>
  <c r="AA368" i="6"/>
  <c r="Z368" i="6"/>
  <c r="V368" i="6"/>
  <c r="U368" i="6"/>
  <c r="T368" i="6"/>
  <c r="S368" i="6"/>
  <c r="E368" i="6"/>
  <c r="D368" i="6"/>
  <c r="B368" i="6"/>
  <c r="A368" i="6"/>
  <c r="DL367" i="6"/>
  <c r="DJ367" i="6"/>
  <c r="DI367" i="6"/>
  <c r="DE367" i="6"/>
  <c r="DC367" i="6"/>
  <c r="CY367" i="6"/>
  <c r="CW367" i="6"/>
  <c r="CU367" i="6"/>
  <c r="CS367" i="6"/>
  <c r="CK367" i="6"/>
  <c r="CI367" i="6"/>
  <c r="CG367" i="6"/>
  <c r="CE367" i="6"/>
  <c r="CC367" i="6"/>
  <c r="CA367" i="6"/>
  <c r="BY367" i="6"/>
  <c r="BW367" i="6"/>
  <c r="BU367" i="6"/>
  <c r="BS367" i="6"/>
  <c r="BQ367" i="6"/>
  <c r="BO367" i="6"/>
  <c r="BM367" i="6"/>
  <c r="BK367" i="6"/>
  <c r="BI367" i="6"/>
  <c r="BG367" i="6"/>
  <c r="BE367" i="6"/>
  <c r="BC367" i="6"/>
  <c r="BA367" i="6"/>
  <c r="AY367" i="6"/>
  <c r="AW367" i="6"/>
  <c r="AU367" i="6"/>
  <c r="AS367" i="6"/>
  <c r="AQ367" i="6"/>
  <c r="AO367" i="6"/>
  <c r="AM367" i="6"/>
  <c r="AK367" i="6"/>
  <c r="AI367" i="6"/>
  <c r="AG367" i="6"/>
  <c r="AF367" i="6"/>
  <c r="AE367" i="6"/>
  <c r="AB367" i="6"/>
  <c r="AA367" i="6"/>
  <c r="Z367" i="6"/>
  <c r="V367" i="6"/>
  <c r="U367" i="6"/>
  <c r="T367" i="6"/>
  <c r="S367" i="6"/>
  <c r="Q367" i="6"/>
  <c r="L367" i="6"/>
  <c r="K367" i="6"/>
  <c r="E367" i="6"/>
  <c r="D367" i="6"/>
  <c r="B367" i="6"/>
  <c r="A367" i="6"/>
  <c r="DL366" i="6"/>
  <c r="DJ366" i="6"/>
  <c r="DI366" i="6"/>
  <c r="DH366" i="6"/>
  <c r="DE366" i="6"/>
  <c r="DC366" i="6"/>
  <c r="CY366" i="6"/>
  <c r="CW366" i="6"/>
  <c r="CU366" i="6"/>
  <c r="CS366" i="6"/>
  <c r="CK366" i="6"/>
  <c r="CI366" i="6"/>
  <c r="CG366" i="6"/>
  <c r="CF366" i="6"/>
  <c r="CE366" i="6"/>
  <c r="CD366" i="6"/>
  <c r="CC366" i="6"/>
  <c r="CA366" i="6"/>
  <c r="BY366" i="6"/>
  <c r="BW366" i="6"/>
  <c r="BU366" i="6"/>
  <c r="BS366" i="6"/>
  <c r="BQ366" i="6"/>
  <c r="BO366" i="6"/>
  <c r="BM366" i="6"/>
  <c r="BK366" i="6"/>
  <c r="BI366" i="6"/>
  <c r="BG366" i="6"/>
  <c r="BE366" i="6"/>
  <c r="BC366" i="6"/>
  <c r="BA366" i="6"/>
  <c r="AY366" i="6"/>
  <c r="AW366" i="6"/>
  <c r="AU366" i="6"/>
  <c r="AS366" i="6"/>
  <c r="AQ366" i="6"/>
  <c r="AO366" i="6"/>
  <c r="AM366" i="6"/>
  <c r="AK366" i="6"/>
  <c r="AI366" i="6"/>
  <c r="AG366" i="6"/>
  <c r="AF366" i="6"/>
  <c r="AE366" i="6"/>
  <c r="AB366" i="6"/>
  <c r="AA366" i="6"/>
  <c r="Z366" i="6"/>
  <c r="V366" i="6"/>
  <c r="U366" i="6"/>
  <c r="T366" i="6"/>
  <c r="S366" i="6"/>
  <c r="Q366" i="6"/>
  <c r="E366" i="6"/>
  <c r="D366" i="6"/>
  <c r="B366" i="6"/>
  <c r="A366" i="6"/>
  <c r="DL365" i="6"/>
  <c r="DJ365" i="6"/>
  <c r="DI365" i="6"/>
  <c r="DH365" i="6"/>
  <c r="DG365" i="6"/>
  <c r="DF365" i="6"/>
  <c r="DE365" i="6"/>
  <c r="DC365" i="6"/>
  <c r="CY365" i="6"/>
  <c r="CW365" i="6"/>
  <c r="CU365" i="6"/>
  <c r="CS365" i="6"/>
  <c r="CK365" i="6"/>
  <c r="CI365" i="6"/>
  <c r="CG365" i="6"/>
  <c r="CF365" i="6"/>
  <c r="CE365" i="6"/>
  <c r="CD365" i="6"/>
  <c r="CC365" i="6"/>
  <c r="CA365" i="6"/>
  <c r="BY365" i="6"/>
  <c r="BW365" i="6"/>
  <c r="BU365" i="6"/>
  <c r="BS365" i="6"/>
  <c r="BQ365" i="6"/>
  <c r="BO365" i="6"/>
  <c r="BM365" i="6"/>
  <c r="BK365" i="6"/>
  <c r="BI365" i="6"/>
  <c r="BG365" i="6"/>
  <c r="BE365" i="6"/>
  <c r="BC365" i="6"/>
  <c r="BA365" i="6"/>
  <c r="AY365" i="6"/>
  <c r="AW365" i="6"/>
  <c r="AU365" i="6"/>
  <c r="AS365" i="6"/>
  <c r="AQ365" i="6"/>
  <c r="AO365" i="6"/>
  <c r="AM365" i="6"/>
  <c r="AK365" i="6"/>
  <c r="AI365" i="6"/>
  <c r="AG365" i="6"/>
  <c r="AF365" i="6"/>
  <c r="AE365" i="6"/>
  <c r="AD365" i="6"/>
  <c r="AB365" i="6"/>
  <c r="AA365" i="6"/>
  <c r="Z365" i="6"/>
  <c r="V365" i="6"/>
  <c r="U365" i="6"/>
  <c r="T365" i="6"/>
  <c r="S365" i="6"/>
  <c r="L365" i="6"/>
  <c r="K365" i="6"/>
  <c r="E365" i="6"/>
  <c r="D365" i="6"/>
  <c r="B365" i="6"/>
  <c r="A365" i="6"/>
  <c r="DL364" i="6"/>
  <c r="DJ364" i="6"/>
  <c r="DI364" i="6"/>
  <c r="DE364" i="6"/>
  <c r="DC364" i="6"/>
  <c r="CY364" i="6"/>
  <c r="CW364" i="6"/>
  <c r="CU364" i="6"/>
  <c r="CS364" i="6"/>
  <c r="CK364" i="6"/>
  <c r="CI364" i="6"/>
  <c r="CG364" i="6"/>
  <c r="CE364" i="6"/>
  <c r="CC364" i="6"/>
  <c r="CA364" i="6"/>
  <c r="BY364" i="6"/>
  <c r="BW364" i="6"/>
  <c r="BU364" i="6"/>
  <c r="BS364" i="6"/>
  <c r="BQ364" i="6"/>
  <c r="BO364" i="6"/>
  <c r="BM364" i="6"/>
  <c r="BK364" i="6"/>
  <c r="BI364" i="6"/>
  <c r="BG364" i="6"/>
  <c r="BE364" i="6"/>
  <c r="BC364" i="6"/>
  <c r="BA364" i="6"/>
  <c r="AY364" i="6"/>
  <c r="AW364" i="6"/>
  <c r="AU364" i="6"/>
  <c r="AS364" i="6"/>
  <c r="AQ364" i="6"/>
  <c r="AO364" i="6"/>
  <c r="AM364" i="6"/>
  <c r="AK364" i="6"/>
  <c r="AI364" i="6"/>
  <c r="AG364" i="6"/>
  <c r="AF364" i="6"/>
  <c r="AE364" i="6"/>
  <c r="AB364" i="6"/>
  <c r="AA364" i="6"/>
  <c r="Z364" i="6"/>
  <c r="V364" i="6"/>
  <c r="U364" i="6"/>
  <c r="T364" i="6"/>
  <c r="S364" i="6"/>
  <c r="Q364" i="6"/>
  <c r="E364" i="6"/>
  <c r="D364" i="6"/>
  <c r="B364" i="6"/>
  <c r="A364" i="6"/>
  <c r="DL363" i="6"/>
  <c r="DJ363" i="6"/>
  <c r="DI363" i="6"/>
  <c r="DE363" i="6"/>
  <c r="DC363" i="6"/>
  <c r="CY363" i="6"/>
  <c r="CW363" i="6"/>
  <c r="CU363" i="6"/>
  <c r="CS363" i="6"/>
  <c r="CK363" i="6"/>
  <c r="CI363" i="6"/>
  <c r="CG363" i="6"/>
  <c r="CE363" i="6"/>
  <c r="CC363" i="6"/>
  <c r="CA363" i="6"/>
  <c r="BY363" i="6"/>
  <c r="BW363" i="6"/>
  <c r="BU363" i="6"/>
  <c r="BS363" i="6"/>
  <c r="BQ363" i="6"/>
  <c r="BO363" i="6"/>
  <c r="BM363" i="6"/>
  <c r="BK363" i="6"/>
  <c r="BI363" i="6"/>
  <c r="BG363" i="6"/>
  <c r="BE363" i="6"/>
  <c r="BC363" i="6"/>
  <c r="BA363" i="6"/>
  <c r="AY363" i="6"/>
  <c r="AW363" i="6"/>
  <c r="AU363" i="6"/>
  <c r="AS363" i="6"/>
  <c r="AQ363" i="6"/>
  <c r="AO363" i="6"/>
  <c r="AM363" i="6"/>
  <c r="AK363" i="6"/>
  <c r="AI363" i="6"/>
  <c r="AG363" i="6"/>
  <c r="AF363" i="6"/>
  <c r="AE363" i="6"/>
  <c r="AD363" i="6"/>
  <c r="AB363" i="6"/>
  <c r="AA363" i="6"/>
  <c r="Z363" i="6"/>
  <c r="V363" i="6"/>
  <c r="U363" i="6"/>
  <c r="T363" i="6"/>
  <c r="S363" i="6"/>
  <c r="L363" i="6"/>
  <c r="K363" i="6"/>
  <c r="E363" i="6"/>
  <c r="D363" i="6"/>
  <c r="B363" i="6"/>
  <c r="A363" i="6"/>
  <c r="DL362" i="6"/>
  <c r="DJ362" i="6"/>
  <c r="DI362" i="6"/>
  <c r="DE362" i="6"/>
  <c r="DC362" i="6"/>
  <c r="CY362" i="6"/>
  <c r="CW362" i="6"/>
  <c r="CU362" i="6"/>
  <c r="CS362" i="6"/>
  <c r="CK362" i="6"/>
  <c r="CI362" i="6"/>
  <c r="CG362" i="6"/>
  <c r="CE362" i="6"/>
  <c r="CC362" i="6"/>
  <c r="CA362" i="6"/>
  <c r="BY362" i="6"/>
  <c r="BW362" i="6"/>
  <c r="BU362" i="6"/>
  <c r="BS362" i="6"/>
  <c r="BQ362" i="6"/>
  <c r="BO362" i="6"/>
  <c r="BM362" i="6"/>
  <c r="BK362" i="6"/>
  <c r="BI362" i="6"/>
  <c r="BG362" i="6"/>
  <c r="BE362" i="6"/>
  <c r="BC362" i="6"/>
  <c r="BA362" i="6"/>
  <c r="AY362" i="6"/>
  <c r="AW362" i="6"/>
  <c r="AU362" i="6"/>
  <c r="AS362" i="6"/>
  <c r="AQ362" i="6"/>
  <c r="AO362" i="6"/>
  <c r="AM362" i="6"/>
  <c r="AK362" i="6"/>
  <c r="AI362" i="6"/>
  <c r="AG362" i="6"/>
  <c r="AF362" i="6"/>
  <c r="AE362" i="6"/>
  <c r="AD362" i="6"/>
  <c r="AB362" i="6"/>
  <c r="AA362" i="6"/>
  <c r="Z362" i="6"/>
  <c r="V362" i="6"/>
  <c r="U362" i="6"/>
  <c r="T362" i="6"/>
  <c r="S362" i="6"/>
  <c r="L362" i="6"/>
  <c r="K362" i="6"/>
  <c r="E362" i="6"/>
  <c r="D362" i="6"/>
  <c r="B362" i="6"/>
  <c r="A362" i="6"/>
  <c r="DL361" i="6"/>
  <c r="DJ361" i="6"/>
  <c r="DI361" i="6"/>
  <c r="DH361" i="6"/>
  <c r="DG361" i="6"/>
  <c r="DF361" i="6"/>
  <c r="DE361" i="6"/>
  <c r="DC361" i="6"/>
  <c r="CY361" i="6"/>
  <c r="CW361" i="6"/>
  <c r="CU361" i="6"/>
  <c r="CS361" i="6"/>
  <c r="CK361" i="6"/>
  <c r="CJ361" i="6"/>
  <c r="CI361" i="6"/>
  <c r="CH361" i="6"/>
  <c r="CG361" i="6"/>
  <c r="CF361" i="6"/>
  <c r="CE361" i="6"/>
  <c r="CD361" i="6"/>
  <c r="CC361" i="6"/>
  <c r="CA361" i="6"/>
  <c r="BY361" i="6"/>
  <c r="BW361" i="6"/>
  <c r="BU361" i="6"/>
  <c r="BS361" i="6"/>
  <c r="BQ361" i="6"/>
  <c r="BO361" i="6"/>
  <c r="BM361" i="6"/>
  <c r="BK361" i="6"/>
  <c r="BI361" i="6"/>
  <c r="BG361" i="6"/>
  <c r="BE361" i="6"/>
  <c r="BC361" i="6"/>
  <c r="BA361" i="6"/>
  <c r="AY361" i="6"/>
  <c r="AW361" i="6"/>
  <c r="AU361" i="6"/>
  <c r="AS361" i="6"/>
  <c r="AR361" i="6"/>
  <c r="AQ361" i="6"/>
  <c r="AP361" i="6"/>
  <c r="AO361" i="6"/>
  <c r="AN361" i="6"/>
  <c r="AM361" i="6"/>
  <c r="AL361" i="6"/>
  <c r="AK361" i="6"/>
  <c r="AJ361" i="6"/>
  <c r="AI361" i="6"/>
  <c r="AH361" i="6"/>
  <c r="AG361" i="6"/>
  <c r="AF361" i="6"/>
  <c r="AE361" i="6"/>
  <c r="AD361" i="6"/>
  <c r="AB361" i="6"/>
  <c r="AA361" i="6"/>
  <c r="Z361" i="6"/>
  <c r="V361" i="6"/>
  <c r="U361" i="6"/>
  <c r="T361" i="6"/>
  <c r="S361" i="6"/>
  <c r="Q361" i="6"/>
  <c r="E361" i="6"/>
  <c r="D361" i="6"/>
  <c r="B361" i="6"/>
  <c r="A361" i="6"/>
  <c r="DL360" i="6"/>
  <c r="DJ360" i="6"/>
  <c r="DI360" i="6"/>
  <c r="DE360" i="6"/>
  <c r="DC360" i="6"/>
  <c r="CY360" i="6"/>
  <c r="CW360" i="6"/>
  <c r="CU360" i="6"/>
  <c r="CS360" i="6"/>
  <c r="CR360" i="6"/>
  <c r="CK360" i="6"/>
  <c r="CI360" i="6"/>
  <c r="CG360" i="6"/>
  <c r="CE360" i="6"/>
  <c r="CC360" i="6"/>
  <c r="CA360" i="6"/>
  <c r="BY360" i="6"/>
  <c r="BW360" i="6"/>
  <c r="BU360" i="6"/>
  <c r="BS360" i="6"/>
  <c r="BQ360" i="6"/>
  <c r="BO360" i="6"/>
  <c r="BM360" i="6"/>
  <c r="BK360" i="6"/>
  <c r="BI360" i="6"/>
  <c r="BG360" i="6"/>
  <c r="BE360" i="6"/>
  <c r="BC360" i="6"/>
  <c r="BA360" i="6"/>
  <c r="AY360" i="6"/>
  <c r="AW360" i="6"/>
  <c r="AU360" i="6"/>
  <c r="AS360" i="6"/>
  <c r="AQ360" i="6"/>
  <c r="AO360" i="6"/>
  <c r="AM360" i="6"/>
  <c r="AK360" i="6"/>
  <c r="AI360" i="6"/>
  <c r="AG360" i="6"/>
  <c r="AF360" i="6"/>
  <c r="AE360" i="6"/>
  <c r="AB360" i="6"/>
  <c r="AA360" i="6"/>
  <c r="Z360" i="6"/>
  <c r="V360" i="6"/>
  <c r="U360" i="6"/>
  <c r="T360" i="6"/>
  <c r="S360" i="6"/>
  <c r="Q360" i="6"/>
  <c r="E360" i="6"/>
  <c r="D360" i="6"/>
  <c r="B360" i="6"/>
  <c r="A360" i="6"/>
  <c r="DL359" i="6"/>
  <c r="DJ359" i="6"/>
  <c r="DI359" i="6"/>
  <c r="DE359" i="6"/>
  <c r="DC359" i="6"/>
  <c r="CY359" i="6"/>
  <c r="CW359" i="6"/>
  <c r="CU359" i="6"/>
  <c r="CS359" i="6"/>
  <c r="CK359" i="6"/>
  <c r="CI359" i="6"/>
  <c r="CG359" i="6"/>
  <c r="CE359" i="6"/>
  <c r="CC359" i="6"/>
  <c r="CA359" i="6"/>
  <c r="BY359" i="6"/>
  <c r="BW359" i="6"/>
  <c r="BU359" i="6"/>
  <c r="BS359" i="6"/>
  <c r="BQ359" i="6"/>
  <c r="BO359" i="6"/>
  <c r="BM359" i="6"/>
  <c r="BK359" i="6"/>
  <c r="BI359" i="6"/>
  <c r="BG359" i="6"/>
  <c r="BE359" i="6"/>
  <c r="BC359" i="6"/>
  <c r="BA359" i="6"/>
  <c r="AY359" i="6"/>
  <c r="AW359" i="6"/>
  <c r="AU359" i="6"/>
  <c r="AS359" i="6"/>
  <c r="AQ359" i="6"/>
  <c r="AO359" i="6"/>
  <c r="AM359" i="6"/>
  <c r="AK359" i="6"/>
  <c r="AI359" i="6"/>
  <c r="AG359" i="6"/>
  <c r="AF359" i="6"/>
  <c r="AE359" i="6"/>
  <c r="AD359" i="6"/>
  <c r="AB359" i="6"/>
  <c r="AA359" i="6"/>
  <c r="Z359" i="6"/>
  <c r="V359" i="6"/>
  <c r="U359" i="6"/>
  <c r="T359" i="6"/>
  <c r="S359" i="6"/>
  <c r="L359" i="6"/>
  <c r="K359" i="6"/>
  <c r="J359" i="6"/>
  <c r="E359" i="6"/>
  <c r="D359" i="6"/>
  <c r="B359" i="6"/>
  <c r="A359" i="6"/>
  <c r="DL358" i="6"/>
  <c r="DJ358" i="6"/>
  <c r="DI358" i="6"/>
  <c r="DH358" i="6"/>
  <c r="DE358" i="6"/>
  <c r="DD358" i="6"/>
  <c r="DC358" i="6"/>
  <c r="DA358" i="6"/>
  <c r="CY358" i="6"/>
  <c r="CX358" i="6"/>
  <c r="CW358" i="6"/>
  <c r="CU358" i="6"/>
  <c r="CS358" i="6"/>
  <c r="CK358" i="6"/>
  <c r="CI358" i="6"/>
  <c r="CG358" i="6"/>
  <c r="CF358" i="6"/>
  <c r="CE358" i="6"/>
  <c r="CD358" i="6"/>
  <c r="CC358" i="6"/>
  <c r="CA358" i="6"/>
  <c r="BY358" i="6"/>
  <c r="BW358" i="6"/>
  <c r="BU358" i="6"/>
  <c r="BS358" i="6"/>
  <c r="BQ358" i="6"/>
  <c r="BO358" i="6"/>
  <c r="BM358" i="6"/>
  <c r="BK358" i="6"/>
  <c r="BI358" i="6"/>
  <c r="BG358" i="6"/>
  <c r="BE358" i="6"/>
  <c r="BC358" i="6"/>
  <c r="BA358" i="6"/>
  <c r="AY358" i="6"/>
  <c r="AW358" i="6"/>
  <c r="AU358" i="6"/>
  <c r="AS358" i="6"/>
  <c r="AQ358" i="6"/>
  <c r="AO358" i="6"/>
  <c r="AM358" i="6"/>
  <c r="AK358" i="6"/>
  <c r="AI358" i="6"/>
  <c r="AG358" i="6"/>
  <c r="AF358" i="6"/>
  <c r="AE358" i="6"/>
  <c r="AB358" i="6"/>
  <c r="AA358" i="6"/>
  <c r="Z358" i="6"/>
  <c r="V358" i="6"/>
  <c r="U358" i="6"/>
  <c r="T358" i="6"/>
  <c r="S358" i="6"/>
  <c r="Q358" i="6"/>
  <c r="E358" i="6"/>
  <c r="D358" i="6"/>
  <c r="B358" i="6"/>
  <c r="A358" i="6"/>
  <c r="DL357" i="6"/>
  <c r="DJ357" i="6"/>
  <c r="DI357" i="6"/>
  <c r="DH357" i="6"/>
  <c r="DE357" i="6"/>
  <c r="DC357" i="6"/>
  <c r="CY357" i="6"/>
  <c r="CW357" i="6"/>
  <c r="CU357" i="6"/>
  <c r="CS357" i="6"/>
  <c r="CK357" i="6"/>
  <c r="CI357" i="6"/>
  <c r="CG357" i="6"/>
  <c r="CF357" i="6"/>
  <c r="CE357" i="6"/>
  <c r="CD357" i="6"/>
  <c r="CC357" i="6"/>
  <c r="CA357" i="6"/>
  <c r="BY357" i="6"/>
  <c r="BW357" i="6"/>
  <c r="BU357" i="6"/>
  <c r="BS357" i="6"/>
  <c r="BQ357" i="6"/>
  <c r="BO357" i="6"/>
  <c r="BM357" i="6"/>
  <c r="BK357" i="6"/>
  <c r="BI357" i="6"/>
  <c r="BG357" i="6"/>
  <c r="BE357" i="6"/>
  <c r="BC357" i="6"/>
  <c r="BA357" i="6"/>
  <c r="AY357" i="6"/>
  <c r="AW357" i="6"/>
  <c r="AU357" i="6"/>
  <c r="AS357" i="6"/>
  <c r="AQ357" i="6"/>
  <c r="AO357" i="6"/>
  <c r="AM357" i="6"/>
  <c r="AK357" i="6"/>
  <c r="AI357" i="6"/>
  <c r="AG357" i="6"/>
  <c r="AF357" i="6"/>
  <c r="AE357" i="6"/>
  <c r="AB357" i="6"/>
  <c r="AA357" i="6"/>
  <c r="Z357" i="6"/>
  <c r="V357" i="6"/>
  <c r="U357" i="6"/>
  <c r="T357" i="6"/>
  <c r="S357" i="6"/>
  <c r="Q357" i="6"/>
  <c r="E357" i="6"/>
  <c r="D357" i="6"/>
  <c r="B357" i="6"/>
  <c r="A357" i="6"/>
  <c r="DL356" i="6"/>
  <c r="DJ356" i="6"/>
  <c r="DI356" i="6"/>
  <c r="DH356" i="6"/>
  <c r="DE356" i="6"/>
  <c r="DC356" i="6"/>
  <c r="CY356" i="6"/>
  <c r="CW356" i="6"/>
  <c r="CU356" i="6"/>
  <c r="CS356" i="6"/>
  <c r="CK356" i="6"/>
  <c r="CI356" i="6"/>
  <c r="CG356" i="6"/>
  <c r="CF356" i="6"/>
  <c r="CE356" i="6"/>
  <c r="CD356" i="6"/>
  <c r="CC356" i="6"/>
  <c r="CA356" i="6"/>
  <c r="BY356" i="6"/>
  <c r="BW356" i="6"/>
  <c r="BU356" i="6"/>
  <c r="BS356" i="6"/>
  <c r="BQ356" i="6"/>
  <c r="BO356" i="6"/>
  <c r="BM356" i="6"/>
  <c r="BK356" i="6"/>
  <c r="BI356" i="6"/>
  <c r="BG356" i="6"/>
  <c r="BE356" i="6"/>
  <c r="BC356" i="6"/>
  <c r="BA356" i="6"/>
  <c r="AY356" i="6"/>
  <c r="AW356" i="6"/>
  <c r="AU356" i="6"/>
  <c r="AS356" i="6"/>
  <c r="AQ356" i="6"/>
  <c r="AO356" i="6"/>
  <c r="AM356" i="6"/>
  <c r="AK356" i="6"/>
  <c r="AI356" i="6"/>
  <c r="AG356" i="6"/>
  <c r="AF356" i="6"/>
  <c r="AE356" i="6"/>
  <c r="AB356" i="6"/>
  <c r="AA356" i="6"/>
  <c r="Z356" i="6"/>
  <c r="V356" i="6"/>
  <c r="U356" i="6"/>
  <c r="T356" i="6"/>
  <c r="S356" i="6"/>
  <c r="Q356" i="6"/>
  <c r="E356" i="6"/>
  <c r="D356" i="6"/>
  <c r="B356" i="6"/>
  <c r="A356" i="6"/>
  <c r="DL355" i="6"/>
  <c r="DJ355" i="6"/>
  <c r="DI355" i="6"/>
  <c r="DH355" i="6"/>
  <c r="DE355" i="6"/>
  <c r="DC355" i="6"/>
  <c r="CY355" i="6"/>
  <c r="CW355" i="6"/>
  <c r="CU355" i="6"/>
  <c r="CS355" i="6"/>
  <c r="CK355" i="6"/>
  <c r="CI355" i="6"/>
  <c r="CG355" i="6"/>
  <c r="CF355" i="6"/>
  <c r="CE355" i="6"/>
  <c r="CD355" i="6"/>
  <c r="CC355" i="6"/>
  <c r="CA355" i="6"/>
  <c r="BY355" i="6"/>
  <c r="BW355" i="6"/>
  <c r="BU355" i="6"/>
  <c r="BS355" i="6"/>
  <c r="BQ355" i="6"/>
  <c r="BO355" i="6"/>
  <c r="BM355" i="6"/>
  <c r="BK355" i="6"/>
  <c r="BI355" i="6"/>
  <c r="BG355" i="6"/>
  <c r="BE355" i="6"/>
  <c r="BC355" i="6"/>
  <c r="BA355" i="6"/>
  <c r="AY355" i="6"/>
  <c r="AW355" i="6"/>
  <c r="AU355" i="6"/>
  <c r="AS355" i="6"/>
  <c r="AQ355" i="6"/>
  <c r="AO355" i="6"/>
  <c r="AM355" i="6"/>
  <c r="AK355" i="6"/>
  <c r="AI355" i="6"/>
  <c r="AG355" i="6"/>
  <c r="AF355" i="6"/>
  <c r="AE355" i="6"/>
  <c r="AB355" i="6"/>
  <c r="AA355" i="6"/>
  <c r="Z355" i="6"/>
  <c r="V355" i="6"/>
  <c r="U355" i="6"/>
  <c r="T355" i="6"/>
  <c r="S355" i="6"/>
  <c r="Q355" i="6"/>
  <c r="E355" i="6"/>
  <c r="D355" i="6"/>
  <c r="B355" i="6"/>
  <c r="A355" i="6"/>
  <c r="DL354" i="6"/>
  <c r="DJ354" i="6"/>
  <c r="DI354" i="6"/>
  <c r="DH354" i="6"/>
  <c r="DE354" i="6"/>
  <c r="DC354" i="6"/>
  <c r="CY354" i="6"/>
  <c r="CW354" i="6"/>
  <c r="CU354" i="6"/>
  <c r="CS354" i="6"/>
  <c r="CK354" i="6"/>
  <c r="CI354" i="6"/>
  <c r="CG354" i="6"/>
  <c r="CF354" i="6"/>
  <c r="CE354" i="6"/>
  <c r="CD354" i="6"/>
  <c r="CC354" i="6"/>
  <c r="CA354" i="6"/>
  <c r="BY354" i="6"/>
  <c r="BW354" i="6"/>
  <c r="BU354" i="6"/>
  <c r="BS354" i="6"/>
  <c r="BQ354" i="6"/>
  <c r="BO354" i="6"/>
  <c r="BM354" i="6"/>
  <c r="BK354" i="6"/>
  <c r="BI354" i="6"/>
  <c r="BG354" i="6"/>
  <c r="BE354" i="6"/>
  <c r="BC354" i="6"/>
  <c r="BA354" i="6"/>
  <c r="AY354" i="6"/>
  <c r="AW354" i="6"/>
  <c r="AU354" i="6"/>
  <c r="AS354" i="6"/>
  <c r="AQ354" i="6"/>
  <c r="AO354" i="6"/>
  <c r="AM354" i="6"/>
  <c r="AK354" i="6"/>
  <c r="AI354" i="6"/>
  <c r="AG354" i="6"/>
  <c r="AF354" i="6"/>
  <c r="AE354" i="6"/>
  <c r="AB354" i="6"/>
  <c r="AA354" i="6"/>
  <c r="Z354" i="6"/>
  <c r="V354" i="6"/>
  <c r="U354" i="6"/>
  <c r="T354" i="6"/>
  <c r="S354" i="6"/>
  <c r="Q354" i="6"/>
  <c r="E354" i="6"/>
  <c r="D354" i="6"/>
  <c r="B354" i="6"/>
  <c r="A354" i="6"/>
  <c r="DL353" i="6"/>
  <c r="DJ353" i="6"/>
  <c r="DI353" i="6"/>
  <c r="DE353" i="6"/>
  <c r="DC353" i="6"/>
  <c r="CY353" i="6"/>
  <c r="CW353" i="6"/>
  <c r="CV353" i="6"/>
  <c r="CU353" i="6"/>
  <c r="CS353" i="6"/>
  <c r="CK353" i="6"/>
  <c r="CI353" i="6"/>
  <c r="CG353" i="6"/>
  <c r="CE353" i="6"/>
  <c r="CC353" i="6"/>
  <c r="CA353" i="6"/>
  <c r="BY353" i="6"/>
  <c r="BW353" i="6"/>
  <c r="BU353" i="6"/>
  <c r="BS353" i="6"/>
  <c r="BQ353" i="6"/>
  <c r="BO353" i="6"/>
  <c r="BM353" i="6"/>
  <c r="BK353" i="6"/>
  <c r="BI353" i="6"/>
  <c r="BG353" i="6"/>
  <c r="BE353" i="6"/>
  <c r="BC353" i="6"/>
  <c r="BA353" i="6"/>
  <c r="AY353" i="6"/>
  <c r="AW353" i="6"/>
  <c r="AU353" i="6"/>
  <c r="AS353" i="6"/>
  <c r="AQ353" i="6"/>
  <c r="AO353" i="6"/>
  <c r="AM353" i="6"/>
  <c r="AK353" i="6"/>
  <c r="AI353" i="6"/>
  <c r="AG353" i="6"/>
  <c r="AF353" i="6"/>
  <c r="AE353" i="6"/>
  <c r="AB353" i="6"/>
  <c r="AA353" i="6"/>
  <c r="Z353" i="6"/>
  <c r="V353" i="6"/>
  <c r="U353" i="6"/>
  <c r="T353" i="6"/>
  <c r="S353" i="6"/>
  <c r="L353" i="6"/>
  <c r="K353" i="6"/>
  <c r="E353" i="6"/>
  <c r="D353" i="6"/>
  <c r="B353" i="6"/>
  <c r="A353" i="6"/>
  <c r="DL352" i="6"/>
  <c r="DJ352" i="6"/>
  <c r="DI352" i="6"/>
  <c r="DH352" i="6"/>
  <c r="DE352" i="6"/>
  <c r="DD352" i="6"/>
  <c r="DC352" i="6"/>
  <c r="DA352" i="6"/>
  <c r="CY352" i="6"/>
  <c r="CX352" i="6"/>
  <c r="CW352" i="6"/>
  <c r="CU352" i="6"/>
  <c r="CS352" i="6"/>
  <c r="CK352" i="6"/>
  <c r="CI352" i="6"/>
  <c r="CG352" i="6"/>
  <c r="CF352" i="6"/>
  <c r="CE352" i="6"/>
  <c r="CD352" i="6"/>
  <c r="CC352" i="6"/>
  <c r="CA352" i="6"/>
  <c r="BY352" i="6"/>
  <c r="BW352" i="6"/>
  <c r="BU352" i="6"/>
  <c r="BS352" i="6"/>
  <c r="BQ352" i="6"/>
  <c r="BO352" i="6"/>
  <c r="BM352" i="6"/>
  <c r="BK352" i="6"/>
  <c r="BI352" i="6"/>
  <c r="BG352" i="6"/>
  <c r="BE352" i="6"/>
  <c r="BC352" i="6"/>
  <c r="BA352" i="6"/>
  <c r="AY352" i="6"/>
  <c r="AW352" i="6"/>
  <c r="AU352" i="6"/>
  <c r="AS352" i="6"/>
  <c r="AQ352" i="6"/>
  <c r="AO352" i="6"/>
  <c r="AM352" i="6"/>
  <c r="AK352" i="6"/>
  <c r="AI352" i="6"/>
  <c r="AG352" i="6"/>
  <c r="AF352" i="6"/>
  <c r="AE352" i="6"/>
  <c r="AB352" i="6"/>
  <c r="AA352" i="6"/>
  <c r="Z352" i="6"/>
  <c r="V352" i="6"/>
  <c r="U352" i="6"/>
  <c r="T352" i="6"/>
  <c r="S352" i="6"/>
  <c r="Q352" i="6"/>
  <c r="E352" i="6"/>
  <c r="D352" i="6"/>
  <c r="B352" i="6"/>
  <c r="A352" i="6"/>
  <c r="DL351" i="6"/>
  <c r="DJ351" i="6"/>
  <c r="DI351" i="6"/>
  <c r="DE351" i="6"/>
  <c r="DC351" i="6"/>
  <c r="CY351" i="6"/>
  <c r="CW351" i="6"/>
  <c r="CU351" i="6"/>
  <c r="CS351" i="6"/>
  <c r="CK351" i="6"/>
  <c r="CI351" i="6"/>
  <c r="CG351" i="6"/>
  <c r="CE351" i="6"/>
  <c r="CC351" i="6"/>
  <c r="CA351" i="6"/>
  <c r="BY351" i="6"/>
  <c r="BW351" i="6"/>
  <c r="BU351" i="6"/>
  <c r="BS351" i="6"/>
  <c r="BQ351" i="6"/>
  <c r="BO351" i="6"/>
  <c r="BM351" i="6"/>
  <c r="BK351" i="6"/>
  <c r="BI351" i="6"/>
  <c r="BG351" i="6"/>
  <c r="BE351" i="6"/>
  <c r="BC351" i="6"/>
  <c r="BA351" i="6"/>
  <c r="AY351" i="6"/>
  <c r="AW351" i="6"/>
  <c r="AU351" i="6"/>
  <c r="AS351" i="6"/>
  <c r="AQ351" i="6"/>
  <c r="AO351" i="6"/>
  <c r="AM351" i="6"/>
  <c r="AK351" i="6"/>
  <c r="AI351" i="6"/>
  <c r="AG351" i="6"/>
  <c r="AF351" i="6"/>
  <c r="AE351" i="6"/>
  <c r="AD351" i="6"/>
  <c r="AB351" i="6"/>
  <c r="AA351" i="6"/>
  <c r="Z351" i="6"/>
  <c r="V351" i="6"/>
  <c r="U351" i="6"/>
  <c r="T351" i="6"/>
  <c r="S351" i="6"/>
  <c r="L351" i="6"/>
  <c r="K351" i="6"/>
  <c r="E351" i="6"/>
  <c r="D351" i="6"/>
  <c r="B351" i="6"/>
  <c r="A351" i="6"/>
  <c r="DL350" i="6"/>
  <c r="DJ350" i="6"/>
  <c r="DI350" i="6"/>
  <c r="DH350" i="6"/>
  <c r="DE350" i="6"/>
  <c r="DC350" i="6"/>
  <c r="CY350" i="6"/>
  <c r="CW350" i="6"/>
  <c r="CV350" i="6"/>
  <c r="CU350" i="6"/>
  <c r="CS350" i="6"/>
  <c r="CK350" i="6"/>
  <c r="CI350" i="6"/>
  <c r="CG350" i="6"/>
  <c r="CF350" i="6"/>
  <c r="CE350" i="6"/>
  <c r="CD350" i="6"/>
  <c r="CC350" i="6"/>
  <c r="CA350" i="6"/>
  <c r="BY350" i="6"/>
  <c r="BW350" i="6"/>
  <c r="BU350" i="6"/>
  <c r="BS350" i="6"/>
  <c r="BQ350" i="6"/>
  <c r="BO350" i="6"/>
  <c r="BM350" i="6"/>
  <c r="BK350" i="6"/>
  <c r="BI350" i="6"/>
  <c r="BG350" i="6"/>
  <c r="BE350" i="6"/>
  <c r="BC350" i="6"/>
  <c r="BA350" i="6"/>
  <c r="AY350" i="6"/>
  <c r="AW350" i="6"/>
  <c r="AU350" i="6"/>
  <c r="AS350" i="6"/>
  <c r="AQ350" i="6"/>
  <c r="AO350" i="6"/>
  <c r="AM350" i="6"/>
  <c r="AK350" i="6"/>
  <c r="AI350" i="6"/>
  <c r="AG350" i="6"/>
  <c r="AF350" i="6"/>
  <c r="AE350" i="6"/>
  <c r="AB350" i="6"/>
  <c r="AA350" i="6"/>
  <c r="Z350" i="6"/>
  <c r="V350" i="6"/>
  <c r="U350" i="6"/>
  <c r="T350" i="6"/>
  <c r="S350" i="6"/>
  <c r="L350" i="6"/>
  <c r="K350" i="6"/>
  <c r="E350" i="6"/>
  <c r="D350" i="6"/>
  <c r="B350" i="6"/>
  <c r="A350" i="6"/>
  <c r="DL349" i="6"/>
  <c r="DK349" i="6"/>
  <c r="DJ349" i="6"/>
  <c r="DI349" i="6"/>
  <c r="DH349" i="6"/>
  <c r="DE349" i="6"/>
  <c r="DC349" i="6"/>
  <c r="CY349" i="6"/>
  <c r="CW349" i="6"/>
  <c r="CV349" i="6"/>
  <c r="CU349" i="6"/>
  <c r="CS349" i="6"/>
  <c r="CK349" i="6"/>
  <c r="CI349" i="6"/>
  <c r="CG349" i="6"/>
  <c r="CF349" i="6"/>
  <c r="CE349" i="6"/>
  <c r="CD349" i="6"/>
  <c r="CC349" i="6"/>
  <c r="CA349" i="6"/>
  <c r="BY349" i="6"/>
  <c r="BW349" i="6"/>
  <c r="BU349" i="6"/>
  <c r="BS349" i="6"/>
  <c r="BQ349" i="6"/>
  <c r="BO349" i="6"/>
  <c r="BM349" i="6"/>
  <c r="BK349" i="6"/>
  <c r="BI349" i="6"/>
  <c r="BG349" i="6"/>
  <c r="BE349" i="6"/>
  <c r="BC349" i="6"/>
  <c r="BA349" i="6"/>
  <c r="AY349" i="6"/>
  <c r="AW349" i="6"/>
  <c r="AU349" i="6"/>
  <c r="AS349" i="6"/>
  <c r="AQ349" i="6"/>
  <c r="AO349" i="6"/>
  <c r="AN349" i="6"/>
  <c r="AM349" i="6"/>
  <c r="AL349" i="6"/>
  <c r="AK349" i="6"/>
  <c r="AJ349" i="6"/>
  <c r="AI349" i="6"/>
  <c r="AH349" i="6"/>
  <c r="AG349" i="6"/>
  <c r="AF349" i="6"/>
  <c r="AE349" i="6"/>
  <c r="AB349" i="6"/>
  <c r="AA349" i="6"/>
  <c r="Z349" i="6"/>
  <c r="V349" i="6"/>
  <c r="U349" i="6"/>
  <c r="T349" i="6"/>
  <c r="S349" i="6"/>
  <c r="Q349" i="6"/>
  <c r="L349" i="6"/>
  <c r="K349" i="6"/>
  <c r="J349" i="6"/>
  <c r="E349" i="6"/>
  <c r="D349" i="6"/>
  <c r="B349" i="6"/>
  <c r="A349" i="6"/>
  <c r="DL348" i="6"/>
  <c r="DJ348" i="6"/>
  <c r="DI348" i="6"/>
  <c r="DH348" i="6"/>
  <c r="DE348" i="6"/>
  <c r="DC348" i="6"/>
  <c r="CY348" i="6"/>
  <c r="CW348" i="6"/>
  <c r="CU348" i="6"/>
  <c r="CS348" i="6"/>
  <c r="CK348" i="6"/>
  <c r="CI348" i="6"/>
  <c r="CG348" i="6"/>
  <c r="CF348" i="6"/>
  <c r="CE348" i="6"/>
  <c r="CD348" i="6"/>
  <c r="CC348" i="6"/>
  <c r="CA348" i="6"/>
  <c r="BY348" i="6"/>
  <c r="BW348" i="6"/>
  <c r="BU348" i="6"/>
  <c r="BS348" i="6"/>
  <c r="BQ348" i="6"/>
  <c r="BO348" i="6"/>
  <c r="BM348" i="6"/>
  <c r="BK348" i="6"/>
  <c r="BI348" i="6"/>
  <c r="BG348" i="6"/>
  <c r="BE348" i="6"/>
  <c r="BC348" i="6"/>
  <c r="BA348" i="6"/>
  <c r="AY348" i="6"/>
  <c r="AW348" i="6"/>
  <c r="AU348" i="6"/>
  <c r="AS348" i="6"/>
  <c r="AQ348" i="6"/>
  <c r="AO348" i="6"/>
  <c r="AM348" i="6"/>
  <c r="AK348" i="6"/>
  <c r="AI348" i="6"/>
  <c r="AG348" i="6"/>
  <c r="AF348" i="6"/>
  <c r="AE348" i="6"/>
  <c r="AB348" i="6"/>
  <c r="AA348" i="6"/>
  <c r="Z348" i="6"/>
  <c r="V348" i="6"/>
  <c r="U348" i="6"/>
  <c r="T348" i="6"/>
  <c r="S348" i="6"/>
  <c r="L348" i="6"/>
  <c r="K348" i="6"/>
  <c r="J348" i="6"/>
  <c r="E348" i="6"/>
  <c r="D348" i="6"/>
  <c r="B348" i="6"/>
  <c r="A348" i="6"/>
  <c r="DL347" i="6"/>
  <c r="DJ347" i="6"/>
  <c r="DI347" i="6"/>
  <c r="DE347" i="6"/>
  <c r="DC347" i="6"/>
  <c r="CY347" i="6"/>
  <c r="CW347" i="6"/>
  <c r="CU347" i="6"/>
  <c r="CS347" i="6"/>
  <c r="CK347" i="6"/>
  <c r="CI347" i="6"/>
  <c r="CG347" i="6"/>
  <c r="CE347" i="6"/>
  <c r="CC347" i="6"/>
  <c r="CA347" i="6"/>
  <c r="BY347" i="6"/>
  <c r="BW347" i="6"/>
  <c r="BU347" i="6"/>
  <c r="BS347" i="6"/>
  <c r="BQ347" i="6"/>
  <c r="BO347" i="6"/>
  <c r="BM347" i="6"/>
  <c r="BK347" i="6"/>
  <c r="BI347" i="6"/>
  <c r="BG347" i="6"/>
  <c r="BE347" i="6"/>
  <c r="BC347" i="6"/>
  <c r="BA347" i="6"/>
  <c r="AY347" i="6"/>
  <c r="AW347" i="6"/>
  <c r="AU347" i="6"/>
  <c r="AS347" i="6"/>
  <c r="AQ347" i="6"/>
  <c r="AO347" i="6"/>
  <c r="AM347" i="6"/>
  <c r="AK347" i="6"/>
  <c r="AJ347" i="6"/>
  <c r="AI347" i="6"/>
  <c r="AH347" i="6"/>
  <c r="AG347" i="6"/>
  <c r="AF347" i="6"/>
  <c r="AE347" i="6"/>
  <c r="AB347" i="6"/>
  <c r="AA347" i="6"/>
  <c r="Z347" i="6"/>
  <c r="V347" i="6"/>
  <c r="U347" i="6"/>
  <c r="T347" i="6"/>
  <c r="S347" i="6"/>
  <c r="L347" i="6"/>
  <c r="K347" i="6"/>
  <c r="J347" i="6"/>
  <c r="E347" i="6"/>
  <c r="D347" i="6"/>
  <c r="B347" i="6"/>
  <c r="A347" i="6"/>
  <c r="DL346" i="6"/>
  <c r="DJ346" i="6"/>
  <c r="DI346" i="6"/>
  <c r="DH346" i="6"/>
  <c r="DE346" i="6"/>
  <c r="DC346" i="6"/>
  <c r="CY346" i="6"/>
  <c r="CW346" i="6"/>
  <c r="CU346" i="6"/>
  <c r="CS346" i="6"/>
  <c r="CK346" i="6"/>
  <c r="CI346" i="6"/>
  <c r="CG346" i="6"/>
  <c r="CF346" i="6"/>
  <c r="CE346" i="6"/>
  <c r="CD346" i="6"/>
  <c r="CC346" i="6"/>
  <c r="CA346" i="6"/>
  <c r="BY346" i="6"/>
  <c r="BW346" i="6"/>
  <c r="BU346" i="6"/>
  <c r="BS346" i="6"/>
  <c r="BQ346" i="6"/>
  <c r="BO346" i="6"/>
  <c r="BM346" i="6"/>
  <c r="BK346" i="6"/>
  <c r="BI346" i="6"/>
  <c r="BG346" i="6"/>
  <c r="BE346" i="6"/>
  <c r="BC346" i="6"/>
  <c r="BA346" i="6"/>
  <c r="AY346" i="6"/>
  <c r="AW346" i="6"/>
  <c r="AU346" i="6"/>
  <c r="AS346" i="6"/>
  <c r="AQ346" i="6"/>
  <c r="AO346" i="6"/>
  <c r="AM346" i="6"/>
  <c r="AK346" i="6"/>
  <c r="AI346" i="6"/>
  <c r="AG346" i="6"/>
  <c r="AF346" i="6"/>
  <c r="AE346" i="6"/>
  <c r="AB346" i="6"/>
  <c r="AA346" i="6"/>
  <c r="Z346" i="6"/>
  <c r="V346" i="6"/>
  <c r="U346" i="6"/>
  <c r="T346" i="6"/>
  <c r="S346" i="6"/>
  <c r="Q346" i="6"/>
  <c r="E346" i="6"/>
  <c r="D346" i="6"/>
  <c r="B346" i="6"/>
  <c r="A346" i="6"/>
  <c r="DL345" i="6"/>
  <c r="DJ345" i="6"/>
  <c r="DI345" i="6"/>
  <c r="DH345" i="6"/>
  <c r="DG345" i="6"/>
  <c r="DF345" i="6"/>
  <c r="DE345" i="6"/>
  <c r="DC345" i="6"/>
  <c r="CY345" i="6"/>
  <c r="CW345" i="6"/>
  <c r="CU345" i="6"/>
  <c r="CS345" i="6"/>
  <c r="CO345" i="6"/>
  <c r="CK345" i="6"/>
  <c r="CI345" i="6"/>
  <c r="CG345" i="6"/>
  <c r="CF345" i="6"/>
  <c r="CE345" i="6"/>
  <c r="CD345" i="6"/>
  <c r="CC345" i="6"/>
  <c r="CA345" i="6"/>
  <c r="BY345" i="6"/>
  <c r="BW345" i="6"/>
  <c r="BU345" i="6"/>
  <c r="BS345" i="6"/>
  <c r="BQ345" i="6"/>
  <c r="BO345" i="6"/>
  <c r="BM345" i="6"/>
  <c r="BK345" i="6"/>
  <c r="BI345" i="6"/>
  <c r="BG345" i="6"/>
  <c r="BE345" i="6"/>
  <c r="BC345" i="6"/>
  <c r="BA345" i="6"/>
  <c r="AY345" i="6"/>
  <c r="AW345" i="6"/>
  <c r="AU345" i="6"/>
  <c r="AS345" i="6"/>
  <c r="AQ345" i="6"/>
  <c r="AO345" i="6"/>
  <c r="AM345" i="6"/>
  <c r="AK345" i="6"/>
  <c r="AI345" i="6"/>
  <c r="AG345" i="6"/>
  <c r="AF345" i="6"/>
  <c r="AE345" i="6"/>
  <c r="AD345" i="6"/>
  <c r="AB345" i="6"/>
  <c r="AA345" i="6"/>
  <c r="Z345" i="6"/>
  <c r="V345" i="6"/>
  <c r="U345" i="6"/>
  <c r="T345" i="6"/>
  <c r="S345" i="6"/>
  <c r="P345" i="6"/>
  <c r="L345" i="6"/>
  <c r="K345" i="6"/>
  <c r="E345" i="6"/>
  <c r="D345" i="6"/>
  <c r="B345" i="6"/>
  <c r="A345" i="6"/>
  <c r="DL344" i="6"/>
  <c r="DJ344" i="6"/>
  <c r="DI344" i="6"/>
  <c r="DE344" i="6"/>
  <c r="DC344" i="6"/>
  <c r="CY344" i="6"/>
  <c r="CW344" i="6"/>
  <c r="CU344" i="6"/>
  <c r="CS344" i="6"/>
  <c r="CR344" i="6"/>
  <c r="CK344" i="6"/>
  <c r="CI344" i="6"/>
  <c r="CG344" i="6"/>
  <c r="CE344" i="6"/>
  <c r="CC344" i="6"/>
  <c r="CA344" i="6"/>
  <c r="BY344" i="6"/>
  <c r="BW344" i="6"/>
  <c r="BU344" i="6"/>
  <c r="BS344" i="6"/>
  <c r="BQ344" i="6"/>
  <c r="BO344" i="6"/>
  <c r="BM344" i="6"/>
  <c r="BK344" i="6"/>
  <c r="BI344" i="6"/>
  <c r="BG344" i="6"/>
  <c r="BE344" i="6"/>
  <c r="BC344" i="6"/>
  <c r="BA344" i="6"/>
  <c r="AY344" i="6"/>
  <c r="AW344" i="6"/>
  <c r="AU344" i="6"/>
  <c r="AS344" i="6"/>
  <c r="AQ344" i="6"/>
  <c r="AO344" i="6"/>
  <c r="AM344" i="6"/>
  <c r="AK344" i="6"/>
  <c r="AJ344" i="6"/>
  <c r="AI344" i="6"/>
  <c r="AH344" i="6"/>
  <c r="AG344" i="6"/>
  <c r="AF344" i="6"/>
  <c r="AE344" i="6"/>
  <c r="AB344" i="6"/>
  <c r="AA344" i="6"/>
  <c r="Z344" i="6"/>
  <c r="V344" i="6"/>
  <c r="U344" i="6"/>
  <c r="T344" i="6"/>
  <c r="S344" i="6"/>
  <c r="L344" i="6"/>
  <c r="K344" i="6"/>
  <c r="E344" i="6"/>
  <c r="D344" i="6"/>
  <c r="B344" i="6"/>
  <c r="A344" i="6"/>
  <c r="DL343" i="6"/>
  <c r="DJ343" i="6"/>
  <c r="DI343" i="6"/>
  <c r="DH343" i="6"/>
  <c r="DE343" i="6"/>
  <c r="DC343" i="6"/>
  <c r="CY343" i="6"/>
  <c r="CW343" i="6"/>
  <c r="CU343" i="6"/>
  <c r="CS343" i="6"/>
  <c r="CR343" i="6"/>
  <c r="CK343" i="6"/>
  <c r="CI343" i="6"/>
  <c r="CG343" i="6"/>
  <c r="CF343" i="6"/>
  <c r="CE343" i="6"/>
  <c r="CD343" i="6"/>
  <c r="CC343" i="6"/>
  <c r="CA343" i="6"/>
  <c r="BY343" i="6"/>
  <c r="BW343" i="6"/>
  <c r="BU343" i="6"/>
  <c r="BS343" i="6"/>
  <c r="BQ343" i="6"/>
  <c r="BO343" i="6"/>
  <c r="BM343" i="6"/>
  <c r="BK343" i="6"/>
  <c r="BI343" i="6"/>
  <c r="BG343" i="6"/>
  <c r="BE343" i="6"/>
  <c r="BC343" i="6"/>
  <c r="BA343" i="6"/>
  <c r="AY343" i="6"/>
  <c r="AW343" i="6"/>
  <c r="AU343" i="6"/>
  <c r="AS343" i="6"/>
  <c r="AQ343" i="6"/>
  <c r="AO343" i="6"/>
  <c r="AM343" i="6"/>
  <c r="AK343" i="6"/>
  <c r="AI343" i="6"/>
  <c r="AG343" i="6"/>
  <c r="AF343" i="6"/>
  <c r="AE343" i="6"/>
  <c r="AB343" i="6"/>
  <c r="AA343" i="6"/>
  <c r="Z343" i="6"/>
  <c r="V343" i="6"/>
  <c r="U343" i="6"/>
  <c r="T343" i="6"/>
  <c r="S343" i="6"/>
  <c r="Q343" i="6"/>
  <c r="L343" i="6"/>
  <c r="K343" i="6"/>
  <c r="F343" i="6"/>
  <c r="E343" i="6"/>
  <c r="D343" i="6"/>
  <c r="B343" i="6"/>
  <c r="A343" i="6"/>
  <c r="DL342" i="6"/>
  <c r="DJ342" i="6"/>
  <c r="DI342" i="6"/>
  <c r="DH342" i="6"/>
  <c r="DE342" i="6"/>
  <c r="DC342" i="6"/>
  <c r="CY342" i="6"/>
  <c r="CW342" i="6"/>
  <c r="CU342" i="6"/>
  <c r="CT342" i="6"/>
  <c r="CS342" i="6"/>
  <c r="CK342" i="6"/>
  <c r="CI342" i="6"/>
  <c r="CG342" i="6"/>
  <c r="CF342" i="6"/>
  <c r="CE342" i="6"/>
  <c r="CD342" i="6"/>
  <c r="CC342" i="6"/>
  <c r="CA342" i="6"/>
  <c r="BY342" i="6"/>
  <c r="BW342" i="6"/>
  <c r="BU342" i="6"/>
  <c r="BS342" i="6"/>
  <c r="BQ342" i="6"/>
  <c r="BO342" i="6"/>
  <c r="BM342" i="6"/>
  <c r="BK342" i="6"/>
  <c r="BI342" i="6"/>
  <c r="BG342" i="6"/>
  <c r="BE342" i="6"/>
  <c r="BC342" i="6"/>
  <c r="BA342" i="6"/>
  <c r="AY342" i="6"/>
  <c r="AW342" i="6"/>
  <c r="AU342" i="6"/>
  <c r="AS342" i="6"/>
  <c r="AQ342" i="6"/>
  <c r="AO342" i="6"/>
  <c r="AM342" i="6"/>
  <c r="AK342" i="6"/>
  <c r="AI342" i="6"/>
  <c r="AG342" i="6"/>
  <c r="AF342" i="6"/>
  <c r="AE342" i="6"/>
  <c r="AD342" i="6"/>
  <c r="AC342" i="6"/>
  <c r="AB342" i="6"/>
  <c r="AA342" i="6"/>
  <c r="Z342" i="6"/>
  <c r="V342" i="6"/>
  <c r="U342" i="6"/>
  <c r="T342" i="6"/>
  <c r="S342" i="6"/>
  <c r="Q342" i="6"/>
  <c r="E342" i="6"/>
  <c r="D342" i="6"/>
  <c r="B342" i="6"/>
  <c r="A342" i="6"/>
  <c r="DL341" i="6"/>
  <c r="DJ341" i="6"/>
  <c r="DI341" i="6"/>
  <c r="DE341" i="6"/>
  <c r="DC341" i="6"/>
  <c r="CY341" i="6"/>
  <c r="CW341" i="6"/>
  <c r="CU341" i="6"/>
  <c r="CS341" i="6"/>
  <c r="CK341" i="6"/>
  <c r="CI341" i="6"/>
  <c r="CG341" i="6"/>
  <c r="CE341" i="6"/>
  <c r="CC341" i="6"/>
  <c r="CA341" i="6"/>
  <c r="BY341" i="6"/>
  <c r="BW341" i="6"/>
  <c r="BU341" i="6"/>
  <c r="BS341" i="6"/>
  <c r="BQ341" i="6"/>
  <c r="BO341" i="6"/>
  <c r="BM341" i="6"/>
  <c r="BK341" i="6"/>
  <c r="BI341" i="6"/>
  <c r="BG341" i="6"/>
  <c r="BE341" i="6"/>
  <c r="BC341" i="6"/>
  <c r="BA341" i="6"/>
  <c r="AY341" i="6"/>
  <c r="AW341" i="6"/>
  <c r="AU341" i="6"/>
  <c r="AS341" i="6"/>
  <c r="AQ341" i="6"/>
  <c r="AO341" i="6"/>
  <c r="AM341" i="6"/>
  <c r="AK341" i="6"/>
  <c r="AJ341" i="6"/>
  <c r="AI341" i="6"/>
  <c r="AH341" i="6"/>
  <c r="AG341" i="6"/>
  <c r="AF341" i="6"/>
  <c r="AE341" i="6"/>
  <c r="AB341" i="6"/>
  <c r="AA341" i="6"/>
  <c r="Z341" i="6"/>
  <c r="V341" i="6"/>
  <c r="U341" i="6"/>
  <c r="T341" i="6"/>
  <c r="S341" i="6"/>
  <c r="E341" i="6"/>
  <c r="D341" i="6"/>
  <c r="B341" i="6"/>
  <c r="A341" i="6"/>
  <c r="DL340" i="6"/>
  <c r="DJ340" i="6"/>
  <c r="DI340" i="6"/>
  <c r="DH340" i="6"/>
  <c r="DG340" i="6"/>
  <c r="DF340" i="6"/>
  <c r="DE340" i="6"/>
  <c r="DC340" i="6"/>
  <c r="CY340" i="6"/>
  <c r="CW340" i="6"/>
  <c r="CU340" i="6"/>
  <c r="CS340" i="6"/>
  <c r="CK340" i="6"/>
  <c r="CI340" i="6"/>
  <c r="CG340" i="6"/>
  <c r="CF340" i="6"/>
  <c r="CE340" i="6"/>
  <c r="CD340" i="6"/>
  <c r="CC340" i="6"/>
  <c r="CA340" i="6"/>
  <c r="BY340" i="6"/>
  <c r="BW340" i="6"/>
  <c r="BU340" i="6"/>
  <c r="BS340" i="6"/>
  <c r="BQ340" i="6"/>
  <c r="BO340" i="6"/>
  <c r="BM340" i="6"/>
  <c r="BK340" i="6"/>
  <c r="BI340" i="6"/>
  <c r="BG340" i="6"/>
  <c r="BE340" i="6"/>
  <c r="BC340" i="6"/>
  <c r="BA340" i="6"/>
  <c r="AY340" i="6"/>
  <c r="AW340" i="6"/>
  <c r="AU340" i="6"/>
  <c r="AS340" i="6"/>
  <c r="AQ340" i="6"/>
  <c r="AO340" i="6"/>
  <c r="AN340" i="6"/>
  <c r="AM340" i="6"/>
  <c r="AL340" i="6"/>
  <c r="AK340" i="6"/>
  <c r="AJ340" i="6"/>
  <c r="AI340" i="6"/>
  <c r="AH340" i="6"/>
  <c r="AG340" i="6"/>
  <c r="AF340" i="6"/>
  <c r="AE340" i="6"/>
  <c r="AD340" i="6"/>
  <c r="AB340" i="6"/>
  <c r="AA340" i="6"/>
  <c r="Z340" i="6"/>
  <c r="V340" i="6"/>
  <c r="U340" i="6"/>
  <c r="T340" i="6"/>
  <c r="S340" i="6"/>
  <c r="L340" i="6"/>
  <c r="K340" i="6"/>
  <c r="E340" i="6"/>
  <c r="D340" i="6"/>
  <c r="B340" i="6"/>
  <c r="A340" i="6"/>
  <c r="DL339" i="6"/>
  <c r="DJ339" i="6"/>
  <c r="DI339" i="6"/>
  <c r="DH339" i="6"/>
  <c r="DE339" i="6"/>
  <c r="DC339" i="6"/>
  <c r="CY339" i="6"/>
  <c r="CW339" i="6"/>
  <c r="CU339" i="6"/>
  <c r="CS339" i="6"/>
  <c r="CK339" i="6"/>
  <c r="CI339" i="6"/>
  <c r="CG339" i="6"/>
  <c r="CF339" i="6"/>
  <c r="CE339" i="6"/>
  <c r="CD339" i="6"/>
  <c r="CC339" i="6"/>
  <c r="CA339" i="6"/>
  <c r="BY339" i="6"/>
  <c r="BW339" i="6"/>
  <c r="BU339" i="6"/>
  <c r="BS339" i="6"/>
  <c r="BQ339" i="6"/>
  <c r="BO339" i="6"/>
  <c r="BM339" i="6"/>
  <c r="BK339" i="6"/>
  <c r="BI339" i="6"/>
  <c r="BG339" i="6"/>
  <c r="BE339" i="6"/>
  <c r="BC339" i="6"/>
  <c r="BA339" i="6"/>
  <c r="AY339" i="6"/>
  <c r="AW339" i="6"/>
  <c r="AU339" i="6"/>
  <c r="AS339" i="6"/>
  <c r="AQ339" i="6"/>
  <c r="AO339" i="6"/>
  <c r="AM339" i="6"/>
  <c r="AK339" i="6"/>
  <c r="AI339" i="6"/>
  <c r="AG339" i="6"/>
  <c r="AF339" i="6"/>
  <c r="AE339" i="6"/>
  <c r="AB339" i="6"/>
  <c r="AA339" i="6"/>
  <c r="Z339" i="6"/>
  <c r="V339" i="6"/>
  <c r="U339" i="6"/>
  <c r="T339" i="6"/>
  <c r="S339" i="6"/>
  <c r="L339" i="6"/>
  <c r="K339" i="6"/>
  <c r="E339" i="6"/>
  <c r="D339" i="6"/>
  <c r="B339" i="6"/>
  <c r="A339" i="6"/>
  <c r="DL338" i="6"/>
  <c r="DJ338" i="6"/>
  <c r="DI338" i="6"/>
  <c r="DH338" i="6"/>
  <c r="DE338" i="6"/>
  <c r="DC338" i="6"/>
  <c r="CY338" i="6"/>
  <c r="CW338" i="6"/>
  <c r="CU338" i="6"/>
  <c r="CS338" i="6"/>
  <c r="CR338" i="6"/>
  <c r="CK338" i="6"/>
  <c r="CI338" i="6"/>
  <c r="CG338" i="6"/>
  <c r="CF338" i="6"/>
  <c r="CE338" i="6"/>
  <c r="CD338" i="6"/>
  <c r="CC338" i="6"/>
  <c r="CA338" i="6"/>
  <c r="BY338" i="6"/>
  <c r="BW338" i="6"/>
  <c r="BU338" i="6"/>
  <c r="BS338" i="6"/>
  <c r="BQ338" i="6"/>
  <c r="BO338" i="6"/>
  <c r="BM338" i="6"/>
  <c r="BK338" i="6"/>
  <c r="BI338" i="6"/>
  <c r="BG338" i="6"/>
  <c r="BE338" i="6"/>
  <c r="BC338" i="6"/>
  <c r="BA338" i="6"/>
  <c r="AY338" i="6"/>
  <c r="AW338" i="6"/>
  <c r="AU338" i="6"/>
  <c r="AS338" i="6"/>
  <c r="AQ338" i="6"/>
  <c r="AO338" i="6"/>
  <c r="AM338" i="6"/>
  <c r="AK338" i="6"/>
  <c r="AI338" i="6"/>
  <c r="AG338" i="6"/>
  <c r="AF338" i="6"/>
  <c r="AE338" i="6"/>
  <c r="AB338" i="6"/>
  <c r="AA338" i="6"/>
  <c r="Z338" i="6"/>
  <c r="V338" i="6"/>
  <c r="U338" i="6"/>
  <c r="T338" i="6"/>
  <c r="S338" i="6"/>
  <c r="L338" i="6"/>
  <c r="K338" i="6"/>
  <c r="E338" i="6"/>
  <c r="D338" i="6"/>
  <c r="B338" i="6"/>
  <c r="A338" i="6"/>
  <c r="DL337" i="6"/>
  <c r="DJ337" i="6"/>
  <c r="DI337" i="6"/>
  <c r="DH337" i="6"/>
  <c r="DE337" i="6"/>
  <c r="DC337" i="6"/>
  <c r="CY337" i="6"/>
  <c r="CW337" i="6"/>
  <c r="CU337" i="6"/>
  <c r="CS337" i="6"/>
  <c r="CK337" i="6"/>
  <c r="CI337" i="6"/>
  <c r="CG337" i="6"/>
  <c r="CF337" i="6"/>
  <c r="CE337" i="6"/>
  <c r="CD337" i="6"/>
  <c r="CC337" i="6"/>
  <c r="CA337" i="6"/>
  <c r="BY337" i="6"/>
  <c r="BW337" i="6"/>
  <c r="BU337" i="6"/>
  <c r="BS337" i="6"/>
  <c r="BQ337" i="6"/>
  <c r="BO337" i="6"/>
  <c r="BM337" i="6"/>
  <c r="BK337" i="6"/>
  <c r="BI337" i="6"/>
  <c r="BG337" i="6"/>
  <c r="BE337" i="6"/>
  <c r="BC337" i="6"/>
  <c r="BA337" i="6"/>
  <c r="AY337" i="6"/>
  <c r="AW337" i="6"/>
  <c r="AU337" i="6"/>
  <c r="AS337" i="6"/>
  <c r="AQ337" i="6"/>
  <c r="AO337" i="6"/>
  <c r="AM337" i="6"/>
  <c r="AK337" i="6"/>
  <c r="AI337" i="6"/>
  <c r="AG337" i="6"/>
  <c r="AF337" i="6"/>
  <c r="AE337" i="6"/>
  <c r="AB337" i="6"/>
  <c r="AA337" i="6"/>
  <c r="Z337" i="6"/>
  <c r="V337" i="6"/>
  <c r="U337" i="6"/>
  <c r="T337" i="6"/>
  <c r="S337" i="6"/>
  <c r="Q337" i="6"/>
  <c r="F337" i="6"/>
  <c r="E337" i="6"/>
  <c r="D337" i="6"/>
  <c r="B337" i="6"/>
  <c r="A337" i="6"/>
  <c r="DL336" i="6"/>
  <c r="DJ336" i="6"/>
  <c r="DI336" i="6"/>
  <c r="DH336" i="6"/>
  <c r="DE336" i="6"/>
  <c r="DC336" i="6"/>
  <c r="CY336" i="6"/>
  <c r="CW336" i="6"/>
  <c r="CU336" i="6"/>
  <c r="CS336" i="6"/>
  <c r="CK336" i="6"/>
  <c r="CI336" i="6"/>
  <c r="CG336" i="6"/>
  <c r="CF336" i="6"/>
  <c r="CE336" i="6"/>
  <c r="CD336" i="6"/>
  <c r="CC336" i="6"/>
  <c r="CA336" i="6"/>
  <c r="BY336" i="6"/>
  <c r="BW336" i="6"/>
  <c r="BU336" i="6"/>
  <c r="BS336" i="6"/>
  <c r="BQ336" i="6"/>
  <c r="BO336" i="6"/>
  <c r="BM336" i="6"/>
  <c r="BK336" i="6"/>
  <c r="BI336" i="6"/>
  <c r="BG336" i="6"/>
  <c r="BE336" i="6"/>
  <c r="BC336" i="6"/>
  <c r="BA336" i="6"/>
  <c r="AY336" i="6"/>
  <c r="AW336" i="6"/>
  <c r="AU336" i="6"/>
  <c r="AS336" i="6"/>
  <c r="AQ336" i="6"/>
  <c r="AO336" i="6"/>
  <c r="AM336" i="6"/>
  <c r="AK336" i="6"/>
  <c r="AI336" i="6"/>
  <c r="AG336" i="6"/>
  <c r="AF336" i="6"/>
  <c r="AE336" i="6"/>
  <c r="AB336" i="6"/>
  <c r="AA336" i="6"/>
  <c r="Z336" i="6"/>
  <c r="V336" i="6"/>
  <c r="U336" i="6"/>
  <c r="T336" i="6"/>
  <c r="S336" i="6"/>
  <c r="Q336" i="6"/>
  <c r="E336" i="6"/>
  <c r="D336" i="6"/>
  <c r="B336" i="6"/>
  <c r="A336" i="6"/>
  <c r="DL335" i="6"/>
  <c r="DJ335" i="6"/>
  <c r="DI335" i="6"/>
  <c r="DE335" i="6"/>
  <c r="DC335" i="6"/>
  <c r="CY335" i="6"/>
  <c r="CW335" i="6"/>
  <c r="CU335" i="6"/>
  <c r="CS335" i="6"/>
  <c r="CR335" i="6"/>
  <c r="CK335" i="6"/>
  <c r="CI335" i="6"/>
  <c r="CG335" i="6"/>
  <c r="CE335" i="6"/>
  <c r="CC335" i="6"/>
  <c r="CA335" i="6"/>
  <c r="BY335" i="6"/>
  <c r="BW335" i="6"/>
  <c r="BU335" i="6"/>
  <c r="BS335" i="6"/>
  <c r="BQ335" i="6"/>
  <c r="BO335" i="6"/>
  <c r="BM335" i="6"/>
  <c r="BK335" i="6"/>
  <c r="BI335" i="6"/>
  <c r="BG335" i="6"/>
  <c r="BE335" i="6"/>
  <c r="BC335" i="6"/>
  <c r="BA335" i="6"/>
  <c r="AY335" i="6"/>
  <c r="AW335" i="6"/>
  <c r="AU335" i="6"/>
  <c r="AS335" i="6"/>
  <c r="AQ335" i="6"/>
  <c r="AO335" i="6"/>
  <c r="AN335" i="6"/>
  <c r="AM335" i="6"/>
  <c r="AL335" i="6"/>
  <c r="AK335" i="6"/>
  <c r="AJ335" i="6"/>
  <c r="AI335" i="6"/>
  <c r="AH335" i="6"/>
  <c r="AG335" i="6"/>
  <c r="AF335" i="6"/>
  <c r="AE335" i="6"/>
  <c r="AB335" i="6"/>
  <c r="AA335" i="6"/>
  <c r="Z335" i="6"/>
  <c r="V335" i="6"/>
  <c r="U335" i="6"/>
  <c r="T335" i="6"/>
  <c r="S335" i="6"/>
  <c r="L335" i="6"/>
  <c r="K335" i="6"/>
  <c r="J335" i="6"/>
  <c r="E335" i="6"/>
  <c r="D335" i="6"/>
  <c r="B335" i="6"/>
  <c r="A335" i="6"/>
  <c r="DL334" i="6"/>
  <c r="DJ334" i="6"/>
  <c r="DI334" i="6"/>
  <c r="DH334" i="6"/>
  <c r="DE334" i="6"/>
  <c r="DC334" i="6"/>
  <c r="CY334" i="6"/>
  <c r="CW334" i="6"/>
  <c r="CU334" i="6"/>
  <c r="CS334" i="6"/>
  <c r="CR334" i="6"/>
  <c r="CK334" i="6"/>
  <c r="CI334" i="6"/>
  <c r="CG334" i="6"/>
  <c r="CF334" i="6"/>
  <c r="CE334" i="6"/>
  <c r="CD334" i="6"/>
  <c r="CC334" i="6"/>
  <c r="CA334" i="6"/>
  <c r="BY334" i="6"/>
  <c r="BW334" i="6"/>
  <c r="BU334" i="6"/>
  <c r="BS334" i="6"/>
  <c r="BQ334" i="6"/>
  <c r="BO334" i="6"/>
  <c r="BM334" i="6"/>
  <c r="BK334" i="6"/>
  <c r="BI334" i="6"/>
  <c r="BG334" i="6"/>
  <c r="BE334" i="6"/>
  <c r="BC334" i="6"/>
  <c r="BA334" i="6"/>
  <c r="AY334" i="6"/>
  <c r="AW334" i="6"/>
  <c r="AU334" i="6"/>
  <c r="AS334" i="6"/>
  <c r="AQ334" i="6"/>
  <c r="AO334" i="6"/>
  <c r="AM334" i="6"/>
  <c r="AK334" i="6"/>
  <c r="AI334" i="6"/>
  <c r="AG334" i="6"/>
  <c r="AF334" i="6"/>
  <c r="AE334" i="6"/>
  <c r="AB334" i="6"/>
  <c r="AA334" i="6"/>
  <c r="Z334" i="6"/>
  <c r="V334" i="6"/>
  <c r="U334" i="6"/>
  <c r="T334" i="6"/>
  <c r="S334" i="6"/>
  <c r="Q334" i="6"/>
  <c r="L334" i="6"/>
  <c r="K334" i="6"/>
  <c r="J334" i="6"/>
  <c r="E334" i="6"/>
  <c r="D334" i="6"/>
  <c r="B334" i="6"/>
  <c r="A334" i="6"/>
  <c r="DL333" i="6"/>
  <c r="DJ333" i="6"/>
  <c r="DI333" i="6"/>
  <c r="DH333" i="6"/>
  <c r="DE333" i="6"/>
  <c r="DC333" i="6"/>
  <c r="CY333" i="6"/>
  <c r="CW333" i="6"/>
  <c r="CU333" i="6"/>
  <c r="CS333" i="6"/>
  <c r="CK333" i="6"/>
  <c r="CI333" i="6"/>
  <c r="CG333" i="6"/>
  <c r="CF333" i="6"/>
  <c r="CE333" i="6"/>
  <c r="CD333" i="6"/>
  <c r="CC333" i="6"/>
  <c r="CA333" i="6"/>
  <c r="BY333" i="6"/>
  <c r="BW333" i="6"/>
  <c r="BU333" i="6"/>
  <c r="BS333" i="6"/>
  <c r="BQ333" i="6"/>
  <c r="BO333" i="6"/>
  <c r="BM333" i="6"/>
  <c r="BK333" i="6"/>
  <c r="BI333" i="6"/>
  <c r="BG333" i="6"/>
  <c r="BE333" i="6"/>
  <c r="BC333" i="6"/>
  <c r="BA333" i="6"/>
  <c r="AY333" i="6"/>
  <c r="AW333" i="6"/>
  <c r="AU333" i="6"/>
  <c r="AS333" i="6"/>
  <c r="AQ333" i="6"/>
  <c r="AO333" i="6"/>
  <c r="AM333" i="6"/>
  <c r="AK333" i="6"/>
  <c r="AI333" i="6"/>
  <c r="AG333" i="6"/>
  <c r="AF333" i="6"/>
  <c r="AE333" i="6"/>
  <c r="AB333" i="6"/>
  <c r="AA333" i="6"/>
  <c r="Z333" i="6"/>
  <c r="V333" i="6"/>
  <c r="U333" i="6"/>
  <c r="T333" i="6"/>
  <c r="S333" i="6"/>
  <c r="Q333" i="6"/>
  <c r="E333" i="6"/>
  <c r="D333" i="6"/>
  <c r="B333" i="6"/>
  <c r="A333" i="6"/>
  <c r="DL332" i="6"/>
  <c r="DJ332" i="6"/>
  <c r="DI332" i="6"/>
  <c r="DH332" i="6"/>
  <c r="DG332" i="6"/>
  <c r="DF332" i="6"/>
  <c r="DE332" i="6"/>
  <c r="DC332" i="6"/>
  <c r="CY332" i="6"/>
  <c r="CW332" i="6"/>
  <c r="CU332" i="6"/>
  <c r="CS332" i="6"/>
  <c r="CK332" i="6"/>
  <c r="CJ332" i="6"/>
  <c r="CI332" i="6"/>
  <c r="CG332" i="6"/>
  <c r="CF332" i="6"/>
  <c r="CE332" i="6"/>
  <c r="CD332" i="6"/>
  <c r="CC332" i="6"/>
  <c r="CA332" i="6"/>
  <c r="BY332" i="6"/>
  <c r="BW332" i="6"/>
  <c r="BU332" i="6"/>
  <c r="BS332" i="6"/>
  <c r="BQ332" i="6"/>
  <c r="BO332" i="6"/>
  <c r="BM332" i="6"/>
  <c r="BK332" i="6"/>
  <c r="BI332" i="6"/>
  <c r="BG332" i="6"/>
  <c r="BE332" i="6"/>
  <c r="BC332" i="6"/>
  <c r="BA332" i="6"/>
  <c r="AY332" i="6"/>
  <c r="AW332" i="6"/>
  <c r="AU332" i="6"/>
  <c r="AS332" i="6"/>
  <c r="AQ332" i="6"/>
  <c r="AO332" i="6"/>
  <c r="AM332" i="6"/>
  <c r="AK332" i="6"/>
  <c r="AI332" i="6"/>
  <c r="AG332" i="6"/>
  <c r="AF332" i="6"/>
  <c r="AE332" i="6"/>
  <c r="AD332" i="6"/>
  <c r="AB332" i="6"/>
  <c r="AA332" i="6"/>
  <c r="Z332" i="6"/>
  <c r="V332" i="6"/>
  <c r="U332" i="6"/>
  <c r="T332" i="6"/>
  <c r="S332" i="6"/>
  <c r="L332" i="6"/>
  <c r="K332" i="6"/>
  <c r="E332" i="6"/>
  <c r="D332" i="6"/>
  <c r="B332" i="6"/>
  <c r="A332" i="6"/>
  <c r="DL331" i="6"/>
  <c r="DK331" i="6"/>
  <c r="DJ331" i="6"/>
  <c r="DI331" i="6"/>
  <c r="DH331" i="6"/>
  <c r="DG331" i="6"/>
  <c r="DF331" i="6"/>
  <c r="DE331" i="6"/>
  <c r="DD331" i="6"/>
  <c r="DC331" i="6"/>
  <c r="DB331" i="6"/>
  <c r="DA331" i="6"/>
  <c r="CY331" i="6"/>
  <c r="CX331" i="6"/>
  <c r="CW331" i="6"/>
  <c r="CU331" i="6"/>
  <c r="CS331" i="6"/>
  <c r="CK331" i="6"/>
  <c r="CI331" i="6"/>
  <c r="CG331" i="6"/>
  <c r="CF331" i="6"/>
  <c r="CE331" i="6"/>
  <c r="CD331" i="6"/>
  <c r="CC331" i="6"/>
  <c r="CA331" i="6"/>
  <c r="BY331" i="6"/>
  <c r="BW331" i="6"/>
  <c r="BU331" i="6"/>
  <c r="BS331" i="6"/>
  <c r="BQ331" i="6"/>
  <c r="BO331" i="6"/>
  <c r="BM331" i="6"/>
  <c r="BK331" i="6"/>
  <c r="BI331" i="6"/>
  <c r="BG331" i="6"/>
  <c r="BE331" i="6"/>
  <c r="BC331" i="6"/>
  <c r="BA331" i="6"/>
  <c r="AY331" i="6"/>
  <c r="AW331" i="6"/>
  <c r="AU331" i="6"/>
  <c r="AS331" i="6"/>
  <c r="AQ331" i="6"/>
  <c r="AO331" i="6"/>
  <c r="AM331" i="6"/>
  <c r="AK331" i="6"/>
  <c r="AI331" i="6"/>
  <c r="AG331" i="6"/>
  <c r="AF331" i="6"/>
  <c r="AE331" i="6"/>
  <c r="AD331" i="6"/>
  <c r="AB331" i="6"/>
  <c r="AA331" i="6"/>
  <c r="Z331" i="6"/>
  <c r="V331" i="6"/>
  <c r="U331" i="6"/>
  <c r="T331" i="6"/>
  <c r="S331" i="6"/>
  <c r="L331" i="6"/>
  <c r="K331" i="6"/>
  <c r="F331" i="6"/>
  <c r="E331" i="6"/>
  <c r="D331" i="6"/>
  <c r="B331" i="6"/>
  <c r="A331" i="6"/>
  <c r="DL330" i="6"/>
  <c r="DJ330" i="6"/>
  <c r="DI330" i="6"/>
  <c r="DH330" i="6"/>
  <c r="DE330" i="6"/>
  <c r="DD330" i="6"/>
  <c r="DC330" i="6"/>
  <c r="DA330" i="6"/>
  <c r="CY330" i="6"/>
  <c r="CX330" i="6"/>
  <c r="CW330" i="6"/>
  <c r="CU330" i="6"/>
  <c r="CS330" i="6"/>
  <c r="CR330" i="6"/>
  <c r="CK330" i="6"/>
  <c r="CI330" i="6"/>
  <c r="CG330" i="6"/>
  <c r="CF330" i="6"/>
  <c r="CE330" i="6"/>
  <c r="CD330" i="6"/>
  <c r="CC330" i="6"/>
  <c r="CA330" i="6"/>
  <c r="BY330" i="6"/>
  <c r="BW330" i="6"/>
  <c r="BU330" i="6"/>
  <c r="BS330" i="6"/>
  <c r="BQ330" i="6"/>
  <c r="BO330" i="6"/>
  <c r="BM330" i="6"/>
  <c r="BK330" i="6"/>
  <c r="BI330" i="6"/>
  <c r="BG330" i="6"/>
  <c r="BE330" i="6"/>
  <c r="BC330" i="6"/>
  <c r="BA330" i="6"/>
  <c r="AY330" i="6"/>
  <c r="AW330" i="6"/>
  <c r="AU330" i="6"/>
  <c r="AS330" i="6"/>
  <c r="AQ330" i="6"/>
  <c r="AO330" i="6"/>
  <c r="AM330" i="6"/>
  <c r="AK330" i="6"/>
  <c r="AI330" i="6"/>
  <c r="AG330" i="6"/>
  <c r="AF330" i="6"/>
  <c r="AE330" i="6"/>
  <c r="AB330" i="6"/>
  <c r="AA330" i="6"/>
  <c r="Z330" i="6"/>
  <c r="V330" i="6"/>
  <c r="U330" i="6"/>
  <c r="T330" i="6"/>
  <c r="S330" i="6"/>
  <c r="Q330" i="6"/>
  <c r="L330" i="6"/>
  <c r="K330" i="6"/>
  <c r="J330" i="6"/>
  <c r="F330" i="6"/>
  <c r="E330" i="6"/>
  <c r="D330" i="6"/>
  <c r="B330" i="6"/>
  <c r="A330" i="6"/>
  <c r="DL329" i="6"/>
  <c r="DJ329" i="6"/>
  <c r="DI329" i="6"/>
  <c r="DH329" i="6"/>
  <c r="DE329" i="6"/>
  <c r="DD329" i="6"/>
  <c r="DC329" i="6"/>
  <c r="DA329" i="6"/>
  <c r="CY329" i="6"/>
  <c r="CX329" i="6"/>
  <c r="CW329" i="6"/>
  <c r="CU329" i="6"/>
  <c r="CS329" i="6"/>
  <c r="CK329" i="6"/>
  <c r="CI329" i="6"/>
  <c r="CG329" i="6"/>
  <c r="CF329" i="6"/>
  <c r="CE329" i="6"/>
  <c r="CD329" i="6"/>
  <c r="CC329" i="6"/>
  <c r="CA329" i="6"/>
  <c r="BY329" i="6"/>
  <c r="BW329" i="6"/>
  <c r="BU329" i="6"/>
  <c r="BS329" i="6"/>
  <c r="BQ329" i="6"/>
  <c r="BO329" i="6"/>
  <c r="BM329" i="6"/>
  <c r="BK329" i="6"/>
  <c r="BI329" i="6"/>
  <c r="BG329" i="6"/>
  <c r="BE329" i="6"/>
  <c r="BC329" i="6"/>
  <c r="BA329" i="6"/>
  <c r="AY329" i="6"/>
  <c r="AW329" i="6"/>
  <c r="AU329" i="6"/>
  <c r="AS329" i="6"/>
  <c r="AQ329" i="6"/>
  <c r="AO329" i="6"/>
  <c r="AM329" i="6"/>
  <c r="AK329" i="6"/>
  <c r="AI329" i="6"/>
  <c r="AG329" i="6"/>
  <c r="AF329" i="6"/>
  <c r="AE329" i="6"/>
  <c r="AB329" i="6"/>
  <c r="AA329" i="6"/>
  <c r="Z329" i="6"/>
  <c r="V329" i="6"/>
  <c r="U329" i="6"/>
  <c r="T329" i="6"/>
  <c r="S329" i="6"/>
  <c r="E329" i="6"/>
  <c r="D329" i="6"/>
  <c r="B329" i="6"/>
  <c r="A329" i="6"/>
  <c r="DL328" i="6"/>
  <c r="DJ328" i="6"/>
  <c r="DI328" i="6"/>
  <c r="DE328" i="6"/>
  <c r="DC328" i="6"/>
  <c r="CY328" i="6"/>
  <c r="CW328" i="6"/>
  <c r="CU328" i="6"/>
  <c r="CS328" i="6"/>
  <c r="CK328" i="6"/>
  <c r="CI328" i="6"/>
  <c r="CG328" i="6"/>
  <c r="CE328" i="6"/>
  <c r="CC328" i="6"/>
  <c r="CA328" i="6"/>
  <c r="BY328" i="6"/>
  <c r="BW328" i="6"/>
  <c r="BU328" i="6"/>
  <c r="BS328" i="6"/>
  <c r="BQ328" i="6"/>
  <c r="BO328" i="6"/>
  <c r="BM328" i="6"/>
  <c r="BK328" i="6"/>
  <c r="BI328" i="6"/>
  <c r="BG328" i="6"/>
  <c r="BE328" i="6"/>
  <c r="BC328" i="6"/>
  <c r="BA328" i="6"/>
  <c r="AY328" i="6"/>
  <c r="AW328" i="6"/>
  <c r="AU328" i="6"/>
  <c r="AS328" i="6"/>
  <c r="AQ328" i="6"/>
  <c r="AO328" i="6"/>
  <c r="AM328" i="6"/>
  <c r="AK328" i="6"/>
  <c r="AI328" i="6"/>
  <c r="AG328" i="6"/>
  <c r="AF328" i="6"/>
  <c r="AE328" i="6"/>
  <c r="AD328" i="6"/>
  <c r="AB328" i="6"/>
  <c r="AA328" i="6"/>
  <c r="Z328" i="6"/>
  <c r="V328" i="6"/>
  <c r="U328" i="6"/>
  <c r="T328" i="6"/>
  <c r="S328" i="6"/>
  <c r="L328" i="6"/>
  <c r="K328" i="6"/>
  <c r="E328" i="6"/>
  <c r="D328" i="6"/>
  <c r="B328" i="6"/>
  <c r="A328" i="6"/>
  <c r="DL327" i="6"/>
  <c r="DK327" i="6"/>
  <c r="DJ327" i="6"/>
  <c r="DI327" i="6"/>
  <c r="DH327" i="6"/>
  <c r="DG327" i="6"/>
  <c r="DF327" i="6"/>
  <c r="DE327" i="6"/>
  <c r="DC327" i="6"/>
  <c r="CY327" i="6"/>
  <c r="CW327" i="6"/>
  <c r="CU327" i="6"/>
  <c r="CS327" i="6"/>
  <c r="CK327" i="6"/>
  <c r="CI327" i="6"/>
  <c r="CG327" i="6"/>
  <c r="CF327" i="6"/>
  <c r="CE327" i="6"/>
  <c r="CD327" i="6"/>
  <c r="CC327" i="6"/>
  <c r="CA327" i="6"/>
  <c r="BY327" i="6"/>
  <c r="BW327" i="6"/>
  <c r="BU327" i="6"/>
  <c r="BS327" i="6"/>
  <c r="BQ327" i="6"/>
  <c r="BO327" i="6"/>
  <c r="BM327" i="6"/>
  <c r="BK327" i="6"/>
  <c r="BI327" i="6"/>
  <c r="BG327" i="6"/>
  <c r="BE327" i="6"/>
  <c r="BC327" i="6"/>
  <c r="BA327" i="6"/>
  <c r="AY327" i="6"/>
  <c r="AW327" i="6"/>
  <c r="AU327" i="6"/>
  <c r="AS327" i="6"/>
  <c r="AQ327" i="6"/>
  <c r="AO327" i="6"/>
  <c r="AM327" i="6"/>
  <c r="AK327" i="6"/>
  <c r="AI327" i="6"/>
  <c r="AG327" i="6"/>
  <c r="AF327" i="6"/>
  <c r="AE327" i="6"/>
  <c r="AD327" i="6"/>
  <c r="AB327" i="6"/>
  <c r="AA327" i="6"/>
  <c r="Z327" i="6"/>
  <c r="V327" i="6"/>
  <c r="U327" i="6"/>
  <c r="T327" i="6"/>
  <c r="S327" i="6"/>
  <c r="E327" i="6"/>
  <c r="D327" i="6"/>
  <c r="B327" i="6"/>
  <c r="A327" i="6"/>
  <c r="DL326" i="6"/>
  <c r="DJ326" i="6"/>
  <c r="DI326" i="6"/>
  <c r="DH326" i="6"/>
  <c r="DE326" i="6"/>
  <c r="DC326" i="6"/>
  <c r="CY326" i="6"/>
  <c r="CW326" i="6"/>
  <c r="CU326" i="6"/>
  <c r="CS326" i="6"/>
  <c r="CR326" i="6"/>
  <c r="CK326" i="6"/>
  <c r="CI326" i="6"/>
  <c r="CG326" i="6"/>
  <c r="CF326" i="6"/>
  <c r="CE326" i="6"/>
  <c r="CD326" i="6"/>
  <c r="CC326" i="6"/>
  <c r="CA326" i="6"/>
  <c r="BY326" i="6"/>
  <c r="BW326" i="6"/>
  <c r="BU326" i="6"/>
  <c r="BS326" i="6"/>
  <c r="BQ326" i="6"/>
  <c r="BO326" i="6"/>
  <c r="BM326" i="6"/>
  <c r="BK326" i="6"/>
  <c r="BI326" i="6"/>
  <c r="BG326" i="6"/>
  <c r="BE326" i="6"/>
  <c r="BC326" i="6"/>
  <c r="BA326" i="6"/>
  <c r="AY326" i="6"/>
  <c r="AW326" i="6"/>
  <c r="AU326" i="6"/>
  <c r="AS326" i="6"/>
  <c r="AQ326" i="6"/>
  <c r="AO326" i="6"/>
  <c r="AM326" i="6"/>
  <c r="AK326" i="6"/>
  <c r="AI326" i="6"/>
  <c r="AG326" i="6"/>
  <c r="AF326" i="6"/>
  <c r="AE326" i="6"/>
  <c r="AB326" i="6"/>
  <c r="AA326" i="6"/>
  <c r="Z326" i="6"/>
  <c r="V326" i="6"/>
  <c r="U326" i="6"/>
  <c r="T326" i="6"/>
  <c r="S326" i="6"/>
  <c r="Q326" i="6"/>
  <c r="E326" i="6"/>
  <c r="D326" i="6"/>
  <c r="B326" i="6"/>
  <c r="A326" i="6"/>
  <c r="DL325" i="6"/>
  <c r="DJ325" i="6"/>
  <c r="DI325" i="6"/>
  <c r="DH325" i="6"/>
  <c r="DE325" i="6"/>
  <c r="DC325" i="6"/>
  <c r="CY325" i="6"/>
  <c r="CW325" i="6"/>
  <c r="CU325" i="6"/>
  <c r="CS325" i="6"/>
  <c r="CK325" i="6"/>
  <c r="CI325" i="6"/>
  <c r="CG325" i="6"/>
  <c r="CF325" i="6"/>
  <c r="CE325" i="6"/>
  <c r="CD325" i="6"/>
  <c r="CC325" i="6"/>
  <c r="CA325" i="6"/>
  <c r="BY325" i="6"/>
  <c r="BW325" i="6"/>
  <c r="BU325" i="6"/>
  <c r="BS325" i="6"/>
  <c r="BQ325" i="6"/>
  <c r="BO325" i="6"/>
  <c r="BM325" i="6"/>
  <c r="BK325" i="6"/>
  <c r="BI325" i="6"/>
  <c r="BG325" i="6"/>
  <c r="BE325" i="6"/>
  <c r="BC325" i="6"/>
  <c r="BA325" i="6"/>
  <c r="AY325" i="6"/>
  <c r="AW325" i="6"/>
  <c r="AU325" i="6"/>
  <c r="AS325" i="6"/>
  <c r="AQ325" i="6"/>
  <c r="AO325" i="6"/>
  <c r="AM325" i="6"/>
  <c r="AK325" i="6"/>
  <c r="AI325" i="6"/>
  <c r="AG325" i="6"/>
  <c r="AF325" i="6"/>
  <c r="AE325" i="6"/>
  <c r="AB325" i="6"/>
  <c r="AA325" i="6"/>
  <c r="Z325" i="6"/>
  <c r="V325" i="6"/>
  <c r="U325" i="6"/>
  <c r="T325" i="6"/>
  <c r="S325" i="6"/>
  <c r="Q325" i="6"/>
  <c r="E325" i="6"/>
  <c r="D325" i="6"/>
  <c r="B325" i="6"/>
  <c r="A325" i="6"/>
  <c r="DL324" i="6"/>
  <c r="DJ324" i="6"/>
  <c r="DI324" i="6"/>
  <c r="DH324" i="6"/>
  <c r="DG324" i="6"/>
  <c r="DF324" i="6"/>
  <c r="DE324" i="6"/>
  <c r="DC324" i="6"/>
  <c r="CY324" i="6"/>
  <c r="CW324" i="6"/>
  <c r="CU324" i="6"/>
  <c r="CS324" i="6"/>
  <c r="CK324" i="6"/>
  <c r="CI324" i="6"/>
  <c r="CG324" i="6"/>
  <c r="CF324" i="6"/>
  <c r="CE324" i="6"/>
  <c r="CD324" i="6"/>
  <c r="CC324" i="6"/>
  <c r="CA324" i="6"/>
  <c r="BY324" i="6"/>
  <c r="BW324" i="6"/>
  <c r="BU324" i="6"/>
  <c r="BS324" i="6"/>
  <c r="BQ324" i="6"/>
  <c r="BO324" i="6"/>
  <c r="BM324" i="6"/>
  <c r="BK324" i="6"/>
  <c r="BI324" i="6"/>
  <c r="BG324" i="6"/>
  <c r="BE324" i="6"/>
  <c r="BC324" i="6"/>
  <c r="BA324" i="6"/>
  <c r="AY324" i="6"/>
  <c r="AW324" i="6"/>
  <c r="AU324" i="6"/>
  <c r="AS324" i="6"/>
  <c r="AQ324" i="6"/>
  <c r="AO324" i="6"/>
  <c r="AM324" i="6"/>
  <c r="AK324" i="6"/>
  <c r="AI324" i="6"/>
  <c r="AG324" i="6"/>
  <c r="AF324" i="6"/>
  <c r="AE324" i="6"/>
  <c r="AD324" i="6"/>
  <c r="AB324" i="6"/>
  <c r="AA324" i="6"/>
  <c r="Z324" i="6"/>
  <c r="V324" i="6"/>
  <c r="U324" i="6"/>
  <c r="T324" i="6"/>
  <c r="S324" i="6"/>
  <c r="Q324" i="6"/>
  <c r="E324" i="6"/>
  <c r="D324" i="6"/>
  <c r="B324" i="6"/>
  <c r="A324" i="6"/>
  <c r="DL323" i="6"/>
  <c r="DJ323" i="6"/>
  <c r="DI323" i="6"/>
  <c r="DH323" i="6"/>
  <c r="DG323" i="6"/>
  <c r="DF323" i="6"/>
  <c r="DE323" i="6"/>
  <c r="DC323" i="6"/>
  <c r="CY323" i="6"/>
  <c r="CW323" i="6"/>
  <c r="CU323" i="6"/>
  <c r="CS323" i="6"/>
  <c r="CK323" i="6"/>
  <c r="CJ323" i="6"/>
  <c r="CI323" i="6"/>
  <c r="CH323" i="6"/>
  <c r="CG323" i="6"/>
  <c r="CF323" i="6"/>
  <c r="CE323" i="6"/>
  <c r="CD323" i="6"/>
  <c r="CC323" i="6"/>
  <c r="CA323" i="6"/>
  <c r="BY323" i="6"/>
  <c r="BW323" i="6"/>
  <c r="BU323" i="6"/>
  <c r="BS323" i="6"/>
  <c r="BQ323" i="6"/>
  <c r="BO323" i="6"/>
  <c r="BM323" i="6"/>
  <c r="BK323" i="6"/>
  <c r="BI323" i="6"/>
  <c r="BG323" i="6"/>
  <c r="BE323" i="6"/>
  <c r="BC323" i="6"/>
  <c r="BA323" i="6"/>
  <c r="AY323" i="6"/>
  <c r="AW323" i="6"/>
  <c r="AU323" i="6"/>
  <c r="AS323" i="6"/>
  <c r="AR323" i="6"/>
  <c r="AQ323" i="6"/>
  <c r="AP323" i="6"/>
  <c r="AO323" i="6"/>
  <c r="AN323" i="6"/>
  <c r="AM323" i="6"/>
  <c r="AL323" i="6"/>
  <c r="AK323" i="6"/>
  <c r="AJ323" i="6"/>
  <c r="AI323" i="6"/>
  <c r="AH323" i="6"/>
  <c r="AG323" i="6"/>
  <c r="AF323" i="6"/>
  <c r="AE323" i="6"/>
  <c r="AD323" i="6"/>
  <c r="AB323" i="6"/>
  <c r="AA323" i="6"/>
  <c r="Z323" i="6"/>
  <c r="V323" i="6"/>
  <c r="U323" i="6"/>
  <c r="T323" i="6"/>
  <c r="S323" i="6"/>
  <c r="Q323" i="6"/>
  <c r="L323" i="6"/>
  <c r="K323" i="6"/>
  <c r="J323" i="6"/>
  <c r="E323" i="6"/>
  <c r="D323" i="6"/>
  <c r="B323" i="6"/>
  <c r="A323" i="6"/>
  <c r="DL322" i="6"/>
  <c r="DJ322" i="6"/>
  <c r="DI322" i="6"/>
  <c r="DH322" i="6"/>
  <c r="DE322" i="6"/>
  <c r="DC322" i="6"/>
  <c r="CY322" i="6"/>
  <c r="CW322" i="6"/>
  <c r="CU322" i="6"/>
  <c r="CS322" i="6"/>
  <c r="CK322" i="6"/>
  <c r="CI322" i="6"/>
  <c r="CG322" i="6"/>
  <c r="CF322" i="6"/>
  <c r="CE322" i="6"/>
  <c r="CD322" i="6"/>
  <c r="CC322" i="6"/>
  <c r="CA322" i="6"/>
  <c r="BY322" i="6"/>
  <c r="BW322" i="6"/>
  <c r="BU322" i="6"/>
  <c r="BS322" i="6"/>
  <c r="BQ322" i="6"/>
  <c r="BO322" i="6"/>
  <c r="BM322" i="6"/>
  <c r="BK322" i="6"/>
  <c r="BI322" i="6"/>
  <c r="BG322" i="6"/>
  <c r="BE322" i="6"/>
  <c r="BC322" i="6"/>
  <c r="BA322" i="6"/>
  <c r="AY322" i="6"/>
  <c r="AW322" i="6"/>
  <c r="AU322" i="6"/>
  <c r="AS322" i="6"/>
  <c r="AQ322" i="6"/>
  <c r="AO322" i="6"/>
  <c r="AM322" i="6"/>
  <c r="AK322" i="6"/>
  <c r="AI322" i="6"/>
  <c r="AG322" i="6"/>
  <c r="AF322" i="6"/>
  <c r="AE322" i="6"/>
  <c r="AB322" i="6"/>
  <c r="AA322" i="6"/>
  <c r="Z322" i="6"/>
  <c r="V322" i="6"/>
  <c r="U322" i="6"/>
  <c r="T322" i="6"/>
  <c r="S322" i="6"/>
  <c r="Q322" i="6"/>
  <c r="E322" i="6"/>
  <c r="D322" i="6"/>
  <c r="B322" i="6"/>
  <c r="A322" i="6"/>
  <c r="DL321" i="6"/>
  <c r="DJ321" i="6"/>
  <c r="DI321" i="6"/>
  <c r="DH321" i="6"/>
  <c r="DG321" i="6"/>
  <c r="DF321" i="6"/>
  <c r="DE321" i="6"/>
  <c r="DC321" i="6"/>
  <c r="CY321" i="6"/>
  <c r="CW321" i="6"/>
  <c r="CU321" i="6"/>
  <c r="CS321" i="6"/>
  <c r="CR321" i="6"/>
  <c r="CK321" i="6"/>
  <c r="CJ321" i="6"/>
  <c r="CI321" i="6"/>
  <c r="CG321" i="6"/>
  <c r="CF321" i="6"/>
  <c r="CE321" i="6"/>
  <c r="CD321" i="6"/>
  <c r="CC321" i="6"/>
  <c r="CA321" i="6"/>
  <c r="BY321" i="6"/>
  <c r="BW321" i="6"/>
  <c r="BU321" i="6"/>
  <c r="BS321" i="6"/>
  <c r="BQ321" i="6"/>
  <c r="BO321" i="6"/>
  <c r="BM321" i="6"/>
  <c r="BK321" i="6"/>
  <c r="BI321" i="6"/>
  <c r="BG321" i="6"/>
  <c r="BE321" i="6"/>
  <c r="BC321" i="6"/>
  <c r="BA321" i="6"/>
  <c r="AY321" i="6"/>
  <c r="AW321" i="6"/>
  <c r="AU321" i="6"/>
  <c r="AS321" i="6"/>
  <c r="AQ321" i="6"/>
  <c r="AO321" i="6"/>
  <c r="AM321" i="6"/>
  <c r="AK321" i="6"/>
  <c r="AI321" i="6"/>
  <c r="AG321" i="6"/>
  <c r="AF321" i="6"/>
  <c r="AE321" i="6"/>
  <c r="AD321" i="6"/>
  <c r="AB321" i="6"/>
  <c r="AA321" i="6"/>
  <c r="Z321" i="6"/>
  <c r="V321" i="6"/>
  <c r="U321" i="6"/>
  <c r="T321" i="6"/>
  <c r="S321" i="6"/>
  <c r="L321" i="6"/>
  <c r="K321" i="6"/>
  <c r="J321" i="6"/>
  <c r="E321" i="6"/>
  <c r="D321" i="6"/>
  <c r="B321" i="6"/>
  <c r="A321" i="6"/>
  <c r="DL320" i="6"/>
  <c r="DJ320" i="6"/>
  <c r="DI320" i="6"/>
  <c r="DH320" i="6"/>
  <c r="DE320" i="6"/>
  <c r="DC320" i="6"/>
  <c r="CY320" i="6"/>
  <c r="CW320" i="6"/>
  <c r="CU320" i="6"/>
  <c r="CS320" i="6"/>
  <c r="CK320" i="6"/>
  <c r="CI320" i="6"/>
  <c r="CG320" i="6"/>
  <c r="CF320" i="6"/>
  <c r="CE320" i="6"/>
  <c r="CD320" i="6"/>
  <c r="CC320" i="6"/>
  <c r="CA320" i="6"/>
  <c r="BY320" i="6"/>
  <c r="BW320" i="6"/>
  <c r="BU320" i="6"/>
  <c r="BS320" i="6"/>
  <c r="BQ320" i="6"/>
  <c r="BO320" i="6"/>
  <c r="BM320" i="6"/>
  <c r="BK320" i="6"/>
  <c r="BI320" i="6"/>
  <c r="BG320" i="6"/>
  <c r="BE320" i="6"/>
  <c r="BC320" i="6"/>
  <c r="BA320" i="6"/>
  <c r="AY320" i="6"/>
  <c r="AW320" i="6"/>
  <c r="AU320" i="6"/>
  <c r="AS320" i="6"/>
  <c r="AQ320" i="6"/>
  <c r="AO320" i="6"/>
  <c r="AM320" i="6"/>
  <c r="AK320" i="6"/>
  <c r="AI320" i="6"/>
  <c r="AG320" i="6"/>
  <c r="AF320" i="6"/>
  <c r="AE320" i="6"/>
  <c r="AB320" i="6"/>
  <c r="AA320" i="6"/>
  <c r="Z320" i="6"/>
  <c r="V320" i="6"/>
  <c r="U320" i="6"/>
  <c r="T320" i="6"/>
  <c r="S320" i="6"/>
  <c r="Q320" i="6"/>
  <c r="E320" i="6"/>
  <c r="D320" i="6"/>
  <c r="B320" i="6"/>
  <c r="A320" i="6"/>
  <c r="DL319" i="6"/>
  <c r="DK319" i="6"/>
  <c r="DJ319" i="6"/>
  <c r="DI319" i="6"/>
  <c r="DE319" i="6"/>
  <c r="DC319" i="6"/>
  <c r="CY319" i="6"/>
  <c r="CW319" i="6"/>
  <c r="CU319" i="6"/>
  <c r="CS319" i="6"/>
  <c r="CR319" i="6"/>
  <c r="CK319" i="6"/>
  <c r="CI319" i="6"/>
  <c r="CG319" i="6"/>
  <c r="CE319" i="6"/>
  <c r="CC319" i="6"/>
  <c r="CA319" i="6"/>
  <c r="BY319" i="6"/>
  <c r="BW319" i="6"/>
  <c r="BU319" i="6"/>
  <c r="BS319" i="6"/>
  <c r="BQ319" i="6"/>
  <c r="BO319" i="6"/>
  <c r="BM319" i="6"/>
  <c r="BK319" i="6"/>
  <c r="BI319" i="6"/>
  <c r="BG319" i="6"/>
  <c r="BE319" i="6"/>
  <c r="BC319" i="6"/>
  <c r="BA319" i="6"/>
  <c r="AY319" i="6"/>
  <c r="AW319" i="6"/>
  <c r="AU319" i="6"/>
  <c r="AS319" i="6"/>
  <c r="AQ319" i="6"/>
  <c r="AO319" i="6"/>
  <c r="AM319" i="6"/>
  <c r="AK319" i="6"/>
  <c r="AI319" i="6"/>
  <c r="AG319" i="6"/>
  <c r="AF319" i="6"/>
  <c r="AE319" i="6"/>
  <c r="AB319" i="6"/>
  <c r="AA319" i="6"/>
  <c r="Z319" i="6"/>
  <c r="V319" i="6"/>
  <c r="U319" i="6"/>
  <c r="T319" i="6"/>
  <c r="S319" i="6"/>
  <c r="L319" i="6"/>
  <c r="K319" i="6"/>
  <c r="E319" i="6"/>
  <c r="D319" i="6"/>
  <c r="B319" i="6"/>
  <c r="A319" i="6"/>
  <c r="DL318" i="6"/>
  <c r="DJ318" i="6"/>
  <c r="DI318" i="6"/>
  <c r="DE318" i="6"/>
  <c r="DC318" i="6"/>
  <c r="CY318" i="6"/>
  <c r="CW318" i="6"/>
  <c r="CU318" i="6"/>
  <c r="CS318" i="6"/>
  <c r="CK318" i="6"/>
  <c r="CI318" i="6"/>
  <c r="CG318" i="6"/>
  <c r="CE318" i="6"/>
  <c r="CC318" i="6"/>
  <c r="CA318" i="6"/>
  <c r="BY318" i="6"/>
  <c r="BW318" i="6"/>
  <c r="BU318" i="6"/>
  <c r="BS318" i="6"/>
  <c r="BQ318" i="6"/>
  <c r="BO318" i="6"/>
  <c r="BM318" i="6"/>
  <c r="BK318" i="6"/>
  <c r="BI318" i="6"/>
  <c r="BG318" i="6"/>
  <c r="BE318" i="6"/>
  <c r="BC318" i="6"/>
  <c r="BA318" i="6"/>
  <c r="AY318" i="6"/>
  <c r="AW318" i="6"/>
  <c r="AU318" i="6"/>
  <c r="AS318" i="6"/>
  <c r="AQ318" i="6"/>
  <c r="AO318" i="6"/>
  <c r="AM318" i="6"/>
  <c r="AK318" i="6"/>
  <c r="AI318" i="6"/>
  <c r="AG318" i="6"/>
  <c r="AF318" i="6"/>
  <c r="AE318" i="6"/>
  <c r="AD318" i="6"/>
  <c r="AB318" i="6"/>
  <c r="AA318" i="6"/>
  <c r="Z318" i="6"/>
  <c r="V318" i="6"/>
  <c r="U318" i="6"/>
  <c r="T318" i="6"/>
  <c r="S318" i="6"/>
  <c r="L318" i="6"/>
  <c r="K318" i="6"/>
  <c r="E318" i="6"/>
  <c r="D318" i="6"/>
  <c r="B318" i="6"/>
  <c r="A318" i="6"/>
  <c r="DL317" i="6"/>
  <c r="DJ317" i="6"/>
  <c r="DI317" i="6"/>
  <c r="DH317" i="6"/>
  <c r="DG317" i="6"/>
  <c r="DF317" i="6"/>
  <c r="DE317" i="6"/>
  <c r="DC317" i="6"/>
  <c r="CY317" i="6"/>
  <c r="CW317" i="6"/>
  <c r="CU317" i="6"/>
  <c r="CS317" i="6"/>
  <c r="CK317" i="6"/>
  <c r="CI317" i="6"/>
  <c r="CG317" i="6"/>
  <c r="CF317" i="6"/>
  <c r="CE317" i="6"/>
  <c r="CD317" i="6"/>
  <c r="CC317" i="6"/>
  <c r="CA317" i="6"/>
  <c r="BY317" i="6"/>
  <c r="BW317" i="6"/>
  <c r="BU317" i="6"/>
  <c r="BS317" i="6"/>
  <c r="BQ317" i="6"/>
  <c r="BO317" i="6"/>
  <c r="BM317" i="6"/>
  <c r="BK317" i="6"/>
  <c r="BI317" i="6"/>
  <c r="BG317" i="6"/>
  <c r="BE317" i="6"/>
  <c r="BC317" i="6"/>
  <c r="BA317" i="6"/>
  <c r="AY317" i="6"/>
  <c r="AW317" i="6"/>
  <c r="AU317" i="6"/>
  <c r="AS317" i="6"/>
  <c r="AQ317" i="6"/>
  <c r="AO317" i="6"/>
  <c r="AM317" i="6"/>
  <c r="AK317" i="6"/>
  <c r="AI317" i="6"/>
  <c r="AG317" i="6"/>
  <c r="AF317" i="6"/>
  <c r="AE317" i="6"/>
  <c r="AD317" i="6"/>
  <c r="AB317" i="6"/>
  <c r="AA317" i="6"/>
  <c r="Z317" i="6"/>
  <c r="V317" i="6"/>
  <c r="U317" i="6"/>
  <c r="T317" i="6"/>
  <c r="S317" i="6"/>
  <c r="Q317" i="6"/>
  <c r="E317" i="6"/>
  <c r="D317" i="6"/>
  <c r="B317" i="6"/>
  <c r="A317" i="6"/>
  <c r="DL316" i="6"/>
  <c r="DJ316" i="6"/>
  <c r="DI316" i="6"/>
  <c r="DH316" i="6"/>
  <c r="DG316" i="6"/>
  <c r="DF316" i="6"/>
  <c r="DE316" i="6"/>
  <c r="DC316" i="6"/>
  <c r="CY316" i="6"/>
  <c r="CW316" i="6"/>
  <c r="CU316" i="6"/>
  <c r="CS316" i="6"/>
  <c r="CK316" i="6"/>
  <c r="CJ316" i="6"/>
  <c r="CI316" i="6"/>
  <c r="CG316" i="6"/>
  <c r="CF316" i="6"/>
  <c r="CE316" i="6"/>
  <c r="CD316" i="6"/>
  <c r="CC316" i="6"/>
  <c r="CA316" i="6"/>
  <c r="BY316" i="6"/>
  <c r="BW316" i="6"/>
  <c r="BU316" i="6"/>
  <c r="BS316" i="6"/>
  <c r="BQ316" i="6"/>
  <c r="BO316" i="6"/>
  <c r="BM316" i="6"/>
  <c r="BK316" i="6"/>
  <c r="BI316" i="6"/>
  <c r="BG316" i="6"/>
  <c r="BE316" i="6"/>
  <c r="BC316" i="6"/>
  <c r="BA316" i="6"/>
  <c r="AY316" i="6"/>
  <c r="AW316" i="6"/>
  <c r="AU316" i="6"/>
  <c r="AS316" i="6"/>
  <c r="AQ316" i="6"/>
  <c r="AO316" i="6"/>
  <c r="AM316" i="6"/>
  <c r="AK316" i="6"/>
  <c r="AI316" i="6"/>
  <c r="AG316" i="6"/>
  <c r="AF316" i="6"/>
  <c r="AE316" i="6"/>
  <c r="AD316" i="6"/>
  <c r="AB316" i="6"/>
  <c r="AA316" i="6"/>
  <c r="Z316" i="6"/>
  <c r="V316" i="6"/>
  <c r="U316" i="6"/>
  <c r="T316" i="6"/>
  <c r="S316" i="6"/>
  <c r="Q316" i="6"/>
  <c r="E316" i="6"/>
  <c r="D316" i="6"/>
  <c r="B316" i="6"/>
  <c r="A316" i="6"/>
  <c r="DL315" i="6"/>
  <c r="DJ315" i="6"/>
  <c r="DI315" i="6"/>
  <c r="DH315" i="6"/>
  <c r="DE315" i="6"/>
  <c r="DC315" i="6"/>
  <c r="CY315" i="6"/>
  <c r="CW315" i="6"/>
  <c r="CU315" i="6"/>
  <c r="CS315" i="6"/>
  <c r="CK315" i="6"/>
  <c r="CI315" i="6"/>
  <c r="CG315" i="6"/>
  <c r="CF315" i="6"/>
  <c r="CE315" i="6"/>
  <c r="CD315" i="6"/>
  <c r="CC315" i="6"/>
  <c r="CA315" i="6"/>
  <c r="BY315" i="6"/>
  <c r="BW315" i="6"/>
  <c r="BU315" i="6"/>
  <c r="BS315" i="6"/>
  <c r="BQ315" i="6"/>
  <c r="BO315" i="6"/>
  <c r="BM315" i="6"/>
  <c r="BK315" i="6"/>
  <c r="BI315" i="6"/>
  <c r="BG315" i="6"/>
  <c r="BE315" i="6"/>
  <c r="BC315" i="6"/>
  <c r="BA315" i="6"/>
  <c r="AY315" i="6"/>
  <c r="AW315" i="6"/>
  <c r="AU315" i="6"/>
  <c r="AS315" i="6"/>
  <c r="AQ315" i="6"/>
  <c r="AO315" i="6"/>
  <c r="AM315" i="6"/>
  <c r="AK315" i="6"/>
  <c r="AI315" i="6"/>
  <c r="AG315" i="6"/>
  <c r="AF315" i="6"/>
  <c r="AE315" i="6"/>
  <c r="AB315" i="6"/>
  <c r="AA315" i="6"/>
  <c r="Z315" i="6"/>
  <c r="V315" i="6"/>
  <c r="U315" i="6"/>
  <c r="T315" i="6"/>
  <c r="S315" i="6"/>
  <c r="L315" i="6"/>
  <c r="K315" i="6"/>
  <c r="J315" i="6"/>
  <c r="E315" i="6"/>
  <c r="D315" i="6"/>
  <c r="B315" i="6"/>
  <c r="A315" i="6"/>
  <c r="DL314" i="6"/>
  <c r="DJ314" i="6"/>
  <c r="DI314" i="6"/>
  <c r="DH314" i="6"/>
  <c r="DE314" i="6"/>
  <c r="DD314" i="6"/>
  <c r="DC314" i="6"/>
  <c r="DA314" i="6"/>
  <c r="CY314" i="6"/>
  <c r="CX314" i="6"/>
  <c r="CW314" i="6"/>
  <c r="CU314" i="6"/>
  <c r="CS314" i="6"/>
  <c r="CK314" i="6"/>
  <c r="CI314" i="6"/>
  <c r="CG314" i="6"/>
  <c r="CF314" i="6"/>
  <c r="CE314" i="6"/>
  <c r="CD314" i="6"/>
  <c r="CC314" i="6"/>
  <c r="CA314" i="6"/>
  <c r="BY314" i="6"/>
  <c r="BW314" i="6"/>
  <c r="BU314" i="6"/>
  <c r="BS314" i="6"/>
  <c r="BQ314" i="6"/>
  <c r="BO314" i="6"/>
  <c r="BM314" i="6"/>
  <c r="BK314" i="6"/>
  <c r="BI314" i="6"/>
  <c r="BG314" i="6"/>
  <c r="BE314" i="6"/>
  <c r="BC314" i="6"/>
  <c r="BA314" i="6"/>
  <c r="AY314" i="6"/>
  <c r="AW314" i="6"/>
  <c r="AU314" i="6"/>
  <c r="AS314" i="6"/>
  <c r="AQ314" i="6"/>
  <c r="AO314" i="6"/>
  <c r="AM314" i="6"/>
  <c r="AK314" i="6"/>
  <c r="AJ314" i="6"/>
  <c r="AI314" i="6"/>
  <c r="AH314" i="6"/>
  <c r="AG314" i="6"/>
  <c r="AF314" i="6"/>
  <c r="AE314" i="6"/>
  <c r="AB314" i="6"/>
  <c r="AA314" i="6"/>
  <c r="Z314" i="6"/>
  <c r="V314" i="6"/>
  <c r="U314" i="6"/>
  <c r="T314" i="6"/>
  <c r="S314" i="6"/>
  <c r="Q314" i="6"/>
  <c r="E314" i="6"/>
  <c r="D314" i="6"/>
  <c r="B314" i="6"/>
  <c r="A314" i="6"/>
  <c r="DL313" i="6"/>
  <c r="DJ313" i="6"/>
  <c r="DI313" i="6"/>
  <c r="DH313" i="6"/>
  <c r="DE313" i="6"/>
  <c r="DC313" i="6"/>
  <c r="CY313" i="6"/>
  <c r="CW313" i="6"/>
  <c r="CU313" i="6"/>
  <c r="CS313" i="6"/>
  <c r="CK313" i="6"/>
  <c r="CI313" i="6"/>
  <c r="CG313" i="6"/>
  <c r="CF313" i="6"/>
  <c r="CE313" i="6"/>
  <c r="CD313" i="6"/>
  <c r="CC313" i="6"/>
  <c r="CA313" i="6"/>
  <c r="BY313" i="6"/>
  <c r="BW313" i="6"/>
  <c r="BU313" i="6"/>
  <c r="BS313" i="6"/>
  <c r="BQ313" i="6"/>
  <c r="BO313" i="6"/>
  <c r="BM313" i="6"/>
  <c r="BK313" i="6"/>
  <c r="BI313" i="6"/>
  <c r="BG313" i="6"/>
  <c r="BE313" i="6"/>
  <c r="BC313" i="6"/>
  <c r="BA313" i="6"/>
  <c r="AY313" i="6"/>
  <c r="AW313" i="6"/>
  <c r="AU313" i="6"/>
  <c r="AS313" i="6"/>
  <c r="AQ313" i="6"/>
  <c r="AO313" i="6"/>
  <c r="AM313" i="6"/>
  <c r="AK313" i="6"/>
  <c r="AI313" i="6"/>
  <c r="AG313" i="6"/>
  <c r="AF313" i="6"/>
  <c r="AE313" i="6"/>
  <c r="AD313" i="6"/>
  <c r="AB313" i="6"/>
  <c r="AA313" i="6"/>
  <c r="Z313" i="6"/>
  <c r="V313" i="6"/>
  <c r="U313" i="6"/>
  <c r="T313" i="6"/>
  <c r="S313" i="6"/>
  <c r="Q313" i="6"/>
  <c r="E313" i="6"/>
  <c r="D313" i="6"/>
  <c r="B313" i="6"/>
  <c r="A313" i="6"/>
  <c r="DL312" i="6"/>
  <c r="DJ312" i="6"/>
  <c r="DI312" i="6"/>
  <c r="DH312" i="6"/>
  <c r="DG312" i="6"/>
  <c r="DF312" i="6"/>
  <c r="DE312" i="6"/>
  <c r="DC312" i="6"/>
  <c r="CY312" i="6"/>
  <c r="CW312" i="6"/>
  <c r="CU312" i="6"/>
  <c r="CS312" i="6"/>
  <c r="CK312" i="6"/>
  <c r="CJ312" i="6"/>
  <c r="CI312" i="6"/>
  <c r="CH312" i="6"/>
  <c r="CG312" i="6"/>
  <c r="CF312" i="6"/>
  <c r="CE312" i="6"/>
  <c r="CD312" i="6"/>
  <c r="CC312" i="6"/>
  <c r="CA312" i="6"/>
  <c r="BY312" i="6"/>
  <c r="BW312" i="6"/>
  <c r="BU312" i="6"/>
  <c r="BS312" i="6"/>
  <c r="BQ312" i="6"/>
  <c r="BO312" i="6"/>
  <c r="BM312" i="6"/>
  <c r="BK312" i="6"/>
  <c r="BI312" i="6"/>
  <c r="BG312" i="6"/>
  <c r="BE312" i="6"/>
  <c r="BC312" i="6"/>
  <c r="BA312" i="6"/>
  <c r="AY312" i="6"/>
  <c r="AW312" i="6"/>
  <c r="AU312" i="6"/>
  <c r="AS312" i="6"/>
  <c r="AQ312" i="6"/>
  <c r="AO312" i="6"/>
  <c r="AN312" i="6"/>
  <c r="AM312" i="6"/>
  <c r="AL312" i="6"/>
  <c r="AK312" i="6"/>
  <c r="AJ312" i="6"/>
  <c r="AI312" i="6"/>
  <c r="AH312" i="6"/>
  <c r="AG312" i="6"/>
  <c r="AF312" i="6"/>
  <c r="AE312" i="6"/>
  <c r="AD312" i="6"/>
  <c r="AB312" i="6"/>
  <c r="AA312" i="6"/>
  <c r="Z312" i="6"/>
  <c r="V312" i="6"/>
  <c r="U312" i="6"/>
  <c r="T312" i="6"/>
  <c r="S312" i="6"/>
  <c r="Q312" i="6"/>
  <c r="L312" i="6"/>
  <c r="K312" i="6"/>
  <c r="J312" i="6"/>
  <c r="E312" i="6"/>
  <c r="D312" i="6"/>
  <c r="B312" i="6"/>
  <c r="A312" i="6"/>
  <c r="DL311" i="6"/>
  <c r="DJ311" i="6"/>
  <c r="DI311" i="6"/>
  <c r="DH311" i="6"/>
  <c r="DE311" i="6"/>
  <c r="DC311" i="6"/>
  <c r="CY311" i="6"/>
  <c r="CW311" i="6"/>
  <c r="CU311" i="6"/>
  <c r="CS311" i="6"/>
  <c r="CK311" i="6"/>
  <c r="CI311" i="6"/>
  <c r="CG311" i="6"/>
  <c r="CF311" i="6"/>
  <c r="CE311" i="6"/>
  <c r="CD311" i="6"/>
  <c r="CC311" i="6"/>
  <c r="CA311" i="6"/>
  <c r="BY311" i="6"/>
  <c r="BW311" i="6"/>
  <c r="BU311" i="6"/>
  <c r="BS311" i="6"/>
  <c r="BQ311" i="6"/>
  <c r="BO311" i="6"/>
  <c r="BM311" i="6"/>
  <c r="BK311" i="6"/>
  <c r="BI311" i="6"/>
  <c r="BG311" i="6"/>
  <c r="BE311" i="6"/>
  <c r="BC311" i="6"/>
  <c r="BA311" i="6"/>
  <c r="AY311" i="6"/>
  <c r="AW311" i="6"/>
  <c r="AU311" i="6"/>
  <c r="AS311" i="6"/>
  <c r="AQ311" i="6"/>
  <c r="AO311" i="6"/>
  <c r="AM311" i="6"/>
  <c r="AK311" i="6"/>
  <c r="AI311" i="6"/>
  <c r="AG311" i="6"/>
  <c r="AF311" i="6"/>
  <c r="AE311" i="6"/>
  <c r="AD311" i="6"/>
  <c r="AB311" i="6"/>
  <c r="AA311" i="6"/>
  <c r="Z311" i="6"/>
  <c r="V311" i="6"/>
  <c r="U311" i="6"/>
  <c r="T311" i="6"/>
  <c r="S311" i="6"/>
  <c r="L311" i="6"/>
  <c r="K311" i="6"/>
  <c r="F311" i="6"/>
  <c r="E311" i="6"/>
  <c r="D311" i="6"/>
  <c r="B311" i="6"/>
  <c r="A311" i="6"/>
  <c r="DL310" i="6"/>
  <c r="DK310" i="6"/>
  <c r="DJ310" i="6"/>
  <c r="DI310" i="6"/>
  <c r="DE310" i="6"/>
  <c r="DC310" i="6"/>
  <c r="CY310" i="6"/>
  <c r="CW310" i="6"/>
  <c r="CU310" i="6"/>
  <c r="CS310" i="6"/>
  <c r="CK310" i="6"/>
  <c r="CI310" i="6"/>
  <c r="CG310" i="6"/>
  <c r="CE310" i="6"/>
  <c r="CC310" i="6"/>
  <c r="CA310" i="6"/>
  <c r="BY310" i="6"/>
  <c r="BW310" i="6"/>
  <c r="BU310" i="6"/>
  <c r="BS310" i="6"/>
  <c r="BQ310" i="6"/>
  <c r="BO310" i="6"/>
  <c r="BM310" i="6"/>
  <c r="BK310" i="6"/>
  <c r="BI310" i="6"/>
  <c r="BG310" i="6"/>
  <c r="BE310" i="6"/>
  <c r="BC310" i="6"/>
  <c r="BA310" i="6"/>
  <c r="AY310" i="6"/>
  <c r="AW310" i="6"/>
  <c r="AU310" i="6"/>
  <c r="AS310" i="6"/>
  <c r="AQ310" i="6"/>
  <c r="AO310" i="6"/>
  <c r="AM310" i="6"/>
  <c r="AK310" i="6"/>
  <c r="AI310" i="6"/>
  <c r="AG310" i="6"/>
  <c r="AF310" i="6"/>
  <c r="AE310" i="6"/>
  <c r="AB310" i="6"/>
  <c r="AA310" i="6"/>
  <c r="Z310" i="6"/>
  <c r="V310" i="6"/>
  <c r="U310" i="6"/>
  <c r="T310" i="6"/>
  <c r="S310" i="6"/>
  <c r="Q310" i="6"/>
  <c r="E310" i="6"/>
  <c r="D310" i="6"/>
  <c r="B310" i="6"/>
  <c r="A310" i="6"/>
  <c r="DL309" i="6"/>
  <c r="DK309" i="6"/>
  <c r="DJ309" i="6"/>
  <c r="DI309" i="6"/>
  <c r="DH309" i="6"/>
  <c r="DE309" i="6"/>
  <c r="DD309" i="6"/>
  <c r="DC309" i="6"/>
  <c r="DA309" i="6"/>
  <c r="CY309" i="6"/>
  <c r="CX309" i="6"/>
  <c r="CW309" i="6"/>
  <c r="CU309" i="6"/>
  <c r="CS309" i="6"/>
  <c r="CK309" i="6"/>
  <c r="CI309" i="6"/>
  <c r="CG309" i="6"/>
  <c r="CF309" i="6"/>
  <c r="CE309" i="6"/>
  <c r="CD309" i="6"/>
  <c r="CC309" i="6"/>
  <c r="CA309" i="6"/>
  <c r="BY309" i="6"/>
  <c r="BW309" i="6"/>
  <c r="BU309" i="6"/>
  <c r="BS309" i="6"/>
  <c r="BQ309" i="6"/>
  <c r="BO309" i="6"/>
  <c r="BM309" i="6"/>
  <c r="BK309" i="6"/>
  <c r="BI309" i="6"/>
  <c r="BG309" i="6"/>
  <c r="BE309" i="6"/>
  <c r="BC309" i="6"/>
  <c r="BA309" i="6"/>
  <c r="AY309" i="6"/>
  <c r="AW309" i="6"/>
  <c r="AU309" i="6"/>
  <c r="AS309" i="6"/>
  <c r="AQ309" i="6"/>
  <c r="AO309" i="6"/>
  <c r="AM309" i="6"/>
  <c r="AK309" i="6"/>
  <c r="AI309" i="6"/>
  <c r="AG309" i="6"/>
  <c r="AF309" i="6"/>
  <c r="AE309" i="6"/>
  <c r="AB309" i="6"/>
  <c r="AA309" i="6"/>
  <c r="Z309" i="6"/>
  <c r="V309" i="6"/>
  <c r="U309" i="6"/>
  <c r="T309" i="6"/>
  <c r="S309" i="6"/>
  <c r="E309" i="6"/>
  <c r="D309" i="6"/>
  <c r="C309" i="6"/>
  <c r="B309" i="6"/>
  <c r="A309" i="6"/>
  <c r="DL308" i="6"/>
  <c r="DJ308" i="6"/>
  <c r="DI308" i="6"/>
  <c r="DH308" i="6"/>
  <c r="DG308" i="6"/>
  <c r="DF308" i="6"/>
  <c r="DE308" i="6"/>
  <c r="DC308" i="6"/>
  <c r="CY308" i="6"/>
  <c r="CW308" i="6"/>
  <c r="CU308" i="6"/>
  <c r="CS308" i="6"/>
  <c r="CR308" i="6"/>
  <c r="CO308" i="6"/>
  <c r="CN308" i="6"/>
  <c r="CK308" i="6"/>
  <c r="CI308" i="6"/>
  <c r="CG308" i="6"/>
  <c r="CF308" i="6"/>
  <c r="CE308" i="6"/>
  <c r="CD308" i="6"/>
  <c r="CC308" i="6"/>
  <c r="CA308" i="6"/>
  <c r="BY308" i="6"/>
  <c r="BW308" i="6"/>
  <c r="BU308" i="6"/>
  <c r="BS308" i="6"/>
  <c r="BQ308" i="6"/>
  <c r="BO308" i="6"/>
  <c r="BM308" i="6"/>
  <c r="BK308" i="6"/>
  <c r="BI308" i="6"/>
  <c r="BG308" i="6"/>
  <c r="BE308" i="6"/>
  <c r="BC308" i="6"/>
  <c r="BA308" i="6"/>
  <c r="AY308" i="6"/>
  <c r="AW308" i="6"/>
  <c r="AU308" i="6"/>
  <c r="AS308" i="6"/>
  <c r="AQ308" i="6"/>
  <c r="AO308" i="6"/>
  <c r="AM308" i="6"/>
  <c r="AK308" i="6"/>
  <c r="AI308" i="6"/>
  <c r="AG308" i="6"/>
  <c r="AF308" i="6"/>
  <c r="AE308" i="6"/>
  <c r="AD308" i="6"/>
  <c r="AB308" i="6"/>
  <c r="AA308" i="6"/>
  <c r="Z308" i="6"/>
  <c r="V308" i="6"/>
  <c r="U308" i="6"/>
  <c r="T308" i="6"/>
  <c r="S308" i="6"/>
  <c r="P308" i="6"/>
  <c r="L308" i="6"/>
  <c r="K308" i="6"/>
  <c r="J308" i="6"/>
  <c r="I308" i="6"/>
  <c r="H308" i="6"/>
  <c r="G308" i="6"/>
  <c r="E308" i="6"/>
  <c r="D308" i="6"/>
  <c r="B308" i="6"/>
  <c r="A308" i="6"/>
  <c r="DL307" i="6"/>
  <c r="DJ307" i="6"/>
  <c r="DI307" i="6"/>
  <c r="DE307" i="6"/>
  <c r="DC307" i="6"/>
  <c r="CY307" i="6"/>
  <c r="CW307" i="6"/>
  <c r="CU307" i="6"/>
  <c r="CS307" i="6"/>
  <c r="CK307" i="6"/>
  <c r="CI307" i="6"/>
  <c r="CG307" i="6"/>
  <c r="CE307" i="6"/>
  <c r="CC307" i="6"/>
  <c r="CA307" i="6"/>
  <c r="BY307" i="6"/>
  <c r="BW307" i="6"/>
  <c r="BU307" i="6"/>
  <c r="BS307" i="6"/>
  <c r="BQ307" i="6"/>
  <c r="BO307" i="6"/>
  <c r="BM307" i="6"/>
  <c r="BK307" i="6"/>
  <c r="BI307" i="6"/>
  <c r="BG307" i="6"/>
  <c r="BE307" i="6"/>
  <c r="BC307" i="6"/>
  <c r="BA307" i="6"/>
  <c r="AY307" i="6"/>
  <c r="AW307" i="6"/>
  <c r="AU307" i="6"/>
  <c r="AS307" i="6"/>
  <c r="AQ307" i="6"/>
  <c r="AO307" i="6"/>
  <c r="AM307" i="6"/>
  <c r="AK307" i="6"/>
  <c r="AI307" i="6"/>
  <c r="AG307" i="6"/>
  <c r="AF307" i="6"/>
  <c r="AE307" i="6"/>
  <c r="AD307" i="6"/>
  <c r="AB307" i="6"/>
  <c r="AA307" i="6"/>
  <c r="Z307" i="6"/>
  <c r="V307" i="6"/>
  <c r="U307" i="6"/>
  <c r="T307" i="6"/>
  <c r="S307" i="6"/>
  <c r="L307" i="6"/>
  <c r="K307" i="6"/>
  <c r="E307" i="6"/>
  <c r="D307" i="6"/>
  <c r="B307" i="6"/>
  <c r="A307" i="6"/>
  <c r="DL306" i="6"/>
  <c r="DJ306" i="6"/>
  <c r="DI306" i="6"/>
  <c r="DH306" i="6"/>
  <c r="DE306" i="6"/>
  <c r="DD306" i="6"/>
  <c r="DC306" i="6"/>
  <c r="DA306" i="6"/>
  <c r="CY306" i="6"/>
  <c r="CX306" i="6"/>
  <c r="CW306" i="6"/>
  <c r="CU306" i="6"/>
  <c r="CS306" i="6"/>
  <c r="CK306" i="6"/>
  <c r="CI306" i="6"/>
  <c r="CG306" i="6"/>
  <c r="CF306" i="6"/>
  <c r="CE306" i="6"/>
  <c r="CD306" i="6"/>
  <c r="CC306" i="6"/>
  <c r="CA306" i="6"/>
  <c r="BY306" i="6"/>
  <c r="BW306" i="6"/>
  <c r="BU306" i="6"/>
  <c r="BS306" i="6"/>
  <c r="BQ306" i="6"/>
  <c r="BO306" i="6"/>
  <c r="BM306" i="6"/>
  <c r="BK306" i="6"/>
  <c r="BI306" i="6"/>
  <c r="BG306" i="6"/>
  <c r="BE306" i="6"/>
  <c r="BC306" i="6"/>
  <c r="BA306" i="6"/>
  <c r="AY306" i="6"/>
  <c r="AW306" i="6"/>
  <c r="AU306" i="6"/>
  <c r="AS306" i="6"/>
  <c r="AQ306" i="6"/>
  <c r="AO306" i="6"/>
  <c r="AM306" i="6"/>
  <c r="AK306" i="6"/>
  <c r="AJ306" i="6"/>
  <c r="AI306" i="6"/>
  <c r="AH306" i="6"/>
  <c r="AG306" i="6"/>
  <c r="AF306" i="6"/>
  <c r="AE306" i="6"/>
  <c r="AB306" i="6"/>
  <c r="AA306" i="6"/>
  <c r="Z306" i="6"/>
  <c r="V306" i="6"/>
  <c r="U306" i="6"/>
  <c r="T306" i="6"/>
  <c r="S306" i="6"/>
  <c r="Q306" i="6"/>
  <c r="E306" i="6"/>
  <c r="D306" i="6"/>
  <c r="B306" i="6"/>
  <c r="A306" i="6"/>
  <c r="DL305" i="6"/>
  <c r="DK305" i="6"/>
  <c r="DJ305" i="6"/>
  <c r="DI305" i="6"/>
  <c r="DE305" i="6"/>
  <c r="DC305" i="6"/>
  <c r="CY305" i="6"/>
  <c r="CW305" i="6"/>
  <c r="CU305" i="6"/>
  <c r="CS305" i="6"/>
  <c r="CK305" i="6"/>
  <c r="CI305" i="6"/>
  <c r="CG305" i="6"/>
  <c r="CE305" i="6"/>
  <c r="CC305" i="6"/>
  <c r="CA305" i="6"/>
  <c r="BY305" i="6"/>
  <c r="BW305" i="6"/>
  <c r="BU305" i="6"/>
  <c r="BS305" i="6"/>
  <c r="BQ305" i="6"/>
  <c r="BO305" i="6"/>
  <c r="BM305" i="6"/>
  <c r="BK305" i="6"/>
  <c r="BI305" i="6"/>
  <c r="BG305" i="6"/>
  <c r="BE305" i="6"/>
  <c r="BC305" i="6"/>
  <c r="BA305" i="6"/>
  <c r="AY305" i="6"/>
  <c r="AW305" i="6"/>
  <c r="AU305" i="6"/>
  <c r="AS305" i="6"/>
  <c r="AQ305" i="6"/>
  <c r="AO305" i="6"/>
  <c r="AM305" i="6"/>
  <c r="AK305" i="6"/>
  <c r="AJ305" i="6"/>
  <c r="AI305" i="6"/>
  <c r="AH305" i="6"/>
  <c r="AG305" i="6"/>
  <c r="AF305" i="6"/>
  <c r="AE305" i="6"/>
  <c r="AD305" i="6"/>
  <c r="AC305" i="6"/>
  <c r="AB305" i="6"/>
  <c r="AA305" i="6"/>
  <c r="Z305" i="6"/>
  <c r="V305" i="6"/>
  <c r="U305" i="6"/>
  <c r="T305" i="6"/>
  <c r="S305" i="6"/>
  <c r="Q305" i="6"/>
  <c r="F305" i="6"/>
  <c r="E305" i="6"/>
  <c r="D305" i="6"/>
  <c r="B305" i="6"/>
  <c r="A305" i="6"/>
  <c r="DL304" i="6"/>
  <c r="DJ304" i="6"/>
  <c r="DI304" i="6"/>
  <c r="DE304" i="6"/>
  <c r="DC304" i="6"/>
  <c r="CY304" i="6"/>
  <c r="CW304" i="6"/>
  <c r="CV304" i="6"/>
  <c r="CU304" i="6"/>
  <c r="CS304" i="6"/>
  <c r="CK304" i="6"/>
  <c r="CI304" i="6"/>
  <c r="CG304" i="6"/>
  <c r="CE304" i="6"/>
  <c r="CC304" i="6"/>
  <c r="CA304" i="6"/>
  <c r="BY304" i="6"/>
  <c r="BW304" i="6"/>
  <c r="BU304" i="6"/>
  <c r="BS304" i="6"/>
  <c r="BQ304" i="6"/>
  <c r="BO304" i="6"/>
  <c r="BM304" i="6"/>
  <c r="BK304" i="6"/>
  <c r="BI304" i="6"/>
  <c r="BG304" i="6"/>
  <c r="BE304" i="6"/>
  <c r="BC304" i="6"/>
  <c r="BA304" i="6"/>
  <c r="AY304" i="6"/>
  <c r="AW304" i="6"/>
  <c r="AU304" i="6"/>
  <c r="AS304" i="6"/>
  <c r="AQ304" i="6"/>
  <c r="AO304" i="6"/>
  <c r="AM304" i="6"/>
  <c r="AK304" i="6"/>
  <c r="AI304" i="6"/>
  <c r="AG304" i="6"/>
  <c r="AF304" i="6"/>
  <c r="AE304" i="6"/>
  <c r="AD304" i="6"/>
  <c r="AC304" i="6"/>
  <c r="AB304" i="6"/>
  <c r="AA304" i="6"/>
  <c r="Z304" i="6"/>
  <c r="V304" i="6"/>
  <c r="U304" i="6"/>
  <c r="T304" i="6"/>
  <c r="S304" i="6"/>
  <c r="E304" i="6"/>
  <c r="D304" i="6"/>
  <c r="B304" i="6"/>
  <c r="A304" i="6"/>
  <c r="DL303" i="6"/>
  <c r="DJ303" i="6"/>
  <c r="DI303" i="6"/>
  <c r="DE303" i="6"/>
  <c r="DC303" i="6"/>
  <c r="CY303" i="6"/>
  <c r="CW303" i="6"/>
  <c r="CU303" i="6"/>
  <c r="CS303" i="6"/>
  <c r="CK303" i="6"/>
  <c r="CI303" i="6"/>
  <c r="CG303" i="6"/>
  <c r="CE303" i="6"/>
  <c r="CC303" i="6"/>
  <c r="CA303" i="6"/>
  <c r="BY303" i="6"/>
  <c r="BW303" i="6"/>
  <c r="BU303" i="6"/>
  <c r="BS303" i="6"/>
  <c r="BQ303" i="6"/>
  <c r="BO303" i="6"/>
  <c r="BM303" i="6"/>
  <c r="BK303" i="6"/>
  <c r="BI303" i="6"/>
  <c r="BG303" i="6"/>
  <c r="BE303" i="6"/>
  <c r="BC303" i="6"/>
  <c r="BA303" i="6"/>
  <c r="AY303" i="6"/>
  <c r="AW303" i="6"/>
  <c r="AU303" i="6"/>
  <c r="AS303" i="6"/>
  <c r="AQ303" i="6"/>
  <c r="AO303" i="6"/>
  <c r="AM303" i="6"/>
  <c r="AK303" i="6"/>
  <c r="AI303" i="6"/>
  <c r="AG303" i="6"/>
  <c r="AF303" i="6"/>
  <c r="AE303" i="6"/>
  <c r="AD303" i="6"/>
  <c r="AB303" i="6"/>
  <c r="AA303" i="6"/>
  <c r="Z303" i="6"/>
  <c r="V303" i="6"/>
  <c r="U303" i="6"/>
  <c r="T303" i="6"/>
  <c r="S303" i="6"/>
  <c r="L303" i="6"/>
  <c r="K303" i="6"/>
  <c r="E303" i="6"/>
  <c r="D303" i="6"/>
  <c r="B303" i="6"/>
  <c r="A303" i="6"/>
  <c r="DL302" i="6"/>
  <c r="DJ302" i="6"/>
  <c r="DI302" i="6"/>
  <c r="DE302" i="6"/>
  <c r="DC302" i="6"/>
  <c r="CY302" i="6"/>
  <c r="CW302" i="6"/>
  <c r="CU302" i="6"/>
  <c r="CS302" i="6"/>
  <c r="CK302" i="6"/>
  <c r="CI302" i="6"/>
  <c r="CG302" i="6"/>
  <c r="CE302" i="6"/>
  <c r="CC302" i="6"/>
  <c r="CA302" i="6"/>
  <c r="BY302" i="6"/>
  <c r="BW302" i="6"/>
  <c r="BU302" i="6"/>
  <c r="BS302" i="6"/>
  <c r="BQ302" i="6"/>
  <c r="BO302" i="6"/>
  <c r="BM302" i="6"/>
  <c r="BK302" i="6"/>
  <c r="BI302" i="6"/>
  <c r="BG302" i="6"/>
  <c r="BE302" i="6"/>
  <c r="BC302" i="6"/>
  <c r="BA302" i="6"/>
  <c r="AY302" i="6"/>
  <c r="AW302" i="6"/>
  <c r="AU302" i="6"/>
  <c r="AS302" i="6"/>
  <c r="AQ302" i="6"/>
  <c r="AO302" i="6"/>
  <c r="AM302" i="6"/>
  <c r="AK302" i="6"/>
  <c r="AI302" i="6"/>
  <c r="AG302" i="6"/>
  <c r="AF302" i="6"/>
  <c r="AE302" i="6"/>
  <c r="AB302" i="6"/>
  <c r="AA302" i="6"/>
  <c r="Z302" i="6"/>
  <c r="V302" i="6"/>
  <c r="U302" i="6"/>
  <c r="T302" i="6"/>
  <c r="S302" i="6"/>
  <c r="E302" i="6"/>
  <c r="D302" i="6"/>
  <c r="B302" i="6"/>
  <c r="A302" i="6"/>
  <c r="DL301" i="6"/>
  <c r="DJ301" i="6"/>
  <c r="DI301" i="6"/>
  <c r="DH301" i="6"/>
  <c r="DG301" i="6"/>
  <c r="DF301" i="6"/>
  <c r="DE301" i="6"/>
  <c r="DC301" i="6"/>
  <c r="CY301" i="6"/>
  <c r="CW301" i="6"/>
  <c r="CU301" i="6"/>
  <c r="CS301" i="6"/>
  <c r="CO301" i="6"/>
  <c r="CL301" i="6"/>
  <c r="CK301" i="6"/>
  <c r="CJ301" i="6"/>
  <c r="CI301" i="6"/>
  <c r="CG301" i="6"/>
  <c r="CF301" i="6"/>
  <c r="CE301" i="6"/>
  <c r="CD301" i="6"/>
  <c r="CC301" i="6"/>
  <c r="CA301" i="6"/>
  <c r="BY301" i="6"/>
  <c r="BW301" i="6"/>
  <c r="BU301" i="6"/>
  <c r="BS301" i="6"/>
  <c r="BQ301" i="6"/>
  <c r="BO301" i="6"/>
  <c r="BM301" i="6"/>
  <c r="BK301" i="6"/>
  <c r="BI301" i="6"/>
  <c r="BG301" i="6"/>
  <c r="BE301" i="6"/>
  <c r="BC301" i="6"/>
  <c r="BA301" i="6"/>
  <c r="AY301" i="6"/>
  <c r="AW301" i="6"/>
  <c r="AU301" i="6"/>
  <c r="AS301" i="6"/>
  <c r="AR301" i="6"/>
  <c r="AQ301" i="6"/>
  <c r="AP301" i="6"/>
  <c r="AO301" i="6"/>
  <c r="AN301" i="6"/>
  <c r="AM301" i="6"/>
  <c r="AL301" i="6"/>
  <c r="AK301" i="6"/>
  <c r="AJ301" i="6"/>
  <c r="AI301" i="6"/>
  <c r="AH301" i="6"/>
  <c r="AG301" i="6"/>
  <c r="AF301" i="6"/>
  <c r="AE301" i="6"/>
  <c r="AD301" i="6"/>
  <c r="AB301" i="6"/>
  <c r="AA301" i="6"/>
  <c r="Z301" i="6"/>
  <c r="V301" i="6"/>
  <c r="U301" i="6"/>
  <c r="T301" i="6"/>
  <c r="S301" i="6"/>
  <c r="Q301" i="6"/>
  <c r="P301" i="6"/>
  <c r="L301" i="6"/>
  <c r="K301" i="6"/>
  <c r="E301" i="6"/>
  <c r="D301" i="6"/>
  <c r="B301" i="6"/>
  <c r="A301" i="6"/>
  <c r="DL300" i="6"/>
  <c r="DJ300" i="6"/>
  <c r="DI300" i="6"/>
  <c r="DE300" i="6"/>
  <c r="DC300" i="6"/>
  <c r="CY300" i="6"/>
  <c r="CW300" i="6"/>
  <c r="CU300" i="6"/>
  <c r="CS300" i="6"/>
  <c r="CK300" i="6"/>
  <c r="CI300" i="6"/>
  <c r="CG300" i="6"/>
  <c r="CE300" i="6"/>
  <c r="CC300" i="6"/>
  <c r="CA300" i="6"/>
  <c r="BY300" i="6"/>
  <c r="BW300" i="6"/>
  <c r="BU300" i="6"/>
  <c r="BS300" i="6"/>
  <c r="BQ300" i="6"/>
  <c r="BO300" i="6"/>
  <c r="BM300" i="6"/>
  <c r="BK300" i="6"/>
  <c r="BI300" i="6"/>
  <c r="BG300" i="6"/>
  <c r="BE300" i="6"/>
  <c r="BC300" i="6"/>
  <c r="BA300" i="6"/>
  <c r="AY300" i="6"/>
  <c r="AW300" i="6"/>
  <c r="AU300" i="6"/>
  <c r="AS300" i="6"/>
  <c r="AQ300" i="6"/>
  <c r="AO300" i="6"/>
  <c r="AM300" i="6"/>
  <c r="AK300" i="6"/>
  <c r="AJ300" i="6"/>
  <c r="AI300" i="6"/>
  <c r="AH300" i="6"/>
  <c r="AG300" i="6"/>
  <c r="AF300" i="6"/>
  <c r="AE300" i="6"/>
  <c r="AB300" i="6"/>
  <c r="AA300" i="6"/>
  <c r="Z300" i="6"/>
  <c r="V300" i="6"/>
  <c r="U300" i="6"/>
  <c r="T300" i="6"/>
  <c r="S300" i="6"/>
  <c r="L300" i="6"/>
  <c r="K300" i="6"/>
  <c r="E300" i="6"/>
  <c r="D300" i="6"/>
  <c r="B300" i="6"/>
  <c r="A300" i="6"/>
  <c r="DL299" i="6"/>
  <c r="DJ299" i="6"/>
  <c r="DI299" i="6"/>
  <c r="DH299" i="6"/>
  <c r="DE299" i="6"/>
  <c r="DC299" i="6"/>
  <c r="CY299" i="6"/>
  <c r="CW299" i="6"/>
  <c r="CU299" i="6"/>
  <c r="CS299" i="6"/>
  <c r="CK299" i="6"/>
  <c r="CI299" i="6"/>
  <c r="CG299" i="6"/>
  <c r="CF299" i="6"/>
  <c r="CE299" i="6"/>
  <c r="CD299" i="6"/>
  <c r="CC299" i="6"/>
  <c r="CA299" i="6"/>
  <c r="BY299" i="6"/>
  <c r="BW299" i="6"/>
  <c r="BU299" i="6"/>
  <c r="BS299" i="6"/>
  <c r="BQ299" i="6"/>
  <c r="BO299" i="6"/>
  <c r="BM299" i="6"/>
  <c r="BK299" i="6"/>
  <c r="BI299" i="6"/>
  <c r="BG299" i="6"/>
  <c r="BE299" i="6"/>
  <c r="BC299" i="6"/>
  <c r="BA299" i="6"/>
  <c r="AY299" i="6"/>
  <c r="AW299" i="6"/>
  <c r="AU299" i="6"/>
  <c r="AS299" i="6"/>
  <c r="AQ299" i="6"/>
  <c r="AO299" i="6"/>
  <c r="AM299" i="6"/>
  <c r="AK299" i="6"/>
  <c r="AI299" i="6"/>
  <c r="AG299" i="6"/>
  <c r="AF299" i="6"/>
  <c r="AE299" i="6"/>
  <c r="AB299" i="6"/>
  <c r="AA299" i="6"/>
  <c r="Z299" i="6"/>
  <c r="V299" i="6"/>
  <c r="U299" i="6"/>
  <c r="T299" i="6"/>
  <c r="S299" i="6"/>
  <c r="Q299" i="6"/>
  <c r="E299" i="6"/>
  <c r="D299" i="6"/>
  <c r="B299" i="6"/>
  <c r="A299" i="6"/>
  <c r="DL298" i="6"/>
  <c r="DJ298" i="6"/>
  <c r="DI298" i="6"/>
  <c r="DH298" i="6"/>
  <c r="DG298" i="6"/>
  <c r="DF298" i="6"/>
  <c r="DE298" i="6"/>
  <c r="DC298" i="6"/>
  <c r="CY298" i="6"/>
  <c r="CW298" i="6"/>
  <c r="CU298" i="6"/>
  <c r="CS298" i="6"/>
  <c r="CK298" i="6"/>
  <c r="CJ298" i="6"/>
  <c r="CI298" i="6"/>
  <c r="CG298" i="6"/>
  <c r="CF298" i="6"/>
  <c r="CE298" i="6"/>
  <c r="CD298" i="6"/>
  <c r="CC298" i="6"/>
  <c r="CA298" i="6"/>
  <c r="BY298" i="6"/>
  <c r="BW298" i="6"/>
  <c r="BU298" i="6"/>
  <c r="BS298" i="6"/>
  <c r="BQ298" i="6"/>
  <c r="BO298" i="6"/>
  <c r="BM298" i="6"/>
  <c r="BK298" i="6"/>
  <c r="BI298" i="6"/>
  <c r="BG298" i="6"/>
  <c r="BE298" i="6"/>
  <c r="BC298" i="6"/>
  <c r="BA298" i="6"/>
  <c r="AY298" i="6"/>
  <c r="AW298" i="6"/>
  <c r="AU298" i="6"/>
  <c r="AS298" i="6"/>
  <c r="AQ298" i="6"/>
  <c r="AO298" i="6"/>
  <c r="AM298" i="6"/>
  <c r="AK298" i="6"/>
  <c r="AI298" i="6"/>
  <c r="AG298" i="6"/>
  <c r="AF298" i="6"/>
  <c r="AE298" i="6"/>
  <c r="AD298" i="6"/>
  <c r="AB298" i="6"/>
  <c r="AA298" i="6"/>
  <c r="Z298" i="6"/>
  <c r="V298" i="6"/>
  <c r="U298" i="6"/>
  <c r="T298" i="6"/>
  <c r="S298" i="6"/>
  <c r="Q298" i="6"/>
  <c r="E298" i="6"/>
  <c r="D298" i="6"/>
  <c r="B298" i="6"/>
  <c r="A298" i="6"/>
  <c r="DL297" i="6"/>
  <c r="DJ297" i="6"/>
  <c r="DI297" i="6"/>
  <c r="DH297" i="6"/>
  <c r="DG297" i="6"/>
  <c r="DF297" i="6"/>
  <c r="DE297" i="6"/>
  <c r="DC297" i="6"/>
  <c r="CY297" i="6"/>
  <c r="CW297" i="6"/>
  <c r="CU297" i="6"/>
  <c r="CS297" i="6"/>
  <c r="CK297" i="6"/>
  <c r="CJ297" i="6"/>
  <c r="CI297" i="6"/>
  <c r="CG297" i="6"/>
  <c r="CF297" i="6"/>
  <c r="CE297" i="6"/>
  <c r="CD297" i="6"/>
  <c r="CC297" i="6"/>
  <c r="CA297" i="6"/>
  <c r="BY297" i="6"/>
  <c r="BW297" i="6"/>
  <c r="BU297" i="6"/>
  <c r="BS297" i="6"/>
  <c r="BQ297" i="6"/>
  <c r="BO297" i="6"/>
  <c r="BM297" i="6"/>
  <c r="BK297" i="6"/>
  <c r="BI297" i="6"/>
  <c r="BG297" i="6"/>
  <c r="BE297" i="6"/>
  <c r="BC297" i="6"/>
  <c r="BA297" i="6"/>
  <c r="AY297" i="6"/>
  <c r="AW297" i="6"/>
  <c r="AU297" i="6"/>
  <c r="AS297" i="6"/>
  <c r="AQ297" i="6"/>
  <c r="AO297" i="6"/>
  <c r="AM297" i="6"/>
  <c r="AK297" i="6"/>
  <c r="AI297" i="6"/>
  <c r="AG297" i="6"/>
  <c r="AF297" i="6"/>
  <c r="AE297" i="6"/>
  <c r="AD297" i="6"/>
  <c r="AB297" i="6"/>
  <c r="AA297" i="6"/>
  <c r="Z297" i="6"/>
  <c r="V297" i="6"/>
  <c r="U297" i="6"/>
  <c r="T297" i="6"/>
  <c r="S297" i="6"/>
  <c r="Q297" i="6"/>
  <c r="L297" i="6"/>
  <c r="K297" i="6"/>
  <c r="J297" i="6"/>
  <c r="E297" i="6"/>
  <c r="D297" i="6"/>
  <c r="B297" i="6"/>
  <c r="A297" i="6"/>
  <c r="DL296" i="6"/>
  <c r="DJ296" i="6"/>
  <c r="DI296" i="6"/>
  <c r="DE296" i="6"/>
  <c r="DC296" i="6"/>
  <c r="CY296" i="6"/>
  <c r="CW296" i="6"/>
  <c r="CU296" i="6"/>
  <c r="CS296" i="6"/>
  <c r="CK296" i="6"/>
  <c r="CI296" i="6"/>
  <c r="CG296" i="6"/>
  <c r="CE296" i="6"/>
  <c r="CC296" i="6"/>
  <c r="CA296" i="6"/>
  <c r="BY296" i="6"/>
  <c r="BW296" i="6"/>
  <c r="BU296" i="6"/>
  <c r="BS296" i="6"/>
  <c r="BQ296" i="6"/>
  <c r="BO296" i="6"/>
  <c r="BM296" i="6"/>
  <c r="BK296" i="6"/>
  <c r="BI296" i="6"/>
  <c r="BG296" i="6"/>
  <c r="BE296" i="6"/>
  <c r="BC296" i="6"/>
  <c r="BA296" i="6"/>
  <c r="AY296" i="6"/>
  <c r="AW296" i="6"/>
  <c r="AU296" i="6"/>
  <c r="AS296" i="6"/>
  <c r="AQ296" i="6"/>
  <c r="AO296" i="6"/>
  <c r="AM296" i="6"/>
  <c r="AK296" i="6"/>
  <c r="AJ296" i="6"/>
  <c r="AI296" i="6"/>
  <c r="AH296" i="6"/>
  <c r="AG296" i="6"/>
  <c r="AF296" i="6"/>
  <c r="AE296" i="6"/>
  <c r="AB296" i="6"/>
  <c r="AA296" i="6"/>
  <c r="Z296" i="6"/>
  <c r="V296" i="6"/>
  <c r="U296" i="6"/>
  <c r="T296" i="6"/>
  <c r="S296" i="6"/>
  <c r="L296" i="6"/>
  <c r="K296" i="6"/>
  <c r="E296" i="6"/>
  <c r="D296" i="6"/>
  <c r="B296" i="6"/>
  <c r="A296" i="6"/>
  <c r="DL295" i="6"/>
  <c r="DJ295" i="6"/>
  <c r="DI295" i="6"/>
  <c r="DH295" i="6"/>
  <c r="DG295" i="6"/>
  <c r="DF295" i="6"/>
  <c r="DE295" i="6"/>
  <c r="DC295" i="6"/>
  <c r="CY295" i="6"/>
  <c r="CW295" i="6"/>
  <c r="CU295" i="6"/>
  <c r="CS295" i="6"/>
  <c r="CK295" i="6"/>
  <c r="CJ295" i="6"/>
  <c r="CI295" i="6"/>
  <c r="CG295" i="6"/>
  <c r="CF295" i="6"/>
  <c r="CE295" i="6"/>
  <c r="CD295" i="6"/>
  <c r="CC295" i="6"/>
  <c r="CA295" i="6"/>
  <c r="BY295" i="6"/>
  <c r="BW295" i="6"/>
  <c r="BU295" i="6"/>
  <c r="BS295" i="6"/>
  <c r="BQ295" i="6"/>
  <c r="BO295" i="6"/>
  <c r="BM295" i="6"/>
  <c r="BK295" i="6"/>
  <c r="BI295" i="6"/>
  <c r="BG295" i="6"/>
  <c r="BE295" i="6"/>
  <c r="BC295" i="6"/>
  <c r="BA295" i="6"/>
  <c r="AY295" i="6"/>
  <c r="AW295" i="6"/>
  <c r="AU295" i="6"/>
  <c r="AS295" i="6"/>
  <c r="AQ295" i="6"/>
  <c r="AO295" i="6"/>
  <c r="AM295" i="6"/>
  <c r="AK295" i="6"/>
  <c r="AI295" i="6"/>
  <c r="AG295" i="6"/>
  <c r="AF295" i="6"/>
  <c r="AE295" i="6"/>
  <c r="AD295" i="6"/>
  <c r="AB295" i="6"/>
  <c r="AA295" i="6"/>
  <c r="Z295" i="6"/>
  <c r="V295" i="6"/>
  <c r="U295" i="6"/>
  <c r="T295" i="6"/>
  <c r="S295" i="6"/>
  <c r="Q295" i="6"/>
  <c r="E295" i="6"/>
  <c r="D295" i="6"/>
  <c r="B295" i="6"/>
  <c r="A295" i="6"/>
  <c r="DL294" i="6"/>
  <c r="DJ294" i="6"/>
  <c r="DI294" i="6"/>
  <c r="DH294" i="6"/>
  <c r="DE294" i="6"/>
  <c r="DC294" i="6"/>
  <c r="CY294" i="6"/>
  <c r="CW294" i="6"/>
  <c r="CU294" i="6"/>
  <c r="CS294" i="6"/>
  <c r="CK294" i="6"/>
  <c r="CI294" i="6"/>
  <c r="CG294" i="6"/>
  <c r="CF294" i="6"/>
  <c r="CE294" i="6"/>
  <c r="CD294" i="6"/>
  <c r="CC294" i="6"/>
  <c r="CA294" i="6"/>
  <c r="BY294" i="6"/>
  <c r="BW294" i="6"/>
  <c r="BU294" i="6"/>
  <c r="BS294" i="6"/>
  <c r="BQ294" i="6"/>
  <c r="BO294" i="6"/>
  <c r="BM294" i="6"/>
  <c r="BK294" i="6"/>
  <c r="BI294" i="6"/>
  <c r="BG294" i="6"/>
  <c r="BE294" i="6"/>
  <c r="BC294" i="6"/>
  <c r="BA294" i="6"/>
  <c r="AY294" i="6"/>
  <c r="AW294" i="6"/>
  <c r="AU294" i="6"/>
  <c r="AS294" i="6"/>
  <c r="AQ294" i="6"/>
  <c r="AO294" i="6"/>
  <c r="AN294" i="6"/>
  <c r="AM294" i="6"/>
  <c r="AL294" i="6"/>
  <c r="AK294" i="6"/>
  <c r="AJ294" i="6"/>
  <c r="AI294" i="6"/>
  <c r="AH294" i="6"/>
  <c r="AG294" i="6"/>
  <c r="AF294" i="6"/>
  <c r="AE294" i="6"/>
  <c r="AB294" i="6"/>
  <c r="AA294" i="6"/>
  <c r="Z294" i="6"/>
  <c r="V294" i="6"/>
  <c r="U294" i="6"/>
  <c r="T294" i="6"/>
  <c r="S294" i="6"/>
  <c r="L294" i="6"/>
  <c r="K294" i="6"/>
  <c r="F294" i="6"/>
  <c r="E294" i="6"/>
  <c r="D294" i="6"/>
  <c r="B294" i="6"/>
  <c r="A294" i="6"/>
  <c r="DL293" i="6"/>
  <c r="DK293" i="6"/>
  <c r="DJ293" i="6"/>
  <c r="DI293" i="6"/>
  <c r="DH293" i="6"/>
  <c r="DE293" i="6"/>
  <c r="DD293" i="6"/>
  <c r="DC293" i="6"/>
  <c r="DA293" i="6"/>
  <c r="CY293" i="6"/>
  <c r="CX293" i="6"/>
  <c r="CW293" i="6"/>
  <c r="CU293" i="6"/>
  <c r="CS293" i="6"/>
  <c r="CK293" i="6"/>
  <c r="CI293" i="6"/>
  <c r="CG293" i="6"/>
  <c r="CF293" i="6"/>
  <c r="CE293" i="6"/>
  <c r="CD293" i="6"/>
  <c r="CC293" i="6"/>
  <c r="CA293" i="6"/>
  <c r="BY293" i="6"/>
  <c r="BW293" i="6"/>
  <c r="BU293" i="6"/>
  <c r="BS293" i="6"/>
  <c r="BQ293" i="6"/>
  <c r="BO293" i="6"/>
  <c r="BM293" i="6"/>
  <c r="BK293" i="6"/>
  <c r="BI293" i="6"/>
  <c r="BG293" i="6"/>
  <c r="BE293" i="6"/>
  <c r="BC293" i="6"/>
  <c r="BA293" i="6"/>
  <c r="AY293" i="6"/>
  <c r="AW293" i="6"/>
  <c r="AU293" i="6"/>
  <c r="AS293" i="6"/>
  <c r="AQ293" i="6"/>
  <c r="AO293" i="6"/>
  <c r="AM293" i="6"/>
  <c r="AK293" i="6"/>
  <c r="AI293" i="6"/>
  <c r="AG293" i="6"/>
  <c r="AF293" i="6"/>
  <c r="AE293" i="6"/>
  <c r="AB293" i="6"/>
  <c r="AA293" i="6"/>
  <c r="Z293" i="6"/>
  <c r="V293" i="6"/>
  <c r="U293" i="6"/>
  <c r="T293" i="6"/>
  <c r="S293" i="6"/>
  <c r="Q293" i="6"/>
  <c r="E293" i="6"/>
  <c r="D293" i="6"/>
  <c r="C293" i="6"/>
  <c r="B293" i="6"/>
  <c r="A293" i="6"/>
  <c r="DL292" i="6"/>
  <c r="DJ292" i="6"/>
  <c r="DI292" i="6"/>
  <c r="DH292" i="6"/>
  <c r="DE292" i="6"/>
  <c r="DC292" i="6"/>
  <c r="CY292" i="6"/>
  <c r="CW292" i="6"/>
  <c r="CU292" i="6"/>
  <c r="CS292" i="6"/>
  <c r="CK292" i="6"/>
  <c r="CI292" i="6"/>
  <c r="CG292" i="6"/>
  <c r="CF292" i="6"/>
  <c r="CE292" i="6"/>
  <c r="CD292" i="6"/>
  <c r="CC292" i="6"/>
  <c r="CA292" i="6"/>
  <c r="BY292" i="6"/>
  <c r="BW292" i="6"/>
  <c r="BU292" i="6"/>
  <c r="BS292" i="6"/>
  <c r="BQ292" i="6"/>
  <c r="BO292" i="6"/>
  <c r="BM292" i="6"/>
  <c r="BK292" i="6"/>
  <c r="BI292" i="6"/>
  <c r="BG292" i="6"/>
  <c r="BE292" i="6"/>
  <c r="BC292" i="6"/>
  <c r="BA292" i="6"/>
  <c r="AY292" i="6"/>
  <c r="AW292" i="6"/>
  <c r="AU292" i="6"/>
  <c r="AS292" i="6"/>
  <c r="AQ292" i="6"/>
  <c r="AO292" i="6"/>
  <c r="AM292" i="6"/>
  <c r="AK292" i="6"/>
  <c r="AI292" i="6"/>
  <c r="AG292" i="6"/>
  <c r="AF292" i="6"/>
  <c r="AE292" i="6"/>
  <c r="AB292" i="6"/>
  <c r="AA292" i="6"/>
  <c r="Z292" i="6"/>
  <c r="V292" i="6"/>
  <c r="U292" i="6"/>
  <c r="T292" i="6"/>
  <c r="S292" i="6"/>
  <c r="Q292" i="6"/>
  <c r="E292" i="6"/>
  <c r="D292" i="6"/>
  <c r="B292" i="6"/>
  <c r="A292" i="6"/>
  <c r="DL291" i="6"/>
  <c r="DJ291" i="6"/>
  <c r="DI291" i="6"/>
  <c r="DH291" i="6"/>
  <c r="DE291" i="6"/>
  <c r="DC291" i="6"/>
  <c r="CY291" i="6"/>
  <c r="CW291" i="6"/>
  <c r="CU291" i="6"/>
  <c r="CS291" i="6"/>
  <c r="CK291" i="6"/>
  <c r="CI291" i="6"/>
  <c r="CG291" i="6"/>
  <c r="CF291" i="6"/>
  <c r="CE291" i="6"/>
  <c r="CD291" i="6"/>
  <c r="CC291" i="6"/>
  <c r="CA291" i="6"/>
  <c r="BY291" i="6"/>
  <c r="BW291" i="6"/>
  <c r="BU291" i="6"/>
  <c r="BS291" i="6"/>
  <c r="BQ291" i="6"/>
  <c r="BO291" i="6"/>
  <c r="BM291" i="6"/>
  <c r="BK291" i="6"/>
  <c r="BI291" i="6"/>
  <c r="BG291" i="6"/>
  <c r="BE291" i="6"/>
  <c r="BC291" i="6"/>
  <c r="BA291" i="6"/>
  <c r="AY291" i="6"/>
  <c r="AW291" i="6"/>
  <c r="AU291" i="6"/>
  <c r="AS291" i="6"/>
  <c r="AQ291" i="6"/>
  <c r="AO291" i="6"/>
  <c r="AM291" i="6"/>
  <c r="AK291" i="6"/>
  <c r="AI291" i="6"/>
  <c r="AG291" i="6"/>
  <c r="AF291" i="6"/>
  <c r="AE291" i="6"/>
  <c r="AB291" i="6"/>
  <c r="AA291" i="6"/>
  <c r="Z291" i="6"/>
  <c r="V291" i="6"/>
  <c r="U291" i="6"/>
  <c r="T291" i="6"/>
  <c r="S291" i="6"/>
  <c r="E291" i="6"/>
  <c r="D291" i="6"/>
  <c r="B291" i="6"/>
  <c r="A291" i="6"/>
  <c r="DL290" i="6"/>
  <c r="DJ290" i="6"/>
  <c r="DI290" i="6"/>
  <c r="DH290" i="6"/>
  <c r="DE290" i="6"/>
  <c r="DC290" i="6"/>
  <c r="CY290" i="6"/>
  <c r="CW290" i="6"/>
  <c r="CU290" i="6"/>
  <c r="CS290" i="6"/>
  <c r="CK290" i="6"/>
  <c r="CI290" i="6"/>
  <c r="CG290" i="6"/>
  <c r="CF290" i="6"/>
  <c r="CE290" i="6"/>
  <c r="CD290" i="6"/>
  <c r="CC290" i="6"/>
  <c r="CA290" i="6"/>
  <c r="BY290" i="6"/>
  <c r="BW290" i="6"/>
  <c r="BU290" i="6"/>
  <c r="BS290" i="6"/>
  <c r="BQ290" i="6"/>
  <c r="BO290" i="6"/>
  <c r="BM290" i="6"/>
  <c r="BK290" i="6"/>
  <c r="BI290" i="6"/>
  <c r="BG290" i="6"/>
  <c r="BE290" i="6"/>
  <c r="BC290" i="6"/>
  <c r="BA290" i="6"/>
  <c r="AY290" i="6"/>
  <c r="AW290" i="6"/>
  <c r="AU290" i="6"/>
  <c r="AS290" i="6"/>
  <c r="AQ290" i="6"/>
  <c r="AO290" i="6"/>
  <c r="AM290" i="6"/>
  <c r="AK290" i="6"/>
  <c r="AJ290" i="6"/>
  <c r="AI290" i="6"/>
  <c r="AH290" i="6"/>
  <c r="AG290" i="6"/>
  <c r="AF290" i="6"/>
  <c r="AE290" i="6"/>
  <c r="AB290" i="6"/>
  <c r="AA290" i="6"/>
  <c r="Z290" i="6"/>
  <c r="V290" i="6"/>
  <c r="U290" i="6"/>
  <c r="T290" i="6"/>
  <c r="S290" i="6"/>
  <c r="Q290" i="6"/>
  <c r="E290" i="6"/>
  <c r="D290" i="6"/>
  <c r="B290" i="6"/>
  <c r="A290" i="6"/>
  <c r="DL289" i="6"/>
  <c r="DJ289" i="6"/>
  <c r="DI289" i="6"/>
  <c r="DH289" i="6"/>
  <c r="DE289" i="6"/>
  <c r="DC289" i="6"/>
  <c r="CY289" i="6"/>
  <c r="CW289" i="6"/>
  <c r="CU289" i="6"/>
  <c r="CS289" i="6"/>
  <c r="CK289" i="6"/>
  <c r="CI289" i="6"/>
  <c r="CG289" i="6"/>
  <c r="CF289" i="6"/>
  <c r="CE289" i="6"/>
  <c r="CD289" i="6"/>
  <c r="CC289" i="6"/>
  <c r="CA289" i="6"/>
  <c r="BY289" i="6"/>
  <c r="BW289" i="6"/>
  <c r="BU289" i="6"/>
  <c r="BS289" i="6"/>
  <c r="BQ289" i="6"/>
  <c r="BO289" i="6"/>
  <c r="BM289" i="6"/>
  <c r="BK289" i="6"/>
  <c r="BI289" i="6"/>
  <c r="BG289" i="6"/>
  <c r="BE289" i="6"/>
  <c r="BC289" i="6"/>
  <c r="BA289" i="6"/>
  <c r="AY289" i="6"/>
  <c r="AW289" i="6"/>
  <c r="AU289" i="6"/>
  <c r="AS289" i="6"/>
  <c r="AQ289" i="6"/>
  <c r="AO289" i="6"/>
  <c r="AM289" i="6"/>
  <c r="AK289" i="6"/>
  <c r="AI289" i="6"/>
  <c r="AG289" i="6"/>
  <c r="AF289" i="6"/>
  <c r="AE289" i="6"/>
  <c r="AD289" i="6"/>
  <c r="AB289" i="6"/>
  <c r="AA289" i="6"/>
  <c r="Z289" i="6"/>
  <c r="V289" i="6"/>
  <c r="U289" i="6"/>
  <c r="T289" i="6"/>
  <c r="S289" i="6"/>
  <c r="Q289" i="6"/>
  <c r="E289" i="6"/>
  <c r="D289" i="6"/>
  <c r="B289" i="6"/>
  <c r="A289" i="6"/>
  <c r="DL288" i="6"/>
  <c r="DJ288" i="6"/>
  <c r="DI288" i="6"/>
  <c r="DH288" i="6"/>
  <c r="DE288" i="6"/>
  <c r="DC288" i="6"/>
  <c r="CY288" i="6"/>
  <c r="CW288" i="6"/>
  <c r="CU288" i="6"/>
  <c r="CS288" i="6"/>
  <c r="CK288" i="6"/>
  <c r="CI288" i="6"/>
  <c r="CG288" i="6"/>
  <c r="CF288" i="6"/>
  <c r="CE288" i="6"/>
  <c r="CD288" i="6"/>
  <c r="CC288" i="6"/>
  <c r="CA288" i="6"/>
  <c r="BY288" i="6"/>
  <c r="BW288" i="6"/>
  <c r="BU288" i="6"/>
  <c r="BS288" i="6"/>
  <c r="BQ288" i="6"/>
  <c r="BO288" i="6"/>
  <c r="BM288" i="6"/>
  <c r="BK288" i="6"/>
  <c r="BI288" i="6"/>
  <c r="BG288" i="6"/>
  <c r="BE288" i="6"/>
  <c r="BC288" i="6"/>
  <c r="BA288" i="6"/>
  <c r="AY288" i="6"/>
  <c r="AW288" i="6"/>
  <c r="AU288" i="6"/>
  <c r="AS288" i="6"/>
  <c r="AQ288" i="6"/>
  <c r="AO288" i="6"/>
  <c r="AM288" i="6"/>
  <c r="AK288" i="6"/>
  <c r="AI288" i="6"/>
  <c r="AG288" i="6"/>
  <c r="AF288" i="6"/>
  <c r="AE288" i="6"/>
  <c r="AD288" i="6"/>
  <c r="AC288" i="6"/>
  <c r="AB288" i="6"/>
  <c r="AA288" i="6"/>
  <c r="Z288" i="6"/>
  <c r="V288" i="6"/>
  <c r="U288" i="6"/>
  <c r="T288" i="6"/>
  <c r="S288" i="6"/>
  <c r="Q288" i="6"/>
  <c r="E288" i="6"/>
  <c r="D288" i="6"/>
  <c r="B288" i="6"/>
  <c r="A288" i="6"/>
  <c r="DL287" i="6"/>
  <c r="DJ287" i="6"/>
  <c r="DI287" i="6"/>
  <c r="DH287" i="6"/>
  <c r="DE287" i="6"/>
  <c r="DD287" i="6"/>
  <c r="DC287" i="6"/>
  <c r="DA287" i="6"/>
  <c r="CY287" i="6"/>
  <c r="CX287" i="6"/>
  <c r="CW287" i="6"/>
  <c r="CU287" i="6"/>
  <c r="CS287" i="6"/>
  <c r="CK287" i="6"/>
  <c r="CI287" i="6"/>
  <c r="CG287" i="6"/>
  <c r="CF287" i="6"/>
  <c r="CE287" i="6"/>
  <c r="CD287" i="6"/>
  <c r="CC287" i="6"/>
  <c r="CA287" i="6"/>
  <c r="BY287" i="6"/>
  <c r="BW287" i="6"/>
  <c r="BU287" i="6"/>
  <c r="BS287" i="6"/>
  <c r="BQ287" i="6"/>
  <c r="BO287" i="6"/>
  <c r="BM287" i="6"/>
  <c r="BK287" i="6"/>
  <c r="BI287" i="6"/>
  <c r="BG287" i="6"/>
  <c r="BE287" i="6"/>
  <c r="BC287" i="6"/>
  <c r="BA287" i="6"/>
  <c r="AY287" i="6"/>
  <c r="AW287" i="6"/>
  <c r="AU287" i="6"/>
  <c r="AS287" i="6"/>
  <c r="AQ287" i="6"/>
  <c r="AO287" i="6"/>
  <c r="AM287" i="6"/>
  <c r="AK287" i="6"/>
  <c r="AJ287" i="6"/>
  <c r="AI287" i="6"/>
  <c r="AH287" i="6"/>
  <c r="AG287" i="6"/>
  <c r="AF287" i="6"/>
  <c r="AE287" i="6"/>
  <c r="AB287" i="6"/>
  <c r="AA287" i="6"/>
  <c r="Z287" i="6"/>
  <c r="V287" i="6"/>
  <c r="U287" i="6"/>
  <c r="T287" i="6"/>
  <c r="S287" i="6"/>
  <c r="Q287" i="6"/>
  <c r="E287" i="6"/>
  <c r="D287" i="6"/>
  <c r="B287" i="6"/>
  <c r="A287" i="6"/>
  <c r="DL286" i="6"/>
  <c r="DJ286" i="6"/>
  <c r="DI286" i="6"/>
  <c r="DH286" i="6"/>
  <c r="DG286" i="6"/>
  <c r="DF286" i="6"/>
  <c r="DE286" i="6"/>
  <c r="DC286" i="6"/>
  <c r="CY286" i="6"/>
  <c r="CW286" i="6"/>
  <c r="CU286" i="6"/>
  <c r="CS286" i="6"/>
  <c r="CR286" i="6"/>
  <c r="CK286" i="6"/>
  <c r="CI286" i="6"/>
  <c r="CG286" i="6"/>
  <c r="CF286" i="6"/>
  <c r="CE286" i="6"/>
  <c r="CD286" i="6"/>
  <c r="CC286" i="6"/>
  <c r="CA286" i="6"/>
  <c r="BY286" i="6"/>
  <c r="BW286" i="6"/>
  <c r="BU286" i="6"/>
  <c r="BS286" i="6"/>
  <c r="BQ286" i="6"/>
  <c r="BO286" i="6"/>
  <c r="BM286" i="6"/>
  <c r="BK286" i="6"/>
  <c r="BI286" i="6"/>
  <c r="BG286" i="6"/>
  <c r="BE286" i="6"/>
  <c r="BC286" i="6"/>
  <c r="BA286" i="6"/>
  <c r="AY286" i="6"/>
  <c r="AW286" i="6"/>
  <c r="AU286" i="6"/>
  <c r="AS286" i="6"/>
  <c r="AQ286" i="6"/>
  <c r="AO286" i="6"/>
  <c r="AM286" i="6"/>
  <c r="AK286" i="6"/>
  <c r="AJ286" i="6"/>
  <c r="AI286" i="6"/>
  <c r="AH286" i="6"/>
  <c r="AG286" i="6"/>
  <c r="AF286" i="6"/>
  <c r="AE286" i="6"/>
  <c r="AD286" i="6"/>
  <c r="AB286" i="6"/>
  <c r="AA286" i="6"/>
  <c r="Z286" i="6"/>
  <c r="V286" i="6"/>
  <c r="U286" i="6"/>
  <c r="T286" i="6"/>
  <c r="S286" i="6"/>
  <c r="L286" i="6"/>
  <c r="K286" i="6"/>
  <c r="E286" i="6"/>
  <c r="D286" i="6"/>
  <c r="B286" i="6"/>
  <c r="A286" i="6"/>
  <c r="DL285" i="6"/>
  <c r="DJ285" i="6"/>
  <c r="DI285" i="6"/>
  <c r="DH285" i="6"/>
  <c r="DE285" i="6"/>
  <c r="DC285" i="6"/>
  <c r="CY285" i="6"/>
  <c r="CW285" i="6"/>
  <c r="CU285" i="6"/>
  <c r="CS285" i="6"/>
  <c r="CK285" i="6"/>
  <c r="CI285" i="6"/>
  <c r="CG285" i="6"/>
  <c r="CF285" i="6"/>
  <c r="CE285" i="6"/>
  <c r="CD285" i="6"/>
  <c r="CC285" i="6"/>
  <c r="CA285" i="6"/>
  <c r="BY285" i="6"/>
  <c r="BW285" i="6"/>
  <c r="BU285" i="6"/>
  <c r="BS285" i="6"/>
  <c r="BQ285" i="6"/>
  <c r="BO285" i="6"/>
  <c r="BM285" i="6"/>
  <c r="BK285" i="6"/>
  <c r="BI285" i="6"/>
  <c r="BG285" i="6"/>
  <c r="BE285" i="6"/>
  <c r="BC285" i="6"/>
  <c r="BA285" i="6"/>
  <c r="AY285" i="6"/>
  <c r="AW285" i="6"/>
  <c r="AU285" i="6"/>
  <c r="AS285" i="6"/>
  <c r="AQ285" i="6"/>
  <c r="AO285" i="6"/>
  <c r="AM285" i="6"/>
  <c r="AK285" i="6"/>
  <c r="AI285" i="6"/>
  <c r="AG285" i="6"/>
  <c r="AF285" i="6"/>
  <c r="AE285" i="6"/>
  <c r="AD285" i="6"/>
  <c r="AC285" i="6"/>
  <c r="AB285" i="6"/>
  <c r="AA285" i="6"/>
  <c r="Z285" i="6"/>
  <c r="V285" i="6"/>
  <c r="U285" i="6"/>
  <c r="T285" i="6"/>
  <c r="S285" i="6"/>
  <c r="Q285" i="6"/>
  <c r="L285" i="6"/>
  <c r="K285" i="6"/>
  <c r="E285" i="6"/>
  <c r="D285" i="6"/>
  <c r="B285" i="6"/>
  <c r="A285" i="6"/>
  <c r="DL284" i="6"/>
  <c r="DJ284" i="6"/>
  <c r="DI284" i="6"/>
  <c r="DG284" i="6"/>
  <c r="DF284" i="6"/>
  <c r="DE284" i="6"/>
  <c r="DC284" i="6"/>
  <c r="CY284" i="6"/>
  <c r="CW284" i="6"/>
  <c r="CU284" i="6"/>
  <c r="CS284" i="6"/>
  <c r="CK284" i="6"/>
  <c r="CI284" i="6"/>
  <c r="CG284" i="6"/>
  <c r="CE284" i="6"/>
  <c r="CC284" i="6"/>
  <c r="CA284" i="6"/>
  <c r="BY284" i="6"/>
  <c r="BW284" i="6"/>
  <c r="BU284" i="6"/>
  <c r="BS284" i="6"/>
  <c r="BQ284" i="6"/>
  <c r="BO284" i="6"/>
  <c r="BM284" i="6"/>
  <c r="BK284" i="6"/>
  <c r="BI284" i="6"/>
  <c r="BG284" i="6"/>
  <c r="BE284" i="6"/>
  <c r="BC284" i="6"/>
  <c r="BA284" i="6"/>
  <c r="AY284" i="6"/>
  <c r="AW284" i="6"/>
  <c r="AU284" i="6"/>
  <c r="AS284" i="6"/>
  <c r="AQ284" i="6"/>
  <c r="AO284" i="6"/>
  <c r="AM284" i="6"/>
  <c r="AK284" i="6"/>
  <c r="AI284" i="6"/>
  <c r="AG284" i="6"/>
  <c r="AF284" i="6"/>
  <c r="AE284" i="6"/>
  <c r="AD284" i="6"/>
  <c r="AB284" i="6"/>
  <c r="AA284" i="6"/>
  <c r="Z284" i="6"/>
  <c r="V284" i="6"/>
  <c r="U284" i="6"/>
  <c r="T284" i="6"/>
  <c r="S284" i="6"/>
  <c r="Q284" i="6"/>
  <c r="F284" i="6"/>
  <c r="E284" i="6"/>
  <c r="D284" i="6"/>
  <c r="B284" i="6"/>
  <c r="A284" i="6"/>
  <c r="DL283" i="6"/>
  <c r="DJ283" i="6"/>
  <c r="DI283" i="6"/>
  <c r="DE283" i="6"/>
  <c r="DC283" i="6"/>
  <c r="CY283" i="6"/>
  <c r="CW283" i="6"/>
  <c r="CU283" i="6"/>
  <c r="CS283" i="6"/>
  <c r="CK283" i="6"/>
  <c r="CI283" i="6"/>
  <c r="CG283" i="6"/>
  <c r="CE283" i="6"/>
  <c r="CC283" i="6"/>
  <c r="CA283" i="6"/>
  <c r="BY283" i="6"/>
  <c r="BW283" i="6"/>
  <c r="BU283" i="6"/>
  <c r="BS283" i="6"/>
  <c r="BQ283" i="6"/>
  <c r="BO283" i="6"/>
  <c r="BM283" i="6"/>
  <c r="BK283" i="6"/>
  <c r="BI283" i="6"/>
  <c r="BG283" i="6"/>
  <c r="BE283" i="6"/>
  <c r="BC283" i="6"/>
  <c r="BA283" i="6"/>
  <c r="AY283" i="6"/>
  <c r="AW283" i="6"/>
  <c r="AU283" i="6"/>
  <c r="AS283" i="6"/>
  <c r="AQ283" i="6"/>
  <c r="AO283" i="6"/>
  <c r="AM283" i="6"/>
  <c r="AK283" i="6"/>
  <c r="AI283" i="6"/>
  <c r="AG283" i="6"/>
  <c r="AF283" i="6"/>
  <c r="AE283" i="6"/>
  <c r="AD283" i="6"/>
  <c r="AB283" i="6"/>
  <c r="AA283" i="6"/>
  <c r="Z283" i="6"/>
  <c r="V283" i="6"/>
  <c r="U283" i="6"/>
  <c r="T283" i="6"/>
  <c r="S283" i="6"/>
  <c r="L283" i="6"/>
  <c r="K283" i="6"/>
  <c r="J283" i="6"/>
  <c r="E283" i="6"/>
  <c r="D283" i="6"/>
  <c r="B283" i="6"/>
  <c r="A283" i="6"/>
  <c r="DL282" i="6"/>
  <c r="DJ282" i="6"/>
  <c r="DI282" i="6"/>
  <c r="DE282" i="6"/>
  <c r="DC282" i="6"/>
  <c r="CY282" i="6"/>
  <c r="CW282" i="6"/>
  <c r="CU282" i="6"/>
  <c r="CS282" i="6"/>
  <c r="CK282" i="6"/>
  <c r="CI282" i="6"/>
  <c r="CG282" i="6"/>
  <c r="CE282" i="6"/>
  <c r="CC282" i="6"/>
  <c r="CA282" i="6"/>
  <c r="BY282" i="6"/>
  <c r="BW282" i="6"/>
  <c r="BU282" i="6"/>
  <c r="BS282" i="6"/>
  <c r="BQ282" i="6"/>
  <c r="BO282" i="6"/>
  <c r="BM282" i="6"/>
  <c r="BK282" i="6"/>
  <c r="BI282" i="6"/>
  <c r="BG282" i="6"/>
  <c r="BE282" i="6"/>
  <c r="BC282" i="6"/>
  <c r="BA282" i="6"/>
  <c r="AY282" i="6"/>
  <c r="AW282" i="6"/>
  <c r="AU282" i="6"/>
  <c r="AS282" i="6"/>
  <c r="AQ282" i="6"/>
  <c r="AO282" i="6"/>
  <c r="AM282" i="6"/>
  <c r="AK282" i="6"/>
  <c r="AI282" i="6"/>
  <c r="AG282" i="6"/>
  <c r="AF282" i="6"/>
  <c r="AE282" i="6"/>
  <c r="AB282" i="6"/>
  <c r="AA282" i="6"/>
  <c r="Z282" i="6"/>
  <c r="V282" i="6"/>
  <c r="U282" i="6"/>
  <c r="T282" i="6"/>
  <c r="S282" i="6"/>
  <c r="L282" i="6"/>
  <c r="K282" i="6"/>
  <c r="F282" i="6"/>
  <c r="E282" i="6"/>
  <c r="D282" i="6"/>
  <c r="B282" i="6"/>
  <c r="A282" i="6"/>
  <c r="DL281" i="6"/>
  <c r="DJ281" i="6"/>
  <c r="DI281" i="6"/>
  <c r="DH281" i="6"/>
  <c r="DG281" i="6"/>
  <c r="DF281" i="6"/>
  <c r="DE281" i="6"/>
  <c r="DC281" i="6"/>
  <c r="CY281" i="6"/>
  <c r="CW281" i="6"/>
  <c r="CU281" i="6"/>
  <c r="CS281" i="6"/>
  <c r="CK281" i="6"/>
  <c r="CI281" i="6"/>
  <c r="CG281" i="6"/>
  <c r="CF281" i="6"/>
  <c r="CE281" i="6"/>
  <c r="CD281" i="6"/>
  <c r="CC281" i="6"/>
  <c r="CA281" i="6"/>
  <c r="BY281" i="6"/>
  <c r="BW281" i="6"/>
  <c r="BU281" i="6"/>
  <c r="BS281" i="6"/>
  <c r="BQ281" i="6"/>
  <c r="BO281" i="6"/>
  <c r="BM281" i="6"/>
  <c r="BK281" i="6"/>
  <c r="BI281" i="6"/>
  <c r="BG281" i="6"/>
  <c r="BE281" i="6"/>
  <c r="BC281" i="6"/>
  <c r="BA281" i="6"/>
  <c r="AY281" i="6"/>
  <c r="AW281" i="6"/>
  <c r="AU281" i="6"/>
  <c r="AS281" i="6"/>
  <c r="AQ281" i="6"/>
  <c r="AO281" i="6"/>
  <c r="AM281" i="6"/>
  <c r="AK281" i="6"/>
  <c r="AJ281" i="6"/>
  <c r="AI281" i="6"/>
  <c r="AH281" i="6"/>
  <c r="AG281" i="6"/>
  <c r="AF281" i="6"/>
  <c r="AE281" i="6"/>
  <c r="AD281" i="6"/>
  <c r="AB281" i="6"/>
  <c r="AA281" i="6"/>
  <c r="Z281" i="6"/>
  <c r="V281" i="6"/>
  <c r="U281" i="6"/>
  <c r="T281" i="6"/>
  <c r="S281" i="6"/>
  <c r="Q281" i="6"/>
  <c r="E281" i="6"/>
  <c r="D281" i="6"/>
  <c r="B281" i="6"/>
  <c r="A281" i="6"/>
  <c r="DL280" i="6"/>
  <c r="DJ280" i="6"/>
  <c r="DI280" i="6"/>
  <c r="DE280" i="6"/>
  <c r="DC280" i="6"/>
  <c r="CY280" i="6"/>
  <c r="CW280" i="6"/>
  <c r="CU280" i="6"/>
  <c r="CS280" i="6"/>
  <c r="CR280" i="6"/>
  <c r="CK280" i="6"/>
  <c r="CI280" i="6"/>
  <c r="CG280" i="6"/>
  <c r="CE280" i="6"/>
  <c r="CC280" i="6"/>
  <c r="CA280" i="6"/>
  <c r="BY280" i="6"/>
  <c r="BW280" i="6"/>
  <c r="BU280" i="6"/>
  <c r="BS280" i="6"/>
  <c r="BQ280" i="6"/>
  <c r="BO280" i="6"/>
  <c r="BM280" i="6"/>
  <c r="BK280" i="6"/>
  <c r="BI280" i="6"/>
  <c r="BG280" i="6"/>
  <c r="BE280" i="6"/>
  <c r="BC280" i="6"/>
  <c r="BA280" i="6"/>
  <c r="AY280" i="6"/>
  <c r="AW280" i="6"/>
  <c r="AU280" i="6"/>
  <c r="AS280" i="6"/>
  <c r="AQ280" i="6"/>
  <c r="AO280" i="6"/>
  <c r="AM280" i="6"/>
  <c r="AK280" i="6"/>
  <c r="AJ280" i="6"/>
  <c r="AI280" i="6"/>
  <c r="AH280" i="6"/>
  <c r="AG280" i="6"/>
  <c r="AF280" i="6"/>
  <c r="AE280" i="6"/>
  <c r="AD280" i="6"/>
  <c r="AB280" i="6"/>
  <c r="AA280" i="6"/>
  <c r="Z280" i="6"/>
  <c r="V280" i="6"/>
  <c r="U280" i="6"/>
  <c r="T280" i="6"/>
  <c r="S280" i="6"/>
  <c r="L280" i="6"/>
  <c r="K280" i="6"/>
  <c r="E280" i="6"/>
  <c r="D280" i="6"/>
  <c r="B280" i="6"/>
  <c r="A280" i="6"/>
  <c r="DL279" i="6"/>
  <c r="DJ279" i="6"/>
  <c r="DI279" i="6"/>
  <c r="DH279" i="6"/>
  <c r="DE279" i="6"/>
  <c r="DC279" i="6"/>
  <c r="CY279" i="6"/>
  <c r="CW279" i="6"/>
  <c r="CU279" i="6"/>
  <c r="CS279" i="6"/>
  <c r="CK279" i="6"/>
  <c r="CI279" i="6"/>
  <c r="CG279" i="6"/>
  <c r="CF279" i="6"/>
  <c r="CE279" i="6"/>
  <c r="CD279" i="6"/>
  <c r="CC279" i="6"/>
  <c r="CA279" i="6"/>
  <c r="BY279" i="6"/>
  <c r="BW279" i="6"/>
  <c r="BU279" i="6"/>
  <c r="BS279" i="6"/>
  <c r="BQ279" i="6"/>
  <c r="BO279" i="6"/>
  <c r="BM279" i="6"/>
  <c r="BK279" i="6"/>
  <c r="BI279" i="6"/>
  <c r="BG279" i="6"/>
  <c r="BE279" i="6"/>
  <c r="BC279" i="6"/>
  <c r="BA279" i="6"/>
  <c r="AY279" i="6"/>
  <c r="AW279" i="6"/>
  <c r="AU279" i="6"/>
  <c r="AS279" i="6"/>
  <c r="AQ279" i="6"/>
  <c r="AO279" i="6"/>
  <c r="AM279" i="6"/>
  <c r="AK279" i="6"/>
  <c r="AI279" i="6"/>
  <c r="AG279" i="6"/>
  <c r="AF279" i="6"/>
  <c r="AE279" i="6"/>
  <c r="AB279" i="6"/>
  <c r="AA279" i="6"/>
  <c r="Z279" i="6"/>
  <c r="V279" i="6"/>
  <c r="U279" i="6"/>
  <c r="T279" i="6"/>
  <c r="S279" i="6"/>
  <c r="Q279" i="6"/>
  <c r="E279" i="6"/>
  <c r="D279" i="6"/>
  <c r="B279" i="6"/>
  <c r="A279" i="6"/>
  <c r="DL278" i="6"/>
  <c r="DJ278" i="6"/>
  <c r="DI278" i="6"/>
  <c r="DE278" i="6"/>
  <c r="DC278" i="6"/>
  <c r="CY278" i="6"/>
  <c r="CW278" i="6"/>
  <c r="CU278" i="6"/>
  <c r="CS278" i="6"/>
  <c r="CK278" i="6"/>
  <c r="CI278" i="6"/>
  <c r="CG278" i="6"/>
  <c r="CE278" i="6"/>
  <c r="CC278" i="6"/>
  <c r="CA278" i="6"/>
  <c r="BY278" i="6"/>
  <c r="BW278" i="6"/>
  <c r="BU278" i="6"/>
  <c r="BS278" i="6"/>
  <c r="BQ278" i="6"/>
  <c r="BO278" i="6"/>
  <c r="BM278" i="6"/>
  <c r="BK278" i="6"/>
  <c r="BI278" i="6"/>
  <c r="BG278" i="6"/>
  <c r="BE278" i="6"/>
  <c r="BC278" i="6"/>
  <c r="BA278" i="6"/>
  <c r="AY278" i="6"/>
  <c r="AW278" i="6"/>
  <c r="AU278" i="6"/>
  <c r="AS278" i="6"/>
  <c r="AQ278" i="6"/>
  <c r="AO278" i="6"/>
  <c r="AM278" i="6"/>
  <c r="AK278" i="6"/>
  <c r="AI278" i="6"/>
  <c r="AG278" i="6"/>
  <c r="AF278" i="6"/>
  <c r="AE278" i="6"/>
  <c r="AD278" i="6"/>
  <c r="AB278" i="6"/>
  <c r="AA278" i="6"/>
  <c r="Z278" i="6"/>
  <c r="V278" i="6"/>
  <c r="U278" i="6"/>
  <c r="T278" i="6"/>
  <c r="S278" i="6"/>
  <c r="L278" i="6"/>
  <c r="K278" i="6"/>
  <c r="E278" i="6"/>
  <c r="D278" i="6"/>
  <c r="B278" i="6"/>
  <c r="A278" i="6"/>
  <c r="DL277" i="6"/>
  <c r="DJ277" i="6"/>
  <c r="DI277" i="6"/>
  <c r="DE277" i="6"/>
  <c r="DC277" i="6"/>
  <c r="CY277" i="6"/>
  <c r="CW277" i="6"/>
  <c r="CV277" i="6"/>
  <c r="CU277" i="6"/>
  <c r="CT277" i="6"/>
  <c r="CS277" i="6"/>
  <c r="CK277" i="6"/>
  <c r="CI277" i="6"/>
  <c r="CG277" i="6"/>
  <c r="CE277" i="6"/>
  <c r="CC277" i="6"/>
  <c r="CA277" i="6"/>
  <c r="BY277" i="6"/>
  <c r="BW277" i="6"/>
  <c r="BU277" i="6"/>
  <c r="BS277" i="6"/>
  <c r="BQ277" i="6"/>
  <c r="BO277" i="6"/>
  <c r="BM277" i="6"/>
  <c r="BK277" i="6"/>
  <c r="BI277" i="6"/>
  <c r="BG277" i="6"/>
  <c r="BE277" i="6"/>
  <c r="BC277" i="6"/>
  <c r="BA277" i="6"/>
  <c r="AY277" i="6"/>
  <c r="AW277" i="6"/>
  <c r="AU277" i="6"/>
  <c r="AS277" i="6"/>
  <c r="AQ277" i="6"/>
  <c r="AO277" i="6"/>
  <c r="AM277" i="6"/>
  <c r="AK277" i="6"/>
  <c r="AI277" i="6"/>
  <c r="AG277" i="6"/>
  <c r="AF277" i="6"/>
  <c r="AE277" i="6"/>
  <c r="AB277" i="6"/>
  <c r="AA277" i="6"/>
  <c r="Z277" i="6"/>
  <c r="V277" i="6"/>
  <c r="U277" i="6"/>
  <c r="T277" i="6"/>
  <c r="S277" i="6"/>
  <c r="L277" i="6"/>
  <c r="K277" i="6"/>
  <c r="J277" i="6"/>
  <c r="E277" i="6"/>
  <c r="D277" i="6"/>
  <c r="B277" i="6"/>
  <c r="A277" i="6"/>
  <c r="DL276" i="6"/>
  <c r="DJ276" i="6"/>
  <c r="DI276" i="6"/>
  <c r="DH276" i="6"/>
  <c r="DE276" i="6"/>
  <c r="DC276" i="6"/>
  <c r="CY276" i="6"/>
  <c r="CW276" i="6"/>
  <c r="CU276" i="6"/>
  <c r="CS276" i="6"/>
  <c r="CK276" i="6"/>
  <c r="CI276" i="6"/>
  <c r="CG276" i="6"/>
  <c r="CF276" i="6"/>
  <c r="CE276" i="6"/>
  <c r="CD276" i="6"/>
  <c r="CC276" i="6"/>
  <c r="CA276" i="6"/>
  <c r="BY276" i="6"/>
  <c r="BW276" i="6"/>
  <c r="BU276" i="6"/>
  <c r="BS276" i="6"/>
  <c r="BQ276" i="6"/>
  <c r="BO276" i="6"/>
  <c r="BM276" i="6"/>
  <c r="BK276" i="6"/>
  <c r="BI276" i="6"/>
  <c r="BG276" i="6"/>
  <c r="BE276" i="6"/>
  <c r="BC276" i="6"/>
  <c r="BA276" i="6"/>
  <c r="AY276" i="6"/>
  <c r="AW276" i="6"/>
  <c r="AU276" i="6"/>
  <c r="AS276" i="6"/>
  <c r="AQ276" i="6"/>
  <c r="AO276" i="6"/>
  <c r="AM276" i="6"/>
  <c r="AK276" i="6"/>
  <c r="AI276" i="6"/>
  <c r="AG276" i="6"/>
  <c r="AF276" i="6"/>
  <c r="AE276" i="6"/>
  <c r="AB276" i="6"/>
  <c r="AA276" i="6"/>
  <c r="Z276" i="6"/>
  <c r="V276" i="6"/>
  <c r="U276" i="6"/>
  <c r="T276" i="6"/>
  <c r="S276" i="6"/>
  <c r="Q276" i="6"/>
  <c r="E276" i="6"/>
  <c r="D276" i="6"/>
  <c r="B276" i="6"/>
  <c r="A276" i="6"/>
  <c r="DL275" i="6"/>
  <c r="DJ275" i="6"/>
  <c r="DI275" i="6"/>
  <c r="DE275" i="6"/>
  <c r="DC275" i="6"/>
  <c r="CY275" i="6"/>
  <c r="CW275" i="6"/>
  <c r="CU275" i="6"/>
  <c r="CS275" i="6"/>
  <c r="CK275" i="6"/>
  <c r="CI275" i="6"/>
  <c r="CG275" i="6"/>
  <c r="CE275" i="6"/>
  <c r="CC275" i="6"/>
  <c r="CA275" i="6"/>
  <c r="BY275" i="6"/>
  <c r="BW275" i="6"/>
  <c r="BU275" i="6"/>
  <c r="BS275" i="6"/>
  <c r="BQ275" i="6"/>
  <c r="BO275" i="6"/>
  <c r="BM275" i="6"/>
  <c r="BK275" i="6"/>
  <c r="BI275" i="6"/>
  <c r="BG275" i="6"/>
  <c r="BE275" i="6"/>
  <c r="BC275" i="6"/>
  <c r="BA275" i="6"/>
  <c r="AY275" i="6"/>
  <c r="AW275" i="6"/>
  <c r="AU275" i="6"/>
  <c r="AS275" i="6"/>
  <c r="AQ275" i="6"/>
  <c r="AO275" i="6"/>
  <c r="AM275" i="6"/>
  <c r="AK275" i="6"/>
  <c r="AI275" i="6"/>
  <c r="AG275" i="6"/>
  <c r="AF275" i="6"/>
  <c r="AE275" i="6"/>
  <c r="AB275" i="6"/>
  <c r="AA275" i="6"/>
  <c r="Z275" i="6"/>
  <c r="V275" i="6"/>
  <c r="U275" i="6"/>
  <c r="T275" i="6"/>
  <c r="S275" i="6"/>
  <c r="Q275" i="6"/>
  <c r="E275" i="6"/>
  <c r="D275" i="6"/>
  <c r="B275" i="6"/>
  <c r="A275" i="6"/>
  <c r="DL274" i="6"/>
  <c r="DJ274" i="6"/>
  <c r="DI274" i="6"/>
  <c r="DG274" i="6"/>
  <c r="DF274" i="6"/>
  <c r="DE274" i="6"/>
  <c r="DC274" i="6"/>
  <c r="CY274" i="6"/>
  <c r="CW274" i="6"/>
  <c r="CU274" i="6"/>
  <c r="CS274" i="6"/>
  <c r="CK274" i="6"/>
  <c r="CI274" i="6"/>
  <c r="CG274" i="6"/>
  <c r="CE274" i="6"/>
  <c r="CC274" i="6"/>
  <c r="CA274" i="6"/>
  <c r="BY274" i="6"/>
  <c r="BW274" i="6"/>
  <c r="BU274" i="6"/>
  <c r="BS274" i="6"/>
  <c r="BQ274" i="6"/>
  <c r="BO274" i="6"/>
  <c r="BM274" i="6"/>
  <c r="BK274" i="6"/>
  <c r="BI274" i="6"/>
  <c r="BG274" i="6"/>
  <c r="BE274" i="6"/>
  <c r="BC274" i="6"/>
  <c r="BA274" i="6"/>
  <c r="AY274" i="6"/>
  <c r="AW274" i="6"/>
  <c r="AU274" i="6"/>
  <c r="AS274" i="6"/>
  <c r="AQ274" i="6"/>
  <c r="AO274" i="6"/>
  <c r="AM274" i="6"/>
  <c r="AK274" i="6"/>
  <c r="AI274" i="6"/>
  <c r="AG274" i="6"/>
  <c r="AF274" i="6"/>
  <c r="AE274" i="6"/>
  <c r="AD274" i="6"/>
  <c r="AB274" i="6"/>
  <c r="AA274" i="6"/>
  <c r="Z274" i="6"/>
  <c r="V274" i="6"/>
  <c r="U274" i="6"/>
  <c r="T274" i="6"/>
  <c r="S274" i="6"/>
  <c r="Q274" i="6"/>
  <c r="E274" i="6"/>
  <c r="D274" i="6"/>
  <c r="B274" i="6"/>
  <c r="A274" i="6"/>
  <c r="DL273" i="6"/>
  <c r="DJ273" i="6"/>
  <c r="DI273" i="6"/>
  <c r="DH273" i="6"/>
  <c r="DG273" i="6"/>
  <c r="DF273" i="6"/>
  <c r="DE273" i="6"/>
  <c r="DC273" i="6"/>
  <c r="CY273" i="6"/>
  <c r="CW273" i="6"/>
  <c r="CU273" i="6"/>
  <c r="CS273" i="6"/>
  <c r="CK273" i="6"/>
  <c r="CI273" i="6"/>
  <c r="CG273" i="6"/>
  <c r="CF273" i="6"/>
  <c r="CE273" i="6"/>
  <c r="CD273" i="6"/>
  <c r="CC273" i="6"/>
  <c r="CA273" i="6"/>
  <c r="BY273" i="6"/>
  <c r="BW273" i="6"/>
  <c r="BU273" i="6"/>
  <c r="BS273" i="6"/>
  <c r="BQ273" i="6"/>
  <c r="BO273" i="6"/>
  <c r="BM273" i="6"/>
  <c r="BK273" i="6"/>
  <c r="BI273" i="6"/>
  <c r="BG273" i="6"/>
  <c r="BE273" i="6"/>
  <c r="BC273" i="6"/>
  <c r="BA273" i="6"/>
  <c r="AY273" i="6"/>
  <c r="AW273" i="6"/>
  <c r="AU273" i="6"/>
  <c r="AS273" i="6"/>
  <c r="AQ273" i="6"/>
  <c r="AO273" i="6"/>
  <c r="AM273" i="6"/>
  <c r="AK273" i="6"/>
  <c r="AI273" i="6"/>
  <c r="AG273" i="6"/>
  <c r="AF273" i="6"/>
  <c r="AE273" i="6"/>
  <c r="AD273" i="6"/>
  <c r="AB273" i="6"/>
  <c r="AA273" i="6"/>
  <c r="Z273" i="6"/>
  <c r="V273" i="6"/>
  <c r="U273" i="6"/>
  <c r="T273" i="6"/>
  <c r="S273" i="6"/>
  <c r="Q273" i="6"/>
  <c r="E273" i="6"/>
  <c r="D273" i="6"/>
  <c r="B273" i="6"/>
  <c r="A273" i="6"/>
  <c r="DL272" i="6"/>
  <c r="DJ272" i="6"/>
  <c r="DI272" i="6"/>
  <c r="DH272" i="6"/>
  <c r="DG272" i="6"/>
  <c r="DF272" i="6"/>
  <c r="DE272" i="6"/>
  <c r="DC272" i="6"/>
  <c r="CY272" i="6"/>
  <c r="CW272" i="6"/>
  <c r="CU272" i="6"/>
  <c r="CS272" i="6"/>
  <c r="CK272" i="6"/>
  <c r="CI272" i="6"/>
  <c r="CG272" i="6"/>
  <c r="CF272" i="6"/>
  <c r="CE272" i="6"/>
  <c r="CD272" i="6"/>
  <c r="CC272" i="6"/>
  <c r="CA272" i="6"/>
  <c r="BY272" i="6"/>
  <c r="BW272" i="6"/>
  <c r="BU272" i="6"/>
  <c r="BS272" i="6"/>
  <c r="BQ272" i="6"/>
  <c r="BO272" i="6"/>
  <c r="BM272" i="6"/>
  <c r="BK272" i="6"/>
  <c r="BI272" i="6"/>
  <c r="BG272" i="6"/>
  <c r="BE272" i="6"/>
  <c r="BC272" i="6"/>
  <c r="BA272" i="6"/>
  <c r="AY272" i="6"/>
  <c r="AW272" i="6"/>
  <c r="AU272" i="6"/>
  <c r="AS272" i="6"/>
  <c r="AQ272" i="6"/>
  <c r="AO272" i="6"/>
  <c r="AM272" i="6"/>
  <c r="AK272" i="6"/>
  <c r="AJ272" i="6"/>
  <c r="AI272" i="6"/>
  <c r="AH272" i="6"/>
  <c r="AG272" i="6"/>
  <c r="AF272" i="6"/>
  <c r="AE272" i="6"/>
  <c r="AD272" i="6"/>
  <c r="AB272" i="6"/>
  <c r="AA272" i="6"/>
  <c r="Z272" i="6"/>
  <c r="V272" i="6"/>
  <c r="U272" i="6"/>
  <c r="T272" i="6"/>
  <c r="S272" i="6"/>
  <c r="L272" i="6"/>
  <c r="K272" i="6"/>
  <c r="E272" i="6"/>
  <c r="D272" i="6"/>
  <c r="B272" i="6"/>
  <c r="A272" i="6"/>
  <c r="DL271" i="6"/>
  <c r="DJ271" i="6"/>
  <c r="DI271" i="6"/>
  <c r="DH271" i="6"/>
  <c r="DE271" i="6"/>
  <c r="DC271" i="6"/>
  <c r="CY271" i="6"/>
  <c r="CW271" i="6"/>
  <c r="CU271" i="6"/>
  <c r="CS271" i="6"/>
  <c r="CK271" i="6"/>
  <c r="CI271" i="6"/>
  <c r="CG271" i="6"/>
  <c r="CF271" i="6"/>
  <c r="CE271" i="6"/>
  <c r="CD271" i="6"/>
  <c r="CC271" i="6"/>
  <c r="CA271" i="6"/>
  <c r="BY271" i="6"/>
  <c r="BW271" i="6"/>
  <c r="BU271" i="6"/>
  <c r="BS271" i="6"/>
  <c r="BQ271" i="6"/>
  <c r="BO271" i="6"/>
  <c r="BM271" i="6"/>
  <c r="BK271" i="6"/>
  <c r="BI271" i="6"/>
  <c r="BG271" i="6"/>
  <c r="BE271" i="6"/>
  <c r="BC271" i="6"/>
  <c r="BA271" i="6"/>
  <c r="AY271" i="6"/>
  <c r="AW271" i="6"/>
  <c r="AU271" i="6"/>
  <c r="AS271" i="6"/>
  <c r="AQ271" i="6"/>
  <c r="AO271" i="6"/>
  <c r="AM271" i="6"/>
  <c r="AK271" i="6"/>
  <c r="AI271" i="6"/>
  <c r="AG271" i="6"/>
  <c r="AF271" i="6"/>
  <c r="AE271" i="6"/>
  <c r="AB271" i="6"/>
  <c r="AA271" i="6"/>
  <c r="Z271" i="6"/>
  <c r="V271" i="6"/>
  <c r="U271" i="6"/>
  <c r="T271" i="6"/>
  <c r="S271" i="6"/>
  <c r="Q271" i="6"/>
  <c r="E271" i="6"/>
  <c r="D271" i="6"/>
  <c r="B271" i="6"/>
  <c r="A271" i="6"/>
  <c r="DL270" i="6"/>
  <c r="DJ270" i="6"/>
  <c r="DI270" i="6"/>
  <c r="DH270" i="6"/>
  <c r="DE270" i="6"/>
  <c r="DC270" i="6"/>
  <c r="CY270" i="6"/>
  <c r="CW270" i="6"/>
  <c r="CV270" i="6"/>
  <c r="CU270" i="6"/>
  <c r="CS270" i="6"/>
  <c r="CK270" i="6"/>
  <c r="CI270" i="6"/>
  <c r="CG270" i="6"/>
  <c r="CF270" i="6"/>
  <c r="CE270" i="6"/>
  <c r="CD270" i="6"/>
  <c r="CC270" i="6"/>
  <c r="CA270" i="6"/>
  <c r="BY270" i="6"/>
  <c r="BW270" i="6"/>
  <c r="BU270" i="6"/>
  <c r="BS270" i="6"/>
  <c r="BQ270" i="6"/>
  <c r="BO270" i="6"/>
  <c r="BM270" i="6"/>
  <c r="BK270" i="6"/>
  <c r="BI270" i="6"/>
  <c r="BG270" i="6"/>
  <c r="BE270" i="6"/>
  <c r="BC270" i="6"/>
  <c r="BA270" i="6"/>
  <c r="AY270" i="6"/>
  <c r="AW270" i="6"/>
  <c r="AU270" i="6"/>
  <c r="AS270" i="6"/>
  <c r="AQ270" i="6"/>
  <c r="AO270" i="6"/>
  <c r="AM270" i="6"/>
  <c r="AK270" i="6"/>
  <c r="AJ270" i="6"/>
  <c r="AI270" i="6"/>
  <c r="AH270" i="6"/>
  <c r="AG270" i="6"/>
  <c r="AF270" i="6"/>
  <c r="AE270" i="6"/>
  <c r="AD270" i="6"/>
  <c r="AC270" i="6"/>
  <c r="AB270" i="6"/>
  <c r="AA270" i="6"/>
  <c r="Z270" i="6"/>
  <c r="V270" i="6"/>
  <c r="U270" i="6"/>
  <c r="T270" i="6"/>
  <c r="S270" i="6"/>
  <c r="L270" i="6"/>
  <c r="K270" i="6"/>
  <c r="J270" i="6"/>
  <c r="E270" i="6"/>
  <c r="D270" i="6"/>
  <c r="B270" i="6"/>
  <c r="A270" i="6"/>
  <c r="DL269" i="6"/>
  <c r="DJ269" i="6"/>
  <c r="DI269" i="6"/>
  <c r="DH269" i="6"/>
  <c r="DG269" i="6"/>
  <c r="DF269" i="6"/>
  <c r="DE269" i="6"/>
  <c r="DC269" i="6"/>
  <c r="CY269" i="6"/>
  <c r="CW269" i="6"/>
  <c r="CU269" i="6"/>
  <c r="CS269" i="6"/>
  <c r="CK269" i="6"/>
  <c r="CI269" i="6"/>
  <c r="CG269" i="6"/>
  <c r="CF269" i="6"/>
  <c r="CE269" i="6"/>
  <c r="CD269" i="6"/>
  <c r="CC269" i="6"/>
  <c r="CA269" i="6"/>
  <c r="BY269" i="6"/>
  <c r="BW269" i="6"/>
  <c r="BU269" i="6"/>
  <c r="BS269" i="6"/>
  <c r="BQ269" i="6"/>
  <c r="BO269" i="6"/>
  <c r="BM269" i="6"/>
  <c r="BK269" i="6"/>
  <c r="BI269" i="6"/>
  <c r="BG269" i="6"/>
  <c r="BE269" i="6"/>
  <c r="BC269" i="6"/>
  <c r="BA269" i="6"/>
  <c r="AY269" i="6"/>
  <c r="AW269" i="6"/>
  <c r="AU269" i="6"/>
  <c r="AS269" i="6"/>
  <c r="AQ269" i="6"/>
  <c r="AO269" i="6"/>
  <c r="AM269" i="6"/>
  <c r="AK269" i="6"/>
  <c r="AI269" i="6"/>
  <c r="AG269" i="6"/>
  <c r="AF269" i="6"/>
  <c r="AE269" i="6"/>
  <c r="AD269" i="6"/>
  <c r="AB269" i="6"/>
  <c r="AA269" i="6"/>
  <c r="Z269" i="6"/>
  <c r="V269" i="6"/>
  <c r="U269" i="6"/>
  <c r="T269" i="6"/>
  <c r="S269" i="6"/>
  <c r="Q269" i="6"/>
  <c r="F269" i="6"/>
  <c r="E269" i="6"/>
  <c r="D269" i="6"/>
  <c r="B269" i="6"/>
  <c r="A269" i="6"/>
  <c r="DL268" i="6"/>
  <c r="DJ268" i="6"/>
  <c r="DI268" i="6"/>
  <c r="DH268" i="6"/>
  <c r="DG268" i="6"/>
  <c r="DF268" i="6"/>
  <c r="DE268" i="6"/>
  <c r="DC268" i="6"/>
  <c r="CY268" i="6"/>
  <c r="CW268" i="6"/>
  <c r="CU268" i="6"/>
  <c r="CS268" i="6"/>
  <c r="CR268" i="6"/>
  <c r="CO268" i="6"/>
  <c r="CK268" i="6"/>
  <c r="CJ268" i="6"/>
  <c r="CI268" i="6"/>
  <c r="CH268" i="6"/>
  <c r="CG268" i="6"/>
  <c r="CF268" i="6"/>
  <c r="CE268" i="6"/>
  <c r="CD268" i="6"/>
  <c r="CC268" i="6"/>
  <c r="CA268" i="6"/>
  <c r="BY268" i="6"/>
  <c r="BW268" i="6"/>
  <c r="BU268" i="6"/>
  <c r="BS268" i="6"/>
  <c r="BQ268" i="6"/>
  <c r="BO268" i="6"/>
  <c r="BM268" i="6"/>
  <c r="BK268" i="6"/>
  <c r="BI268" i="6"/>
  <c r="BG268" i="6"/>
  <c r="BE268" i="6"/>
  <c r="BC268" i="6"/>
  <c r="BA268" i="6"/>
  <c r="AY268" i="6"/>
  <c r="AW268" i="6"/>
  <c r="AU268" i="6"/>
  <c r="AS268" i="6"/>
  <c r="AQ268" i="6"/>
  <c r="AO268" i="6"/>
  <c r="AN268" i="6"/>
  <c r="AM268" i="6"/>
  <c r="AL268" i="6"/>
  <c r="AK268" i="6"/>
  <c r="AJ268" i="6"/>
  <c r="AI268" i="6"/>
  <c r="AH268" i="6"/>
  <c r="AG268" i="6"/>
  <c r="AF268" i="6"/>
  <c r="AE268" i="6"/>
  <c r="AD268" i="6"/>
  <c r="AB268" i="6"/>
  <c r="AA268" i="6"/>
  <c r="Z268" i="6"/>
  <c r="V268" i="6"/>
  <c r="U268" i="6"/>
  <c r="T268" i="6"/>
  <c r="S268" i="6"/>
  <c r="P268" i="6"/>
  <c r="L268" i="6"/>
  <c r="K268" i="6"/>
  <c r="E268" i="6"/>
  <c r="D268" i="6"/>
  <c r="B268" i="6"/>
  <c r="A268" i="6"/>
  <c r="DL267" i="6"/>
  <c r="DJ267" i="6"/>
  <c r="DI267" i="6"/>
  <c r="DH267" i="6"/>
  <c r="DG267" i="6"/>
  <c r="DF267" i="6"/>
  <c r="DE267" i="6"/>
  <c r="DC267" i="6"/>
  <c r="CY267" i="6"/>
  <c r="CW267" i="6"/>
  <c r="CU267" i="6"/>
  <c r="CS267" i="6"/>
  <c r="CK267" i="6"/>
  <c r="CJ267" i="6"/>
  <c r="CI267" i="6"/>
  <c r="CH267" i="6"/>
  <c r="CG267" i="6"/>
  <c r="CF267" i="6"/>
  <c r="CE267" i="6"/>
  <c r="CD267" i="6"/>
  <c r="CC267" i="6"/>
  <c r="CA267" i="6"/>
  <c r="BY267" i="6"/>
  <c r="BW267" i="6"/>
  <c r="BU267" i="6"/>
  <c r="BS267" i="6"/>
  <c r="BQ267" i="6"/>
  <c r="BO267" i="6"/>
  <c r="BM267" i="6"/>
  <c r="BK267" i="6"/>
  <c r="BI267" i="6"/>
  <c r="BG267" i="6"/>
  <c r="BE267" i="6"/>
  <c r="BC267" i="6"/>
  <c r="BA267" i="6"/>
  <c r="AY267" i="6"/>
  <c r="AW267" i="6"/>
  <c r="AU267" i="6"/>
  <c r="AS267" i="6"/>
  <c r="AQ267" i="6"/>
  <c r="AO267" i="6"/>
  <c r="AM267" i="6"/>
  <c r="AK267" i="6"/>
  <c r="AJ267" i="6"/>
  <c r="AI267" i="6"/>
  <c r="AH267" i="6"/>
  <c r="AG267" i="6"/>
  <c r="AF267" i="6"/>
  <c r="AE267" i="6"/>
  <c r="AD267" i="6"/>
  <c r="AB267" i="6"/>
  <c r="AA267" i="6"/>
  <c r="Z267" i="6"/>
  <c r="V267" i="6"/>
  <c r="U267" i="6"/>
  <c r="T267" i="6"/>
  <c r="S267" i="6"/>
  <c r="Q267" i="6"/>
  <c r="F267" i="6"/>
  <c r="E267" i="6"/>
  <c r="D267" i="6"/>
  <c r="B267" i="6"/>
  <c r="A267" i="6"/>
  <c r="DL266" i="6"/>
  <c r="DJ266" i="6"/>
  <c r="DI266" i="6"/>
  <c r="DH266" i="6"/>
  <c r="DE266" i="6"/>
  <c r="DD266" i="6"/>
  <c r="DC266" i="6"/>
  <c r="DA266" i="6"/>
  <c r="CY266" i="6"/>
  <c r="CX266" i="6"/>
  <c r="CW266" i="6"/>
  <c r="CU266" i="6"/>
  <c r="CS266" i="6"/>
  <c r="CK266" i="6"/>
  <c r="CI266" i="6"/>
  <c r="CG266" i="6"/>
  <c r="CF266" i="6"/>
  <c r="CE266" i="6"/>
  <c r="CD266" i="6"/>
  <c r="CC266" i="6"/>
  <c r="CA266" i="6"/>
  <c r="BY266" i="6"/>
  <c r="BW266" i="6"/>
  <c r="BU266" i="6"/>
  <c r="BS266" i="6"/>
  <c r="BQ266" i="6"/>
  <c r="BO266" i="6"/>
  <c r="BM266" i="6"/>
  <c r="BK266" i="6"/>
  <c r="BI266" i="6"/>
  <c r="BG266" i="6"/>
  <c r="BE266" i="6"/>
  <c r="BC266" i="6"/>
  <c r="BA266" i="6"/>
  <c r="AY266" i="6"/>
  <c r="AW266" i="6"/>
  <c r="AU266" i="6"/>
  <c r="AS266" i="6"/>
  <c r="AQ266" i="6"/>
  <c r="AO266" i="6"/>
  <c r="AM266" i="6"/>
  <c r="AK266" i="6"/>
  <c r="AI266" i="6"/>
  <c r="AG266" i="6"/>
  <c r="AF266" i="6"/>
  <c r="AE266" i="6"/>
  <c r="AB266" i="6"/>
  <c r="AA266" i="6"/>
  <c r="Z266" i="6"/>
  <c r="V266" i="6"/>
  <c r="U266" i="6"/>
  <c r="T266" i="6"/>
  <c r="S266" i="6"/>
  <c r="E266" i="6"/>
  <c r="D266" i="6"/>
  <c r="C266" i="6"/>
  <c r="B266" i="6"/>
  <c r="A266" i="6"/>
  <c r="DL265" i="6"/>
  <c r="DJ265" i="6"/>
  <c r="DI265" i="6"/>
  <c r="DH265" i="6"/>
  <c r="DE265" i="6"/>
  <c r="DC265" i="6"/>
  <c r="CY265" i="6"/>
  <c r="CW265" i="6"/>
  <c r="CU265" i="6"/>
  <c r="CS265" i="6"/>
  <c r="CK265" i="6"/>
  <c r="CI265" i="6"/>
  <c r="CG265" i="6"/>
  <c r="CF265" i="6"/>
  <c r="CE265" i="6"/>
  <c r="CD265" i="6"/>
  <c r="CC265" i="6"/>
  <c r="CA265" i="6"/>
  <c r="BY265" i="6"/>
  <c r="BW265" i="6"/>
  <c r="BU265" i="6"/>
  <c r="BS265" i="6"/>
  <c r="BQ265" i="6"/>
  <c r="BO265" i="6"/>
  <c r="BM265" i="6"/>
  <c r="BK265" i="6"/>
  <c r="BI265" i="6"/>
  <c r="BG265" i="6"/>
  <c r="BE265" i="6"/>
  <c r="BC265" i="6"/>
  <c r="BA265" i="6"/>
  <c r="AY265" i="6"/>
  <c r="AW265" i="6"/>
  <c r="AU265" i="6"/>
  <c r="AS265" i="6"/>
  <c r="AQ265" i="6"/>
  <c r="AO265" i="6"/>
  <c r="AM265" i="6"/>
  <c r="AK265" i="6"/>
  <c r="AI265" i="6"/>
  <c r="AG265" i="6"/>
  <c r="AF265" i="6"/>
  <c r="AE265" i="6"/>
  <c r="AD265" i="6"/>
  <c r="AB265" i="6"/>
  <c r="AA265" i="6"/>
  <c r="Z265" i="6"/>
  <c r="V265" i="6"/>
  <c r="U265" i="6"/>
  <c r="T265" i="6"/>
  <c r="S265" i="6"/>
  <c r="L265" i="6"/>
  <c r="K265" i="6"/>
  <c r="J265" i="6"/>
  <c r="E265" i="6"/>
  <c r="D265" i="6"/>
  <c r="B265" i="6"/>
  <c r="A265" i="6"/>
  <c r="DL264" i="6"/>
  <c r="DJ264" i="6"/>
  <c r="DI264" i="6"/>
  <c r="DH264" i="6"/>
  <c r="DE264" i="6"/>
  <c r="DD264" i="6"/>
  <c r="DC264" i="6"/>
  <c r="DA264" i="6"/>
  <c r="CY264" i="6"/>
  <c r="CX264" i="6"/>
  <c r="CW264" i="6"/>
  <c r="CU264" i="6"/>
  <c r="CS264" i="6"/>
  <c r="CR264" i="6"/>
  <c r="CK264" i="6"/>
  <c r="CI264" i="6"/>
  <c r="CG264" i="6"/>
  <c r="CF264" i="6"/>
  <c r="CE264" i="6"/>
  <c r="CD264" i="6"/>
  <c r="CC264" i="6"/>
  <c r="CA264" i="6"/>
  <c r="BY264" i="6"/>
  <c r="BW264" i="6"/>
  <c r="BU264" i="6"/>
  <c r="BS264" i="6"/>
  <c r="BQ264" i="6"/>
  <c r="BO264" i="6"/>
  <c r="BM264" i="6"/>
  <c r="BK264" i="6"/>
  <c r="BI264" i="6"/>
  <c r="BG264" i="6"/>
  <c r="BE264" i="6"/>
  <c r="BC264" i="6"/>
  <c r="BA264" i="6"/>
  <c r="AY264" i="6"/>
  <c r="AW264" i="6"/>
  <c r="AU264" i="6"/>
  <c r="AS264" i="6"/>
  <c r="AQ264" i="6"/>
  <c r="AO264" i="6"/>
  <c r="AN264" i="6"/>
  <c r="AM264" i="6"/>
  <c r="AL264" i="6"/>
  <c r="AK264" i="6"/>
  <c r="AJ264" i="6"/>
  <c r="AI264" i="6"/>
  <c r="AH264" i="6"/>
  <c r="AG264" i="6"/>
  <c r="AF264" i="6"/>
  <c r="AE264" i="6"/>
  <c r="AB264" i="6"/>
  <c r="AA264" i="6"/>
  <c r="Z264" i="6"/>
  <c r="V264" i="6"/>
  <c r="U264" i="6"/>
  <c r="T264" i="6"/>
  <c r="S264" i="6"/>
  <c r="L264" i="6"/>
  <c r="K264" i="6"/>
  <c r="J264" i="6"/>
  <c r="E264" i="6"/>
  <c r="D264" i="6"/>
  <c r="B264" i="6"/>
  <c r="A264" i="6"/>
  <c r="DL263" i="6"/>
  <c r="DJ263" i="6"/>
  <c r="DI263" i="6"/>
  <c r="DH263" i="6"/>
  <c r="DG263" i="6"/>
  <c r="DF263" i="6"/>
  <c r="DE263" i="6"/>
  <c r="DC263" i="6"/>
  <c r="CY263" i="6"/>
  <c r="CW263" i="6"/>
  <c r="CU263" i="6"/>
  <c r="CS263" i="6"/>
  <c r="CK263" i="6"/>
  <c r="CI263" i="6"/>
  <c r="CG263" i="6"/>
  <c r="CF263" i="6"/>
  <c r="CE263" i="6"/>
  <c r="CD263" i="6"/>
  <c r="CC263" i="6"/>
  <c r="CA263" i="6"/>
  <c r="BY263" i="6"/>
  <c r="BW263" i="6"/>
  <c r="BU263" i="6"/>
  <c r="BS263" i="6"/>
  <c r="BQ263" i="6"/>
  <c r="BO263" i="6"/>
  <c r="BM263" i="6"/>
  <c r="BK263" i="6"/>
  <c r="BI263" i="6"/>
  <c r="BG263" i="6"/>
  <c r="BE263" i="6"/>
  <c r="BC263" i="6"/>
  <c r="BA263" i="6"/>
  <c r="AY263" i="6"/>
  <c r="AW263" i="6"/>
  <c r="AU263" i="6"/>
  <c r="AS263" i="6"/>
  <c r="AQ263" i="6"/>
  <c r="AO263" i="6"/>
  <c r="AM263" i="6"/>
  <c r="AK263" i="6"/>
  <c r="AI263" i="6"/>
  <c r="AG263" i="6"/>
  <c r="AF263" i="6"/>
  <c r="AE263" i="6"/>
  <c r="AD263" i="6"/>
  <c r="AB263" i="6"/>
  <c r="AA263" i="6"/>
  <c r="Z263" i="6"/>
  <c r="V263" i="6"/>
  <c r="U263" i="6"/>
  <c r="T263" i="6"/>
  <c r="S263" i="6"/>
  <c r="Q263" i="6"/>
  <c r="F263" i="6"/>
  <c r="E263" i="6"/>
  <c r="D263" i="6"/>
  <c r="B263" i="6"/>
  <c r="A263" i="6"/>
  <c r="DL262" i="6"/>
  <c r="DJ262" i="6"/>
  <c r="DI262" i="6"/>
  <c r="DH262" i="6"/>
  <c r="DE262" i="6"/>
  <c r="DC262" i="6"/>
  <c r="CY262" i="6"/>
  <c r="CW262" i="6"/>
  <c r="CU262" i="6"/>
  <c r="CS262" i="6"/>
  <c r="CR262" i="6"/>
  <c r="CK262" i="6"/>
  <c r="CI262" i="6"/>
  <c r="CG262" i="6"/>
  <c r="CF262" i="6"/>
  <c r="CE262" i="6"/>
  <c r="CD262" i="6"/>
  <c r="CC262" i="6"/>
  <c r="CA262" i="6"/>
  <c r="BY262" i="6"/>
  <c r="BW262" i="6"/>
  <c r="BU262" i="6"/>
  <c r="BS262" i="6"/>
  <c r="BQ262" i="6"/>
  <c r="BO262" i="6"/>
  <c r="BM262" i="6"/>
  <c r="BK262" i="6"/>
  <c r="BI262" i="6"/>
  <c r="BG262" i="6"/>
  <c r="BE262" i="6"/>
  <c r="BC262" i="6"/>
  <c r="BA262" i="6"/>
  <c r="AY262" i="6"/>
  <c r="AW262" i="6"/>
  <c r="AU262" i="6"/>
  <c r="AS262" i="6"/>
  <c r="AQ262" i="6"/>
  <c r="AO262" i="6"/>
  <c r="AM262" i="6"/>
  <c r="AK262" i="6"/>
  <c r="AI262" i="6"/>
  <c r="AG262" i="6"/>
  <c r="AF262" i="6"/>
  <c r="AE262" i="6"/>
  <c r="AB262" i="6"/>
  <c r="AA262" i="6"/>
  <c r="Z262" i="6"/>
  <c r="V262" i="6"/>
  <c r="U262" i="6"/>
  <c r="T262" i="6"/>
  <c r="S262" i="6"/>
  <c r="Q262" i="6"/>
  <c r="E262" i="6"/>
  <c r="D262" i="6"/>
  <c r="B262" i="6"/>
  <c r="A262" i="6"/>
  <c r="DL261" i="6"/>
  <c r="DJ261" i="6"/>
  <c r="DI261" i="6"/>
  <c r="DE261" i="6"/>
  <c r="DC261" i="6"/>
  <c r="CY261" i="6"/>
  <c r="CW261" i="6"/>
  <c r="CU261" i="6"/>
  <c r="CS261" i="6"/>
  <c r="CK261" i="6"/>
  <c r="CI261" i="6"/>
  <c r="CG261" i="6"/>
  <c r="CE261" i="6"/>
  <c r="CC261" i="6"/>
  <c r="CA261" i="6"/>
  <c r="BY261" i="6"/>
  <c r="BW261" i="6"/>
  <c r="BU261" i="6"/>
  <c r="BS261" i="6"/>
  <c r="BQ261" i="6"/>
  <c r="BO261" i="6"/>
  <c r="BM261" i="6"/>
  <c r="BK261" i="6"/>
  <c r="BI261" i="6"/>
  <c r="BG261" i="6"/>
  <c r="BE261" i="6"/>
  <c r="BC261" i="6"/>
  <c r="BA261" i="6"/>
  <c r="AY261" i="6"/>
  <c r="AW261" i="6"/>
  <c r="AU261" i="6"/>
  <c r="AS261" i="6"/>
  <c r="AQ261" i="6"/>
  <c r="AO261" i="6"/>
  <c r="AM261" i="6"/>
  <c r="AK261" i="6"/>
  <c r="AJ261" i="6"/>
  <c r="AI261" i="6"/>
  <c r="AH261" i="6"/>
  <c r="AG261" i="6"/>
  <c r="AF261" i="6"/>
  <c r="AE261" i="6"/>
  <c r="AB261" i="6"/>
  <c r="AA261" i="6"/>
  <c r="Z261" i="6"/>
  <c r="V261" i="6"/>
  <c r="U261" i="6"/>
  <c r="T261" i="6"/>
  <c r="S261" i="6"/>
  <c r="L261" i="6"/>
  <c r="K261" i="6"/>
  <c r="E261" i="6"/>
  <c r="D261" i="6"/>
  <c r="B261" i="6"/>
  <c r="A261" i="6"/>
  <c r="DL260" i="6"/>
  <c r="DJ260" i="6"/>
  <c r="DI260" i="6"/>
  <c r="DH260" i="6"/>
  <c r="DE260" i="6"/>
  <c r="DC260" i="6"/>
  <c r="CY260" i="6"/>
  <c r="CW260" i="6"/>
  <c r="CU260" i="6"/>
  <c r="CS260" i="6"/>
  <c r="CK260" i="6"/>
  <c r="CI260" i="6"/>
  <c r="CG260" i="6"/>
  <c r="CF260" i="6"/>
  <c r="CE260" i="6"/>
  <c r="CD260" i="6"/>
  <c r="CC260" i="6"/>
  <c r="CA260" i="6"/>
  <c r="BY260" i="6"/>
  <c r="BW260" i="6"/>
  <c r="BU260" i="6"/>
  <c r="BS260" i="6"/>
  <c r="BQ260" i="6"/>
  <c r="BO260" i="6"/>
  <c r="BM260" i="6"/>
  <c r="BK260" i="6"/>
  <c r="BI260" i="6"/>
  <c r="BG260" i="6"/>
  <c r="BE260" i="6"/>
  <c r="BC260" i="6"/>
  <c r="BA260" i="6"/>
  <c r="AY260" i="6"/>
  <c r="AW260" i="6"/>
  <c r="AU260" i="6"/>
  <c r="AS260" i="6"/>
  <c r="AQ260" i="6"/>
  <c r="AO260" i="6"/>
  <c r="AM260" i="6"/>
  <c r="AK260" i="6"/>
  <c r="AI260" i="6"/>
  <c r="AG260" i="6"/>
  <c r="AF260" i="6"/>
  <c r="AE260" i="6"/>
  <c r="AD260" i="6"/>
  <c r="AC260" i="6"/>
  <c r="AB260" i="6"/>
  <c r="AA260" i="6"/>
  <c r="Z260" i="6"/>
  <c r="V260" i="6"/>
  <c r="U260" i="6"/>
  <c r="T260" i="6"/>
  <c r="S260" i="6"/>
  <c r="Q260" i="6"/>
  <c r="E260" i="6"/>
  <c r="D260" i="6"/>
  <c r="B260" i="6"/>
  <c r="A260" i="6"/>
  <c r="DL259" i="6"/>
  <c r="DJ259" i="6"/>
  <c r="DI259" i="6"/>
  <c r="DE259" i="6"/>
  <c r="DC259" i="6"/>
  <c r="CY259" i="6"/>
  <c r="CW259" i="6"/>
  <c r="CU259" i="6"/>
  <c r="CS259" i="6"/>
  <c r="CR259" i="6"/>
  <c r="CK259" i="6"/>
  <c r="CI259" i="6"/>
  <c r="CG259" i="6"/>
  <c r="CE259" i="6"/>
  <c r="CC259" i="6"/>
  <c r="CA259" i="6"/>
  <c r="BY259" i="6"/>
  <c r="BW259" i="6"/>
  <c r="BU259" i="6"/>
  <c r="BS259" i="6"/>
  <c r="BQ259" i="6"/>
  <c r="BO259" i="6"/>
  <c r="BM259" i="6"/>
  <c r="BK259" i="6"/>
  <c r="BI259" i="6"/>
  <c r="BG259" i="6"/>
  <c r="BE259" i="6"/>
  <c r="BC259" i="6"/>
  <c r="BA259" i="6"/>
  <c r="AY259" i="6"/>
  <c r="AW259" i="6"/>
  <c r="AU259" i="6"/>
  <c r="AS259" i="6"/>
  <c r="AQ259" i="6"/>
  <c r="AO259" i="6"/>
  <c r="AM259" i="6"/>
  <c r="AK259" i="6"/>
  <c r="AI259" i="6"/>
  <c r="AG259" i="6"/>
  <c r="AF259" i="6"/>
  <c r="AE259" i="6"/>
  <c r="AB259" i="6"/>
  <c r="AA259" i="6"/>
  <c r="Z259" i="6"/>
  <c r="V259" i="6"/>
  <c r="U259" i="6"/>
  <c r="T259" i="6"/>
  <c r="S259" i="6"/>
  <c r="Q259" i="6"/>
  <c r="L259" i="6"/>
  <c r="K259" i="6"/>
  <c r="J259" i="6"/>
  <c r="E259" i="6"/>
  <c r="D259" i="6"/>
  <c r="B259" i="6"/>
  <c r="A259" i="6"/>
  <c r="DL258" i="6"/>
  <c r="DJ258" i="6"/>
  <c r="DI258" i="6"/>
  <c r="DE258" i="6"/>
  <c r="DC258" i="6"/>
  <c r="CY258" i="6"/>
  <c r="CW258" i="6"/>
  <c r="CU258" i="6"/>
  <c r="CS258" i="6"/>
  <c r="CK258" i="6"/>
  <c r="CI258" i="6"/>
  <c r="CG258" i="6"/>
  <c r="CE258" i="6"/>
  <c r="CC258" i="6"/>
  <c r="CA258" i="6"/>
  <c r="BY258" i="6"/>
  <c r="BW258" i="6"/>
  <c r="BU258" i="6"/>
  <c r="BS258" i="6"/>
  <c r="BQ258" i="6"/>
  <c r="BO258" i="6"/>
  <c r="BM258" i="6"/>
  <c r="BK258" i="6"/>
  <c r="BI258" i="6"/>
  <c r="BG258" i="6"/>
  <c r="BE258" i="6"/>
  <c r="BC258" i="6"/>
  <c r="BA258" i="6"/>
  <c r="AY258" i="6"/>
  <c r="AW258" i="6"/>
  <c r="AU258" i="6"/>
  <c r="AS258" i="6"/>
  <c r="AQ258" i="6"/>
  <c r="AO258" i="6"/>
  <c r="AM258" i="6"/>
  <c r="AK258" i="6"/>
  <c r="AJ258" i="6"/>
  <c r="AI258" i="6"/>
  <c r="AH258" i="6"/>
  <c r="AG258" i="6"/>
  <c r="AF258" i="6"/>
  <c r="AE258" i="6"/>
  <c r="AD258" i="6"/>
  <c r="AB258" i="6"/>
  <c r="AA258" i="6"/>
  <c r="Z258" i="6"/>
  <c r="V258" i="6"/>
  <c r="U258" i="6"/>
  <c r="T258" i="6"/>
  <c r="S258" i="6"/>
  <c r="Q258" i="6"/>
  <c r="E258" i="6"/>
  <c r="D258" i="6"/>
  <c r="B258" i="6"/>
  <c r="A258" i="6"/>
  <c r="DL257" i="6"/>
  <c r="DJ257" i="6"/>
  <c r="DI257" i="6"/>
  <c r="DE257" i="6"/>
  <c r="DC257" i="6"/>
  <c r="CY257" i="6"/>
  <c r="CW257" i="6"/>
  <c r="CU257" i="6"/>
  <c r="CS257" i="6"/>
  <c r="CK257" i="6"/>
  <c r="CI257" i="6"/>
  <c r="CG257" i="6"/>
  <c r="CE257" i="6"/>
  <c r="CC257" i="6"/>
  <c r="CA257" i="6"/>
  <c r="BY257" i="6"/>
  <c r="BW257" i="6"/>
  <c r="BU257" i="6"/>
  <c r="BS257" i="6"/>
  <c r="BQ257" i="6"/>
  <c r="BO257" i="6"/>
  <c r="BM257" i="6"/>
  <c r="BK257" i="6"/>
  <c r="BI257" i="6"/>
  <c r="BG257" i="6"/>
  <c r="BE257" i="6"/>
  <c r="BC257" i="6"/>
  <c r="BA257" i="6"/>
  <c r="AY257" i="6"/>
  <c r="AW257" i="6"/>
  <c r="AU257" i="6"/>
  <c r="AS257" i="6"/>
  <c r="AQ257" i="6"/>
  <c r="AO257" i="6"/>
  <c r="AM257" i="6"/>
  <c r="AK257" i="6"/>
  <c r="AI257" i="6"/>
  <c r="AG257" i="6"/>
  <c r="AF257" i="6"/>
  <c r="AE257" i="6"/>
  <c r="AD257" i="6"/>
  <c r="AB257" i="6"/>
  <c r="AA257" i="6"/>
  <c r="Z257" i="6"/>
  <c r="V257" i="6"/>
  <c r="U257" i="6"/>
  <c r="T257" i="6"/>
  <c r="S257" i="6"/>
  <c r="L257" i="6"/>
  <c r="K257" i="6"/>
  <c r="E257" i="6"/>
  <c r="D257" i="6"/>
  <c r="B257" i="6"/>
  <c r="A257" i="6"/>
  <c r="DL256" i="6"/>
  <c r="DJ256" i="6"/>
  <c r="DI256" i="6"/>
  <c r="DH256" i="6"/>
  <c r="DE256" i="6"/>
  <c r="DC256" i="6"/>
  <c r="CY256" i="6"/>
  <c r="CW256" i="6"/>
  <c r="CU256" i="6"/>
  <c r="CS256" i="6"/>
  <c r="CK256" i="6"/>
  <c r="CI256" i="6"/>
  <c r="CG256" i="6"/>
  <c r="CF256" i="6"/>
  <c r="CE256" i="6"/>
  <c r="CD256" i="6"/>
  <c r="CC256" i="6"/>
  <c r="CA256" i="6"/>
  <c r="BY256" i="6"/>
  <c r="BW256" i="6"/>
  <c r="BU256" i="6"/>
  <c r="BS256" i="6"/>
  <c r="BQ256" i="6"/>
  <c r="BO256" i="6"/>
  <c r="BM256" i="6"/>
  <c r="BK256" i="6"/>
  <c r="BI256" i="6"/>
  <c r="BG256" i="6"/>
  <c r="BE256" i="6"/>
  <c r="BC256" i="6"/>
  <c r="BA256" i="6"/>
  <c r="AY256" i="6"/>
  <c r="AW256" i="6"/>
  <c r="AU256" i="6"/>
  <c r="AS256" i="6"/>
  <c r="AQ256" i="6"/>
  <c r="AO256" i="6"/>
  <c r="AM256" i="6"/>
  <c r="AK256" i="6"/>
  <c r="AI256" i="6"/>
  <c r="AG256" i="6"/>
  <c r="AF256" i="6"/>
  <c r="AE256" i="6"/>
  <c r="AB256" i="6"/>
  <c r="AA256" i="6"/>
  <c r="Z256" i="6"/>
  <c r="V256" i="6"/>
  <c r="U256" i="6"/>
  <c r="T256" i="6"/>
  <c r="S256" i="6"/>
  <c r="Q256" i="6"/>
  <c r="E256" i="6"/>
  <c r="D256" i="6"/>
  <c r="B256" i="6"/>
  <c r="A256" i="6"/>
  <c r="DL255" i="6"/>
  <c r="DJ255" i="6"/>
  <c r="DI255" i="6"/>
  <c r="DH255" i="6"/>
  <c r="DE255" i="6"/>
  <c r="DC255" i="6"/>
  <c r="CY255" i="6"/>
  <c r="CW255" i="6"/>
  <c r="CU255" i="6"/>
  <c r="CS255" i="6"/>
  <c r="CR255" i="6"/>
  <c r="CK255" i="6"/>
  <c r="CI255" i="6"/>
  <c r="CG255" i="6"/>
  <c r="CF255" i="6"/>
  <c r="CE255" i="6"/>
  <c r="CD255" i="6"/>
  <c r="CC255" i="6"/>
  <c r="CA255" i="6"/>
  <c r="BY255" i="6"/>
  <c r="BW255" i="6"/>
  <c r="BU255" i="6"/>
  <c r="BS255" i="6"/>
  <c r="BQ255" i="6"/>
  <c r="BO255" i="6"/>
  <c r="BM255" i="6"/>
  <c r="BK255" i="6"/>
  <c r="BI255" i="6"/>
  <c r="BG255" i="6"/>
  <c r="BE255" i="6"/>
  <c r="BC255" i="6"/>
  <c r="BA255" i="6"/>
  <c r="AY255" i="6"/>
  <c r="AW255" i="6"/>
  <c r="AU255" i="6"/>
  <c r="AS255" i="6"/>
  <c r="AQ255" i="6"/>
  <c r="AO255" i="6"/>
  <c r="AM255" i="6"/>
  <c r="AK255" i="6"/>
  <c r="AI255" i="6"/>
  <c r="AG255" i="6"/>
  <c r="AF255" i="6"/>
  <c r="AE255" i="6"/>
  <c r="AB255" i="6"/>
  <c r="AA255" i="6"/>
  <c r="Z255" i="6"/>
  <c r="V255" i="6"/>
  <c r="U255" i="6"/>
  <c r="T255" i="6"/>
  <c r="S255" i="6"/>
  <c r="E255" i="6"/>
  <c r="D255" i="6"/>
  <c r="B255" i="6"/>
  <c r="A255" i="6"/>
  <c r="DL254" i="6"/>
  <c r="DJ254" i="6"/>
  <c r="DI254" i="6"/>
  <c r="DH254" i="6"/>
  <c r="DE254" i="6"/>
  <c r="DC254" i="6"/>
  <c r="CY254" i="6"/>
  <c r="CW254" i="6"/>
  <c r="CU254" i="6"/>
  <c r="CS254" i="6"/>
  <c r="CR254" i="6"/>
  <c r="CK254" i="6"/>
  <c r="CI254" i="6"/>
  <c r="CG254" i="6"/>
  <c r="CF254" i="6"/>
  <c r="CE254" i="6"/>
  <c r="CD254" i="6"/>
  <c r="CC254" i="6"/>
  <c r="CA254" i="6"/>
  <c r="BY254" i="6"/>
  <c r="BW254" i="6"/>
  <c r="BU254" i="6"/>
  <c r="BS254" i="6"/>
  <c r="BQ254" i="6"/>
  <c r="BO254" i="6"/>
  <c r="BM254" i="6"/>
  <c r="BK254" i="6"/>
  <c r="BI254" i="6"/>
  <c r="BG254" i="6"/>
  <c r="BE254" i="6"/>
  <c r="BC254" i="6"/>
  <c r="BA254" i="6"/>
  <c r="AY254" i="6"/>
  <c r="AW254" i="6"/>
  <c r="AU254" i="6"/>
  <c r="AS254" i="6"/>
  <c r="AQ254" i="6"/>
  <c r="AO254" i="6"/>
  <c r="AN254" i="6"/>
  <c r="AM254" i="6"/>
  <c r="AL254" i="6"/>
  <c r="AK254" i="6"/>
  <c r="AJ254" i="6"/>
  <c r="AI254" i="6"/>
  <c r="AH254" i="6"/>
  <c r="AG254" i="6"/>
  <c r="AF254" i="6"/>
  <c r="AE254" i="6"/>
  <c r="AB254" i="6"/>
  <c r="AA254" i="6"/>
  <c r="Z254" i="6"/>
  <c r="V254" i="6"/>
  <c r="U254" i="6"/>
  <c r="T254" i="6"/>
  <c r="S254" i="6"/>
  <c r="L254" i="6"/>
  <c r="K254" i="6"/>
  <c r="E254" i="6"/>
  <c r="D254" i="6"/>
  <c r="B254" i="6"/>
  <c r="A254" i="6"/>
  <c r="DL253" i="6"/>
  <c r="DK253" i="6"/>
  <c r="DJ253" i="6"/>
  <c r="DI253" i="6"/>
  <c r="DH253" i="6"/>
  <c r="DE253" i="6"/>
  <c r="DD253" i="6"/>
  <c r="DC253" i="6"/>
  <c r="DA253" i="6"/>
  <c r="CY253" i="6"/>
  <c r="CX253" i="6"/>
  <c r="CW253" i="6"/>
  <c r="CU253" i="6"/>
  <c r="CS253" i="6"/>
  <c r="CK253" i="6"/>
  <c r="CI253" i="6"/>
  <c r="CG253" i="6"/>
  <c r="CF253" i="6"/>
  <c r="CE253" i="6"/>
  <c r="CD253" i="6"/>
  <c r="CC253" i="6"/>
  <c r="CA253" i="6"/>
  <c r="BY253" i="6"/>
  <c r="BW253" i="6"/>
  <c r="BU253" i="6"/>
  <c r="BS253" i="6"/>
  <c r="BQ253" i="6"/>
  <c r="BO253" i="6"/>
  <c r="BM253" i="6"/>
  <c r="BK253" i="6"/>
  <c r="BI253" i="6"/>
  <c r="BG253" i="6"/>
  <c r="BE253" i="6"/>
  <c r="BC253" i="6"/>
  <c r="BA253" i="6"/>
  <c r="AY253" i="6"/>
  <c r="AW253" i="6"/>
  <c r="AU253" i="6"/>
  <c r="AS253" i="6"/>
  <c r="AQ253" i="6"/>
  <c r="AO253" i="6"/>
  <c r="AM253" i="6"/>
  <c r="AK253" i="6"/>
  <c r="AI253" i="6"/>
  <c r="AG253" i="6"/>
  <c r="AF253" i="6"/>
  <c r="AE253" i="6"/>
  <c r="AB253" i="6"/>
  <c r="AA253" i="6"/>
  <c r="Z253" i="6"/>
  <c r="V253" i="6"/>
  <c r="U253" i="6"/>
  <c r="T253" i="6"/>
  <c r="S253" i="6"/>
  <c r="Q253" i="6"/>
  <c r="E253" i="6"/>
  <c r="D253" i="6"/>
  <c r="C253" i="6"/>
  <c r="B253" i="6"/>
  <c r="A253" i="6"/>
  <c r="DL252" i="6"/>
  <c r="DJ252" i="6"/>
  <c r="DI252" i="6"/>
  <c r="DH252" i="6"/>
  <c r="DE252" i="6"/>
  <c r="DC252" i="6"/>
  <c r="CY252" i="6"/>
  <c r="CW252" i="6"/>
  <c r="CU252" i="6"/>
  <c r="CS252" i="6"/>
  <c r="CR252" i="6"/>
  <c r="CO252" i="6"/>
  <c r="CK252" i="6"/>
  <c r="CI252" i="6"/>
  <c r="CG252" i="6"/>
  <c r="CF252" i="6"/>
  <c r="CE252" i="6"/>
  <c r="CD252" i="6"/>
  <c r="CC252" i="6"/>
  <c r="CA252" i="6"/>
  <c r="BY252" i="6"/>
  <c r="BW252" i="6"/>
  <c r="BU252" i="6"/>
  <c r="BS252" i="6"/>
  <c r="BQ252" i="6"/>
  <c r="BO252" i="6"/>
  <c r="BM252" i="6"/>
  <c r="BK252" i="6"/>
  <c r="BI252" i="6"/>
  <c r="BG252" i="6"/>
  <c r="BE252" i="6"/>
  <c r="BC252" i="6"/>
  <c r="BA252" i="6"/>
  <c r="AY252" i="6"/>
  <c r="AW252" i="6"/>
  <c r="AU252" i="6"/>
  <c r="AS252" i="6"/>
  <c r="AQ252" i="6"/>
  <c r="AO252" i="6"/>
  <c r="AM252" i="6"/>
  <c r="AK252" i="6"/>
  <c r="AI252" i="6"/>
  <c r="AG252" i="6"/>
  <c r="AF252" i="6"/>
  <c r="AE252" i="6"/>
  <c r="AB252" i="6"/>
  <c r="AA252" i="6"/>
  <c r="Z252" i="6"/>
  <c r="V252" i="6"/>
  <c r="U252" i="6"/>
  <c r="T252" i="6"/>
  <c r="S252" i="6"/>
  <c r="P252" i="6"/>
  <c r="L252" i="6"/>
  <c r="K252" i="6"/>
  <c r="E252" i="6"/>
  <c r="D252" i="6"/>
  <c r="B252" i="6"/>
  <c r="A252" i="6"/>
  <c r="DL251" i="6"/>
  <c r="DJ251" i="6"/>
  <c r="DI251" i="6"/>
  <c r="DH251" i="6"/>
  <c r="DE251" i="6"/>
  <c r="DC251" i="6"/>
  <c r="CY251" i="6"/>
  <c r="CW251" i="6"/>
  <c r="CU251" i="6"/>
  <c r="CS251" i="6"/>
  <c r="CR251" i="6"/>
  <c r="CK251" i="6"/>
  <c r="CI251" i="6"/>
  <c r="CG251" i="6"/>
  <c r="CF251" i="6"/>
  <c r="CE251" i="6"/>
  <c r="CD251" i="6"/>
  <c r="CC251" i="6"/>
  <c r="CA251" i="6"/>
  <c r="BY251" i="6"/>
  <c r="BW251" i="6"/>
  <c r="BU251" i="6"/>
  <c r="BS251" i="6"/>
  <c r="BQ251" i="6"/>
  <c r="BO251" i="6"/>
  <c r="BM251" i="6"/>
  <c r="BK251" i="6"/>
  <c r="BI251" i="6"/>
  <c r="BG251" i="6"/>
  <c r="BE251" i="6"/>
  <c r="BC251" i="6"/>
  <c r="BA251" i="6"/>
  <c r="AY251" i="6"/>
  <c r="AW251" i="6"/>
  <c r="AU251" i="6"/>
  <c r="AS251" i="6"/>
  <c r="AQ251" i="6"/>
  <c r="AO251" i="6"/>
  <c r="AM251" i="6"/>
  <c r="AK251" i="6"/>
  <c r="AJ251" i="6"/>
  <c r="AI251" i="6"/>
  <c r="AH251" i="6"/>
  <c r="AG251" i="6"/>
  <c r="AF251" i="6"/>
  <c r="AE251" i="6"/>
  <c r="AB251" i="6"/>
  <c r="AA251" i="6"/>
  <c r="Z251" i="6"/>
  <c r="V251" i="6"/>
  <c r="U251" i="6"/>
  <c r="T251" i="6"/>
  <c r="S251" i="6"/>
  <c r="L251" i="6"/>
  <c r="K251" i="6"/>
  <c r="E251" i="6"/>
  <c r="D251" i="6"/>
  <c r="B251" i="6"/>
  <c r="A251" i="6"/>
  <c r="DL250" i="6"/>
  <c r="DK250" i="6"/>
  <c r="DJ250" i="6"/>
  <c r="DI250" i="6"/>
  <c r="DH250" i="6"/>
  <c r="DE250" i="6"/>
  <c r="DC250" i="6"/>
  <c r="CY250" i="6"/>
  <c r="CW250" i="6"/>
  <c r="CU250" i="6"/>
  <c r="CS250" i="6"/>
  <c r="CK250" i="6"/>
  <c r="CI250" i="6"/>
  <c r="CG250" i="6"/>
  <c r="CF250" i="6"/>
  <c r="CE250" i="6"/>
  <c r="CD250" i="6"/>
  <c r="CC250" i="6"/>
  <c r="CA250" i="6"/>
  <c r="BY250" i="6"/>
  <c r="BW250" i="6"/>
  <c r="BU250" i="6"/>
  <c r="BS250" i="6"/>
  <c r="BQ250" i="6"/>
  <c r="BO250" i="6"/>
  <c r="BM250" i="6"/>
  <c r="BK250" i="6"/>
  <c r="BI250" i="6"/>
  <c r="BG250" i="6"/>
  <c r="BE250" i="6"/>
  <c r="BC250" i="6"/>
  <c r="BA250" i="6"/>
  <c r="AY250" i="6"/>
  <c r="AW250" i="6"/>
  <c r="AU250" i="6"/>
  <c r="AS250" i="6"/>
  <c r="AQ250" i="6"/>
  <c r="AO250" i="6"/>
  <c r="AM250" i="6"/>
  <c r="AK250" i="6"/>
  <c r="AI250" i="6"/>
  <c r="AG250" i="6"/>
  <c r="AF250" i="6"/>
  <c r="AE250" i="6"/>
  <c r="AB250" i="6"/>
  <c r="AA250" i="6"/>
  <c r="Z250" i="6"/>
  <c r="V250" i="6"/>
  <c r="U250" i="6"/>
  <c r="T250" i="6"/>
  <c r="S250" i="6"/>
  <c r="Q250" i="6"/>
  <c r="E250" i="6"/>
  <c r="D250" i="6"/>
  <c r="B250" i="6"/>
  <c r="A250" i="6"/>
  <c r="DL249" i="6"/>
  <c r="DJ249" i="6"/>
  <c r="DI249" i="6"/>
  <c r="DH249" i="6"/>
  <c r="DE249" i="6"/>
  <c r="DC249" i="6"/>
  <c r="CY249" i="6"/>
  <c r="CW249" i="6"/>
  <c r="CU249" i="6"/>
  <c r="CS249" i="6"/>
  <c r="CK249" i="6"/>
  <c r="CI249" i="6"/>
  <c r="CG249" i="6"/>
  <c r="CF249" i="6"/>
  <c r="CE249" i="6"/>
  <c r="CD249" i="6"/>
  <c r="CC249" i="6"/>
  <c r="CA249" i="6"/>
  <c r="BY249" i="6"/>
  <c r="BW249" i="6"/>
  <c r="BU249" i="6"/>
  <c r="BS249" i="6"/>
  <c r="BQ249" i="6"/>
  <c r="BO249" i="6"/>
  <c r="BM249" i="6"/>
  <c r="BK249" i="6"/>
  <c r="BI249" i="6"/>
  <c r="BG249" i="6"/>
  <c r="BE249" i="6"/>
  <c r="BC249" i="6"/>
  <c r="BA249" i="6"/>
  <c r="AY249" i="6"/>
  <c r="AW249" i="6"/>
  <c r="AU249" i="6"/>
  <c r="AS249" i="6"/>
  <c r="AQ249" i="6"/>
  <c r="AO249" i="6"/>
  <c r="AM249" i="6"/>
  <c r="AK249" i="6"/>
  <c r="AI249" i="6"/>
  <c r="AG249" i="6"/>
  <c r="AF249" i="6"/>
  <c r="AE249" i="6"/>
  <c r="AB249" i="6"/>
  <c r="AA249" i="6"/>
  <c r="Z249" i="6"/>
  <c r="V249" i="6"/>
  <c r="U249" i="6"/>
  <c r="T249" i="6"/>
  <c r="S249" i="6"/>
  <c r="Q249" i="6"/>
  <c r="E249" i="6"/>
  <c r="D249" i="6"/>
  <c r="B249" i="6"/>
  <c r="A249" i="6"/>
  <c r="DL248" i="6"/>
  <c r="DJ248" i="6"/>
  <c r="DI248" i="6"/>
  <c r="DE248" i="6"/>
  <c r="DC248" i="6"/>
  <c r="CY248" i="6"/>
  <c r="CW248" i="6"/>
  <c r="CU248" i="6"/>
  <c r="CS248" i="6"/>
  <c r="CR248" i="6"/>
  <c r="CK248" i="6"/>
  <c r="CI248" i="6"/>
  <c r="CG248" i="6"/>
  <c r="CE248" i="6"/>
  <c r="CC248" i="6"/>
  <c r="CA248" i="6"/>
  <c r="BY248" i="6"/>
  <c r="BW248" i="6"/>
  <c r="BU248" i="6"/>
  <c r="BS248" i="6"/>
  <c r="BQ248" i="6"/>
  <c r="BO248" i="6"/>
  <c r="BM248" i="6"/>
  <c r="BK248" i="6"/>
  <c r="BI248" i="6"/>
  <c r="BG248" i="6"/>
  <c r="BE248" i="6"/>
  <c r="BC248" i="6"/>
  <c r="BA248" i="6"/>
  <c r="AY248" i="6"/>
  <c r="AW248" i="6"/>
  <c r="AU248" i="6"/>
  <c r="AS248" i="6"/>
  <c r="AQ248" i="6"/>
  <c r="AO248" i="6"/>
  <c r="AM248" i="6"/>
  <c r="AK248" i="6"/>
  <c r="AI248" i="6"/>
  <c r="AG248" i="6"/>
  <c r="AF248" i="6"/>
  <c r="AE248" i="6"/>
  <c r="AD248" i="6"/>
  <c r="AB248" i="6"/>
  <c r="AA248" i="6"/>
  <c r="Z248" i="6"/>
  <c r="V248" i="6"/>
  <c r="U248" i="6"/>
  <c r="T248" i="6"/>
  <c r="S248" i="6"/>
  <c r="L248" i="6"/>
  <c r="K248" i="6"/>
  <c r="E248" i="6"/>
  <c r="D248" i="6"/>
  <c r="B248" i="6"/>
  <c r="A248" i="6"/>
  <c r="DL247" i="6"/>
  <c r="DJ247" i="6"/>
  <c r="DI247" i="6"/>
  <c r="DE247" i="6"/>
  <c r="DC247" i="6"/>
  <c r="CY247" i="6"/>
  <c r="CW247" i="6"/>
  <c r="CU247" i="6"/>
  <c r="CS247" i="6"/>
  <c r="CR247" i="6"/>
  <c r="CK247" i="6"/>
  <c r="CI247" i="6"/>
  <c r="CG247" i="6"/>
  <c r="CE247" i="6"/>
  <c r="CC247" i="6"/>
  <c r="CA247" i="6"/>
  <c r="BY247" i="6"/>
  <c r="BW247" i="6"/>
  <c r="BU247" i="6"/>
  <c r="BS247" i="6"/>
  <c r="BQ247" i="6"/>
  <c r="BO247" i="6"/>
  <c r="BM247" i="6"/>
  <c r="BK247" i="6"/>
  <c r="BI247" i="6"/>
  <c r="BG247" i="6"/>
  <c r="BE247" i="6"/>
  <c r="BC247" i="6"/>
  <c r="BA247" i="6"/>
  <c r="AY247" i="6"/>
  <c r="AW247" i="6"/>
  <c r="AU247" i="6"/>
  <c r="AS247" i="6"/>
  <c r="AQ247" i="6"/>
  <c r="AO247" i="6"/>
  <c r="AM247" i="6"/>
  <c r="AK247" i="6"/>
  <c r="AI247" i="6"/>
  <c r="AG247" i="6"/>
  <c r="AF247" i="6"/>
  <c r="AE247" i="6"/>
  <c r="AB247" i="6"/>
  <c r="AA247" i="6"/>
  <c r="Z247" i="6"/>
  <c r="V247" i="6"/>
  <c r="U247" i="6"/>
  <c r="T247" i="6"/>
  <c r="S247" i="6"/>
  <c r="L247" i="6"/>
  <c r="K247" i="6"/>
  <c r="E247" i="6"/>
  <c r="D247" i="6"/>
  <c r="B247" i="6"/>
  <c r="A247" i="6"/>
  <c r="DL246" i="6"/>
  <c r="DJ246" i="6"/>
  <c r="DI246" i="6"/>
  <c r="DH246" i="6"/>
  <c r="DE246" i="6"/>
  <c r="DC246" i="6"/>
  <c r="CY246" i="6"/>
  <c r="CW246" i="6"/>
  <c r="CU246" i="6"/>
  <c r="CS246" i="6"/>
  <c r="CK246" i="6"/>
  <c r="CI246" i="6"/>
  <c r="CG246" i="6"/>
  <c r="CF246" i="6"/>
  <c r="CE246" i="6"/>
  <c r="CD246" i="6"/>
  <c r="CC246" i="6"/>
  <c r="CA246" i="6"/>
  <c r="BY246" i="6"/>
  <c r="BW246" i="6"/>
  <c r="BU246" i="6"/>
  <c r="BS246" i="6"/>
  <c r="BQ246" i="6"/>
  <c r="BO246" i="6"/>
  <c r="BM246" i="6"/>
  <c r="BK246" i="6"/>
  <c r="BI246" i="6"/>
  <c r="BG246" i="6"/>
  <c r="BE246" i="6"/>
  <c r="BC246" i="6"/>
  <c r="BA246" i="6"/>
  <c r="AY246" i="6"/>
  <c r="AW246" i="6"/>
  <c r="AU246" i="6"/>
  <c r="AS246" i="6"/>
  <c r="AQ246" i="6"/>
  <c r="AO246" i="6"/>
  <c r="AN246" i="6"/>
  <c r="AM246" i="6"/>
  <c r="AL246" i="6"/>
  <c r="AK246" i="6"/>
  <c r="AJ246" i="6"/>
  <c r="AI246" i="6"/>
  <c r="AH246" i="6"/>
  <c r="AG246" i="6"/>
  <c r="AF246" i="6"/>
  <c r="AE246" i="6"/>
  <c r="AB246" i="6"/>
  <c r="AA246" i="6"/>
  <c r="Z246" i="6"/>
  <c r="V246" i="6"/>
  <c r="U246" i="6"/>
  <c r="T246" i="6"/>
  <c r="S246" i="6"/>
  <c r="E246" i="6"/>
  <c r="D246" i="6"/>
  <c r="B246" i="6"/>
  <c r="A246" i="6"/>
  <c r="DL245" i="6"/>
  <c r="DJ245" i="6"/>
  <c r="DI245" i="6"/>
  <c r="DH245" i="6"/>
  <c r="DE245" i="6"/>
  <c r="DC245" i="6"/>
  <c r="CY245" i="6"/>
  <c r="CW245" i="6"/>
  <c r="CU245" i="6"/>
  <c r="CS245" i="6"/>
  <c r="CR245" i="6"/>
  <c r="CK245" i="6"/>
  <c r="CI245" i="6"/>
  <c r="CG245" i="6"/>
  <c r="CF245" i="6"/>
  <c r="CE245" i="6"/>
  <c r="CD245" i="6"/>
  <c r="CC245" i="6"/>
  <c r="CA245" i="6"/>
  <c r="BY245" i="6"/>
  <c r="BW245" i="6"/>
  <c r="BU245" i="6"/>
  <c r="BS245" i="6"/>
  <c r="BQ245" i="6"/>
  <c r="BO245" i="6"/>
  <c r="BM245" i="6"/>
  <c r="BK245" i="6"/>
  <c r="BI245" i="6"/>
  <c r="BG245" i="6"/>
  <c r="BE245" i="6"/>
  <c r="BC245" i="6"/>
  <c r="BA245" i="6"/>
  <c r="AY245" i="6"/>
  <c r="AW245" i="6"/>
  <c r="AU245" i="6"/>
  <c r="AS245" i="6"/>
  <c r="AQ245" i="6"/>
  <c r="AO245" i="6"/>
  <c r="AM245" i="6"/>
  <c r="AK245" i="6"/>
  <c r="AJ245" i="6"/>
  <c r="AI245" i="6"/>
  <c r="AH245" i="6"/>
  <c r="AG245" i="6"/>
  <c r="AF245" i="6"/>
  <c r="AE245" i="6"/>
  <c r="AB245" i="6"/>
  <c r="AA245" i="6"/>
  <c r="Z245" i="6"/>
  <c r="V245" i="6"/>
  <c r="U245" i="6"/>
  <c r="T245" i="6"/>
  <c r="S245" i="6"/>
  <c r="Q245" i="6"/>
  <c r="E245" i="6"/>
  <c r="D245" i="6"/>
  <c r="B245" i="6"/>
  <c r="A245" i="6"/>
  <c r="DL244" i="6"/>
  <c r="DJ244" i="6"/>
  <c r="DI244" i="6"/>
  <c r="DH244" i="6"/>
  <c r="DG244" i="6"/>
  <c r="DF244" i="6"/>
  <c r="DE244" i="6"/>
  <c r="DC244" i="6"/>
  <c r="CY244" i="6"/>
  <c r="CW244" i="6"/>
  <c r="CU244" i="6"/>
  <c r="CS244" i="6"/>
  <c r="CO244" i="6"/>
  <c r="CK244" i="6"/>
  <c r="CJ244" i="6"/>
  <c r="CI244" i="6"/>
  <c r="CH244" i="6"/>
  <c r="CG244" i="6"/>
  <c r="CF244" i="6"/>
  <c r="CE244" i="6"/>
  <c r="CD244" i="6"/>
  <c r="CC244" i="6"/>
  <c r="CA244" i="6"/>
  <c r="BY244" i="6"/>
  <c r="BW244" i="6"/>
  <c r="BU244" i="6"/>
  <c r="BS244" i="6"/>
  <c r="BQ244" i="6"/>
  <c r="BO244" i="6"/>
  <c r="BM244" i="6"/>
  <c r="BK244" i="6"/>
  <c r="BI244" i="6"/>
  <c r="BG244" i="6"/>
  <c r="BE244" i="6"/>
  <c r="BC244" i="6"/>
  <c r="BA244" i="6"/>
  <c r="AZ244" i="6"/>
  <c r="AY244" i="6"/>
  <c r="AX244" i="6"/>
  <c r="AW244" i="6"/>
  <c r="AV244" i="6"/>
  <c r="AU244" i="6"/>
  <c r="AT244" i="6"/>
  <c r="AS244" i="6"/>
  <c r="AR244" i="6"/>
  <c r="AQ244" i="6"/>
  <c r="AP244" i="6"/>
  <c r="AO244" i="6"/>
  <c r="AN244" i="6"/>
  <c r="AM244" i="6"/>
  <c r="AL244" i="6"/>
  <c r="AK244" i="6"/>
  <c r="AJ244" i="6"/>
  <c r="AI244" i="6"/>
  <c r="AH244" i="6"/>
  <c r="AG244" i="6"/>
  <c r="AF244" i="6"/>
  <c r="AE244" i="6"/>
  <c r="AD244" i="6"/>
  <c r="AB244" i="6"/>
  <c r="AA244" i="6"/>
  <c r="Z244" i="6"/>
  <c r="V244" i="6"/>
  <c r="U244" i="6"/>
  <c r="T244" i="6"/>
  <c r="S244" i="6"/>
  <c r="P244" i="6"/>
  <c r="L244" i="6"/>
  <c r="K244" i="6"/>
  <c r="E244" i="6"/>
  <c r="D244" i="6"/>
  <c r="B244" i="6"/>
  <c r="A244" i="6"/>
  <c r="DL243" i="6"/>
  <c r="DJ243" i="6"/>
  <c r="DI243" i="6"/>
  <c r="DH243" i="6"/>
  <c r="DG243" i="6"/>
  <c r="DF243" i="6"/>
  <c r="DE243" i="6"/>
  <c r="DC243" i="6"/>
  <c r="CY243" i="6"/>
  <c r="CW243" i="6"/>
  <c r="CU243" i="6"/>
  <c r="CS243" i="6"/>
  <c r="CO243" i="6"/>
  <c r="CK243" i="6"/>
  <c r="CI243" i="6"/>
  <c r="CH243" i="6"/>
  <c r="CG243" i="6"/>
  <c r="CF243" i="6"/>
  <c r="CE243" i="6"/>
  <c r="CD243" i="6"/>
  <c r="CC243" i="6"/>
  <c r="CA243" i="6"/>
  <c r="BY243" i="6"/>
  <c r="BW243" i="6"/>
  <c r="BU243" i="6"/>
  <c r="BS243" i="6"/>
  <c r="BQ243" i="6"/>
  <c r="BO243" i="6"/>
  <c r="BM243" i="6"/>
  <c r="BK243" i="6"/>
  <c r="BI243" i="6"/>
  <c r="BG243" i="6"/>
  <c r="BE243" i="6"/>
  <c r="BC243" i="6"/>
  <c r="BA243" i="6"/>
  <c r="AY243" i="6"/>
  <c r="AW243" i="6"/>
  <c r="AU243" i="6"/>
  <c r="AS243" i="6"/>
  <c r="AQ243" i="6"/>
  <c r="AO243" i="6"/>
  <c r="AN243" i="6"/>
  <c r="AM243" i="6"/>
  <c r="AL243" i="6"/>
  <c r="AK243" i="6"/>
  <c r="AJ243" i="6"/>
  <c r="AI243" i="6"/>
  <c r="AH243" i="6"/>
  <c r="AG243" i="6"/>
  <c r="AF243" i="6"/>
  <c r="AE243" i="6"/>
  <c r="AD243" i="6"/>
  <c r="AB243" i="6"/>
  <c r="AA243" i="6"/>
  <c r="Z243" i="6"/>
  <c r="V243" i="6"/>
  <c r="U243" i="6"/>
  <c r="T243" i="6"/>
  <c r="S243" i="6"/>
  <c r="P243" i="6"/>
  <c r="L243" i="6"/>
  <c r="K243" i="6"/>
  <c r="J243" i="6"/>
  <c r="E243" i="6"/>
  <c r="D243" i="6"/>
  <c r="B243" i="6"/>
  <c r="A243" i="6"/>
  <c r="DL242" i="6"/>
  <c r="DJ242" i="6"/>
  <c r="DI242" i="6"/>
  <c r="DH242" i="6"/>
  <c r="DE242" i="6"/>
  <c r="DC242" i="6"/>
  <c r="CY242" i="6"/>
  <c r="CW242" i="6"/>
  <c r="CU242" i="6"/>
  <c r="CS242" i="6"/>
  <c r="CK242" i="6"/>
  <c r="CI242" i="6"/>
  <c r="CG242" i="6"/>
  <c r="CF242" i="6"/>
  <c r="CE242" i="6"/>
  <c r="CD242" i="6"/>
  <c r="CC242" i="6"/>
  <c r="CA242" i="6"/>
  <c r="BY242" i="6"/>
  <c r="BW242" i="6"/>
  <c r="BU242" i="6"/>
  <c r="BS242" i="6"/>
  <c r="BQ242" i="6"/>
  <c r="BO242" i="6"/>
  <c r="BM242" i="6"/>
  <c r="BK242" i="6"/>
  <c r="BI242" i="6"/>
  <c r="BG242" i="6"/>
  <c r="BE242" i="6"/>
  <c r="BC242" i="6"/>
  <c r="BA242" i="6"/>
  <c r="AY242" i="6"/>
  <c r="AW242" i="6"/>
  <c r="AU242" i="6"/>
  <c r="AS242" i="6"/>
  <c r="AQ242" i="6"/>
  <c r="AO242" i="6"/>
  <c r="AM242" i="6"/>
  <c r="AK242" i="6"/>
  <c r="AI242" i="6"/>
  <c r="AG242" i="6"/>
  <c r="AF242" i="6"/>
  <c r="AE242" i="6"/>
  <c r="AD242" i="6"/>
  <c r="AB242" i="6"/>
  <c r="AA242" i="6"/>
  <c r="Z242" i="6"/>
  <c r="V242" i="6"/>
  <c r="U242" i="6"/>
  <c r="T242" i="6"/>
  <c r="S242" i="6"/>
  <c r="Q242" i="6"/>
  <c r="E242" i="6"/>
  <c r="D242" i="6"/>
  <c r="B242" i="6"/>
  <c r="A242" i="6"/>
  <c r="DL241" i="6"/>
  <c r="DJ241" i="6"/>
  <c r="DI241" i="6"/>
  <c r="DE241" i="6"/>
  <c r="DC241" i="6"/>
  <c r="CY241" i="6"/>
  <c r="CW241" i="6"/>
  <c r="CV241" i="6"/>
  <c r="CU241" i="6"/>
  <c r="CS241" i="6"/>
  <c r="CK241" i="6"/>
  <c r="CI241" i="6"/>
  <c r="CG241" i="6"/>
  <c r="CE241" i="6"/>
  <c r="CC241" i="6"/>
  <c r="CA241" i="6"/>
  <c r="BY241" i="6"/>
  <c r="BW241" i="6"/>
  <c r="BU241" i="6"/>
  <c r="BS241" i="6"/>
  <c r="BQ241" i="6"/>
  <c r="BO241" i="6"/>
  <c r="BM241" i="6"/>
  <c r="BK241" i="6"/>
  <c r="BI241" i="6"/>
  <c r="BG241" i="6"/>
  <c r="BE241" i="6"/>
  <c r="BC241" i="6"/>
  <c r="BA241" i="6"/>
  <c r="AY241" i="6"/>
  <c r="AW241" i="6"/>
  <c r="AU241" i="6"/>
  <c r="AS241" i="6"/>
  <c r="AQ241" i="6"/>
  <c r="AO241" i="6"/>
  <c r="AM241" i="6"/>
  <c r="AK241" i="6"/>
  <c r="AI241" i="6"/>
  <c r="AG241" i="6"/>
  <c r="AF241" i="6"/>
  <c r="AE241" i="6"/>
  <c r="AB241" i="6"/>
  <c r="AA241" i="6"/>
  <c r="Z241" i="6"/>
  <c r="V241" i="6"/>
  <c r="U241" i="6"/>
  <c r="T241" i="6"/>
  <c r="S241" i="6"/>
  <c r="E241" i="6"/>
  <c r="D241" i="6"/>
  <c r="B241" i="6"/>
  <c r="A241" i="6"/>
  <c r="DL240" i="6"/>
  <c r="DK240" i="6"/>
  <c r="DJ240" i="6"/>
  <c r="DI240" i="6"/>
  <c r="DE240" i="6"/>
  <c r="DC240" i="6"/>
  <c r="CY240" i="6"/>
  <c r="CW240" i="6"/>
  <c r="CU240" i="6"/>
  <c r="CS240" i="6"/>
  <c r="CK240" i="6"/>
  <c r="CI240" i="6"/>
  <c r="CG240" i="6"/>
  <c r="CE240" i="6"/>
  <c r="CC240" i="6"/>
  <c r="CA240" i="6"/>
  <c r="BY240" i="6"/>
  <c r="BW240" i="6"/>
  <c r="BU240" i="6"/>
  <c r="BS240" i="6"/>
  <c r="BQ240" i="6"/>
  <c r="BO240" i="6"/>
  <c r="BM240" i="6"/>
  <c r="BK240" i="6"/>
  <c r="BI240" i="6"/>
  <c r="BG240" i="6"/>
  <c r="BE240" i="6"/>
  <c r="BC240" i="6"/>
  <c r="BA240" i="6"/>
  <c r="AY240" i="6"/>
  <c r="AW240" i="6"/>
  <c r="AU240" i="6"/>
  <c r="AS240" i="6"/>
  <c r="AQ240" i="6"/>
  <c r="AO240" i="6"/>
  <c r="AM240" i="6"/>
  <c r="AK240" i="6"/>
  <c r="AJ240" i="6"/>
  <c r="AI240" i="6"/>
  <c r="AH240" i="6"/>
  <c r="AG240" i="6"/>
  <c r="AF240" i="6"/>
  <c r="AE240" i="6"/>
  <c r="AD240" i="6"/>
  <c r="AC240" i="6"/>
  <c r="AB240" i="6"/>
  <c r="AA240" i="6"/>
  <c r="Z240" i="6"/>
  <c r="V240" i="6"/>
  <c r="U240" i="6"/>
  <c r="T240" i="6"/>
  <c r="S240" i="6"/>
  <c r="L240" i="6"/>
  <c r="K240" i="6"/>
  <c r="E240" i="6"/>
  <c r="D240" i="6"/>
  <c r="B240" i="6"/>
  <c r="A240" i="6"/>
  <c r="DL239" i="6"/>
  <c r="DJ239" i="6"/>
  <c r="DI239" i="6"/>
  <c r="DE239" i="6"/>
  <c r="DC239" i="6"/>
  <c r="CY239" i="6"/>
  <c r="CW239" i="6"/>
  <c r="CU239" i="6"/>
  <c r="CS239" i="6"/>
  <c r="CR239" i="6"/>
  <c r="CK239" i="6"/>
  <c r="CI239" i="6"/>
  <c r="CG239" i="6"/>
  <c r="CE239" i="6"/>
  <c r="CC239" i="6"/>
  <c r="CA239" i="6"/>
  <c r="BY239" i="6"/>
  <c r="BW239" i="6"/>
  <c r="BU239" i="6"/>
  <c r="BS239" i="6"/>
  <c r="BQ239" i="6"/>
  <c r="BO239" i="6"/>
  <c r="BM239" i="6"/>
  <c r="BK239" i="6"/>
  <c r="BI239" i="6"/>
  <c r="BG239" i="6"/>
  <c r="BE239" i="6"/>
  <c r="BC239" i="6"/>
  <c r="BA239" i="6"/>
  <c r="AY239" i="6"/>
  <c r="AW239" i="6"/>
  <c r="AU239" i="6"/>
  <c r="AS239" i="6"/>
  <c r="AQ239" i="6"/>
  <c r="AO239" i="6"/>
  <c r="AM239" i="6"/>
  <c r="AK239" i="6"/>
  <c r="AI239" i="6"/>
  <c r="AG239" i="6"/>
  <c r="AF239" i="6"/>
  <c r="AE239" i="6"/>
  <c r="AD239" i="6"/>
  <c r="AB239" i="6"/>
  <c r="AA239" i="6"/>
  <c r="Z239" i="6"/>
  <c r="V239" i="6"/>
  <c r="U239" i="6"/>
  <c r="T239" i="6"/>
  <c r="S239" i="6"/>
  <c r="L239" i="6"/>
  <c r="K239" i="6"/>
  <c r="E239" i="6"/>
  <c r="D239" i="6"/>
  <c r="B239" i="6"/>
  <c r="A239" i="6"/>
  <c r="DL238" i="6"/>
  <c r="DJ238" i="6"/>
  <c r="DI238" i="6"/>
  <c r="DE238" i="6"/>
  <c r="DC238" i="6"/>
  <c r="CY238" i="6"/>
  <c r="CW238" i="6"/>
  <c r="CU238" i="6"/>
  <c r="CS238" i="6"/>
  <c r="CR238" i="6"/>
  <c r="CK238" i="6"/>
  <c r="CI238" i="6"/>
  <c r="CG238" i="6"/>
  <c r="CE238" i="6"/>
  <c r="CC238" i="6"/>
  <c r="CA238" i="6"/>
  <c r="BY238" i="6"/>
  <c r="BW238" i="6"/>
  <c r="BU238" i="6"/>
  <c r="BS238" i="6"/>
  <c r="BQ238" i="6"/>
  <c r="BO238" i="6"/>
  <c r="BM238" i="6"/>
  <c r="BK238" i="6"/>
  <c r="BI238" i="6"/>
  <c r="BG238" i="6"/>
  <c r="BE238" i="6"/>
  <c r="BC238" i="6"/>
  <c r="BA238" i="6"/>
  <c r="AY238" i="6"/>
  <c r="AW238" i="6"/>
  <c r="AU238" i="6"/>
  <c r="AS238" i="6"/>
  <c r="AQ238" i="6"/>
  <c r="AO238" i="6"/>
  <c r="AM238" i="6"/>
  <c r="AK238" i="6"/>
  <c r="AI238" i="6"/>
  <c r="AG238" i="6"/>
  <c r="AF238" i="6"/>
  <c r="AE238" i="6"/>
  <c r="AD238" i="6"/>
  <c r="AB238" i="6"/>
  <c r="AA238" i="6"/>
  <c r="Z238" i="6"/>
  <c r="V238" i="6"/>
  <c r="U238" i="6"/>
  <c r="T238" i="6"/>
  <c r="S238" i="6"/>
  <c r="L238" i="6"/>
  <c r="K238" i="6"/>
  <c r="E238" i="6"/>
  <c r="D238" i="6"/>
  <c r="B238" i="6"/>
  <c r="A238" i="6"/>
  <c r="DL237" i="6"/>
  <c r="DJ237" i="6"/>
  <c r="DI237" i="6"/>
  <c r="DH237" i="6"/>
  <c r="DG237" i="6"/>
  <c r="DF237" i="6"/>
  <c r="DE237" i="6"/>
  <c r="DC237" i="6"/>
  <c r="CY237" i="6"/>
  <c r="CW237" i="6"/>
  <c r="CU237" i="6"/>
  <c r="CS237" i="6"/>
  <c r="CK237" i="6"/>
  <c r="CJ237" i="6"/>
  <c r="CI237" i="6"/>
  <c r="CG237" i="6"/>
  <c r="CF237" i="6"/>
  <c r="CE237" i="6"/>
  <c r="CD237" i="6"/>
  <c r="CC237" i="6"/>
  <c r="CA237" i="6"/>
  <c r="BY237" i="6"/>
  <c r="BW237" i="6"/>
  <c r="BU237" i="6"/>
  <c r="BS237" i="6"/>
  <c r="BQ237" i="6"/>
  <c r="BO237" i="6"/>
  <c r="BM237" i="6"/>
  <c r="BK237" i="6"/>
  <c r="BI237" i="6"/>
  <c r="BG237" i="6"/>
  <c r="BE237" i="6"/>
  <c r="BC237" i="6"/>
  <c r="BA237" i="6"/>
  <c r="AY237" i="6"/>
  <c r="AW237" i="6"/>
  <c r="AU237" i="6"/>
  <c r="AS237" i="6"/>
  <c r="AQ237" i="6"/>
  <c r="AO237" i="6"/>
  <c r="AM237" i="6"/>
  <c r="AK237" i="6"/>
  <c r="AJ237" i="6"/>
  <c r="AI237" i="6"/>
  <c r="AH237" i="6"/>
  <c r="AG237" i="6"/>
  <c r="AF237" i="6"/>
  <c r="AE237" i="6"/>
  <c r="AD237" i="6"/>
  <c r="AB237" i="6"/>
  <c r="AA237" i="6"/>
  <c r="Z237" i="6"/>
  <c r="V237" i="6"/>
  <c r="U237" i="6"/>
  <c r="T237" i="6"/>
  <c r="S237" i="6"/>
  <c r="Q237" i="6"/>
  <c r="E237" i="6"/>
  <c r="D237" i="6"/>
  <c r="B237" i="6"/>
  <c r="A237" i="6"/>
  <c r="DL236" i="6"/>
  <c r="DJ236" i="6"/>
  <c r="DI236" i="6"/>
  <c r="DE236" i="6"/>
  <c r="DC236" i="6"/>
  <c r="CY236" i="6"/>
  <c r="CW236" i="6"/>
  <c r="CU236" i="6"/>
  <c r="CS236" i="6"/>
  <c r="CK236" i="6"/>
  <c r="CI236" i="6"/>
  <c r="CG236" i="6"/>
  <c r="CE236" i="6"/>
  <c r="CC236" i="6"/>
  <c r="CA236" i="6"/>
  <c r="BY236" i="6"/>
  <c r="BW236" i="6"/>
  <c r="BU236" i="6"/>
  <c r="BS236" i="6"/>
  <c r="BQ236" i="6"/>
  <c r="BO236" i="6"/>
  <c r="BM236" i="6"/>
  <c r="BK236" i="6"/>
  <c r="BI236" i="6"/>
  <c r="BG236" i="6"/>
  <c r="BE236" i="6"/>
  <c r="BC236" i="6"/>
  <c r="BA236" i="6"/>
  <c r="AY236" i="6"/>
  <c r="AW236" i="6"/>
  <c r="AU236" i="6"/>
  <c r="AS236" i="6"/>
  <c r="AQ236" i="6"/>
  <c r="AO236" i="6"/>
  <c r="AM236" i="6"/>
  <c r="AK236" i="6"/>
  <c r="AJ236" i="6"/>
  <c r="AI236" i="6"/>
  <c r="AH236" i="6"/>
  <c r="AG236" i="6"/>
  <c r="AF236" i="6"/>
  <c r="AE236" i="6"/>
  <c r="AD236" i="6"/>
  <c r="AB236" i="6"/>
  <c r="AA236" i="6"/>
  <c r="Z236" i="6"/>
  <c r="V236" i="6"/>
  <c r="U236" i="6"/>
  <c r="T236" i="6"/>
  <c r="S236" i="6"/>
  <c r="L236" i="6"/>
  <c r="K236" i="6"/>
  <c r="J236" i="6"/>
  <c r="E236" i="6"/>
  <c r="D236" i="6"/>
  <c r="B236" i="6"/>
  <c r="A236" i="6"/>
  <c r="DL235" i="6"/>
  <c r="DJ235" i="6"/>
  <c r="DI235" i="6"/>
  <c r="DE235" i="6"/>
  <c r="DC235" i="6"/>
  <c r="CY235" i="6"/>
  <c r="CW235" i="6"/>
  <c r="CU235" i="6"/>
  <c r="CS235" i="6"/>
  <c r="CK235" i="6"/>
  <c r="CI235" i="6"/>
  <c r="CG235" i="6"/>
  <c r="CE235" i="6"/>
  <c r="CC235" i="6"/>
  <c r="CA235" i="6"/>
  <c r="BY235" i="6"/>
  <c r="BW235" i="6"/>
  <c r="BU235" i="6"/>
  <c r="BS235" i="6"/>
  <c r="BQ235" i="6"/>
  <c r="BO235" i="6"/>
  <c r="BM235" i="6"/>
  <c r="BK235" i="6"/>
  <c r="BI235" i="6"/>
  <c r="BG235" i="6"/>
  <c r="BE235" i="6"/>
  <c r="BC235" i="6"/>
  <c r="BA235" i="6"/>
  <c r="AY235" i="6"/>
  <c r="AW235" i="6"/>
  <c r="AU235" i="6"/>
  <c r="AS235" i="6"/>
  <c r="AQ235" i="6"/>
  <c r="AO235" i="6"/>
  <c r="AM235" i="6"/>
  <c r="AK235" i="6"/>
  <c r="AI235" i="6"/>
  <c r="AG235" i="6"/>
  <c r="AF235" i="6"/>
  <c r="AE235" i="6"/>
  <c r="AD235" i="6"/>
  <c r="AB235" i="6"/>
  <c r="AA235" i="6"/>
  <c r="Z235" i="6"/>
  <c r="V235" i="6"/>
  <c r="U235" i="6"/>
  <c r="T235" i="6"/>
  <c r="S235" i="6"/>
  <c r="L235" i="6"/>
  <c r="K235" i="6"/>
  <c r="F235" i="6"/>
  <c r="E235" i="6"/>
  <c r="D235" i="6"/>
  <c r="B235" i="6"/>
  <c r="A235" i="6"/>
  <c r="DL234" i="6"/>
  <c r="DJ234" i="6"/>
  <c r="DI234" i="6"/>
  <c r="DE234" i="6"/>
  <c r="DC234" i="6"/>
  <c r="CY234" i="6"/>
  <c r="CW234" i="6"/>
  <c r="CU234" i="6"/>
  <c r="CS234" i="6"/>
  <c r="CK234" i="6"/>
  <c r="CI234" i="6"/>
  <c r="CG234" i="6"/>
  <c r="CE234" i="6"/>
  <c r="CC234" i="6"/>
  <c r="CA234" i="6"/>
  <c r="BY234" i="6"/>
  <c r="BW234" i="6"/>
  <c r="BU234" i="6"/>
  <c r="BS234" i="6"/>
  <c r="BQ234" i="6"/>
  <c r="BO234" i="6"/>
  <c r="BM234" i="6"/>
  <c r="BK234" i="6"/>
  <c r="BI234" i="6"/>
  <c r="BG234" i="6"/>
  <c r="BE234" i="6"/>
  <c r="BC234" i="6"/>
  <c r="BA234" i="6"/>
  <c r="AY234" i="6"/>
  <c r="AW234" i="6"/>
  <c r="AU234" i="6"/>
  <c r="AS234" i="6"/>
  <c r="AQ234" i="6"/>
  <c r="AO234" i="6"/>
  <c r="AM234" i="6"/>
  <c r="AK234" i="6"/>
  <c r="AI234" i="6"/>
  <c r="AG234" i="6"/>
  <c r="AF234" i="6"/>
  <c r="AE234" i="6"/>
  <c r="AD234" i="6"/>
  <c r="AB234" i="6"/>
  <c r="AA234" i="6"/>
  <c r="Z234" i="6"/>
  <c r="V234" i="6"/>
  <c r="U234" i="6"/>
  <c r="T234" i="6"/>
  <c r="S234" i="6"/>
  <c r="L234" i="6"/>
  <c r="K234" i="6"/>
  <c r="E234" i="6"/>
  <c r="D234" i="6"/>
  <c r="B234" i="6"/>
  <c r="A234" i="6"/>
  <c r="DL233" i="6"/>
  <c r="DJ233" i="6"/>
  <c r="DI233" i="6"/>
  <c r="DE233" i="6"/>
  <c r="DC233" i="6"/>
  <c r="CY233" i="6"/>
  <c r="CW233" i="6"/>
  <c r="CU233" i="6"/>
  <c r="CS233" i="6"/>
  <c r="CK233" i="6"/>
  <c r="CI233" i="6"/>
  <c r="CG233" i="6"/>
  <c r="CE233" i="6"/>
  <c r="CC233" i="6"/>
  <c r="CA233" i="6"/>
  <c r="BY233" i="6"/>
  <c r="BW233" i="6"/>
  <c r="BU233" i="6"/>
  <c r="BS233" i="6"/>
  <c r="BQ233" i="6"/>
  <c r="BO233" i="6"/>
  <c r="BM233" i="6"/>
  <c r="BK233" i="6"/>
  <c r="BI233" i="6"/>
  <c r="BG233" i="6"/>
  <c r="BE233" i="6"/>
  <c r="BC233" i="6"/>
  <c r="BA233" i="6"/>
  <c r="AY233" i="6"/>
  <c r="AW233" i="6"/>
  <c r="AU233" i="6"/>
  <c r="AS233" i="6"/>
  <c r="AQ233" i="6"/>
  <c r="AO233" i="6"/>
  <c r="AM233" i="6"/>
  <c r="AK233" i="6"/>
  <c r="AI233" i="6"/>
  <c r="AG233" i="6"/>
  <c r="AF233" i="6"/>
  <c r="AE233" i="6"/>
  <c r="AD233" i="6"/>
  <c r="AB233" i="6"/>
  <c r="AA233" i="6"/>
  <c r="Z233" i="6"/>
  <c r="V233" i="6"/>
  <c r="U233" i="6"/>
  <c r="T233" i="6"/>
  <c r="S233" i="6"/>
  <c r="L233" i="6"/>
  <c r="K233" i="6"/>
  <c r="E233" i="6"/>
  <c r="D233" i="6"/>
  <c r="B233" i="6"/>
  <c r="A233" i="6"/>
  <c r="DL232" i="6"/>
  <c r="DJ232" i="6"/>
  <c r="DI232" i="6"/>
  <c r="DE232" i="6"/>
  <c r="DC232" i="6"/>
  <c r="CY232" i="6"/>
  <c r="CW232" i="6"/>
  <c r="CU232" i="6"/>
  <c r="CS232" i="6"/>
  <c r="CK232" i="6"/>
  <c r="CI232" i="6"/>
  <c r="CG232" i="6"/>
  <c r="CE232" i="6"/>
  <c r="CC232" i="6"/>
  <c r="CA232" i="6"/>
  <c r="BY232" i="6"/>
  <c r="BW232" i="6"/>
  <c r="BU232" i="6"/>
  <c r="BS232" i="6"/>
  <c r="BQ232" i="6"/>
  <c r="BO232" i="6"/>
  <c r="BM232" i="6"/>
  <c r="BK232" i="6"/>
  <c r="BI232" i="6"/>
  <c r="BG232" i="6"/>
  <c r="BE232" i="6"/>
  <c r="BC232" i="6"/>
  <c r="BA232" i="6"/>
  <c r="AY232" i="6"/>
  <c r="AW232" i="6"/>
  <c r="AU232" i="6"/>
  <c r="AS232" i="6"/>
  <c r="AQ232" i="6"/>
  <c r="AO232" i="6"/>
  <c r="AM232" i="6"/>
  <c r="AK232" i="6"/>
  <c r="AI232" i="6"/>
  <c r="AG232" i="6"/>
  <c r="AF232" i="6"/>
  <c r="AE232" i="6"/>
  <c r="AB232" i="6"/>
  <c r="AA232" i="6"/>
  <c r="Z232" i="6"/>
  <c r="V232" i="6"/>
  <c r="U232" i="6"/>
  <c r="T232" i="6"/>
  <c r="S232" i="6"/>
  <c r="E232" i="6"/>
  <c r="D232" i="6"/>
  <c r="C232" i="6"/>
  <c r="B232" i="6"/>
  <c r="A232" i="6"/>
  <c r="DL231" i="6"/>
  <c r="DJ231" i="6"/>
  <c r="DI231" i="6"/>
  <c r="DE231" i="6"/>
  <c r="DD231" i="6"/>
  <c r="DC231" i="6"/>
  <c r="DA231" i="6"/>
  <c r="CY231" i="6"/>
  <c r="CX231" i="6"/>
  <c r="CW231" i="6"/>
  <c r="CV231" i="6"/>
  <c r="CU231" i="6"/>
  <c r="CS231" i="6"/>
  <c r="CK231" i="6"/>
  <c r="CI231" i="6"/>
  <c r="CG231" i="6"/>
  <c r="CE231" i="6"/>
  <c r="CC231" i="6"/>
  <c r="CA231" i="6"/>
  <c r="BY231" i="6"/>
  <c r="BW231" i="6"/>
  <c r="BU231" i="6"/>
  <c r="BS231" i="6"/>
  <c r="BQ231" i="6"/>
  <c r="BO231" i="6"/>
  <c r="BM231" i="6"/>
  <c r="BK231" i="6"/>
  <c r="BI231" i="6"/>
  <c r="BG231" i="6"/>
  <c r="BE231" i="6"/>
  <c r="BC231" i="6"/>
  <c r="BA231" i="6"/>
  <c r="AY231" i="6"/>
  <c r="AW231" i="6"/>
  <c r="AU231" i="6"/>
  <c r="AS231" i="6"/>
  <c r="AQ231" i="6"/>
  <c r="AO231" i="6"/>
  <c r="AM231" i="6"/>
  <c r="AK231" i="6"/>
  <c r="AI231" i="6"/>
  <c r="AG231" i="6"/>
  <c r="AF231" i="6"/>
  <c r="AE231" i="6"/>
  <c r="AD231" i="6"/>
  <c r="AB231" i="6"/>
  <c r="AA231" i="6"/>
  <c r="Z231" i="6"/>
  <c r="V231" i="6"/>
  <c r="U231" i="6"/>
  <c r="T231" i="6"/>
  <c r="S231" i="6"/>
  <c r="L231" i="6"/>
  <c r="K231" i="6"/>
  <c r="E231" i="6"/>
  <c r="D231" i="6"/>
  <c r="B231" i="6"/>
  <c r="A231" i="6"/>
  <c r="DL230" i="6"/>
  <c r="DJ230" i="6"/>
  <c r="DI230" i="6"/>
  <c r="DH230" i="6"/>
  <c r="DE230" i="6"/>
  <c r="DC230" i="6"/>
  <c r="CY230" i="6"/>
  <c r="CW230" i="6"/>
  <c r="CV230" i="6"/>
  <c r="CU230" i="6"/>
  <c r="CS230" i="6"/>
  <c r="CK230" i="6"/>
  <c r="CI230" i="6"/>
  <c r="CG230" i="6"/>
  <c r="CF230" i="6"/>
  <c r="CE230" i="6"/>
  <c r="CD230" i="6"/>
  <c r="CC230" i="6"/>
  <c r="CA230" i="6"/>
  <c r="BY230" i="6"/>
  <c r="BW230" i="6"/>
  <c r="BU230" i="6"/>
  <c r="BS230" i="6"/>
  <c r="BQ230" i="6"/>
  <c r="BO230" i="6"/>
  <c r="BM230" i="6"/>
  <c r="BK230" i="6"/>
  <c r="BI230" i="6"/>
  <c r="BG230" i="6"/>
  <c r="BE230" i="6"/>
  <c r="BC230" i="6"/>
  <c r="BA230" i="6"/>
  <c r="AY230" i="6"/>
  <c r="AW230" i="6"/>
  <c r="AU230" i="6"/>
  <c r="AS230" i="6"/>
  <c r="AQ230" i="6"/>
  <c r="AO230" i="6"/>
  <c r="AM230" i="6"/>
  <c r="AK230" i="6"/>
  <c r="AI230" i="6"/>
  <c r="AG230" i="6"/>
  <c r="AF230" i="6"/>
  <c r="AE230" i="6"/>
  <c r="AB230" i="6"/>
  <c r="AA230" i="6"/>
  <c r="Z230" i="6"/>
  <c r="V230" i="6"/>
  <c r="U230" i="6"/>
  <c r="T230" i="6"/>
  <c r="S230" i="6"/>
  <c r="L230" i="6"/>
  <c r="K230" i="6"/>
  <c r="E230" i="6"/>
  <c r="D230" i="6"/>
  <c r="B230" i="6"/>
  <c r="A230" i="6"/>
  <c r="DL229" i="6"/>
  <c r="DJ229" i="6"/>
  <c r="DI229" i="6"/>
  <c r="DH229" i="6"/>
  <c r="DG229" i="6"/>
  <c r="DF229" i="6"/>
  <c r="DE229" i="6"/>
  <c r="DC229" i="6"/>
  <c r="CY229" i="6"/>
  <c r="CW229" i="6"/>
  <c r="CU229" i="6"/>
  <c r="CS229" i="6"/>
  <c r="CK229" i="6"/>
  <c r="CI229" i="6"/>
  <c r="CH229" i="6"/>
  <c r="CG229" i="6"/>
  <c r="CF229" i="6"/>
  <c r="CE229" i="6"/>
  <c r="CD229" i="6"/>
  <c r="CC229" i="6"/>
  <c r="CA229" i="6"/>
  <c r="BY229" i="6"/>
  <c r="BW229" i="6"/>
  <c r="BU229" i="6"/>
  <c r="BS229" i="6"/>
  <c r="BQ229" i="6"/>
  <c r="BO229" i="6"/>
  <c r="BM229" i="6"/>
  <c r="BK229" i="6"/>
  <c r="BI229" i="6"/>
  <c r="BG229" i="6"/>
  <c r="BE229" i="6"/>
  <c r="BC229" i="6"/>
  <c r="BA229" i="6"/>
  <c r="AY229" i="6"/>
  <c r="AW229" i="6"/>
  <c r="AU229" i="6"/>
  <c r="AS229" i="6"/>
  <c r="AQ229" i="6"/>
  <c r="AO229" i="6"/>
  <c r="AN229" i="6"/>
  <c r="AM229" i="6"/>
  <c r="AL229" i="6"/>
  <c r="AK229" i="6"/>
  <c r="AJ229" i="6"/>
  <c r="AI229" i="6"/>
  <c r="AH229" i="6"/>
  <c r="AG229" i="6"/>
  <c r="AF229" i="6"/>
  <c r="AE229" i="6"/>
  <c r="AD229" i="6"/>
  <c r="AB229" i="6"/>
  <c r="AA229" i="6"/>
  <c r="Z229" i="6"/>
  <c r="V229" i="6"/>
  <c r="U229" i="6"/>
  <c r="T229" i="6"/>
  <c r="S229" i="6"/>
  <c r="Q229" i="6"/>
  <c r="F229" i="6"/>
  <c r="E229" i="6"/>
  <c r="D229" i="6"/>
  <c r="B229" i="6"/>
  <c r="A229" i="6"/>
  <c r="DL228" i="6"/>
  <c r="DJ228" i="6"/>
  <c r="DI228" i="6"/>
  <c r="DH228" i="6"/>
  <c r="DG228" i="6"/>
  <c r="DF228" i="6"/>
  <c r="DE228" i="6"/>
  <c r="DC228" i="6"/>
  <c r="CY228" i="6"/>
  <c r="CW228" i="6"/>
  <c r="CU228" i="6"/>
  <c r="CS228" i="6"/>
  <c r="CR228" i="6"/>
  <c r="CK228" i="6"/>
  <c r="CJ228" i="6"/>
  <c r="CI228" i="6"/>
  <c r="CG228" i="6"/>
  <c r="CF228" i="6"/>
  <c r="CE228" i="6"/>
  <c r="CD228" i="6"/>
  <c r="CC228" i="6"/>
  <c r="CA228" i="6"/>
  <c r="BY228" i="6"/>
  <c r="BW228" i="6"/>
  <c r="BU228" i="6"/>
  <c r="BS228" i="6"/>
  <c r="BQ228" i="6"/>
  <c r="BO228" i="6"/>
  <c r="BM228" i="6"/>
  <c r="BK228" i="6"/>
  <c r="BI228" i="6"/>
  <c r="BG228" i="6"/>
  <c r="BE228" i="6"/>
  <c r="BC228" i="6"/>
  <c r="BA228" i="6"/>
  <c r="AY228" i="6"/>
  <c r="AW228" i="6"/>
  <c r="AU228" i="6"/>
  <c r="AS228" i="6"/>
  <c r="AR228" i="6"/>
  <c r="AQ228" i="6"/>
  <c r="AP228" i="6"/>
  <c r="AO228" i="6"/>
  <c r="AN228" i="6"/>
  <c r="AM228" i="6"/>
  <c r="AL228" i="6"/>
  <c r="AK228" i="6"/>
  <c r="AJ228" i="6"/>
  <c r="AI228" i="6"/>
  <c r="AH228" i="6"/>
  <c r="AG228" i="6"/>
  <c r="AF228" i="6"/>
  <c r="AE228" i="6"/>
  <c r="AD228" i="6"/>
  <c r="AB228" i="6"/>
  <c r="AA228" i="6"/>
  <c r="Z228" i="6"/>
  <c r="V228" i="6"/>
  <c r="U228" i="6"/>
  <c r="T228" i="6"/>
  <c r="S228" i="6"/>
  <c r="L228" i="6"/>
  <c r="K228" i="6"/>
  <c r="E228" i="6"/>
  <c r="D228" i="6"/>
  <c r="B228" i="6"/>
  <c r="A228" i="6"/>
  <c r="DL227" i="6"/>
  <c r="DJ227" i="6"/>
  <c r="DI227" i="6"/>
  <c r="DH227" i="6"/>
  <c r="DE227" i="6"/>
  <c r="DC227" i="6"/>
  <c r="CY227" i="6"/>
  <c r="CW227" i="6"/>
  <c r="CU227" i="6"/>
  <c r="CS227" i="6"/>
  <c r="CK227" i="6"/>
  <c r="CI227" i="6"/>
  <c r="CG227" i="6"/>
  <c r="CF227" i="6"/>
  <c r="CE227" i="6"/>
  <c r="CD227" i="6"/>
  <c r="CC227" i="6"/>
  <c r="CA227" i="6"/>
  <c r="BY227" i="6"/>
  <c r="BW227" i="6"/>
  <c r="BU227" i="6"/>
  <c r="BS227" i="6"/>
  <c r="BQ227" i="6"/>
  <c r="BO227" i="6"/>
  <c r="BM227" i="6"/>
  <c r="BK227" i="6"/>
  <c r="BI227" i="6"/>
  <c r="BG227" i="6"/>
  <c r="BE227" i="6"/>
  <c r="BC227" i="6"/>
  <c r="BA227" i="6"/>
  <c r="AY227" i="6"/>
  <c r="AW227" i="6"/>
  <c r="AU227" i="6"/>
  <c r="AS227" i="6"/>
  <c r="AQ227" i="6"/>
  <c r="AO227" i="6"/>
  <c r="AM227" i="6"/>
  <c r="AK227" i="6"/>
  <c r="AI227" i="6"/>
  <c r="AG227" i="6"/>
  <c r="AF227" i="6"/>
  <c r="AE227" i="6"/>
  <c r="AB227" i="6"/>
  <c r="AA227" i="6"/>
  <c r="Z227" i="6"/>
  <c r="V227" i="6"/>
  <c r="U227" i="6"/>
  <c r="T227" i="6"/>
  <c r="S227" i="6"/>
  <c r="Q227" i="6"/>
  <c r="E227" i="6"/>
  <c r="D227" i="6"/>
  <c r="B227" i="6"/>
  <c r="A227" i="6"/>
  <c r="DL226" i="6"/>
  <c r="DJ226" i="6"/>
  <c r="DI226" i="6"/>
  <c r="DE226" i="6"/>
  <c r="DC226" i="6"/>
  <c r="CY226" i="6"/>
  <c r="CW226" i="6"/>
  <c r="CU226" i="6"/>
  <c r="CS226" i="6"/>
  <c r="CK226" i="6"/>
  <c r="CI226" i="6"/>
  <c r="CG226" i="6"/>
  <c r="CE226" i="6"/>
  <c r="CC226" i="6"/>
  <c r="CA226" i="6"/>
  <c r="BY226" i="6"/>
  <c r="BW226" i="6"/>
  <c r="BU226" i="6"/>
  <c r="BS226" i="6"/>
  <c r="BQ226" i="6"/>
  <c r="BO226" i="6"/>
  <c r="BM226" i="6"/>
  <c r="BK226" i="6"/>
  <c r="BI226" i="6"/>
  <c r="BG226" i="6"/>
  <c r="BE226" i="6"/>
  <c r="BC226" i="6"/>
  <c r="BA226" i="6"/>
  <c r="AY226" i="6"/>
  <c r="AW226" i="6"/>
  <c r="AU226" i="6"/>
  <c r="AS226" i="6"/>
  <c r="AQ226" i="6"/>
  <c r="AO226" i="6"/>
  <c r="AM226" i="6"/>
  <c r="AK226" i="6"/>
  <c r="AJ226" i="6"/>
  <c r="AI226" i="6"/>
  <c r="AH226" i="6"/>
  <c r="AG226" i="6"/>
  <c r="AF226" i="6"/>
  <c r="AE226" i="6"/>
  <c r="AD226" i="6"/>
  <c r="AC226" i="6"/>
  <c r="AB226" i="6"/>
  <c r="AA226" i="6"/>
  <c r="Z226" i="6"/>
  <c r="V226" i="6"/>
  <c r="U226" i="6"/>
  <c r="T226" i="6"/>
  <c r="S226" i="6"/>
  <c r="L226" i="6"/>
  <c r="K226" i="6"/>
  <c r="E226" i="6"/>
  <c r="D226" i="6"/>
  <c r="B226" i="6"/>
  <c r="A226" i="6"/>
  <c r="DL225" i="6"/>
  <c r="DJ225" i="6"/>
  <c r="DI225" i="6"/>
  <c r="DH225" i="6"/>
  <c r="DE225" i="6"/>
  <c r="DC225" i="6"/>
  <c r="CY225" i="6"/>
  <c r="CW225" i="6"/>
  <c r="CU225" i="6"/>
  <c r="CS225" i="6"/>
  <c r="CK225" i="6"/>
  <c r="CI225" i="6"/>
  <c r="CG225" i="6"/>
  <c r="CF225" i="6"/>
  <c r="CE225" i="6"/>
  <c r="CD225" i="6"/>
  <c r="CC225" i="6"/>
  <c r="CA225" i="6"/>
  <c r="BY225" i="6"/>
  <c r="BW225" i="6"/>
  <c r="BU225" i="6"/>
  <c r="BS225" i="6"/>
  <c r="BQ225" i="6"/>
  <c r="BO225" i="6"/>
  <c r="BM225" i="6"/>
  <c r="BK225" i="6"/>
  <c r="BI225" i="6"/>
  <c r="BG225" i="6"/>
  <c r="BE225" i="6"/>
  <c r="BC225" i="6"/>
  <c r="BA225" i="6"/>
  <c r="AY225" i="6"/>
  <c r="AW225" i="6"/>
  <c r="AU225" i="6"/>
  <c r="AS225" i="6"/>
  <c r="AQ225" i="6"/>
  <c r="AO225" i="6"/>
  <c r="AM225" i="6"/>
  <c r="AK225" i="6"/>
  <c r="AJ225" i="6"/>
  <c r="AI225" i="6"/>
  <c r="AH225" i="6"/>
  <c r="AG225" i="6"/>
  <c r="AF225" i="6"/>
  <c r="AE225" i="6"/>
  <c r="AB225" i="6"/>
  <c r="AA225" i="6"/>
  <c r="Z225" i="6"/>
  <c r="V225" i="6"/>
  <c r="U225" i="6"/>
  <c r="T225" i="6"/>
  <c r="S225" i="6"/>
  <c r="Q225" i="6"/>
  <c r="E225" i="6"/>
  <c r="D225" i="6"/>
  <c r="B225" i="6"/>
  <c r="A225" i="6"/>
  <c r="DL224" i="6"/>
  <c r="DJ224" i="6"/>
  <c r="DI224" i="6"/>
  <c r="DH224" i="6"/>
  <c r="DE224" i="6"/>
  <c r="DC224" i="6"/>
  <c r="CY224" i="6"/>
  <c r="CW224" i="6"/>
  <c r="CU224" i="6"/>
  <c r="CS224" i="6"/>
  <c r="CK224" i="6"/>
  <c r="CI224" i="6"/>
  <c r="CG224" i="6"/>
  <c r="CF224" i="6"/>
  <c r="CE224" i="6"/>
  <c r="CD224" i="6"/>
  <c r="CC224" i="6"/>
  <c r="CA224" i="6"/>
  <c r="BY224" i="6"/>
  <c r="BW224" i="6"/>
  <c r="BU224" i="6"/>
  <c r="BS224" i="6"/>
  <c r="BQ224" i="6"/>
  <c r="BO224" i="6"/>
  <c r="BM224" i="6"/>
  <c r="BK224" i="6"/>
  <c r="BI224" i="6"/>
  <c r="BG224" i="6"/>
  <c r="BE224" i="6"/>
  <c r="BD224" i="6"/>
  <c r="BC224" i="6"/>
  <c r="BB224" i="6"/>
  <c r="BA224" i="6"/>
  <c r="AZ224" i="6"/>
  <c r="AY224" i="6"/>
  <c r="AX224" i="6"/>
  <c r="AW224" i="6"/>
  <c r="AV224" i="6"/>
  <c r="AU224" i="6"/>
  <c r="AT224" i="6"/>
  <c r="AS224" i="6"/>
  <c r="AR224" i="6"/>
  <c r="AQ224" i="6"/>
  <c r="AP224" i="6"/>
  <c r="AO224" i="6"/>
  <c r="AN224" i="6"/>
  <c r="AM224" i="6"/>
  <c r="AL224" i="6"/>
  <c r="AK224" i="6"/>
  <c r="AJ224" i="6"/>
  <c r="AI224" i="6"/>
  <c r="AH224" i="6"/>
  <c r="AG224" i="6"/>
  <c r="AF224" i="6"/>
  <c r="AE224" i="6"/>
  <c r="AB224" i="6"/>
  <c r="AA224" i="6"/>
  <c r="Z224" i="6"/>
  <c r="V224" i="6"/>
  <c r="U224" i="6"/>
  <c r="T224" i="6"/>
  <c r="S224" i="6"/>
  <c r="L224" i="6"/>
  <c r="K224" i="6"/>
  <c r="E224" i="6"/>
  <c r="D224" i="6"/>
  <c r="B224" i="6"/>
  <c r="A224" i="6"/>
  <c r="DL223" i="6"/>
  <c r="DJ223" i="6"/>
  <c r="DI223" i="6"/>
  <c r="DH223" i="6"/>
  <c r="DG223" i="6"/>
  <c r="DF223" i="6"/>
  <c r="DE223" i="6"/>
  <c r="DC223" i="6"/>
  <c r="DB223" i="6"/>
  <c r="DA223" i="6"/>
  <c r="CY223" i="6"/>
  <c r="CX223" i="6"/>
  <c r="CW223" i="6"/>
  <c r="CV223" i="6"/>
  <c r="CU223" i="6"/>
  <c r="CS223" i="6"/>
  <c r="CO223" i="6"/>
  <c r="CK223" i="6"/>
  <c r="CI223" i="6"/>
  <c r="CG223" i="6"/>
  <c r="CF223" i="6"/>
  <c r="CE223" i="6"/>
  <c r="CD223" i="6"/>
  <c r="CC223" i="6"/>
  <c r="CA223" i="6"/>
  <c r="BY223" i="6"/>
  <c r="BW223" i="6"/>
  <c r="BU223" i="6"/>
  <c r="BS223" i="6"/>
  <c r="BQ223" i="6"/>
  <c r="BO223" i="6"/>
  <c r="BM223" i="6"/>
  <c r="BK223" i="6"/>
  <c r="BI223" i="6"/>
  <c r="BG223" i="6"/>
  <c r="BE223" i="6"/>
  <c r="BC223" i="6"/>
  <c r="BA223" i="6"/>
  <c r="AY223" i="6"/>
  <c r="AW223" i="6"/>
  <c r="AU223" i="6"/>
  <c r="AS223" i="6"/>
  <c r="AQ223" i="6"/>
  <c r="AO223" i="6"/>
  <c r="AM223" i="6"/>
  <c r="AK223" i="6"/>
  <c r="AJ223" i="6"/>
  <c r="AI223" i="6"/>
  <c r="AH223" i="6"/>
  <c r="AG223" i="6"/>
  <c r="AF223" i="6"/>
  <c r="AE223" i="6"/>
  <c r="AD223" i="6"/>
  <c r="AB223" i="6"/>
  <c r="AA223" i="6"/>
  <c r="Z223" i="6"/>
  <c r="V223" i="6"/>
  <c r="U223" i="6"/>
  <c r="T223" i="6"/>
  <c r="S223" i="6"/>
  <c r="Q223" i="6"/>
  <c r="P223" i="6"/>
  <c r="L223" i="6"/>
  <c r="K223" i="6"/>
  <c r="J223" i="6"/>
  <c r="F223" i="6"/>
  <c r="E223" i="6"/>
  <c r="D223" i="6"/>
  <c r="B223" i="6"/>
  <c r="A223" i="6"/>
  <c r="DL222" i="6"/>
  <c r="DJ222" i="6"/>
  <c r="DI222" i="6"/>
  <c r="DH222" i="6"/>
  <c r="DE222" i="6"/>
  <c r="DC222" i="6"/>
  <c r="CY222" i="6"/>
  <c r="CW222" i="6"/>
  <c r="CV222" i="6"/>
  <c r="CU222" i="6"/>
  <c r="CS222" i="6"/>
  <c r="CK222" i="6"/>
  <c r="CI222" i="6"/>
  <c r="CG222" i="6"/>
  <c r="CF222" i="6"/>
  <c r="CE222" i="6"/>
  <c r="CD222" i="6"/>
  <c r="CC222" i="6"/>
  <c r="CA222" i="6"/>
  <c r="BY222" i="6"/>
  <c r="BW222" i="6"/>
  <c r="BU222" i="6"/>
  <c r="BS222" i="6"/>
  <c r="BQ222" i="6"/>
  <c r="BO222" i="6"/>
  <c r="BM222" i="6"/>
  <c r="BK222" i="6"/>
  <c r="BI222" i="6"/>
  <c r="BG222" i="6"/>
  <c r="BE222" i="6"/>
  <c r="BC222" i="6"/>
  <c r="BA222" i="6"/>
  <c r="AY222" i="6"/>
  <c r="AW222" i="6"/>
  <c r="AU222" i="6"/>
  <c r="AS222" i="6"/>
  <c r="AQ222" i="6"/>
  <c r="AO222" i="6"/>
  <c r="AM222" i="6"/>
  <c r="AK222" i="6"/>
  <c r="AI222" i="6"/>
  <c r="AG222" i="6"/>
  <c r="AF222" i="6"/>
  <c r="AE222" i="6"/>
  <c r="AB222" i="6"/>
  <c r="AA222" i="6"/>
  <c r="Z222" i="6"/>
  <c r="V222" i="6"/>
  <c r="U222" i="6"/>
  <c r="T222" i="6"/>
  <c r="S222" i="6"/>
  <c r="Q222" i="6"/>
  <c r="E222" i="6"/>
  <c r="D222" i="6"/>
  <c r="B222" i="6"/>
  <c r="A222" i="6"/>
  <c r="DL221" i="6"/>
  <c r="DJ221" i="6"/>
  <c r="DI221" i="6"/>
  <c r="DH221" i="6"/>
  <c r="DG221" i="6"/>
  <c r="DF221" i="6"/>
  <c r="DE221" i="6"/>
  <c r="DC221" i="6"/>
  <c r="CY221" i="6"/>
  <c r="CW221" i="6"/>
  <c r="CV221" i="6"/>
  <c r="CU221" i="6"/>
  <c r="CS221" i="6"/>
  <c r="CK221" i="6"/>
  <c r="CJ221" i="6"/>
  <c r="CI221" i="6"/>
  <c r="CH221" i="6"/>
  <c r="CG221" i="6"/>
  <c r="CF221" i="6"/>
  <c r="CE221" i="6"/>
  <c r="CD221" i="6"/>
  <c r="CC221" i="6"/>
  <c r="CA221" i="6"/>
  <c r="BY221" i="6"/>
  <c r="BW221" i="6"/>
  <c r="BU221" i="6"/>
  <c r="BS221" i="6"/>
  <c r="BQ221" i="6"/>
  <c r="BO221" i="6"/>
  <c r="BM221" i="6"/>
  <c r="BK221" i="6"/>
  <c r="BI221" i="6"/>
  <c r="BG221" i="6"/>
  <c r="BE221" i="6"/>
  <c r="BD221" i="6"/>
  <c r="BC221" i="6"/>
  <c r="BB221" i="6"/>
  <c r="BA221" i="6"/>
  <c r="AZ221" i="6"/>
  <c r="AY221" i="6"/>
  <c r="AX221" i="6"/>
  <c r="AW221" i="6"/>
  <c r="AV221" i="6"/>
  <c r="AU221" i="6"/>
  <c r="AT221" i="6"/>
  <c r="AS221" i="6"/>
  <c r="AR221" i="6"/>
  <c r="AQ221" i="6"/>
  <c r="AP221" i="6"/>
  <c r="AO221" i="6"/>
  <c r="AN221" i="6"/>
  <c r="AM221" i="6"/>
  <c r="AL221" i="6"/>
  <c r="AK221" i="6"/>
  <c r="AJ221" i="6"/>
  <c r="AI221" i="6"/>
  <c r="AH221" i="6"/>
  <c r="AG221" i="6"/>
  <c r="AF221" i="6"/>
  <c r="AE221" i="6"/>
  <c r="AD221" i="6"/>
  <c r="AB221" i="6"/>
  <c r="AA221" i="6"/>
  <c r="Z221" i="6"/>
  <c r="V221" i="6"/>
  <c r="U221" i="6"/>
  <c r="T221" i="6"/>
  <c r="S221" i="6"/>
  <c r="Q221" i="6"/>
  <c r="L221" i="6"/>
  <c r="K221" i="6"/>
  <c r="J221" i="6"/>
  <c r="E221" i="6"/>
  <c r="D221" i="6"/>
  <c r="B221" i="6"/>
  <c r="A221" i="6"/>
  <c r="DL220" i="6"/>
  <c r="DJ220" i="6"/>
  <c r="DI220" i="6"/>
  <c r="DH220" i="6"/>
  <c r="DE220" i="6"/>
  <c r="DC220" i="6"/>
  <c r="CY220" i="6"/>
  <c r="CW220" i="6"/>
  <c r="CV220" i="6"/>
  <c r="CU220" i="6"/>
  <c r="CS220" i="6"/>
  <c r="CK220" i="6"/>
  <c r="CJ220" i="6"/>
  <c r="CI220" i="6"/>
  <c r="CG220" i="6"/>
  <c r="CF220" i="6"/>
  <c r="CE220" i="6"/>
  <c r="CD220" i="6"/>
  <c r="CC220" i="6"/>
  <c r="CA220" i="6"/>
  <c r="BY220" i="6"/>
  <c r="BW220" i="6"/>
  <c r="BU220" i="6"/>
  <c r="BS220" i="6"/>
  <c r="BQ220" i="6"/>
  <c r="BO220" i="6"/>
  <c r="BM220" i="6"/>
  <c r="BK220" i="6"/>
  <c r="BI220" i="6"/>
  <c r="BG220" i="6"/>
  <c r="BE220" i="6"/>
  <c r="BC220" i="6"/>
  <c r="BA220" i="6"/>
  <c r="AY220" i="6"/>
  <c r="AW220" i="6"/>
  <c r="AU220" i="6"/>
  <c r="AS220" i="6"/>
  <c r="AQ220" i="6"/>
  <c r="AO220" i="6"/>
  <c r="AM220" i="6"/>
  <c r="AK220" i="6"/>
  <c r="AI220" i="6"/>
  <c r="AG220" i="6"/>
  <c r="AF220" i="6"/>
  <c r="AE220" i="6"/>
  <c r="AD220" i="6"/>
  <c r="AB220" i="6"/>
  <c r="AA220" i="6"/>
  <c r="Z220" i="6"/>
  <c r="V220" i="6"/>
  <c r="U220" i="6"/>
  <c r="T220" i="6"/>
  <c r="S220" i="6"/>
  <c r="Q220" i="6"/>
  <c r="E220" i="6"/>
  <c r="D220" i="6"/>
  <c r="B220" i="6"/>
  <c r="A220" i="6"/>
  <c r="DL219" i="6"/>
  <c r="DJ219" i="6"/>
  <c r="DI219" i="6"/>
  <c r="DH219" i="6"/>
  <c r="DG219" i="6"/>
  <c r="DF219" i="6"/>
  <c r="DE219" i="6"/>
  <c r="DC219" i="6"/>
  <c r="CY219" i="6"/>
  <c r="CW219" i="6"/>
  <c r="CV219" i="6"/>
  <c r="CU219" i="6"/>
  <c r="CS219" i="6"/>
  <c r="CK219" i="6"/>
  <c r="CI219" i="6"/>
  <c r="CH219" i="6"/>
  <c r="CG219" i="6"/>
  <c r="CF219" i="6"/>
  <c r="CE219" i="6"/>
  <c r="CD219" i="6"/>
  <c r="CC219" i="6"/>
  <c r="CA219" i="6"/>
  <c r="BY219" i="6"/>
  <c r="BW219" i="6"/>
  <c r="BU219" i="6"/>
  <c r="BS219" i="6"/>
  <c r="BQ219" i="6"/>
  <c r="BO219" i="6"/>
  <c r="BM219" i="6"/>
  <c r="BK219" i="6"/>
  <c r="BI219" i="6"/>
  <c r="BG219" i="6"/>
  <c r="BE219" i="6"/>
  <c r="BC219" i="6"/>
  <c r="BA219" i="6"/>
  <c r="AZ219" i="6"/>
  <c r="AY219" i="6"/>
  <c r="AX219" i="6"/>
  <c r="AW219" i="6"/>
  <c r="AV219" i="6"/>
  <c r="AU219" i="6"/>
  <c r="AT219" i="6"/>
  <c r="AS219" i="6"/>
  <c r="AR219" i="6"/>
  <c r="AQ219" i="6"/>
  <c r="AP219" i="6"/>
  <c r="AO219" i="6"/>
  <c r="AN219" i="6"/>
  <c r="AM219" i="6"/>
  <c r="AL219" i="6"/>
  <c r="AK219" i="6"/>
  <c r="AJ219" i="6"/>
  <c r="AI219" i="6"/>
  <c r="AH219" i="6"/>
  <c r="AG219" i="6"/>
  <c r="AF219" i="6"/>
  <c r="AE219" i="6"/>
  <c r="AD219" i="6"/>
  <c r="AB219" i="6"/>
  <c r="AA219" i="6"/>
  <c r="Z219" i="6"/>
  <c r="V219" i="6"/>
  <c r="U219" i="6"/>
  <c r="T219" i="6"/>
  <c r="S219" i="6"/>
  <c r="L219" i="6"/>
  <c r="K219" i="6"/>
  <c r="E219" i="6"/>
  <c r="D219" i="6"/>
  <c r="B219" i="6"/>
  <c r="A219" i="6"/>
  <c r="DL218" i="6"/>
  <c r="DJ218" i="6"/>
  <c r="DI218" i="6"/>
  <c r="DE218" i="6"/>
  <c r="DC218" i="6"/>
  <c r="CY218" i="6"/>
  <c r="CW218" i="6"/>
  <c r="CU218" i="6"/>
  <c r="CS218" i="6"/>
  <c r="CK218" i="6"/>
  <c r="CI218" i="6"/>
  <c r="CG218" i="6"/>
  <c r="CE218" i="6"/>
  <c r="CC218" i="6"/>
  <c r="CA218" i="6"/>
  <c r="BY218" i="6"/>
  <c r="BW218" i="6"/>
  <c r="BU218" i="6"/>
  <c r="BS218" i="6"/>
  <c r="BQ218" i="6"/>
  <c r="BO218" i="6"/>
  <c r="BM218" i="6"/>
  <c r="BK218" i="6"/>
  <c r="BI218" i="6"/>
  <c r="BG218" i="6"/>
  <c r="BE218" i="6"/>
  <c r="BC218" i="6"/>
  <c r="BA218" i="6"/>
  <c r="AY218" i="6"/>
  <c r="AW218" i="6"/>
  <c r="AU218" i="6"/>
  <c r="AS218" i="6"/>
  <c r="AQ218" i="6"/>
  <c r="AO218" i="6"/>
  <c r="AM218" i="6"/>
  <c r="AK218" i="6"/>
  <c r="AJ218" i="6"/>
  <c r="AI218" i="6"/>
  <c r="AH218" i="6"/>
  <c r="AG218" i="6"/>
  <c r="AF218" i="6"/>
  <c r="AE218" i="6"/>
  <c r="AB218" i="6"/>
  <c r="AA218" i="6"/>
  <c r="Z218" i="6"/>
  <c r="V218" i="6"/>
  <c r="U218" i="6"/>
  <c r="T218" i="6"/>
  <c r="S218" i="6"/>
  <c r="L218" i="6"/>
  <c r="K218" i="6"/>
  <c r="E218" i="6"/>
  <c r="D218" i="6"/>
  <c r="B218" i="6"/>
  <c r="A218" i="6"/>
  <c r="DL217" i="6"/>
  <c r="DJ217" i="6"/>
  <c r="DI217" i="6"/>
  <c r="DH217" i="6"/>
  <c r="DG217" i="6"/>
  <c r="DF217" i="6"/>
  <c r="DE217" i="6"/>
  <c r="DC217" i="6"/>
  <c r="CY217" i="6"/>
  <c r="CW217" i="6"/>
  <c r="CU217" i="6"/>
  <c r="CS217" i="6"/>
  <c r="CK217" i="6"/>
  <c r="CJ217" i="6"/>
  <c r="CI217" i="6"/>
  <c r="CH217" i="6"/>
  <c r="CG217" i="6"/>
  <c r="CF217" i="6"/>
  <c r="CE217" i="6"/>
  <c r="CD217" i="6"/>
  <c r="CC217" i="6"/>
  <c r="CA217" i="6"/>
  <c r="BY217" i="6"/>
  <c r="BW217" i="6"/>
  <c r="BU217" i="6"/>
  <c r="BS217" i="6"/>
  <c r="BQ217" i="6"/>
  <c r="BO217" i="6"/>
  <c r="BM217" i="6"/>
  <c r="BK217" i="6"/>
  <c r="BI217" i="6"/>
  <c r="BG217" i="6"/>
  <c r="BE217" i="6"/>
  <c r="BC217" i="6"/>
  <c r="BA217" i="6"/>
  <c r="AY217" i="6"/>
  <c r="AW217" i="6"/>
  <c r="AU217" i="6"/>
  <c r="AS217" i="6"/>
  <c r="AR217" i="6"/>
  <c r="AQ217" i="6"/>
  <c r="AP217" i="6"/>
  <c r="AO217" i="6"/>
  <c r="AN217" i="6"/>
  <c r="AM217" i="6"/>
  <c r="AL217" i="6"/>
  <c r="AK217" i="6"/>
  <c r="AJ217" i="6"/>
  <c r="AI217" i="6"/>
  <c r="AH217" i="6"/>
  <c r="AG217" i="6"/>
  <c r="AF217" i="6"/>
  <c r="AE217" i="6"/>
  <c r="AD217" i="6"/>
  <c r="AB217" i="6"/>
  <c r="AA217" i="6"/>
  <c r="Z217" i="6"/>
  <c r="V217" i="6"/>
  <c r="U217" i="6"/>
  <c r="T217" i="6"/>
  <c r="S217" i="6"/>
  <c r="Q217" i="6"/>
  <c r="O217" i="6"/>
  <c r="N217" i="6"/>
  <c r="M217" i="6"/>
  <c r="E217" i="6"/>
  <c r="D217" i="6"/>
  <c r="B217" i="6"/>
  <c r="A217" i="6"/>
  <c r="DL216" i="6"/>
  <c r="DJ216" i="6"/>
  <c r="DI216" i="6"/>
  <c r="DH216" i="6"/>
  <c r="DG216" i="6"/>
  <c r="DF216" i="6"/>
  <c r="DE216" i="6"/>
  <c r="DC216" i="6"/>
  <c r="CY216" i="6"/>
  <c r="CW216" i="6"/>
  <c r="CU216" i="6"/>
  <c r="CS216" i="6"/>
  <c r="CK216" i="6"/>
  <c r="CJ216" i="6"/>
  <c r="CI216" i="6"/>
  <c r="CH216" i="6"/>
  <c r="CG216" i="6"/>
  <c r="CF216" i="6"/>
  <c r="CE216" i="6"/>
  <c r="CD216" i="6"/>
  <c r="CC216" i="6"/>
  <c r="CB216" i="6"/>
  <c r="CA216" i="6"/>
  <c r="BZ216" i="6"/>
  <c r="BY216" i="6"/>
  <c r="BX216" i="6"/>
  <c r="BW216" i="6"/>
  <c r="BV216" i="6"/>
  <c r="BU216" i="6"/>
  <c r="BT216" i="6"/>
  <c r="BS216" i="6"/>
  <c r="BR216" i="6"/>
  <c r="BQ216" i="6"/>
  <c r="BP216" i="6"/>
  <c r="BO216" i="6"/>
  <c r="BN216" i="6"/>
  <c r="BM216" i="6"/>
  <c r="BL216" i="6"/>
  <c r="BK216" i="6"/>
  <c r="BJ216" i="6"/>
  <c r="BI216" i="6"/>
  <c r="BH216" i="6"/>
  <c r="BG216" i="6"/>
  <c r="BF216" i="6"/>
  <c r="BE216" i="6"/>
  <c r="BD216" i="6"/>
  <c r="BC216" i="6"/>
  <c r="BB216" i="6"/>
  <c r="BA216" i="6"/>
  <c r="AZ216" i="6"/>
  <c r="AY216" i="6"/>
  <c r="AX216" i="6"/>
  <c r="AW216" i="6"/>
  <c r="AV216" i="6"/>
  <c r="AU216" i="6"/>
  <c r="AT216" i="6"/>
  <c r="AS216" i="6"/>
  <c r="AR216" i="6"/>
  <c r="AQ216" i="6"/>
  <c r="AP216" i="6"/>
  <c r="AO216" i="6"/>
  <c r="AN216" i="6"/>
  <c r="AM216" i="6"/>
  <c r="AL216" i="6"/>
  <c r="AK216" i="6"/>
  <c r="AJ216" i="6"/>
  <c r="AI216" i="6"/>
  <c r="AH216" i="6"/>
  <c r="AG216" i="6"/>
  <c r="AF216" i="6"/>
  <c r="AE216" i="6"/>
  <c r="AD216" i="6"/>
  <c r="AB216" i="6"/>
  <c r="AA216" i="6"/>
  <c r="Z216" i="6"/>
  <c r="V216" i="6"/>
  <c r="U216" i="6"/>
  <c r="T216" i="6"/>
  <c r="S216" i="6"/>
  <c r="L216" i="6"/>
  <c r="K216" i="6"/>
  <c r="J216" i="6"/>
  <c r="E216" i="6"/>
  <c r="D216" i="6"/>
  <c r="B216" i="6"/>
  <c r="A216" i="6"/>
  <c r="DL215" i="6"/>
  <c r="DJ215" i="6"/>
  <c r="DI215" i="6"/>
  <c r="DH215" i="6"/>
  <c r="DE215" i="6"/>
  <c r="DC215" i="6"/>
  <c r="CY215" i="6"/>
  <c r="CW215" i="6"/>
  <c r="CU215" i="6"/>
  <c r="CS215" i="6"/>
  <c r="CK215" i="6"/>
  <c r="CI215" i="6"/>
  <c r="CG215" i="6"/>
  <c r="CF215" i="6"/>
  <c r="CE215" i="6"/>
  <c r="CD215" i="6"/>
  <c r="CC215" i="6"/>
  <c r="CA215" i="6"/>
  <c r="BY215" i="6"/>
  <c r="BW215" i="6"/>
  <c r="BU215" i="6"/>
  <c r="BS215" i="6"/>
  <c r="BQ215" i="6"/>
  <c r="BO215" i="6"/>
  <c r="BM215" i="6"/>
  <c r="BK215" i="6"/>
  <c r="BI215" i="6"/>
  <c r="BG215" i="6"/>
  <c r="BE215" i="6"/>
  <c r="BC215" i="6"/>
  <c r="BA215" i="6"/>
  <c r="AY215" i="6"/>
  <c r="AW215" i="6"/>
  <c r="AU215" i="6"/>
  <c r="AS215" i="6"/>
  <c r="AQ215" i="6"/>
  <c r="AO215" i="6"/>
  <c r="AM215" i="6"/>
  <c r="AK215" i="6"/>
  <c r="AI215" i="6"/>
  <c r="AG215" i="6"/>
  <c r="AF215" i="6"/>
  <c r="AE215" i="6"/>
  <c r="AB215" i="6"/>
  <c r="AA215" i="6"/>
  <c r="Z215" i="6"/>
  <c r="V215" i="6"/>
  <c r="U215" i="6"/>
  <c r="T215" i="6"/>
  <c r="S215" i="6"/>
  <c r="Q215" i="6"/>
  <c r="E215" i="6"/>
  <c r="D215" i="6"/>
  <c r="B215" i="6"/>
  <c r="A215" i="6"/>
  <c r="DL214" i="6"/>
  <c r="DJ214" i="6"/>
  <c r="DI214" i="6"/>
  <c r="DH214" i="6"/>
  <c r="DE214" i="6"/>
  <c r="DC214" i="6"/>
  <c r="CY214" i="6"/>
  <c r="CW214" i="6"/>
  <c r="CU214" i="6"/>
  <c r="CS214" i="6"/>
  <c r="CK214" i="6"/>
  <c r="CI214" i="6"/>
  <c r="CG214" i="6"/>
  <c r="CF214" i="6"/>
  <c r="CE214" i="6"/>
  <c r="CD214" i="6"/>
  <c r="CC214" i="6"/>
  <c r="CA214" i="6"/>
  <c r="BY214" i="6"/>
  <c r="BW214" i="6"/>
  <c r="BU214" i="6"/>
  <c r="BS214" i="6"/>
  <c r="BQ214" i="6"/>
  <c r="BO214" i="6"/>
  <c r="BM214" i="6"/>
  <c r="BK214" i="6"/>
  <c r="BI214" i="6"/>
  <c r="BG214" i="6"/>
  <c r="BE214" i="6"/>
  <c r="BC214" i="6"/>
  <c r="BA214" i="6"/>
  <c r="AY214" i="6"/>
  <c r="AW214" i="6"/>
  <c r="AU214" i="6"/>
  <c r="AS214" i="6"/>
  <c r="AQ214" i="6"/>
  <c r="AO214" i="6"/>
  <c r="AM214" i="6"/>
  <c r="AK214" i="6"/>
  <c r="AI214" i="6"/>
  <c r="AG214" i="6"/>
  <c r="AF214" i="6"/>
  <c r="AE214" i="6"/>
  <c r="AB214" i="6"/>
  <c r="AA214" i="6"/>
  <c r="Z214" i="6"/>
  <c r="V214" i="6"/>
  <c r="U214" i="6"/>
  <c r="T214" i="6"/>
  <c r="S214" i="6"/>
  <c r="Q214" i="6"/>
  <c r="E214" i="6"/>
  <c r="D214" i="6"/>
  <c r="B214" i="6"/>
  <c r="A214" i="6"/>
  <c r="DL213" i="6"/>
  <c r="DJ213" i="6"/>
  <c r="DI213" i="6"/>
  <c r="DH213" i="6"/>
  <c r="DG213" i="6"/>
  <c r="DF213" i="6"/>
  <c r="DE213" i="6"/>
  <c r="DC213" i="6"/>
  <c r="CY213" i="6"/>
  <c r="CW213" i="6"/>
  <c r="CU213" i="6"/>
  <c r="CS213" i="6"/>
  <c r="CK213" i="6"/>
  <c r="CI213" i="6"/>
  <c r="CG213" i="6"/>
  <c r="CF213" i="6"/>
  <c r="CE213" i="6"/>
  <c r="CD213" i="6"/>
  <c r="CC213" i="6"/>
  <c r="CA213" i="6"/>
  <c r="BY213" i="6"/>
  <c r="BW213" i="6"/>
  <c r="BU213" i="6"/>
  <c r="BS213" i="6"/>
  <c r="BQ213" i="6"/>
  <c r="BO213" i="6"/>
  <c r="BM213" i="6"/>
  <c r="BK213" i="6"/>
  <c r="BI213" i="6"/>
  <c r="BG213" i="6"/>
  <c r="BE213" i="6"/>
  <c r="BC213" i="6"/>
  <c r="BA213" i="6"/>
  <c r="AY213" i="6"/>
  <c r="AW213" i="6"/>
  <c r="AU213" i="6"/>
  <c r="AS213" i="6"/>
  <c r="AQ213" i="6"/>
  <c r="AO213" i="6"/>
  <c r="AM213" i="6"/>
  <c r="AK213" i="6"/>
  <c r="AJ213" i="6"/>
  <c r="AI213" i="6"/>
  <c r="AH213" i="6"/>
  <c r="AG213" i="6"/>
  <c r="AF213" i="6"/>
  <c r="AE213" i="6"/>
  <c r="AD213" i="6"/>
  <c r="AB213" i="6"/>
  <c r="AA213" i="6"/>
  <c r="Z213" i="6"/>
  <c r="V213" i="6"/>
  <c r="U213" i="6"/>
  <c r="T213" i="6"/>
  <c r="S213" i="6"/>
  <c r="Q213" i="6"/>
  <c r="E213" i="6"/>
  <c r="D213" i="6"/>
  <c r="B213" i="6"/>
  <c r="A213" i="6"/>
  <c r="DL212" i="6"/>
  <c r="DJ212" i="6"/>
  <c r="DI212" i="6"/>
  <c r="DH212" i="6"/>
  <c r="DG212" i="6"/>
  <c r="DF212" i="6"/>
  <c r="DE212" i="6"/>
  <c r="DC212" i="6"/>
  <c r="CY212" i="6"/>
  <c r="CW212" i="6"/>
  <c r="CU212" i="6"/>
  <c r="CS212" i="6"/>
  <c r="CK212" i="6"/>
  <c r="CI212" i="6"/>
  <c r="CH212" i="6"/>
  <c r="CG212" i="6"/>
  <c r="CF212" i="6"/>
  <c r="CE212" i="6"/>
  <c r="CD212" i="6"/>
  <c r="CC212" i="6"/>
  <c r="CA212" i="6"/>
  <c r="BY212" i="6"/>
  <c r="BW212" i="6"/>
  <c r="BU212" i="6"/>
  <c r="BS212" i="6"/>
  <c r="BQ212" i="6"/>
  <c r="BO212" i="6"/>
  <c r="BM212" i="6"/>
  <c r="BK212" i="6"/>
  <c r="BI212" i="6"/>
  <c r="BG212" i="6"/>
  <c r="BE212" i="6"/>
  <c r="BC212" i="6"/>
  <c r="BA212" i="6"/>
  <c r="AY212" i="6"/>
  <c r="AW212" i="6"/>
  <c r="AU212" i="6"/>
  <c r="AS212" i="6"/>
  <c r="AR212" i="6"/>
  <c r="AQ212" i="6"/>
  <c r="AP212" i="6"/>
  <c r="AO212" i="6"/>
  <c r="AN212" i="6"/>
  <c r="AM212" i="6"/>
  <c r="AL212" i="6"/>
  <c r="AK212" i="6"/>
  <c r="AJ212" i="6"/>
  <c r="AI212" i="6"/>
  <c r="AH212" i="6"/>
  <c r="AG212" i="6"/>
  <c r="AF212" i="6"/>
  <c r="AE212" i="6"/>
  <c r="AD212" i="6"/>
  <c r="AB212" i="6"/>
  <c r="AA212" i="6"/>
  <c r="Z212" i="6"/>
  <c r="V212" i="6"/>
  <c r="U212" i="6"/>
  <c r="T212" i="6"/>
  <c r="S212" i="6"/>
  <c r="Q212" i="6"/>
  <c r="E212" i="6"/>
  <c r="D212" i="6"/>
  <c r="B212" i="6"/>
  <c r="A212" i="6"/>
  <c r="DL211" i="6"/>
  <c r="DJ211" i="6"/>
  <c r="DI211" i="6"/>
  <c r="DH211" i="6"/>
  <c r="DG211" i="6"/>
  <c r="DF211" i="6"/>
  <c r="DE211" i="6"/>
  <c r="DC211" i="6"/>
  <c r="CY211" i="6"/>
  <c r="CW211" i="6"/>
  <c r="CU211" i="6"/>
  <c r="CS211" i="6"/>
  <c r="CK211" i="6"/>
  <c r="CJ211" i="6"/>
  <c r="CI211" i="6"/>
  <c r="CH211" i="6"/>
  <c r="CG211" i="6"/>
  <c r="CF211" i="6"/>
  <c r="CE211" i="6"/>
  <c r="CD211" i="6"/>
  <c r="CC211" i="6"/>
  <c r="CB211" i="6"/>
  <c r="CA211" i="6"/>
  <c r="BZ211" i="6"/>
  <c r="BY211" i="6"/>
  <c r="BX211" i="6"/>
  <c r="BW211" i="6"/>
  <c r="BV211" i="6"/>
  <c r="BU211" i="6"/>
  <c r="BT211" i="6"/>
  <c r="BS211" i="6"/>
  <c r="BR211" i="6"/>
  <c r="BQ211" i="6"/>
  <c r="BP211" i="6"/>
  <c r="BO211" i="6"/>
  <c r="BN211" i="6"/>
  <c r="BM211" i="6"/>
  <c r="BL211" i="6"/>
  <c r="BK211" i="6"/>
  <c r="BJ211" i="6"/>
  <c r="BI211" i="6"/>
  <c r="BH211" i="6"/>
  <c r="BG211" i="6"/>
  <c r="BF211" i="6"/>
  <c r="BE211" i="6"/>
  <c r="BD211" i="6"/>
  <c r="BC211" i="6"/>
  <c r="BB211" i="6"/>
  <c r="BA211" i="6"/>
  <c r="AZ211" i="6"/>
  <c r="AY211" i="6"/>
  <c r="AX211" i="6"/>
  <c r="AW211" i="6"/>
  <c r="AV211" i="6"/>
  <c r="AU211" i="6"/>
  <c r="AT211" i="6"/>
  <c r="AS211" i="6"/>
  <c r="AR211" i="6"/>
  <c r="AQ211" i="6"/>
  <c r="AP211" i="6"/>
  <c r="AO211" i="6"/>
  <c r="AN211" i="6"/>
  <c r="AM211" i="6"/>
  <c r="AL211" i="6"/>
  <c r="AK211" i="6"/>
  <c r="AJ211" i="6"/>
  <c r="AI211" i="6"/>
  <c r="AH211" i="6"/>
  <c r="AG211" i="6"/>
  <c r="AF211" i="6"/>
  <c r="AE211" i="6"/>
  <c r="AD211" i="6"/>
  <c r="AB211" i="6"/>
  <c r="AA211" i="6"/>
  <c r="Z211" i="6"/>
  <c r="V211" i="6"/>
  <c r="U211" i="6"/>
  <c r="T211" i="6"/>
  <c r="S211" i="6"/>
  <c r="L211" i="6"/>
  <c r="K211" i="6"/>
  <c r="J211" i="6"/>
  <c r="F211" i="6"/>
  <c r="E211" i="6"/>
  <c r="D211" i="6"/>
  <c r="B211" i="6"/>
  <c r="A211" i="6"/>
  <c r="DL210" i="6"/>
  <c r="DJ210" i="6"/>
  <c r="DI210" i="6"/>
  <c r="DH210" i="6"/>
  <c r="DG210" i="6"/>
  <c r="DF210" i="6"/>
  <c r="DE210" i="6"/>
  <c r="DC210" i="6"/>
  <c r="CY210" i="6"/>
  <c r="CW210" i="6"/>
  <c r="CU210" i="6"/>
  <c r="CS210" i="6"/>
  <c r="CK210" i="6"/>
  <c r="CJ210" i="6"/>
  <c r="CI210" i="6"/>
  <c r="CH210" i="6"/>
  <c r="CG210" i="6"/>
  <c r="CF210" i="6"/>
  <c r="CE210" i="6"/>
  <c r="CD210" i="6"/>
  <c r="CC210" i="6"/>
  <c r="CA210" i="6"/>
  <c r="BY210" i="6"/>
  <c r="BW210" i="6"/>
  <c r="BU210" i="6"/>
  <c r="BS210" i="6"/>
  <c r="BQ210" i="6"/>
  <c r="BO210" i="6"/>
  <c r="BM210" i="6"/>
  <c r="BL210" i="6"/>
  <c r="BK210" i="6"/>
  <c r="BJ210" i="6"/>
  <c r="BI210" i="6"/>
  <c r="BH210" i="6"/>
  <c r="BG210" i="6"/>
  <c r="BF210" i="6"/>
  <c r="BE210" i="6"/>
  <c r="BD210" i="6"/>
  <c r="BC210" i="6"/>
  <c r="BB210" i="6"/>
  <c r="BA210" i="6"/>
  <c r="AZ210" i="6"/>
  <c r="AY210" i="6"/>
  <c r="AX210" i="6"/>
  <c r="AW210" i="6"/>
  <c r="AV210" i="6"/>
  <c r="AU210" i="6"/>
  <c r="AT210" i="6"/>
  <c r="AS210" i="6"/>
  <c r="AR210" i="6"/>
  <c r="AQ210" i="6"/>
  <c r="AP210" i="6"/>
  <c r="AO210" i="6"/>
  <c r="AN210" i="6"/>
  <c r="AM210" i="6"/>
  <c r="AL210" i="6"/>
  <c r="AK210" i="6"/>
  <c r="AJ210" i="6"/>
  <c r="AI210" i="6"/>
  <c r="AH210" i="6"/>
  <c r="AG210" i="6"/>
  <c r="AF210" i="6"/>
  <c r="AE210" i="6"/>
  <c r="AD210" i="6"/>
  <c r="AB210" i="6"/>
  <c r="AA210" i="6"/>
  <c r="Z210" i="6"/>
  <c r="V210" i="6"/>
  <c r="U210" i="6"/>
  <c r="T210" i="6"/>
  <c r="S210" i="6"/>
  <c r="L210" i="6"/>
  <c r="K210" i="6"/>
  <c r="J210" i="6"/>
  <c r="F210" i="6"/>
  <c r="E210" i="6"/>
  <c r="D210" i="6"/>
  <c r="B210" i="6"/>
  <c r="A210" i="6"/>
  <c r="DL209" i="6"/>
  <c r="DJ209" i="6"/>
  <c r="DI209" i="6"/>
  <c r="DH209" i="6"/>
  <c r="DE209" i="6"/>
  <c r="DC209" i="6"/>
  <c r="CY209" i="6"/>
  <c r="CW209" i="6"/>
  <c r="CU209" i="6"/>
  <c r="CS209" i="6"/>
  <c r="CK209" i="6"/>
  <c r="CI209" i="6"/>
  <c r="CG209" i="6"/>
  <c r="CF209" i="6"/>
  <c r="CE209" i="6"/>
  <c r="CD209" i="6"/>
  <c r="CC209" i="6"/>
  <c r="CA209" i="6"/>
  <c r="BY209" i="6"/>
  <c r="BW209" i="6"/>
  <c r="BU209" i="6"/>
  <c r="BS209" i="6"/>
  <c r="BQ209" i="6"/>
  <c r="BO209" i="6"/>
  <c r="BM209" i="6"/>
  <c r="BK209" i="6"/>
  <c r="BI209" i="6"/>
  <c r="BG209" i="6"/>
  <c r="BE209" i="6"/>
  <c r="BC209" i="6"/>
  <c r="BA209" i="6"/>
  <c r="AY209" i="6"/>
  <c r="AW209" i="6"/>
  <c r="AU209" i="6"/>
  <c r="AS209" i="6"/>
  <c r="AQ209" i="6"/>
  <c r="AO209" i="6"/>
  <c r="AM209" i="6"/>
  <c r="AK209" i="6"/>
  <c r="AJ209" i="6"/>
  <c r="AI209" i="6"/>
  <c r="AH209" i="6"/>
  <c r="AG209" i="6"/>
  <c r="AF209" i="6"/>
  <c r="AE209" i="6"/>
  <c r="AB209" i="6"/>
  <c r="AA209" i="6"/>
  <c r="Z209" i="6"/>
  <c r="V209" i="6"/>
  <c r="U209" i="6"/>
  <c r="T209" i="6"/>
  <c r="S209" i="6"/>
  <c r="Q209" i="6"/>
  <c r="E209" i="6"/>
  <c r="D209" i="6"/>
  <c r="B209" i="6"/>
  <c r="A209" i="6"/>
  <c r="DL208" i="6"/>
  <c r="DJ208" i="6"/>
  <c r="DI208" i="6"/>
  <c r="DH208" i="6"/>
  <c r="DG208" i="6"/>
  <c r="DF208" i="6"/>
  <c r="DE208" i="6"/>
  <c r="DC208" i="6"/>
  <c r="CY208" i="6"/>
  <c r="CW208" i="6"/>
  <c r="CU208" i="6"/>
  <c r="CS208" i="6"/>
  <c r="CK208" i="6"/>
  <c r="CI208" i="6"/>
  <c r="CG208" i="6"/>
  <c r="CF208" i="6"/>
  <c r="CE208" i="6"/>
  <c r="CD208" i="6"/>
  <c r="CC208" i="6"/>
  <c r="CA208" i="6"/>
  <c r="BY208" i="6"/>
  <c r="BW208" i="6"/>
  <c r="BU208" i="6"/>
  <c r="BS208" i="6"/>
  <c r="BQ208" i="6"/>
  <c r="BO208" i="6"/>
  <c r="BM208" i="6"/>
  <c r="BK208" i="6"/>
  <c r="BI208" i="6"/>
  <c r="BG208" i="6"/>
  <c r="BE208" i="6"/>
  <c r="BC208" i="6"/>
  <c r="BA208" i="6"/>
  <c r="AY208" i="6"/>
  <c r="AW208" i="6"/>
  <c r="AU208" i="6"/>
  <c r="AS208" i="6"/>
  <c r="AQ208" i="6"/>
  <c r="AO208" i="6"/>
  <c r="AM208" i="6"/>
  <c r="AK208" i="6"/>
  <c r="AI208" i="6"/>
  <c r="AG208" i="6"/>
  <c r="AF208" i="6"/>
  <c r="AE208" i="6"/>
  <c r="AD208" i="6"/>
  <c r="AB208" i="6"/>
  <c r="AA208" i="6"/>
  <c r="Z208" i="6"/>
  <c r="V208" i="6"/>
  <c r="U208" i="6"/>
  <c r="T208" i="6"/>
  <c r="S208" i="6"/>
  <c r="Q208" i="6"/>
  <c r="E208" i="6"/>
  <c r="D208" i="6"/>
  <c r="B208" i="6"/>
  <c r="A208" i="6"/>
  <c r="DL207" i="6"/>
  <c r="DJ207" i="6"/>
  <c r="DI207" i="6"/>
  <c r="DH207" i="6"/>
  <c r="DE207" i="6"/>
  <c r="DC207" i="6"/>
  <c r="CY207" i="6"/>
  <c r="CW207" i="6"/>
  <c r="CU207" i="6"/>
  <c r="CS207" i="6"/>
  <c r="CK207" i="6"/>
  <c r="CI207" i="6"/>
  <c r="CG207" i="6"/>
  <c r="CF207" i="6"/>
  <c r="CE207" i="6"/>
  <c r="CD207" i="6"/>
  <c r="CC207" i="6"/>
  <c r="CA207" i="6"/>
  <c r="BY207" i="6"/>
  <c r="BW207" i="6"/>
  <c r="BU207" i="6"/>
  <c r="BS207" i="6"/>
  <c r="BQ207" i="6"/>
  <c r="BO207" i="6"/>
  <c r="BM207" i="6"/>
  <c r="BK207" i="6"/>
  <c r="BI207" i="6"/>
  <c r="BG207" i="6"/>
  <c r="BE207" i="6"/>
  <c r="BC207" i="6"/>
  <c r="BA207" i="6"/>
  <c r="AY207" i="6"/>
  <c r="AW207" i="6"/>
  <c r="AU207" i="6"/>
  <c r="AS207" i="6"/>
  <c r="AQ207" i="6"/>
  <c r="AO207" i="6"/>
  <c r="AM207" i="6"/>
  <c r="AK207" i="6"/>
  <c r="AI207" i="6"/>
  <c r="AG207" i="6"/>
  <c r="AF207" i="6"/>
  <c r="AE207" i="6"/>
  <c r="AB207" i="6"/>
  <c r="AA207" i="6"/>
  <c r="Z207" i="6"/>
  <c r="V207" i="6"/>
  <c r="U207" i="6"/>
  <c r="T207" i="6"/>
  <c r="S207" i="6"/>
  <c r="Q207" i="6"/>
  <c r="E207" i="6"/>
  <c r="D207" i="6"/>
  <c r="B207" i="6"/>
  <c r="A207" i="6"/>
  <c r="DL206" i="6"/>
  <c r="DJ206" i="6"/>
  <c r="DI206" i="6"/>
  <c r="DH206" i="6"/>
  <c r="DE206" i="6"/>
  <c r="DC206" i="6"/>
  <c r="DA206" i="6"/>
  <c r="CY206" i="6"/>
  <c r="CX206" i="6"/>
  <c r="CW206" i="6"/>
  <c r="CU206" i="6"/>
  <c r="CS206" i="6"/>
  <c r="CR206" i="6"/>
  <c r="CK206" i="6"/>
  <c r="CI206" i="6"/>
  <c r="CG206" i="6"/>
  <c r="CF206" i="6"/>
  <c r="CE206" i="6"/>
  <c r="CD206" i="6"/>
  <c r="CC206" i="6"/>
  <c r="CA206" i="6"/>
  <c r="BY206" i="6"/>
  <c r="BW206" i="6"/>
  <c r="BU206" i="6"/>
  <c r="BS206" i="6"/>
  <c r="BQ206" i="6"/>
  <c r="BO206" i="6"/>
  <c r="BM206" i="6"/>
  <c r="BK206" i="6"/>
  <c r="BI206" i="6"/>
  <c r="BG206" i="6"/>
  <c r="BE206" i="6"/>
  <c r="BC206" i="6"/>
  <c r="BA206" i="6"/>
  <c r="AY206" i="6"/>
  <c r="AW206" i="6"/>
  <c r="AU206" i="6"/>
  <c r="AS206" i="6"/>
  <c r="AQ206" i="6"/>
  <c r="AO206" i="6"/>
  <c r="AM206" i="6"/>
  <c r="AK206" i="6"/>
  <c r="AJ206" i="6"/>
  <c r="AI206" i="6"/>
  <c r="AH206" i="6"/>
  <c r="AG206" i="6"/>
  <c r="AF206" i="6"/>
  <c r="AE206" i="6"/>
  <c r="AB206" i="6"/>
  <c r="AA206" i="6"/>
  <c r="Z206" i="6"/>
  <c r="V206" i="6"/>
  <c r="U206" i="6"/>
  <c r="T206" i="6"/>
  <c r="S206" i="6"/>
  <c r="L206" i="6"/>
  <c r="K206" i="6"/>
  <c r="J206" i="6"/>
  <c r="F206" i="6"/>
  <c r="E206" i="6"/>
  <c r="D206" i="6"/>
  <c r="B206" i="6"/>
  <c r="A206" i="6"/>
  <c r="DL205" i="6"/>
  <c r="DJ205" i="6"/>
  <c r="DI205" i="6"/>
  <c r="DH205" i="6"/>
  <c r="DE205" i="6"/>
  <c r="DC205" i="6"/>
  <c r="CY205" i="6"/>
  <c r="CW205" i="6"/>
  <c r="CU205" i="6"/>
  <c r="CS205" i="6"/>
  <c r="CK205" i="6"/>
  <c r="CI205" i="6"/>
  <c r="CG205" i="6"/>
  <c r="CF205" i="6"/>
  <c r="CE205" i="6"/>
  <c r="CD205" i="6"/>
  <c r="CC205" i="6"/>
  <c r="CA205" i="6"/>
  <c r="BY205" i="6"/>
  <c r="BW205" i="6"/>
  <c r="BU205" i="6"/>
  <c r="BS205" i="6"/>
  <c r="BQ205" i="6"/>
  <c r="BO205" i="6"/>
  <c r="BM205" i="6"/>
  <c r="BK205" i="6"/>
  <c r="BI205" i="6"/>
  <c r="BG205" i="6"/>
  <c r="BE205" i="6"/>
  <c r="BC205" i="6"/>
  <c r="BA205" i="6"/>
  <c r="AY205" i="6"/>
  <c r="AW205" i="6"/>
  <c r="AU205" i="6"/>
  <c r="AS205" i="6"/>
  <c r="AQ205" i="6"/>
  <c r="AO205" i="6"/>
  <c r="AM205" i="6"/>
  <c r="AK205" i="6"/>
  <c r="AI205" i="6"/>
  <c r="AG205" i="6"/>
  <c r="AF205" i="6"/>
  <c r="AE205" i="6"/>
  <c r="AB205" i="6"/>
  <c r="AA205" i="6"/>
  <c r="Z205" i="6"/>
  <c r="V205" i="6"/>
  <c r="U205" i="6"/>
  <c r="T205" i="6"/>
  <c r="S205" i="6"/>
  <c r="L205" i="6"/>
  <c r="K205" i="6"/>
  <c r="E205" i="6"/>
  <c r="D205" i="6"/>
  <c r="B205" i="6"/>
  <c r="A205" i="6"/>
  <c r="DL204" i="6"/>
  <c r="DJ204" i="6"/>
  <c r="DI204" i="6"/>
  <c r="DH204" i="6"/>
  <c r="DG204" i="6"/>
  <c r="DF204" i="6"/>
  <c r="DE204" i="6"/>
  <c r="DC204" i="6"/>
  <c r="CY204" i="6"/>
  <c r="CW204" i="6"/>
  <c r="CU204" i="6"/>
  <c r="CS204" i="6"/>
  <c r="CK204" i="6"/>
  <c r="CJ204" i="6"/>
  <c r="CI204" i="6"/>
  <c r="CG204" i="6"/>
  <c r="CF204" i="6"/>
  <c r="CE204" i="6"/>
  <c r="CD204" i="6"/>
  <c r="CC204" i="6"/>
  <c r="CA204" i="6"/>
  <c r="BY204" i="6"/>
  <c r="BW204" i="6"/>
  <c r="BU204" i="6"/>
  <c r="BS204" i="6"/>
  <c r="BQ204" i="6"/>
  <c r="BO204" i="6"/>
  <c r="BM204" i="6"/>
  <c r="BK204" i="6"/>
  <c r="BI204" i="6"/>
  <c r="BG204" i="6"/>
  <c r="BE204" i="6"/>
  <c r="BC204" i="6"/>
  <c r="BA204" i="6"/>
  <c r="AY204" i="6"/>
  <c r="AW204" i="6"/>
  <c r="AV204" i="6"/>
  <c r="AU204" i="6"/>
  <c r="AT204" i="6"/>
  <c r="AS204" i="6"/>
  <c r="AQ204" i="6"/>
  <c r="AO204" i="6"/>
  <c r="AN204" i="6"/>
  <c r="AM204" i="6"/>
  <c r="AL204" i="6"/>
  <c r="AK204" i="6"/>
  <c r="AJ204" i="6"/>
  <c r="AI204" i="6"/>
  <c r="AH204" i="6"/>
  <c r="AG204" i="6"/>
  <c r="AF204" i="6"/>
  <c r="AE204" i="6"/>
  <c r="AD204" i="6"/>
  <c r="AB204" i="6"/>
  <c r="AA204" i="6"/>
  <c r="Z204" i="6"/>
  <c r="V204" i="6"/>
  <c r="U204" i="6"/>
  <c r="T204" i="6"/>
  <c r="S204" i="6"/>
  <c r="Q204" i="6"/>
  <c r="L204" i="6"/>
  <c r="K204" i="6"/>
  <c r="E204" i="6"/>
  <c r="D204" i="6"/>
  <c r="B204" i="6"/>
  <c r="A204" i="6"/>
  <c r="DL203" i="6"/>
  <c r="DJ203" i="6"/>
  <c r="DI203" i="6"/>
  <c r="DH203" i="6"/>
  <c r="DG203" i="6"/>
  <c r="DE203" i="6"/>
  <c r="DC203" i="6"/>
  <c r="CY203" i="6"/>
  <c r="CW203" i="6"/>
  <c r="CU203" i="6"/>
  <c r="CS203" i="6"/>
  <c r="CK203" i="6"/>
  <c r="CJ203" i="6"/>
  <c r="CI203" i="6"/>
  <c r="CG203" i="6"/>
  <c r="CF203" i="6"/>
  <c r="CE203" i="6"/>
  <c r="CD203" i="6"/>
  <c r="CC203" i="6"/>
  <c r="CA203" i="6"/>
  <c r="BY203" i="6"/>
  <c r="BW203" i="6"/>
  <c r="BU203" i="6"/>
  <c r="BS203" i="6"/>
  <c r="BQ203" i="6"/>
  <c r="BO203" i="6"/>
  <c r="BM203" i="6"/>
  <c r="BK203" i="6"/>
  <c r="BI203" i="6"/>
  <c r="BG203" i="6"/>
  <c r="BE203" i="6"/>
  <c r="BC203" i="6"/>
  <c r="BA203" i="6"/>
  <c r="AY203" i="6"/>
  <c r="AW203" i="6"/>
  <c r="AU203" i="6"/>
  <c r="AS203" i="6"/>
  <c r="AQ203" i="6"/>
  <c r="AO203" i="6"/>
  <c r="AM203" i="6"/>
  <c r="AK203" i="6"/>
  <c r="AI203" i="6"/>
  <c r="AG203" i="6"/>
  <c r="AF203" i="6"/>
  <c r="AE203" i="6"/>
  <c r="AD203" i="6"/>
  <c r="AB203" i="6"/>
  <c r="AA203" i="6"/>
  <c r="Z203" i="6"/>
  <c r="V203" i="6"/>
  <c r="U203" i="6"/>
  <c r="T203" i="6"/>
  <c r="S203" i="6"/>
  <c r="Q203" i="6"/>
  <c r="E203" i="6"/>
  <c r="D203" i="6"/>
  <c r="B203" i="6"/>
  <c r="A203" i="6"/>
  <c r="DL202" i="6"/>
  <c r="DJ202" i="6"/>
  <c r="DI202" i="6"/>
  <c r="DH202" i="6"/>
  <c r="DE202" i="6"/>
  <c r="DD202" i="6"/>
  <c r="DC202" i="6"/>
  <c r="DA202" i="6"/>
  <c r="CY202" i="6"/>
  <c r="CX202" i="6"/>
  <c r="CW202" i="6"/>
  <c r="CU202" i="6"/>
  <c r="CS202" i="6"/>
  <c r="CK202" i="6"/>
  <c r="CI202" i="6"/>
  <c r="CG202" i="6"/>
  <c r="CF202" i="6"/>
  <c r="CE202" i="6"/>
  <c r="CD202" i="6"/>
  <c r="CC202" i="6"/>
  <c r="CA202" i="6"/>
  <c r="BY202" i="6"/>
  <c r="BW202" i="6"/>
  <c r="BU202" i="6"/>
  <c r="BS202" i="6"/>
  <c r="BQ202" i="6"/>
  <c r="BO202" i="6"/>
  <c r="BM202" i="6"/>
  <c r="BK202" i="6"/>
  <c r="BI202" i="6"/>
  <c r="BG202" i="6"/>
  <c r="BE202" i="6"/>
  <c r="BC202" i="6"/>
  <c r="BA202" i="6"/>
  <c r="AY202" i="6"/>
  <c r="AW202" i="6"/>
  <c r="AU202" i="6"/>
  <c r="AS202" i="6"/>
  <c r="AQ202" i="6"/>
  <c r="AO202" i="6"/>
  <c r="AM202" i="6"/>
  <c r="AK202" i="6"/>
  <c r="AJ202" i="6"/>
  <c r="AI202" i="6"/>
  <c r="AH202" i="6"/>
  <c r="AG202" i="6"/>
  <c r="AF202" i="6"/>
  <c r="AE202" i="6"/>
  <c r="AB202" i="6"/>
  <c r="AA202" i="6"/>
  <c r="Z202" i="6"/>
  <c r="V202" i="6"/>
  <c r="U202" i="6"/>
  <c r="T202" i="6"/>
  <c r="S202" i="6"/>
  <c r="Q202" i="6"/>
  <c r="E202" i="6"/>
  <c r="D202" i="6"/>
  <c r="C202" i="6"/>
  <c r="B202" i="6"/>
  <c r="A202" i="6"/>
  <c r="DL201" i="6"/>
  <c r="DJ201" i="6"/>
  <c r="DI201" i="6"/>
  <c r="DH201" i="6"/>
  <c r="DE201" i="6"/>
  <c r="DC201" i="6"/>
  <c r="CY201" i="6"/>
  <c r="CW201" i="6"/>
  <c r="CU201" i="6"/>
  <c r="CS201" i="6"/>
  <c r="CK201" i="6"/>
  <c r="CI201" i="6"/>
  <c r="CG201" i="6"/>
  <c r="CF201" i="6"/>
  <c r="CE201" i="6"/>
  <c r="CD201" i="6"/>
  <c r="CC201" i="6"/>
  <c r="CA201" i="6"/>
  <c r="BY201" i="6"/>
  <c r="BW201" i="6"/>
  <c r="BU201" i="6"/>
  <c r="BS201" i="6"/>
  <c r="BQ201" i="6"/>
  <c r="BO201" i="6"/>
  <c r="BM201" i="6"/>
  <c r="BK201" i="6"/>
  <c r="BI201" i="6"/>
  <c r="BG201" i="6"/>
  <c r="BE201" i="6"/>
  <c r="BC201" i="6"/>
  <c r="BA201" i="6"/>
  <c r="AY201" i="6"/>
  <c r="AW201" i="6"/>
  <c r="AU201" i="6"/>
  <c r="AS201" i="6"/>
  <c r="AQ201" i="6"/>
  <c r="AO201" i="6"/>
  <c r="AM201" i="6"/>
  <c r="AK201" i="6"/>
  <c r="AI201" i="6"/>
  <c r="AG201" i="6"/>
  <c r="AF201" i="6"/>
  <c r="AE201" i="6"/>
  <c r="AB201" i="6"/>
  <c r="AA201" i="6"/>
  <c r="Z201" i="6"/>
  <c r="V201" i="6"/>
  <c r="U201" i="6"/>
  <c r="T201" i="6"/>
  <c r="S201" i="6"/>
  <c r="Q201" i="6"/>
  <c r="E201" i="6"/>
  <c r="D201" i="6"/>
  <c r="B201" i="6"/>
  <c r="A201" i="6"/>
  <c r="DL200" i="6"/>
  <c r="DJ200" i="6"/>
  <c r="DI200" i="6"/>
  <c r="DH200" i="6"/>
  <c r="DE200" i="6"/>
  <c r="DC200" i="6"/>
  <c r="CY200" i="6"/>
  <c r="CW200" i="6"/>
  <c r="CU200" i="6"/>
  <c r="CS200" i="6"/>
  <c r="CK200" i="6"/>
  <c r="CI200" i="6"/>
  <c r="CG200" i="6"/>
  <c r="CF200" i="6"/>
  <c r="CE200" i="6"/>
  <c r="CD200" i="6"/>
  <c r="CC200" i="6"/>
  <c r="CA200" i="6"/>
  <c r="BY200" i="6"/>
  <c r="BW200" i="6"/>
  <c r="BU200" i="6"/>
  <c r="BS200" i="6"/>
  <c r="BQ200" i="6"/>
  <c r="BO200" i="6"/>
  <c r="BM200" i="6"/>
  <c r="BK200" i="6"/>
  <c r="BI200" i="6"/>
  <c r="BG200" i="6"/>
  <c r="BE200" i="6"/>
  <c r="BC200" i="6"/>
  <c r="BA200" i="6"/>
  <c r="AY200" i="6"/>
  <c r="AW200" i="6"/>
  <c r="AU200" i="6"/>
  <c r="AS200" i="6"/>
  <c r="AQ200" i="6"/>
  <c r="AO200" i="6"/>
  <c r="AM200" i="6"/>
  <c r="AK200" i="6"/>
  <c r="AI200" i="6"/>
  <c r="AG200" i="6"/>
  <c r="AF200" i="6"/>
  <c r="AE200" i="6"/>
  <c r="AB200" i="6"/>
  <c r="AA200" i="6"/>
  <c r="Z200" i="6"/>
  <c r="V200" i="6"/>
  <c r="U200" i="6"/>
  <c r="T200" i="6"/>
  <c r="S200" i="6"/>
  <c r="Q200" i="6"/>
  <c r="E200" i="6"/>
  <c r="D200" i="6"/>
  <c r="B200" i="6"/>
  <c r="A200" i="6"/>
  <c r="DL199" i="6"/>
  <c r="DJ199" i="6"/>
  <c r="DI199" i="6"/>
  <c r="DH199" i="6"/>
  <c r="DE199" i="6"/>
  <c r="DC199" i="6"/>
  <c r="CY199" i="6"/>
  <c r="CW199" i="6"/>
  <c r="CU199" i="6"/>
  <c r="CS199" i="6"/>
  <c r="CK199" i="6"/>
  <c r="CI199" i="6"/>
  <c r="CG199" i="6"/>
  <c r="CF199" i="6"/>
  <c r="CE199" i="6"/>
  <c r="CD199" i="6"/>
  <c r="CC199" i="6"/>
  <c r="CA199" i="6"/>
  <c r="BY199" i="6"/>
  <c r="BW199" i="6"/>
  <c r="BU199" i="6"/>
  <c r="BS199" i="6"/>
  <c r="BQ199" i="6"/>
  <c r="BO199" i="6"/>
  <c r="BM199" i="6"/>
  <c r="BK199" i="6"/>
  <c r="BI199" i="6"/>
  <c r="BG199" i="6"/>
  <c r="BE199" i="6"/>
  <c r="BC199" i="6"/>
  <c r="BA199" i="6"/>
  <c r="AY199" i="6"/>
  <c r="AW199" i="6"/>
  <c r="AU199" i="6"/>
  <c r="AS199" i="6"/>
  <c r="AR199" i="6"/>
  <c r="AQ199" i="6"/>
  <c r="AP199" i="6"/>
  <c r="AO199" i="6"/>
  <c r="AN199" i="6"/>
  <c r="AM199" i="6"/>
  <c r="AL199" i="6"/>
  <c r="AK199" i="6"/>
  <c r="AJ199" i="6"/>
  <c r="AI199" i="6"/>
  <c r="AH199" i="6"/>
  <c r="AG199" i="6"/>
  <c r="AF199" i="6"/>
  <c r="AE199" i="6"/>
  <c r="AB199" i="6"/>
  <c r="AA199" i="6"/>
  <c r="Z199" i="6"/>
  <c r="V199" i="6"/>
  <c r="U199" i="6"/>
  <c r="T199" i="6"/>
  <c r="S199" i="6"/>
  <c r="E199" i="6"/>
  <c r="D199" i="6"/>
  <c r="B199" i="6"/>
  <c r="A199" i="6"/>
  <c r="DL198" i="6"/>
  <c r="DJ198" i="6"/>
  <c r="DI198" i="6"/>
  <c r="DH198" i="6"/>
  <c r="DG198" i="6"/>
  <c r="DF198" i="6"/>
  <c r="DE198" i="6"/>
  <c r="DC198" i="6"/>
  <c r="CY198" i="6"/>
  <c r="CW198" i="6"/>
  <c r="CU198" i="6"/>
  <c r="CS198" i="6"/>
  <c r="CO198" i="6"/>
  <c r="CK198" i="6"/>
  <c r="CI198" i="6"/>
  <c r="CH198" i="6"/>
  <c r="CG198" i="6"/>
  <c r="CF198" i="6"/>
  <c r="CE198" i="6"/>
  <c r="CD198" i="6"/>
  <c r="CC198" i="6"/>
  <c r="CA198" i="6"/>
  <c r="BY198" i="6"/>
  <c r="BW198" i="6"/>
  <c r="BU198" i="6"/>
  <c r="BS198" i="6"/>
  <c r="BQ198" i="6"/>
  <c r="BO198" i="6"/>
  <c r="BM198" i="6"/>
  <c r="BK198" i="6"/>
  <c r="BI198" i="6"/>
  <c r="BG198" i="6"/>
  <c r="BE198" i="6"/>
  <c r="BC198" i="6"/>
  <c r="BA198" i="6"/>
  <c r="AY198" i="6"/>
  <c r="AW198" i="6"/>
  <c r="AU198" i="6"/>
  <c r="AS198" i="6"/>
  <c r="AR198" i="6"/>
  <c r="AQ198" i="6"/>
  <c r="AP198" i="6"/>
  <c r="AO198" i="6"/>
  <c r="AN198" i="6"/>
  <c r="AM198" i="6"/>
  <c r="AL198" i="6"/>
  <c r="AK198" i="6"/>
  <c r="AI198" i="6"/>
  <c r="AG198" i="6"/>
  <c r="AF198" i="6"/>
  <c r="AE198" i="6"/>
  <c r="AD198" i="6"/>
  <c r="AB198" i="6"/>
  <c r="AA198" i="6"/>
  <c r="Z198" i="6"/>
  <c r="V198" i="6"/>
  <c r="U198" i="6"/>
  <c r="T198" i="6"/>
  <c r="S198" i="6"/>
  <c r="P198" i="6"/>
  <c r="L198" i="6"/>
  <c r="K198" i="6"/>
  <c r="E198" i="6"/>
  <c r="D198" i="6"/>
  <c r="B198" i="6"/>
  <c r="A198" i="6"/>
  <c r="DL197" i="6"/>
  <c r="DJ197" i="6"/>
  <c r="DI197" i="6"/>
  <c r="DH197" i="6"/>
  <c r="DE197" i="6"/>
  <c r="DC197" i="6"/>
  <c r="CY197" i="6"/>
  <c r="CW197" i="6"/>
  <c r="CU197" i="6"/>
  <c r="CS197" i="6"/>
  <c r="CK197" i="6"/>
  <c r="CI197" i="6"/>
  <c r="CG197" i="6"/>
  <c r="CF197" i="6"/>
  <c r="CE197" i="6"/>
  <c r="CD197" i="6"/>
  <c r="CC197" i="6"/>
  <c r="CA197" i="6"/>
  <c r="BY197" i="6"/>
  <c r="BW197" i="6"/>
  <c r="BU197" i="6"/>
  <c r="BS197" i="6"/>
  <c r="BQ197" i="6"/>
  <c r="BO197" i="6"/>
  <c r="BM197" i="6"/>
  <c r="BK197" i="6"/>
  <c r="BI197" i="6"/>
  <c r="BG197" i="6"/>
  <c r="BE197" i="6"/>
  <c r="BC197" i="6"/>
  <c r="BA197" i="6"/>
  <c r="AY197" i="6"/>
  <c r="AW197" i="6"/>
  <c r="AU197" i="6"/>
  <c r="AS197" i="6"/>
  <c r="AQ197" i="6"/>
  <c r="AO197" i="6"/>
  <c r="AM197" i="6"/>
  <c r="AK197" i="6"/>
  <c r="AJ197" i="6"/>
  <c r="AI197" i="6"/>
  <c r="AH197" i="6"/>
  <c r="AG197" i="6"/>
  <c r="AF197" i="6"/>
  <c r="AE197" i="6"/>
  <c r="AB197" i="6"/>
  <c r="AA197" i="6"/>
  <c r="Z197" i="6"/>
  <c r="V197" i="6"/>
  <c r="U197" i="6"/>
  <c r="T197" i="6"/>
  <c r="S197" i="6"/>
  <c r="L197" i="6"/>
  <c r="K197" i="6"/>
  <c r="E197" i="6"/>
  <c r="D197" i="6"/>
  <c r="B197" i="6"/>
  <c r="A197" i="6"/>
  <c r="DL196" i="6"/>
  <c r="DJ196" i="6"/>
  <c r="DI196" i="6"/>
  <c r="DH196" i="6"/>
  <c r="DE196" i="6"/>
  <c r="DC196" i="6"/>
  <c r="CY196" i="6"/>
  <c r="CW196" i="6"/>
  <c r="CV196" i="6"/>
  <c r="CU196" i="6"/>
  <c r="CS196" i="6"/>
  <c r="CK196" i="6"/>
  <c r="CI196" i="6"/>
  <c r="CG196" i="6"/>
  <c r="CF196" i="6"/>
  <c r="CE196" i="6"/>
  <c r="CD196" i="6"/>
  <c r="CC196" i="6"/>
  <c r="CA196" i="6"/>
  <c r="BY196" i="6"/>
  <c r="BW196" i="6"/>
  <c r="BU196" i="6"/>
  <c r="BS196" i="6"/>
  <c r="BQ196" i="6"/>
  <c r="BO196" i="6"/>
  <c r="BM196" i="6"/>
  <c r="BK196" i="6"/>
  <c r="BI196" i="6"/>
  <c r="BG196" i="6"/>
  <c r="BE196" i="6"/>
  <c r="BC196" i="6"/>
  <c r="BA196" i="6"/>
  <c r="AY196" i="6"/>
  <c r="AW196" i="6"/>
  <c r="AU196" i="6"/>
  <c r="AS196" i="6"/>
  <c r="AQ196" i="6"/>
  <c r="AO196" i="6"/>
  <c r="AM196" i="6"/>
  <c r="AK196" i="6"/>
  <c r="AI196" i="6"/>
  <c r="AG196" i="6"/>
  <c r="AF196" i="6"/>
  <c r="AE196" i="6"/>
  <c r="AB196" i="6"/>
  <c r="AA196" i="6"/>
  <c r="Z196" i="6"/>
  <c r="V196" i="6"/>
  <c r="U196" i="6"/>
  <c r="T196" i="6"/>
  <c r="S196" i="6"/>
  <c r="E196" i="6"/>
  <c r="D196" i="6"/>
  <c r="B196" i="6"/>
  <c r="A196" i="6"/>
  <c r="DL195" i="6"/>
  <c r="DJ195" i="6"/>
  <c r="DI195" i="6"/>
  <c r="DH195" i="6"/>
  <c r="DE195" i="6"/>
  <c r="DC195" i="6"/>
  <c r="CY195" i="6"/>
  <c r="CW195" i="6"/>
  <c r="CV195" i="6"/>
  <c r="CU195" i="6"/>
  <c r="CS195" i="6"/>
  <c r="CK195" i="6"/>
  <c r="CI195" i="6"/>
  <c r="CG195" i="6"/>
  <c r="CF195" i="6"/>
  <c r="CE195" i="6"/>
  <c r="CD195" i="6"/>
  <c r="CC195" i="6"/>
  <c r="CA195" i="6"/>
  <c r="BY195" i="6"/>
  <c r="BW195" i="6"/>
  <c r="BU195" i="6"/>
  <c r="BS195" i="6"/>
  <c r="BQ195" i="6"/>
  <c r="BO195" i="6"/>
  <c r="BM195" i="6"/>
  <c r="BK195" i="6"/>
  <c r="BI195" i="6"/>
  <c r="BG195" i="6"/>
  <c r="BE195" i="6"/>
  <c r="BC195" i="6"/>
  <c r="BA195" i="6"/>
  <c r="AY195" i="6"/>
  <c r="AW195" i="6"/>
  <c r="AU195" i="6"/>
  <c r="AS195" i="6"/>
  <c r="AQ195" i="6"/>
  <c r="AO195" i="6"/>
  <c r="AM195" i="6"/>
  <c r="AK195" i="6"/>
  <c r="AI195" i="6"/>
  <c r="AG195" i="6"/>
  <c r="AF195" i="6"/>
  <c r="AE195" i="6"/>
  <c r="AB195" i="6"/>
  <c r="AA195" i="6"/>
  <c r="Z195" i="6"/>
  <c r="V195" i="6"/>
  <c r="U195" i="6"/>
  <c r="T195" i="6"/>
  <c r="S195" i="6"/>
  <c r="E195" i="6"/>
  <c r="D195" i="6"/>
  <c r="B195" i="6"/>
  <c r="A195" i="6"/>
  <c r="DL194" i="6"/>
  <c r="DJ194" i="6"/>
  <c r="DI194" i="6"/>
  <c r="DH194" i="6"/>
  <c r="DE194" i="6"/>
  <c r="DC194" i="6"/>
  <c r="CY194" i="6"/>
  <c r="CW194" i="6"/>
  <c r="CU194" i="6"/>
  <c r="CS194" i="6"/>
  <c r="CK194" i="6"/>
  <c r="CI194" i="6"/>
  <c r="CG194" i="6"/>
  <c r="CF194" i="6"/>
  <c r="CE194" i="6"/>
  <c r="CD194" i="6"/>
  <c r="CC194" i="6"/>
  <c r="CA194" i="6"/>
  <c r="BY194" i="6"/>
  <c r="BW194" i="6"/>
  <c r="BU194" i="6"/>
  <c r="BS194" i="6"/>
  <c r="BQ194" i="6"/>
  <c r="BO194" i="6"/>
  <c r="BM194" i="6"/>
  <c r="BK194" i="6"/>
  <c r="BI194" i="6"/>
  <c r="BG194" i="6"/>
  <c r="BE194" i="6"/>
  <c r="BC194" i="6"/>
  <c r="BA194" i="6"/>
  <c r="AY194" i="6"/>
  <c r="AW194" i="6"/>
  <c r="AU194" i="6"/>
  <c r="AS194" i="6"/>
  <c r="AQ194" i="6"/>
  <c r="AO194" i="6"/>
  <c r="AM194" i="6"/>
  <c r="AK194" i="6"/>
  <c r="AI194" i="6"/>
  <c r="AG194" i="6"/>
  <c r="AF194" i="6"/>
  <c r="AE194" i="6"/>
  <c r="AB194" i="6"/>
  <c r="AA194" i="6"/>
  <c r="Z194" i="6"/>
  <c r="V194" i="6"/>
  <c r="U194" i="6"/>
  <c r="T194" i="6"/>
  <c r="S194" i="6"/>
  <c r="Q194" i="6"/>
  <c r="E194" i="6"/>
  <c r="D194" i="6"/>
  <c r="B194" i="6"/>
  <c r="A194" i="6"/>
  <c r="DL193" i="6"/>
  <c r="DJ193" i="6"/>
  <c r="DI193" i="6"/>
  <c r="DE193" i="6"/>
  <c r="DC193" i="6"/>
  <c r="CY193" i="6"/>
  <c r="CW193" i="6"/>
  <c r="CU193" i="6"/>
  <c r="CS193" i="6"/>
  <c r="CO193" i="6"/>
  <c r="CK193" i="6"/>
  <c r="CI193" i="6"/>
  <c r="CG193" i="6"/>
  <c r="CE193" i="6"/>
  <c r="CC193" i="6"/>
  <c r="CA193" i="6"/>
  <c r="BY193" i="6"/>
  <c r="BW193" i="6"/>
  <c r="BU193" i="6"/>
  <c r="BS193" i="6"/>
  <c r="BQ193" i="6"/>
  <c r="BO193" i="6"/>
  <c r="BM193" i="6"/>
  <c r="BK193" i="6"/>
  <c r="BI193" i="6"/>
  <c r="BG193" i="6"/>
  <c r="BE193" i="6"/>
  <c r="BC193" i="6"/>
  <c r="BA193" i="6"/>
  <c r="AY193" i="6"/>
  <c r="AW193" i="6"/>
  <c r="AU193" i="6"/>
  <c r="AS193" i="6"/>
  <c r="AQ193" i="6"/>
  <c r="AO193" i="6"/>
  <c r="AN193" i="6"/>
  <c r="AM193" i="6"/>
  <c r="AL193" i="6"/>
  <c r="AK193" i="6"/>
  <c r="AJ193" i="6"/>
  <c r="AI193" i="6"/>
  <c r="AH193" i="6"/>
  <c r="AG193" i="6"/>
  <c r="AF193" i="6"/>
  <c r="AE193" i="6"/>
  <c r="AD193" i="6"/>
  <c r="AC193" i="6"/>
  <c r="AB193" i="6"/>
  <c r="AA193" i="6"/>
  <c r="Z193" i="6"/>
  <c r="V193" i="6"/>
  <c r="U193" i="6"/>
  <c r="T193" i="6"/>
  <c r="S193" i="6"/>
  <c r="P193" i="6"/>
  <c r="L193" i="6"/>
  <c r="K193" i="6"/>
  <c r="E193" i="6"/>
  <c r="D193" i="6"/>
  <c r="B193" i="6"/>
  <c r="A193" i="6"/>
  <c r="DL192" i="6"/>
  <c r="DJ192" i="6"/>
  <c r="DI192" i="6"/>
  <c r="DH192" i="6"/>
  <c r="DG192" i="6"/>
  <c r="DF192" i="6"/>
  <c r="DE192" i="6"/>
  <c r="DC192" i="6"/>
  <c r="CY192" i="6"/>
  <c r="CW192" i="6"/>
  <c r="CU192" i="6"/>
  <c r="CS192" i="6"/>
  <c r="CO192" i="6"/>
  <c r="CK192" i="6"/>
  <c r="CI192" i="6"/>
  <c r="CH192" i="6"/>
  <c r="CG192" i="6"/>
  <c r="CF192" i="6"/>
  <c r="CE192" i="6"/>
  <c r="CD192" i="6"/>
  <c r="CC192" i="6"/>
  <c r="CA192" i="6"/>
  <c r="BY192" i="6"/>
  <c r="BW192" i="6"/>
  <c r="BU192" i="6"/>
  <c r="BS192" i="6"/>
  <c r="BQ192" i="6"/>
  <c r="BO192" i="6"/>
  <c r="BM192" i="6"/>
  <c r="BK192" i="6"/>
  <c r="BI192" i="6"/>
  <c r="BG192" i="6"/>
  <c r="BE192" i="6"/>
  <c r="BC192" i="6"/>
  <c r="BA192" i="6"/>
  <c r="AY192" i="6"/>
  <c r="AW192" i="6"/>
  <c r="AV192" i="6"/>
  <c r="AU192" i="6"/>
  <c r="AT192" i="6"/>
  <c r="AS192" i="6"/>
  <c r="AR192" i="6"/>
  <c r="AQ192" i="6"/>
  <c r="AP192" i="6"/>
  <c r="AO192" i="6"/>
  <c r="AN192" i="6"/>
  <c r="AM192" i="6"/>
  <c r="AL192" i="6"/>
  <c r="AK192" i="6"/>
  <c r="AJ192" i="6"/>
  <c r="AI192" i="6"/>
  <c r="AH192" i="6"/>
  <c r="AG192" i="6"/>
  <c r="AF192" i="6"/>
  <c r="AE192" i="6"/>
  <c r="AD192" i="6"/>
  <c r="AB192" i="6"/>
  <c r="AA192" i="6"/>
  <c r="Z192" i="6"/>
  <c r="V192" i="6"/>
  <c r="U192" i="6"/>
  <c r="T192" i="6"/>
  <c r="S192" i="6"/>
  <c r="Q192" i="6"/>
  <c r="P192" i="6"/>
  <c r="L192" i="6"/>
  <c r="K192" i="6"/>
  <c r="E192" i="6"/>
  <c r="D192" i="6"/>
  <c r="B192" i="6"/>
  <c r="A192" i="6"/>
  <c r="DL191" i="6"/>
  <c r="DJ191" i="6"/>
  <c r="DI191" i="6"/>
  <c r="DH191" i="6"/>
  <c r="DE191" i="6"/>
  <c r="DC191" i="6"/>
  <c r="CY191" i="6"/>
  <c r="CW191" i="6"/>
  <c r="CU191" i="6"/>
  <c r="CS191" i="6"/>
  <c r="CR191" i="6"/>
  <c r="CK191" i="6"/>
  <c r="CI191" i="6"/>
  <c r="CG191" i="6"/>
  <c r="CF191" i="6"/>
  <c r="CE191" i="6"/>
  <c r="CD191" i="6"/>
  <c r="CC191" i="6"/>
  <c r="CA191" i="6"/>
  <c r="BY191" i="6"/>
  <c r="BW191" i="6"/>
  <c r="BU191" i="6"/>
  <c r="BS191" i="6"/>
  <c r="BQ191" i="6"/>
  <c r="BO191" i="6"/>
  <c r="BM191" i="6"/>
  <c r="BK191" i="6"/>
  <c r="BI191" i="6"/>
  <c r="BG191" i="6"/>
  <c r="BE191" i="6"/>
  <c r="BC191" i="6"/>
  <c r="BA191" i="6"/>
  <c r="AY191" i="6"/>
  <c r="AW191" i="6"/>
  <c r="AU191" i="6"/>
  <c r="AS191" i="6"/>
  <c r="AQ191" i="6"/>
  <c r="AO191" i="6"/>
  <c r="AM191" i="6"/>
  <c r="AK191" i="6"/>
  <c r="AJ191" i="6"/>
  <c r="AI191" i="6"/>
  <c r="AH191" i="6"/>
  <c r="AG191" i="6"/>
  <c r="AF191" i="6"/>
  <c r="AE191" i="6"/>
  <c r="AB191" i="6"/>
  <c r="AA191" i="6"/>
  <c r="Z191" i="6"/>
  <c r="V191" i="6"/>
  <c r="U191" i="6"/>
  <c r="T191" i="6"/>
  <c r="S191" i="6"/>
  <c r="L191" i="6"/>
  <c r="K191" i="6"/>
  <c r="J191" i="6"/>
  <c r="E191" i="6"/>
  <c r="D191" i="6"/>
  <c r="B191" i="6"/>
  <c r="A191" i="6"/>
  <c r="DL190" i="6"/>
  <c r="DJ190" i="6"/>
  <c r="DI190" i="6"/>
  <c r="DH190" i="6"/>
  <c r="DE190" i="6"/>
  <c r="DC190" i="6"/>
  <c r="CY190" i="6"/>
  <c r="CW190" i="6"/>
  <c r="CU190" i="6"/>
  <c r="CS190" i="6"/>
  <c r="CK190" i="6"/>
  <c r="CI190" i="6"/>
  <c r="CG190" i="6"/>
  <c r="CF190" i="6"/>
  <c r="CE190" i="6"/>
  <c r="CD190" i="6"/>
  <c r="CC190" i="6"/>
  <c r="CA190" i="6"/>
  <c r="BY190" i="6"/>
  <c r="BW190" i="6"/>
  <c r="BU190" i="6"/>
  <c r="BS190" i="6"/>
  <c r="BQ190" i="6"/>
  <c r="BO190" i="6"/>
  <c r="BM190" i="6"/>
  <c r="BK190" i="6"/>
  <c r="BI190" i="6"/>
  <c r="BG190" i="6"/>
  <c r="BE190" i="6"/>
  <c r="BC190" i="6"/>
  <c r="BA190" i="6"/>
  <c r="AY190" i="6"/>
  <c r="AW190" i="6"/>
  <c r="AU190" i="6"/>
  <c r="AS190" i="6"/>
  <c r="AQ190" i="6"/>
  <c r="AO190" i="6"/>
  <c r="AM190" i="6"/>
  <c r="AK190" i="6"/>
  <c r="AI190" i="6"/>
  <c r="AG190" i="6"/>
  <c r="AF190" i="6"/>
  <c r="AE190" i="6"/>
  <c r="AB190" i="6"/>
  <c r="AA190" i="6"/>
  <c r="Z190" i="6"/>
  <c r="V190" i="6"/>
  <c r="U190" i="6"/>
  <c r="T190" i="6"/>
  <c r="S190" i="6"/>
  <c r="Q190" i="6"/>
  <c r="E190" i="6"/>
  <c r="D190" i="6"/>
  <c r="B190" i="6"/>
  <c r="A190" i="6"/>
  <c r="DL189" i="6"/>
  <c r="DJ189" i="6"/>
  <c r="DI189" i="6"/>
  <c r="DH189" i="6"/>
  <c r="DE189" i="6"/>
  <c r="DC189" i="6"/>
  <c r="CY189" i="6"/>
  <c r="CW189" i="6"/>
  <c r="CU189" i="6"/>
  <c r="CS189" i="6"/>
  <c r="CK189" i="6"/>
  <c r="CI189" i="6"/>
  <c r="CG189" i="6"/>
  <c r="CF189" i="6"/>
  <c r="CE189" i="6"/>
  <c r="CD189" i="6"/>
  <c r="CC189" i="6"/>
  <c r="CA189" i="6"/>
  <c r="BY189" i="6"/>
  <c r="BW189" i="6"/>
  <c r="BU189" i="6"/>
  <c r="BS189" i="6"/>
  <c r="BQ189" i="6"/>
  <c r="BO189" i="6"/>
  <c r="BM189" i="6"/>
  <c r="BK189" i="6"/>
  <c r="BI189" i="6"/>
  <c r="BG189" i="6"/>
  <c r="BE189" i="6"/>
  <c r="BC189" i="6"/>
  <c r="BA189" i="6"/>
  <c r="AY189" i="6"/>
  <c r="AW189" i="6"/>
  <c r="AU189" i="6"/>
  <c r="AS189" i="6"/>
  <c r="AQ189" i="6"/>
  <c r="AO189" i="6"/>
  <c r="AM189" i="6"/>
  <c r="AK189" i="6"/>
  <c r="AI189" i="6"/>
  <c r="AG189" i="6"/>
  <c r="AF189" i="6"/>
  <c r="AE189" i="6"/>
  <c r="AB189" i="6"/>
  <c r="AA189" i="6"/>
  <c r="Z189" i="6"/>
  <c r="V189" i="6"/>
  <c r="U189" i="6"/>
  <c r="T189" i="6"/>
  <c r="S189" i="6"/>
  <c r="Q189" i="6"/>
  <c r="E189" i="6"/>
  <c r="D189" i="6"/>
  <c r="B189" i="6"/>
  <c r="A189" i="6"/>
  <c r="DL188" i="6"/>
  <c r="DJ188" i="6"/>
  <c r="DI188" i="6"/>
  <c r="DH188" i="6"/>
  <c r="DE188" i="6"/>
  <c r="DC188" i="6"/>
  <c r="CY188" i="6"/>
  <c r="CW188" i="6"/>
  <c r="CU188" i="6"/>
  <c r="CS188" i="6"/>
  <c r="CK188" i="6"/>
  <c r="CI188" i="6"/>
  <c r="CG188" i="6"/>
  <c r="CF188" i="6"/>
  <c r="CE188" i="6"/>
  <c r="CD188" i="6"/>
  <c r="CC188" i="6"/>
  <c r="CA188" i="6"/>
  <c r="BY188" i="6"/>
  <c r="BW188" i="6"/>
  <c r="BU188" i="6"/>
  <c r="BS188" i="6"/>
  <c r="BQ188" i="6"/>
  <c r="BO188" i="6"/>
  <c r="BM188" i="6"/>
  <c r="BK188" i="6"/>
  <c r="BI188" i="6"/>
  <c r="BG188" i="6"/>
  <c r="BE188" i="6"/>
  <c r="BC188" i="6"/>
  <c r="BA188" i="6"/>
  <c r="AY188" i="6"/>
  <c r="AW188" i="6"/>
  <c r="AU188" i="6"/>
  <c r="AS188" i="6"/>
  <c r="AQ188" i="6"/>
  <c r="AO188" i="6"/>
  <c r="AM188" i="6"/>
  <c r="AK188" i="6"/>
  <c r="AJ188" i="6"/>
  <c r="AI188" i="6"/>
  <c r="AH188" i="6"/>
  <c r="AG188" i="6"/>
  <c r="AF188" i="6"/>
  <c r="AE188" i="6"/>
  <c r="AB188" i="6"/>
  <c r="AA188" i="6"/>
  <c r="Z188" i="6"/>
  <c r="V188" i="6"/>
  <c r="U188" i="6"/>
  <c r="T188" i="6"/>
  <c r="S188" i="6"/>
  <c r="Q188" i="6"/>
  <c r="E188" i="6"/>
  <c r="D188" i="6"/>
  <c r="B188" i="6"/>
  <c r="A188" i="6"/>
  <c r="DL187" i="6"/>
  <c r="DJ187" i="6"/>
  <c r="DI187" i="6"/>
  <c r="DH187" i="6"/>
  <c r="DE187" i="6"/>
  <c r="DC187" i="6"/>
  <c r="CY187" i="6"/>
  <c r="CW187" i="6"/>
  <c r="CU187" i="6"/>
  <c r="CS187" i="6"/>
  <c r="CR187" i="6"/>
  <c r="CK187" i="6"/>
  <c r="CI187" i="6"/>
  <c r="CG187" i="6"/>
  <c r="CF187" i="6"/>
  <c r="CE187" i="6"/>
  <c r="CD187" i="6"/>
  <c r="CC187" i="6"/>
  <c r="CA187" i="6"/>
  <c r="BY187" i="6"/>
  <c r="BW187" i="6"/>
  <c r="BU187" i="6"/>
  <c r="BS187" i="6"/>
  <c r="BQ187" i="6"/>
  <c r="BO187" i="6"/>
  <c r="BM187" i="6"/>
  <c r="BK187" i="6"/>
  <c r="BI187" i="6"/>
  <c r="BG187" i="6"/>
  <c r="BE187" i="6"/>
  <c r="BC187" i="6"/>
  <c r="BA187" i="6"/>
  <c r="AY187" i="6"/>
  <c r="AW187" i="6"/>
  <c r="AU187" i="6"/>
  <c r="AS187" i="6"/>
  <c r="AR187" i="6"/>
  <c r="AQ187" i="6"/>
  <c r="AP187" i="6"/>
  <c r="AO187" i="6"/>
  <c r="AN187" i="6"/>
  <c r="AM187" i="6"/>
  <c r="AL187" i="6"/>
  <c r="AK187" i="6"/>
  <c r="AJ187" i="6"/>
  <c r="AI187" i="6"/>
  <c r="AH187" i="6"/>
  <c r="AG187" i="6"/>
  <c r="AF187" i="6"/>
  <c r="AE187" i="6"/>
  <c r="AB187" i="6"/>
  <c r="AA187" i="6"/>
  <c r="Z187" i="6"/>
  <c r="V187" i="6"/>
  <c r="U187" i="6"/>
  <c r="T187" i="6"/>
  <c r="S187" i="6"/>
  <c r="R187" i="6"/>
  <c r="L187" i="6"/>
  <c r="K187" i="6"/>
  <c r="E187" i="6"/>
  <c r="D187" i="6"/>
  <c r="B187" i="6"/>
  <c r="A187" i="6"/>
  <c r="DL186" i="6"/>
  <c r="DJ186" i="6"/>
  <c r="DI186" i="6"/>
  <c r="DH186" i="6"/>
  <c r="DE186" i="6"/>
  <c r="DD186" i="6"/>
  <c r="DC186" i="6"/>
  <c r="DA186" i="6"/>
  <c r="CY186" i="6"/>
  <c r="CX186" i="6"/>
  <c r="CW186" i="6"/>
  <c r="CU186" i="6"/>
  <c r="CS186" i="6"/>
  <c r="CR186" i="6"/>
  <c r="CK186" i="6"/>
  <c r="CI186" i="6"/>
  <c r="CG186" i="6"/>
  <c r="CF186" i="6"/>
  <c r="CE186" i="6"/>
  <c r="CD186" i="6"/>
  <c r="CC186" i="6"/>
  <c r="CA186" i="6"/>
  <c r="BY186" i="6"/>
  <c r="BW186" i="6"/>
  <c r="BU186" i="6"/>
  <c r="BS186" i="6"/>
  <c r="BQ186" i="6"/>
  <c r="BO186" i="6"/>
  <c r="BM186" i="6"/>
  <c r="BK186" i="6"/>
  <c r="BI186" i="6"/>
  <c r="BG186" i="6"/>
  <c r="BE186" i="6"/>
  <c r="BC186" i="6"/>
  <c r="BA186" i="6"/>
  <c r="AY186" i="6"/>
  <c r="AW186" i="6"/>
  <c r="AU186" i="6"/>
  <c r="AS186" i="6"/>
  <c r="AQ186" i="6"/>
  <c r="AO186" i="6"/>
  <c r="AM186" i="6"/>
  <c r="AK186" i="6"/>
  <c r="AI186" i="6"/>
  <c r="AG186" i="6"/>
  <c r="AF186" i="6"/>
  <c r="AE186" i="6"/>
  <c r="AB186" i="6"/>
  <c r="AA186" i="6"/>
  <c r="Z186" i="6"/>
  <c r="V186" i="6"/>
  <c r="U186" i="6"/>
  <c r="T186" i="6"/>
  <c r="S186" i="6"/>
  <c r="L186" i="6"/>
  <c r="K186" i="6"/>
  <c r="E186" i="6"/>
  <c r="D186" i="6"/>
  <c r="B186" i="6"/>
  <c r="A186" i="6"/>
  <c r="DL185" i="6"/>
  <c r="DJ185" i="6"/>
  <c r="DI185" i="6"/>
  <c r="DH185" i="6"/>
  <c r="DE185" i="6"/>
  <c r="DC185" i="6"/>
  <c r="CY185" i="6"/>
  <c r="CW185" i="6"/>
  <c r="CV185" i="6"/>
  <c r="CU185" i="6"/>
  <c r="CS185" i="6"/>
  <c r="CK185" i="6"/>
  <c r="CI185" i="6"/>
  <c r="CG185" i="6"/>
  <c r="CF185" i="6"/>
  <c r="CE185" i="6"/>
  <c r="CD185" i="6"/>
  <c r="CC185" i="6"/>
  <c r="CA185" i="6"/>
  <c r="BY185" i="6"/>
  <c r="BW185" i="6"/>
  <c r="BU185" i="6"/>
  <c r="BS185" i="6"/>
  <c r="BQ185" i="6"/>
  <c r="BO185" i="6"/>
  <c r="BM185" i="6"/>
  <c r="BK185" i="6"/>
  <c r="BI185" i="6"/>
  <c r="BG185" i="6"/>
  <c r="BE185" i="6"/>
  <c r="BC185" i="6"/>
  <c r="BA185" i="6"/>
  <c r="AY185" i="6"/>
  <c r="AW185" i="6"/>
  <c r="AU185" i="6"/>
  <c r="AS185" i="6"/>
  <c r="AQ185" i="6"/>
  <c r="AO185" i="6"/>
  <c r="AM185" i="6"/>
  <c r="AK185" i="6"/>
  <c r="AJ185" i="6"/>
  <c r="AI185" i="6"/>
  <c r="AH185" i="6"/>
  <c r="AG185" i="6"/>
  <c r="AF185" i="6"/>
  <c r="AE185" i="6"/>
  <c r="AB185" i="6"/>
  <c r="AA185" i="6"/>
  <c r="Z185" i="6"/>
  <c r="V185" i="6"/>
  <c r="U185" i="6"/>
  <c r="T185" i="6"/>
  <c r="S185" i="6"/>
  <c r="Q185" i="6"/>
  <c r="E185" i="6"/>
  <c r="D185" i="6"/>
  <c r="B185" i="6"/>
  <c r="A185" i="6"/>
  <c r="DL184" i="6"/>
  <c r="DJ184" i="6"/>
  <c r="DI184" i="6"/>
  <c r="DH184" i="6"/>
  <c r="DE184" i="6"/>
  <c r="DC184" i="6"/>
  <c r="CY184" i="6"/>
  <c r="CW184" i="6"/>
  <c r="CU184" i="6"/>
  <c r="CS184" i="6"/>
  <c r="CK184" i="6"/>
  <c r="CI184" i="6"/>
  <c r="CG184" i="6"/>
  <c r="CF184" i="6"/>
  <c r="CE184" i="6"/>
  <c r="CD184" i="6"/>
  <c r="CC184" i="6"/>
  <c r="CA184" i="6"/>
  <c r="BY184" i="6"/>
  <c r="BW184" i="6"/>
  <c r="BU184" i="6"/>
  <c r="BS184" i="6"/>
  <c r="BQ184" i="6"/>
  <c r="BO184" i="6"/>
  <c r="BM184" i="6"/>
  <c r="BK184" i="6"/>
  <c r="BI184" i="6"/>
  <c r="BG184" i="6"/>
  <c r="BE184" i="6"/>
  <c r="BC184" i="6"/>
  <c r="BA184" i="6"/>
  <c r="AY184" i="6"/>
  <c r="AW184" i="6"/>
  <c r="AU184" i="6"/>
  <c r="AS184" i="6"/>
  <c r="AQ184" i="6"/>
  <c r="AO184" i="6"/>
  <c r="AM184" i="6"/>
  <c r="AK184" i="6"/>
  <c r="AI184" i="6"/>
  <c r="AG184" i="6"/>
  <c r="AF184" i="6"/>
  <c r="AE184" i="6"/>
  <c r="AB184" i="6"/>
  <c r="AA184" i="6"/>
  <c r="Z184" i="6"/>
  <c r="V184" i="6"/>
  <c r="U184" i="6"/>
  <c r="T184" i="6"/>
  <c r="S184" i="6"/>
  <c r="Q184" i="6"/>
  <c r="E184" i="6"/>
  <c r="D184" i="6"/>
  <c r="B184" i="6"/>
  <c r="A184" i="6"/>
  <c r="DL183" i="6"/>
  <c r="DJ183" i="6"/>
  <c r="DI183" i="6"/>
  <c r="DH183" i="6"/>
  <c r="DE183" i="6"/>
  <c r="DC183" i="6"/>
  <c r="CY183" i="6"/>
  <c r="CW183" i="6"/>
  <c r="CV183" i="6"/>
  <c r="CU183" i="6"/>
  <c r="CS183" i="6"/>
  <c r="CK183" i="6"/>
  <c r="CI183" i="6"/>
  <c r="CG183" i="6"/>
  <c r="CF183" i="6"/>
  <c r="CE183" i="6"/>
  <c r="CD183" i="6"/>
  <c r="CC183" i="6"/>
  <c r="CA183" i="6"/>
  <c r="BY183" i="6"/>
  <c r="BW183" i="6"/>
  <c r="BU183" i="6"/>
  <c r="BS183" i="6"/>
  <c r="BQ183" i="6"/>
  <c r="BO183" i="6"/>
  <c r="BM183" i="6"/>
  <c r="BK183" i="6"/>
  <c r="BI183" i="6"/>
  <c r="BG183" i="6"/>
  <c r="BE183" i="6"/>
  <c r="BC183" i="6"/>
  <c r="BA183" i="6"/>
  <c r="AY183" i="6"/>
  <c r="AW183" i="6"/>
  <c r="AU183" i="6"/>
  <c r="AS183" i="6"/>
  <c r="AQ183" i="6"/>
  <c r="AO183" i="6"/>
  <c r="AN183" i="6"/>
  <c r="AM183" i="6"/>
  <c r="AL183" i="6"/>
  <c r="AK183" i="6"/>
  <c r="AJ183" i="6"/>
  <c r="AI183" i="6"/>
  <c r="AH183" i="6"/>
  <c r="AG183" i="6"/>
  <c r="AF183" i="6"/>
  <c r="AE183" i="6"/>
  <c r="AB183" i="6"/>
  <c r="AA183" i="6"/>
  <c r="Z183" i="6"/>
  <c r="V183" i="6"/>
  <c r="U183" i="6"/>
  <c r="T183" i="6"/>
  <c r="S183" i="6"/>
  <c r="L183" i="6"/>
  <c r="K183" i="6"/>
  <c r="E183" i="6"/>
  <c r="D183" i="6"/>
  <c r="B183" i="6"/>
  <c r="A183" i="6"/>
  <c r="DL182" i="6"/>
  <c r="DJ182" i="6"/>
  <c r="DI182" i="6"/>
  <c r="DH182" i="6"/>
  <c r="DE182" i="6"/>
  <c r="DD182" i="6"/>
  <c r="DC182" i="6"/>
  <c r="DA182" i="6"/>
  <c r="CY182" i="6"/>
  <c r="CX182" i="6"/>
  <c r="CW182" i="6"/>
  <c r="CU182" i="6"/>
  <c r="CS182" i="6"/>
  <c r="CK182" i="6"/>
  <c r="CI182" i="6"/>
  <c r="CG182" i="6"/>
  <c r="CF182" i="6"/>
  <c r="CE182" i="6"/>
  <c r="CD182" i="6"/>
  <c r="CC182" i="6"/>
  <c r="CA182" i="6"/>
  <c r="BY182" i="6"/>
  <c r="BW182" i="6"/>
  <c r="BU182" i="6"/>
  <c r="BS182" i="6"/>
  <c r="BQ182" i="6"/>
  <c r="BO182" i="6"/>
  <c r="BM182" i="6"/>
  <c r="BK182" i="6"/>
  <c r="BI182" i="6"/>
  <c r="BG182" i="6"/>
  <c r="BE182" i="6"/>
  <c r="BC182" i="6"/>
  <c r="BA182" i="6"/>
  <c r="AY182" i="6"/>
  <c r="AW182" i="6"/>
  <c r="AU182" i="6"/>
  <c r="AS182" i="6"/>
  <c r="AQ182" i="6"/>
  <c r="AO182" i="6"/>
  <c r="AM182" i="6"/>
  <c r="AK182" i="6"/>
  <c r="AI182" i="6"/>
  <c r="AG182" i="6"/>
  <c r="AF182" i="6"/>
  <c r="AE182" i="6"/>
  <c r="AB182" i="6"/>
  <c r="AA182" i="6"/>
  <c r="Z182" i="6"/>
  <c r="V182" i="6"/>
  <c r="U182" i="6"/>
  <c r="T182" i="6"/>
  <c r="S182" i="6"/>
  <c r="L182" i="6"/>
  <c r="K182" i="6"/>
  <c r="E182" i="6"/>
  <c r="D182" i="6"/>
  <c r="B182" i="6"/>
  <c r="A182" i="6"/>
  <c r="DL181" i="6"/>
  <c r="DJ181" i="6"/>
  <c r="DI181" i="6"/>
  <c r="DE181" i="6"/>
  <c r="DC181" i="6"/>
  <c r="CY181" i="6"/>
  <c r="CW181" i="6"/>
  <c r="CU181" i="6"/>
  <c r="CS181" i="6"/>
  <c r="CR181" i="6"/>
  <c r="CK181" i="6"/>
  <c r="CI181" i="6"/>
  <c r="CG181" i="6"/>
  <c r="CE181" i="6"/>
  <c r="CC181" i="6"/>
  <c r="CA181" i="6"/>
  <c r="BY181" i="6"/>
  <c r="BW181" i="6"/>
  <c r="BU181" i="6"/>
  <c r="BS181" i="6"/>
  <c r="BQ181" i="6"/>
  <c r="BO181" i="6"/>
  <c r="BM181" i="6"/>
  <c r="BK181" i="6"/>
  <c r="BI181" i="6"/>
  <c r="BG181" i="6"/>
  <c r="BE181" i="6"/>
  <c r="BC181" i="6"/>
  <c r="BA181" i="6"/>
  <c r="AY181" i="6"/>
  <c r="AW181" i="6"/>
  <c r="AU181" i="6"/>
  <c r="AS181" i="6"/>
  <c r="AQ181" i="6"/>
  <c r="AO181" i="6"/>
  <c r="AM181" i="6"/>
  <c r="AK181" i="6"/>
  <c r="AJ181" i="6"/>
  <c r="AI181" i="6"/>
  <c r="AH181" i="6"/>
  <c r="AG181" i="6"/>
  <c r="AF181" i="6"/>
  <c r="AE181" i="6"/>
  <c r="AD181" i="6"/>
  <c r="AC181" i="6"/>
  <c r="AB181" i="6"/>
  <c r="AA181" i="6"/>
  <c r="Z181" i="6"/>
  <c r="V181" i="6"/>
  <c r="U181" i="6"/>
  <c r="T181" i="6"/>
  <c r="S181" i="6"/>
  <c r="E181" i="6"/>
  <c r="D181" i="6"/>
  <c r="B181" i="6"/>
  <c r="A181" i="6"/>
  <c r="DL180" i="6"/>
  <c r="DJ180" i="6"/>
  <c r="DI180" i="6"/>
  <c r="DE180" i="6"/>
  <c r="DC180" i="6"/>
  <c r="CY180" i="6"/>
  <c r="CW180" i="6"/>
  <c r="CU180" i="6"/>
  <c r="CS180" i="6"/>
  <c r="CR180" i="6"/>
  <c r="CK180" i="6"/>
  <c r="CI180" i="6"/>
  <c r="CG180" i="6"/>
  <c r="CE180" i="6"/>
  <c r="CC180" i="6"/>
  <c r="CA180" i="6"/>
  <c r="BY180" i="6"/>
  <c r="BW180" i="6"/>
  <c r="BU180" i="6"/>
  <c r="BS180" i="6"/>
  <c r="BQ180" i="6"/>
  <c r="BO180" i="6"/>
  <c r="BM180" i="6"/>
  <c r="BK180" i="6"/>
  <c r="BI180" i="6"/>
  <c r="BG180" i="6"/>
  <c r="BE180" i="6"/>
  <c r="BC180" i="6"/>
  <c r="BA180" i="6"/>
  <c r="AY180" i="6"/>
  <c r="AW180" i="6"/>
  <c r="AU180" i="6"/>
  <c r="AS180" i="6"/>
  <c r="AQ180" i="6"/>
  <c r="AO180" i="6"/>
  <c r="AM180" i="6"/>
  <c r="AK180" i="6"/>
  <c r="AJ180" i="6"/>
  <c r="AI180" i="6"/>
  <c r="AH180" i="6"/>
  <c r="AG180" i="6"/>
  <c r="AF180" i="6"/>
  <c r="AE180" i="6"/>
  <c r="AD180" i="6"/>
  <c r="AC180" i="6"/>
  <c r="AB180" i="6"/>
  <c r="AA180" i="6"/>
  <c r="Z180" i="6"/>
  <c r="V180" i="6"/>
  <c r="U180" i="6"/>
  <c r="T180" i="6"/>
  <c r="S180" i="6"/>
  <c r="E180" i="6"/>
  <c r="D180" i="6"/>
  <c r="B180" i="6"/>
  <c r="A180" i="6"/>
  <c r="DL179" i="6"/>
  <c r="DJ179" i="6"/>
  <c r="DI179" i="6"/>
  <c r="DH179" i="6"/>
  <c r="DE179" i="6"/>
  <c r="DD179" i="6"/>
  <c r="DC179" i="6"/>
  <c r="DA179" i="6"/>
  <c r="CY179" i="6"/>
  <c r="CX179" i="6"/>
  <c r="CW179" i="6"/>
  <c r="CU179" i="6"/>
  <c r="CS179" i="6"/>
  <c r="CR179" i="6"/>
  <c r="CO179" i="6"/>
  <c r="CK179" i="6"/>
  <c r="CI179" i="6"/>
  <c r="CG179" i="6"/>
  <c r="CF179" i="6"/>
  <c r="CE179" i="6"/>
  <c r="CD179" i="6"/>
  <c r="CC179" i="6"/>
  <c r="CA179" i="6"/>
  <c r="BY179" i="6"/>
  <c r="BW179" i="6"/>
  <c r="BU179" i="6"/>
  <c r="BS179" i="6"/>
  <c r="BQ179" i="6"/>
  <c r="BO179" i="6"/>
  <c r="BM179" i="6"/>
  <c r="BK179" i="6"/>
  <c r="BI179" i="6"/>
  <c r="BG179" i="6"/>
  <c r="BE179" i="6"/>
  <c r="BC179" i="6"/>
  <c r="BA179" i="6"/>
  <c r="AY179" i="6"/>
  <c r="AW179" i="6"/>
  <c r="AU179" i="6"/>
  <c r="AS179" i="6"/>
  <c r="AQ179" i="6"/>
  <c r="AO179" i="6"/>
  <c r="AM179" i="6"/>
  <c r="AK179" i="6"/>
  <c r="AI179" i="6"/>
  <c r="AG179" i="6"/>
  <c r="AF179" i="6"/>
  <c r="AE179" i="6"/>
  <c r="AD179" i="6"/>
  <c r="AB179" i="6"/>
  <c r="AA179" i="6"/>
  <c r="Z179" i="6"/>
  <c r="V179" i="6"/>
  <c r="U179" i="6"/>
  <c r="T179" i="6"/>
  <c r="S179" i="6"/>
  <c r="P179" i="6"/>
  <c r="L179" i="6"/>
  <c r="K179" i="6"/>
  <c r="E179" i="6"/>
  <c r="D179" i="6"/>
  <c r="B179" i="6"/>
  <c r="A179" i="6"/>
  <c r="DL178" i="6"/>
  <c r="DJ178" i="6"/>
  <c r="DI178" i="6"/>
  <c r="DE178" i="6"/>
  <c r="DD178" i="6"/>
  <c r="DC178" i="6"/>
  <c r="DB178" i="6"/>
  <c r="DA178" i="6"/>
  <c r="CY178" i="6"/>
  <c r="CX178" i="6"/>
  <c r="CW178" i="6"/>
  <c r="CU178" i="6"/>
  <c r="CS178" i="6"/>
  <c r="CK178" i="6"/>
  <c r="CI178" i="6"/>
  <c r="CG178" i="6"/>
  <c r="CE178" i="6"/>
  <c r="CC178" i="6"/>
  <c r="CA178" i="6"/>
  <c r="BY178" i="6"/>
  <c r="BW178" i="6"/>
  <c r="BU178" i="6"/>
  <c r="BS178" i="6"/>
  <c r="BQ178" i="6"/>
  <c r="BO178" i="6"/>
  <c r="BM178" i="6"/>
  <c r="BK178" i="6"/>
  <c r="BI178" i="6"/>
  <c r="BG178" i="6"/>
  <c r="BE178" i="6"/>
  <c r="BC178" i="6"/>
  <c r="BA178" i="6"/>
  <c r="AY178" i="6"/>
  <c r="AW178" i="6"/>
  <c r="AU178" i="6"/>
  <c r="AS178" i="6"/>
  <c r="AQ178" i="6"/>
  <c r="AO178" i="6"/>
  <c r="AM178" i="6"/>
  <c r="AK178" i="6"/>
  <c r="AI178" i="6"/>
  <c r="AG178" i="6"/>
  <c r="AF178" i="6"/>
  <c r="AE178" i="6"/>
  <c r="AD178" i="6"/>
  <c r="AC178" i="6"/>
  <c r="AB178" i="6"/>
  <c r="AA178" i="6"/>
  <c r="Z178" i="6"/>
  <c r="V178" i="6"/>
  <c r="U178" i="6"/>
  <c r="T178" i="6"/>
  <c r="S178" i="6"/>
  <c r="E178" i="6"/>
  <c r="D178" i="6"/>
  <c r="C178" i="6"/>
  <c r="B178" i="6"/>
  <c r="A178" i="6"/>
  <c r="DL177" i="6"/>
  <c r="DJ177" i="6"/>
  <c r="DI177" i="6"/>
  <c r="DH177" i="6"/>
  <c r="DG177" i="6"/>
  <c r="DF177" i="6"/>
  <c r="DE177" i="6"/>
  <c r="DC177" i="6"/>
  <c r="CY177" i="6"/>
  <c r="CW177" i="6"/>
  <c r="CU177" i="6"/>
  <c r="CS177" i="6"/>
  <c r="CK177" i="6"/>
  <c r="CJ177" i="6"/>
  <c r="CI177" i="6"/>
  <c r="CH177" i="6"/>
  <c r="CG177" i="6"/>
  <c r="CF177" i="6"/>
  <c r="CE177" i="6"/>
  <c r="CD177" i="6"/>
  <c r="CC177" i="6"/>
  <c r="CA177" i="6"/>
  <c r="BY177" i="6"/>
  <c r="BW177" i="6"/>
  <c r="BU177" i="6"/>
  <c r="BS177" i="6"/>
  <c r="BQ177" i="6"/>
  <c r="BO177" i="6"/>
  <c r="BM177" i="6"/>
  <c r="BK177" i="6"/>
  <c r="BI177" i="6"/>
  <c r="BG177" i="6"/>
  <c r="BE177" i="6"/>
  <c r="BC177" i="6"/>
  <c r="BA177" i="6"/>
  <c r="AY177" i="6"/>
  <c r="AW177" i="6"/>
  <c r="AU177" i="6"/>
  <c r="AS177" i="6"/>
  <c r="AR177" i="6"/>
  <c r="AQ177" i="6"/>
  <c r="AP177" i="6"/>
  <c r="AO177" i="6"/>
  <c r="AN177" i="6"/>
  <c r="AM177" i="6"/>
  <c r="AL177" i="6"/>
  <c r="AK177" i="6"/>
  <c r="AJ177" i="6"/>
  <c r="AI177" i="6"/>
  <c r="AH177" i="6"/>
  <c r="AG177" i="6"/>
  <c r="AF177" i="6"/>
  <c r="AE177" i="6"/>
  <c r="AD177" i="6"/>
  <c r="AB177" i="6"/>
  <c r="AA177" i="6"/>
  <c r="Z177" i="6"/>
  <c r="V177" i="6"/>
  <c r="U177" i="6"/>
  <c r="T177" i="6"/>
  <c r="S177" i="6"/>
  <c r="L177" i="6"/>
  <c r="K177" i="6"/>
  <c r="J177" i="6"/>
  <c r="E177" i="6"/>
  <c r="D177" i="6"/>
  <c r="B177" i="6"/>
  <c r="A177" i="6"/>
  <c r="DL176" i="6"/>
  <c r="DJ176" i="6"/>
  <c r="DI176" i="6"/>
  <c r="DE176" i="6"/>
  <c r="DC176" i="6"/>
  <c r="CY176" i="6"/>
  <c r="CW176" i="6"/>
  <c r="CU176" i="6"/>
  <c r="CS176" i="6"/>
  <c r="CK176" i="6"/>
  <c r="CI176" i="6"/>
  <c r="CG176" i="6"/>
  <c r="CE176" i="6"/>
  <c r="CC176" i="6"/>
  <c r="CA176" i="6"/>
  <c r="BY176" i="6"/>
  <c r="BW176" i="6"/>
  <c r="BU176" i="6"/>
  <c r="BS176" i="6"/>
  <c r="BQ176" i="6"/>
  <c r="BO176" i="6"/>
  <c r="BM176" i="6"/>
  <c r="BK176" i="6"/>
  <c r="BI176" i="6"/>
  <c r="BG176" i="6"/>
  <c r="BE176" i="6"/>
  <c r="BC176" i="6"/>
  <c r="BA176" i="6"/>
  <c r="AY176" i="6"/>
  <c r="AW176" i="6"/>
  <c r="AU176" i="6"/>
  <c r="AS176" i="6"/>
  <c r="AQ176" i="6"/>
  <c r="AO176" i="6"/>
  <c r="AM176" i="6"/>
  <c r="AK176" i="6"/>
  <c r="AI176" i="6"/>
  <c r="AG176" i="6"/>
  <c r="AF176" i="6"/>
  <c r="AE176" i="6"/>
  <c r="AD176" i="6"/>
  <c r="AB176" i="6"/>
  <c r="AA176" i="6"/>
  <c r="Z176" i="6"/>
  <c r="V176" i="6"/>
  <c r="U176" i="6"/>
  <c r="T176" i="6"/>
  <c r="S176" i="6"/>
  <c r="Q176" i="6"/>
  <c r="E176" i="6"/>
  <c r="D176" i="6"/>
  <c r="B176" i="6"/>
  <c r="A176" i="6"/>
  <c r="DL175" i="6"/>
  <c r="DJ175" i="6"/>
  <c r="DI175" i="6"/>
  <c r="DE175" i="6"/>
  <c r="DC175" i="6"/>
  <c r="CY175" i="6"/>
  <c r="CW175" i="6"/>
  <c r="CU175" i="6"/>
  <c r="CS175" i="6"/>
  <c r="CK175" i="6"/>
  <c r="CI175" i="6"/>
  <c r="CG175" i="6"/>
  <c r="CE175" i="6"/>
  <c r="CC175" i="6"/>
  <c r="CA175" i="6"/>
  <c r="BY175" i="6"/>
  <c r="BW175" i="6"/>
  <c r="BU175" i="6"/>
  <c r="BS175" i="6"/>
  <c r="BQ175" i="6"/>
  <c r="BO175" i="6"/>
  <c r="BM175" i="6"/>
  <c r="BK175" i="6"/>
  <c r="BI175" i="6"/>
  <c r="BG175" i="6"/>
  <c r="BE175" i="6"/>
  <c r="BC175" i="6"/>
  <c r="BA175" i="6"/>
  <c r="AY175" i="6"/>
  <c r="AW175" i="6"/>
  <c r="AU175" i="6"/>
  <c r="AS175" i="6"/>
  <c r="AQ175" i="6"/>
  <c r="AO175" i="6"/>
  <c r="AM175" i="6"/>
  <c r="AK175" i="6"/>
  <c r="AI175" i="6"/>
  <c r="AG175" i="6"/>
  <c r="AF175" i="6"/>
  <c r="AE175" i="6"/>
  <c r="AD175" i="6"/>
  <c r="AB175" i="6"/>
  <c r="AA175" i="6"/>
  <c r="Z175" i="6"/>
  <c r="V175" i="6"/>
  <c r="U175" i="6"/>
  <c r="T175" i="6"/>
  <c r="S175" i="6"/>
  <c r="L175" i="6"/>
  <c r="K175" i="6"/>
  <c r="J175" i="6"/>
  <c r="E175" i="6"/>
  <c r="D175" i="6"/>
  <c r="B175" i="6"/>
  <c r="A175" i="6"/>
  <c r="DL174" i="6"/>
  <c r="DJ174" i="6"/>
  <c r="DI174" i="6"/>
  <c r="DE174" i="6"/>
  <c r="DC174" i="6"/>
  <c r="CY174" i="6"/>
  <c r="CW174" i="6"/>
  <c r="CU174" i="6"/>
  <c r="CS174" i="6"/>
  <c r="CK174" i="6"/>
  <c r="CI174" i="6"/>
  <c r="CG174" i="6"/>
  <c r="CE174" i="6"/>
  <c r="CC174" i="6"/>
  <c r="CA174" i="6"/>
  <c r="BY174" i="6"/>
  <c r="BW174" i="6"/>
  <c r="BU174" i="6"/>
  <c r="BS174" i="6"/>
  <c r="BQ174" i="6"/>
  <c r="BO174" i="6"/>
  <c r="BM174" i="6"/>
  <c r="BK174" i="6"/>
  <c r="BI174" i="6"/>
  <c r="BG174" i="6"/>
  <c r="BE174" i="6"/>
  <c r="BC174" i="6"/>
  <c r="BA174" i="6"/>
  <c r="AY174" i="6"/>
  <c r="AW174" i="6"/>
  <c r="AU174" i="6"/>
  <c r="AS174" i="6"/>
  <c r="AQ174" i="6"/>
  <c r="AO174" i="6"/>
  <c r="AM174" i="6"/>
  <c r="AK174" i="6"/>
  <c r="AI174" i="6"/>
  <c r="AG174" i="6"/>
  <c r="AF174" i="6"/>
  <c r="AE174" i="6"/>
  <c r="AD174" i="6"/>
  <c r="AB174" i="6"/>
  <c r="AA174" i="6"/>
  <c r="Z174" i="6"/>
  <c r="V174" i="6"/>
  <c r="U174" i="6"/>
  <c r="T174" i="6"/>
  <c r="S174" i="6"/>
  <c r="Q174" i="6"/>
  <c r="E174" i="6"/>
  <c r="D174" i="6"/>
  <c r="B174" i="6"/>
  <c r="A174" i="6"/>
  <c r="DL173" i="6"/>
  <c r="DJ173" i="6"/>
  <c r="DI173" i="6"/>
  <c r="DG173" i="6"/>
  <c r="DF173" i="6"/>
  <c r="DE173" i="6"/>
  <c r="DC173" i="6"/>
  <c r="CY173" i="6"/>
  <c r="CW173" i="6"/>
  <c r="CV173" i="6"/>
  <c r="CU173" i="6"/>
  <c r="CS173" i="6"/>
  <c r="CR173" i="6"/>
  <c r="CK173" i="6"/>
  <c r="CI173" i="6"/>
  <c r="CH173" i="6"/>
  <c r="CG173" i="6"/>
  <c r="CE173" i="6"/>
  <c r="CC173" i="6"/>
  <c r="CA173" i="6"/>
  <c r="BY173" i="6"/>
  <c r="BW173" i="6"/>
  <c r="BU173" i="6"/>
  <c r="BS173" i="6"/>
  <c r="BQ173" i="6"/>
  <c r="BO173" i="6"/>
  <c r="BM173" i="6"/>
  <c r="BK173" i="6"/>
  <c r="BI173" i="6"/>
  <c r="BG173" i="6"/>
  <c r="BE173" i="6"/>
  <c r="BC173" i="6"/>
  <c r="BA173" i="6"/>
  <c r="AY173" i="6"/>
  <c r="AW173" i="6"/>
  <c r="AU173" i="6"/>
  <c r="AS173" i="6"/>
  <c r="AQ173" i="6"/>
  <c r="AO173" i="6"/>
  <c r="AM173" i="6"/>
  <c r="AK173" i="6"/>
  <c r="AJ173" i="6"/>
  <c r="AI173" i="6"/>
  <c r="AH173" i="6"/>
  <c r="AG173" i="6"/>
  <c r="AF173" i="6"/>
  <c r="AE173" i="6"/>
  <c r="AD173" i="6"/>
  <c r="AB173" i="6"/>
  <c r="AA173" i="6"/>
  <c r="Z173" i="6"/>
  <c r="V173" i="6"/>
  <c r="U173" i="6"/>
  <c r="T173" i="6"/>
  <c r="S173" i="6"/>
  <c r="L173" i="6"/>
  <c r="K173" i="6"/>
  <c r="J173" i="6"/>
  <c r="E173" i="6"/>
  <c r="D173" i="6"/>
  <c r="B173" i="6"/>
  <c r="A173" i="6"/>
  <c r="DL172" i="6"/>
  <c r="DJ172" i="6"/>
  <c r="DI172" i="6"/>
  <c r="DE172" i="6"/>
  <c r="DC172" i="6"/>
  <c r="CY172" i="6"/>
  <c r="CW172" i="6"/>
  <c r="CU172" i="6"/>
  <c r="CS172" i="6"/>
  <c r="CK172" i="6"/>
  <c r="CI172" i="6"/>
  <c r="CG172" i="6"/>
  <c r="CE172" i="6"/>
  <c r="CC172" i="6"/>
  <c r="CA172" i="6"/>
  <c r="BY172" i="6"/>
  <c r="BW172" i="6"/>
  <c r="BU172" i="6"/>
  <c r="BS172" i="6"/>
  <c r="BQ172" i="6"/>
  <c r="BO172" i="6"/>
  <c r="BM172" i="6"/>
  <c r="BK172" i="6"/>
  <c r="BI172" i="6"/>
  <c r="BG172" i="6"/>
  <c r="BE172" i="6"/>
  <c r="BC172" i="6"/>
  <c r="BA172" i="6"/>
  <c r="AY172" i="6"/>
  <c r="AW172" i="6"/>
  <c r="AU172" i="6"/>
  <c r="AS172" i="6"/>
  <c r="AQ172" i="6"/>
  <c r="AO172" i="6"/>
  <c r="AM172" i="6"/>
  <c r="AK172" i="6"/>
  <c r="AI172" i="6"/>
  <c r="AG172" i="6"/>
  <c r="AF172" i="6"/>
  <c r="AE172" i="6"/>
  <c r="AD172" i="6"/>
  <c r="AB172" i="6"/>
  <c r="AA172" i="6"/>
  <c r="Z172" i="6"/>
  <c r="V172" i="6"/>
  <c r="U172" i="6"/>
  <c r="T172" i="6"/>
  <c r="S172" i="6"/>
  <c r="L172" i="6"/>
  <c r="K172" i="6"/>
  <c r="E172" i="6"/>
  <c r="D172" i="6"/>
  <c r="B172" i="6"/>
  <c r="A172" i="6"/>
  <c r="DL171" i="6"/>
  <c r="DJ171" i="6"/>
  <c r="DI171" i="6"/>
  <c r="DE171" i="6"/>
  <c r="DC171" i="6"/>
  <c r="CY171" i="6"/>
  <c r="CW171" i="6"/>
  <c r="CU171" i="6"/>
  <c r="CS171" i="6"/>
  <c r="CK171" i="6"/>
  <c r="CI171" i="6"/>
  <c r="CG171" i="6"/>
  <c r="CE171" i="6"/>
  <c r="CC171" i="6"/>
  <c r="CA171" i="6"/>
  <c r="BY171" i="6"/>
  <c r="BW171" i="6"/>
  <c r="BU171" i="6"/>
  <c r="BS171" i="6"/>
  <c r="BQ171" i="6"/>
  <c r="BO171" i="6"/>
  <c r="BM171" i="6"/>
  <c r="BK171" i="6"/>
  <c r="BI171" i="6"/>
  <c r="BG171" i="6"/>
  <c r="BE171" i="6"/>
  <c r="BC171" i="6"/>
  <c r="BA171" i="6"/>
  <c r="AY171" i="6"/>
  <c r="AW171" i="6"/>
  <c r="AU171" i="6"/>
  <c r="AS171" i="6"/>
  <c r="AQ171" i="6"/>
  <c r="AO171" i="6"/>
  <c r="AM171" i="6"/>
  <c r="AK171" i="6"/>
  <c r="AI171" i="6"/>
  <c r="AG171" i="6"/>
  <c r="AF171" i="6"/>
  <c r="AE171" i="6"/>
  <c r="AD171" i="6"/>
  <c r="AB171" i="6"/>
  <c r="AA171" i="6"/>
  <c r="Z171" i="6"/>
  <c r="V171" i="6"/>
  <c r="U171" i="6"/>
  <c r="T171" i="6"/>
  <c r="S171" i="6"/>
  <c r="L171" i="6"/>
  <c r="K171" i="6"/>
  <c r="E171" i="6"/>
  <c r="D171" i="6"/>
  <c r="B171" i="6"/>
  <c r="A171" i="6"/>
  <c r="DL170" i="6"/>
  <c r="DJ170" i="6"/>
  <c r="DI170" i="6"/>
  <c r="DE170" i="6"/>
  <c r="DC170" i="6"/>
  <c r="CY170" i="6"/>
  <c r="CW170" i="6"/>
  <c r="CU170" i="6"/>
  <c r="CS170" i="6"/>
  <c r="CK170" i="6"/>
  <c r="CI170" i="6"/>
  <c r="CG170" i="6"/>
  <c r="CE170" i="6"/>
  <c r="CC170" i="6"/>
  <c r="CA170" i="6"/>
  <c r="BY170" i="6"/>
  <c r="BW170" i="6"/>
  <c r="BU170" i="6"/>
  <c r="BS170" i="6"/>
  <c r="BQ170" i="6"/>
  <c r="BO170" i="6"/>
  <c r="BM170" i="6"/>
  <c r="BK170" i="6"/>
  <c r="BI170" i="6"/>
  <c r="BG170" i="6"/>
  <c r="BE170" i="6"/>
  <c r="BC170" i="6"/>
  <c r="BA170" i="6"/>
  <c r="AY170" i="6"/>
  <c r="AW170" i="6"/>
  <c r="AU170" i="6"/>
  <c r="AS170" i="6"/>
  <c r="AQ170" i="6"/>
  <c r="AO170" i="6"/>
  <c r="AM170" i="6"/>
  <c r="AK170" i="6"/>
  <c r="AI170" i="6"/>
  <c r="AG170" i="6"/>
  <c r="AF170" i="6"/>
  <c r="AE170" i="6"/>
  <c r="AD170" i="6"/>
  <c r="AB170" i="6"/>
  <c r="AA170" i="6"/>
  <c r="Z170" i="6"/>
  <c r="V170" i="6"/>
  <c r="U170" i="6"/>
  <c r="T170" i="6"/>
  <c r="S170" i="6"/>
  <c r="Q170" i="6"/>
  <c r="E170" i="6"/>
  <c r="D170" i="6"/>
  <c r="B170" i="6"/>
  <c r="A170" i="6"/>
  <c r="DL169" i="6"/>
  <c r="DJ169" i="6"/>
  <c r="DI169" i="6"/>
  <c r="DE169" i="6"/>
  <c r="DC169" i="6"/>
  <c r="CY169" i="6"/>
  <c r="CW169" i="6"/>
  <c r="CU169" i="6"/>
  <c r="CS169" i="6"/>
  <c r="CK169" i="6"/>
  <c r="CI169" i="6"/>
  <c r="CG169" i="6"/>
  <c r="CE169" i="6"/>
  <c r="CC169" i="6"/>
  <c r="CA169" i="6"/>
  <c r="BY169" i="6"/>
  <c r="BW169" i="6"/>
  <c r="BU169" i="6"/>
  <c r="BS169" i="6"/>
  <c r="BQ169" i="6"/>
  <c r="BO169" i="6"/>
  <c r="BM169" i="6"/>
  <c r="BK169" i="6"/>
  <c r="BI169" i="6"/>
  <c r="BG169" i="6"/>
  <c r="BE169" i="6"/>
  <c r="BC169" i="6"/>
  <c r="BA169" i="6"/>
  <c r="AY169" i="6"/>
  <c r="AW169" i="6"/>
  <c r="AU169" i="6"/>
  <c r="AS169" i="6"/>
  <c r="AQ169" i="6"/>
  <c r="AO169" i="6"/>
  <c r="AM169" i="6"/>
  <c r="AK169" i="6"/>
  <c r="AI169" i="6"/>
  <c r="AG169" i="6"/>
  <c r="AF169" i="6"/>
  <c r="AE169" i="6"/>
  <c r="AD169" i="6"/>
  <c r="AB169" i="6"/>
  <c r="AA169" i="6"/>
  <c r="Z169" i="6"/>
  <c r="V169" i="6"/>
  <c r="U169" i="6"/>
  <c r="T169" i="6"/>
  <c r="S169" i="6"/>
  <c r="L169" i="6"/>
  <c r="K169" i="6"/>
  <c r="E169" i="6"/>
  <c r="D169" i="6"/>
  <c r="B169" i="6"/>
  <c r="A169" i="6"/>
  <c r="DL168" i="6"/>
  <c r="DJ168" i="6"/>
  <c r="DI168" i="6"/>
  <c r="DE168" i="6"/>
  <c r="DC168" i="6"/>
  <c r="CY168" i="6"/>
  <c r="CW168" i="6"/>
  <c r="CU168" i="6"/>
  <c r="CS168" i="6"/>
  <c r="CK168" i="6"/>
  <c r="CI168" i="6"/>
  <c r="CG168" i="6"/>
  <c r="CE168" i="6"/>
  <c r="CC168" i="6"/>
  <c r="CA168" i="6"/>
  <c r="BY168" i="6"/>
  <c r="BW168" i="6"/>
  <c r="BU168" i="6"/>
  <c r="BS168" i="6"/>
  <c r="BQ168" i="6"/>
  <c r="BO168" i="6"/>
  <c r="BM168" i="6"/>
  <c r="BK168" i="6"/>
  <c r="BI168" i="6"/>
  <c r="BG168" i="6"/>
  <c r="BE168" i="6"/>
  <c r="BC168" i="6"/>
  <c r="BA168" i="6"/>
  <c r="AY168" i="6"/>
  <c r="AW168" i="6"/>
  <c r="AU168" i="6"/>
  <c r="AS168" i="6"/>
  <c r="AQ168" i="6"/>
  <c r="AO168" i="6"/>
  <c r="AM168" i="6"/>
  <c r="AK168" i="6"/>
  <c r="AI168" i="6"/>
  <c r="AG168" i="6"/>
  <c r="AF168" i="6"/>
  <c r="AE168" i="6"/>
  <c r="AB168" i="6"/>
  <c r="AA168" i="6"/>
  <c r="Z168" i="6"/>
  <c r="V168" i="6"/>
  <c r="U168" i="6"/>
  <c r="T168" i="6"/>
  <c r="S168" i="6"/>
  <c r="E168" i="6"/>
  <c r="D168" i="6"/>
  <c r="B168" i="6"/>
  <c r="A168" i="6"/>
  <c r="DL167" i="6"/>
  <c r="DJ167" i="6"/>
  <c r="DI167" i="6"/>
  <c r="DE167" i="6"/>
  <c r="DD167" i="6"/>
  <c r="DC167" i="6"/>
  <c r="DA167" i="6"/>
  <c r="CY167" i="6"/>
  <c r="CX167" i="6"/>
  <c r="CW167" i="6"/>
  <c r="CV167" i="6"/>
  <c r="CU167" i="6"/>
  <c r="CS167" i="6"/>
  <c r="CK167" i="6"/>
  <c r="CI167" i="6"/>
  <c r="CG167" i="6"/>
  <c r="CE167" i="6"/>
  <c r="CC167" i="6"/>
  <c r="CA167" i="6"/>
  <c r="BY167" i="6"/>
  <c r="BW167" i="6"/>
  <c r="BU167" i="6"/>
  <c r="BS167" i="6"/>
  <c r="BQ167" i="6"/>
  <c r="BO167" i="6"/>
  <c r="BM167" i="6"/>
  <c r="BK167" i="6"/>
  <c r="BI167" i="6"/>
  <c r="BG167" i="6"/>
  <c r="BE167" i="6"/>
  <c r="BC167" i="6"/>
  <c r="BA167" i="6"/>
  <c r="AY167" i="6"/>
  <c r="AW167" i="6"/>
  <c r="AU167" i="6"/>
  <c r="AS167" i="6"/>
  <c r="AQ167" i="6"/>
  <c r="AO167" i="6"/>
  <c r="AM167" i="6"/>
  <c r="AK167" i="6"/>
  <c r="AI167" i="6"/>
  <c r="AG167" i="6"/>
  <c r="AF167" i="6"/>
  <c r="AE167" i="6"/>
  <c r="AD167" i="6"/>
  <c r="AB167" i="6"/>
  <c r="AA167" i="6"/>
  <c r="Z167" i="6"/>
  <c r="V167" i="6"/>
  <c r="U167" i="6"/>
  <c r="T167" i="6"/>
  <c r="S167" i="6"/>
  <c r="E167" i="6"/>
  <c r="D167" i="6"/>
  <c r="B167" i="6"/>
  <c r="A167" i="6"/>
  <c r="DL166" i="6"/>
  <c r="DJ166" i="6"/>
  <c r="DI166" i="6"/>
  <c r="DE166" i="6"/>
  <c r="DC166" i="6"/>
  <c r="CY166" i="6"/>
  <c r="CW166" i="6"/>
  <c r="CU166" i="6"/>
  <c r="CS166" i="6"/>
  <c r="CK166" i="6"/>
  <c r="CI166" i="6"/>
  <c r="CG166" i="6"/>
  <c r="CE166" i="6"/>
  <c r="CC166" i="6"/>
  <c r="CA166" i="6"/>
  <c r="BY166" i="6"/>
  <c r="BW166" i="6"/>
  <c r="BU166" i="6"/>
  <c r="BS166" i="6"/>
  <c r="BQ166" i="6"/>
  <c r="BO166" i="6"/>
  <c r="BM166" i="6"/>
  <c r="BK166" i="6"/>
  <c r="BI166" i="6"/>
  <c r="BG166" i="6"/>
  <c r="BE166" i="6"/>
  <c r="BC166" i="6"/>
  <c r="BA166" i="6"/>
  <c r="AY166" i="6"/>
  <c r="AW166" i="6"/>
  <c r="AU166" i="6"/>
  <c r="AS166" i="6"/>
  <c r="AQ166" i="6"/>
  <c r="AO166" i="6"/>
  <c r="AM166" i="6"/>
  <c r="AK166" i="6"/>
  <c r="AI166" i="6"/>
  <c r="AG166" i="6"/>
  <c r="AF166" i="6"/>
  <c r="AE166" i="6"/>
  <c r="AD166" i="6"/>
  <c r="AB166" i="6"/>
  <c r="AA166" i="6"/>
  <c r="Z166" i="6"/>
  <c r="V166" i="6"/>
  <c r="U166" i="6"/>
  <c r="T166" i="6"/>
  <c r="S166" i="6"/>
  <c r="Q166" i="6"/>
  <c r="E166" i="6"/>
  <c r="D166" i="6"/>
  <c r="B166" i="6"/>
  <c r="A166" i="6"/>
  <c r="DL165" i="6"/>
  <c r="DJ165" i="6"/>
  <c r="DI165" i="6"/>
  <c r="DE165" i="6"/>
  <c r="DC165" i="6"/>
  <c r="CY165" i="6"/>
  <c r="CW165" i="6"/>
  <c r="CU165" i="6"/>
  <c r="CS165" i="6"/>
  <c r="CK165" i="6"/>
  <c r="CI165" i="6"/>
  <c r="CG165" i="6"/>
  <c r="CE165" i="6"/>
  <c r="CC165" i="6"/>
  <c r="CA165" i="6"/>
  <c r="BY165" i="6"/>
  <c r="BW165" i="6"/>
  <c r="BU165" i="6"/>
  <c r="BS165" i="6"/>
  <c r="BQ165" i="6"/>
  <c r="BO165" i="6"/>
  <c r="BM165" i="6"/>
  <c r="BK165" i="6"/>
  <c r="BI165" i="6"/>
  <c r="BG165" i="6"/>
  <c r="BE165" i="6"/>
  <c r="BC165" i="6"/>
  <c r="BA165" i="6"/>
  <c r="AY165" i="6"/>
  <c r="AW165" i="6"/>
  <c r="AU165" i="6"/>
  <c r="AS165" i="6"/>
  <c r="AQ165" i="6"/>
  <c r="AO165" i="6"/>
  <c r="AM165" i="6"/>
  <c r="AK165" i="6"/>
  <c r="AI165" i="6"/>
  <c r="AG165" i="6"/>
  <c r="AF165" i="6"/>
  <c r="AE165" i="6"/>
  <c r="AD165" i="6"/>
  <c r="AB165" i="6"/>
  <c r="AA165" i="6"/>
  <c r="Z165" i="6"/>
  <c r="V165" i="6"/>
  <c r="U165" i="6"/>
  <c r="T165" i="6"/>
  <c r="S165" i="6"/>
  <c r="E165" i="6"/>
  <c r="D165" i="6"/>
  <c r="B165" i="6"/>
  <c r="A165" i="6"/>
  <c r="DL164" i="6"/>
  <c r="DJ164" i="6"/>
  <c r="DI164" i="6"/>
  <c r="DE164" i="6"/>
  <c r="DC164" i="6"/>
  <c r="CY164" i="6"/>
  <c r="CW164" i="6"/>
  <c r="CU164" i="6"/>
  <c r="CS164" i="6"/>
  <c r="CK164" i="6"/>
  <c r="CI164" i="6"/>
  <c r="CG164" i="6"/>
  <c r="CE164" i="6"/>
  <c r="CC164" i="6"/>
  <c r="CA164" i="6"/>
  <c r="BY164" i="6"/>
  <c r="BW164" i="6"/>
  <c r="BU164" i="6"/>
  <c r="BS164" i="6"/>
  <c r="BQ164" i="6"/>
  <c r="BO164" i="6"/>
  <c r="BM164" i="6"/>
  <c r="BK164" i="6"/>
  <c r="BI164" i="6"/>
  <c r="BG164" i="6"/>
  <c r="BE164" i="6"/>
  <c r="BC164" i="6"/>
  <c r="BA164" i="6"/>
  <c r="AY164" i="6"/>
  <c r="AW164" i="6"/>
  <c r="AU164" i="6"/>
  <c r="AS164" i="6"/>
  <c r="AQ164" i="6"/>
  <c r="AO164" i="6"/>
  <c r="AM164" i="6"/>
  <c r="AK164" i="6"/>
  <c r="AJ164" i="6"/>
  <c r="AI164" i="6"/>
  <c r="AH164" i="6"/>
  <c r="AG164" i="6"/>
  <c r="AF164" i="6"/>
  <c r="AE164" i="6"/>
  <c r="AB164" i="6"/>
  <c r="AA164" i="6"/>
  <c r="Z164" i="6"/>
  <c r="V164" i="6"/>
  <c r="U164" i="6"/>
  <c r="T164" i="6"/>
  <c r="S164" i="6"/>
  <c r="L164" i="6"/>
  <c r="K164" i="6"/>
  <c r="E164" i="6"/>
  <c r="D164" i="6"/>
  <c r="B164" i="6"/>
  <c r="A164" i="6"/>
  <c r="DL163" i="6"/>
  <c r="DJ163" i="6"/>
  <c r="DI163" i="6"/>
  <c r="DE163" i="6"/>
  <c r="DC163" i="6"/>
  <c r="CY163" i="6"/>
  <c r="CW163" i="6"/>
  <c r="CU163" i="6"/>
  <c r="CS163" i="6"/>
  <c r="CK163" i="6"/>
  <c r="CI163" i="6"/>
  <c r="CG163" i="6"/>
  <c r="CE163" i="6"/>
  <c r="CC163" i="6"/>
  <c r="CA163" i="6"/>
  <c r="BY163" i="6"/>
  <c r="BW163" i="6"/>
  <c r="BU163" i="6"/>
  <c r="BS163" i="6"/>
  <c r="BQ163" i="6"/>
  <c r="BO163" i="6"/>
  <c r="BM163" i="6"/>
  <c r="BK163" i="6"/>
  <c r="BI163" i="6"/>
  <c r="BG163" i="6"/>
  <c r="BE163" i="6"/>
  <c r="BC163" i="6"/>
  <c r="BA163" i="6"/>
  <c r="AY163" i="6"/>
  <c r="AW163" i="6"/>
  <c r="AU163" i="6"/>
  <c r="AS163" i="6"/>
  <c r="AQ163" i="6"/>
  <c r="AO163" i="6"/>
  <c r="AM163" i="6"/>
  <c r="AK163" i="6"/>
  <c r="AI163" i="6"/>
  <c r="AG163" i="6"/>
  <c r="AF163" i="6"/>
  <c r="AE163" i="6"/>
  <c r="AB163" i="6"/>
  <c r="AA163" i="6"/>
  <c r="Z163" i="6"/>
  <c r="V163" i="6"/>
  <c r="U163" i="6"/>
  <c r="T163" i="6"/>
  <c r="S163" i="6"/>
  <c r="Q163" i="6"/>
  <c r="E163" i="6"/>
  <c r="D163" i="6"/>
  <c r="B163" i="6"/>
  <c r="A163" i="6"/>
  <c r="DL162" i="6"/>
  <c r="DJ162" i="6"/>
  <c r="DI162" i="6"/>
  <c r="DE162" i="6"/>
  <c r="DC162" i="6"/>
  <c r="CY162" i="6"/>
  <c r="CW162" i="6"/>
  <c r="CU162" i="6"/>
  <c r="CS162" i="6"/>
  <c r="CK162" i="6"/>
  <c r="CI162" i="6"/>
  <c r="CG162" i="6"/>
  <c r="CE162" i="6"/>
  <c r="CC162" i="6"/>
  <c r="CA162" i="6"/>
  <c r="BY162" i="6"/>
  <c r="BW162" i="6"/>
  <c r="BU162" i="6"/>
  <c r="BS162" i="6"/>
  <c r="BQ162" i="6"/>
  <c r="BO162" i="6"/>
  <c r="BM162" i="6"/>
  <c r="BK162" i="6"/>
  <c r="BI162" i="6"/>
  <c r="BG162" i="6"/>
  <c r="BE162" i="6"/>
  <c r="BC162" i="6"/>
  <c r="BA162" i="6"/>
  <c r="AY162" i="6"/>
  <c r="AW162" i="6"/>
  <c r="AU162" i="6"/>
  <c r="AS162" i="6"/>
  <c r="AQ162" i="6"/>
  <c r="AO162" i="6"/>
  <c r="AM162" i="6"/>
  <c r="AK162" i="6"/>
  <c r="AI162" i="6"/>
  <c r="AG162" i="6"/>
  <c r="AF162" i="6"/>
  <c r="AE162" i="6"/>
  <c r="AB162" i="6"/>
  <c r="AA162" i="6"/>
  <c r="Z162" i="6"/>
  <c r="V162" i="6"/>
  <c r="U162" i="6"/>
  <c r="T162" i="6"/>
  <c r="S162" i="6"/>
  <c r="L162" i="6"/>
  <c r="K162" i="6"/>
  <c r="E162" i="6"/>
  <c r="D162" i="6"/>
  <c r="B162" i="6"/>
  <c r="A162" i="6"/>
  <c r="DL161" i="6"/>
  <c r="DJ161" i="6"/>
  <c r="DI161" i="6"/>
  <c r="DH161" i="6"/>
  <c r="DE161" i="6"/>
  <c r="DC161" i="6"/>
  <c r="CY161" i="6"/>
  <c r="CW161" i="6"/>
  <c r="CV161" i="6"/>
  <c r="CU161" i="6"/>
  <c r="CS161" i="6"/>
  <c r="CK161" i="6"/>
  <c r="CI161" i="6"/>
  <c r="CG161" i="6"/>
  <c r="CF161" i="6"/>
  <c r="CE161" i="6"/>
  <c r="CD161" i="6"/>
  <c r="CC161" i="6"/>
  <c r="CA161" i="6"/>
  <c r="BY161" i="6"/>
  <c r="BW161" i="6"/>
  <c r="BU161" i="6"/>
  <c r="BS161" i="6"/>
  <c r="BQ161" i="6"/>
  <c r="BO161" i="6"/>
  <c r="BM161" i="6"/>
  <c r="BK161" i="6"/>
  <c r="BI161" i="6"/>
  <c r="BG161" i="6"/>
  <c r="BE161" i="6"/>
  <c r="BC161" i="6"/>
  <c r="BA161" i="6"/>
  <c r="AY161" i="6"/>
  <c r="AW161" i="6"/>
  <c r="AU161" i="6"/>
  <c r="AS161" i="6"/>
  <c r="AQ161" i="6"/>
  <c r="AO161" i="6"/>
  <c r="AM161" i="6"/>
  <c r="AK161" i="6"/>
  <c r="AI161" i="6"/>
  <c r="AG161" i="6"/>
  <c r="AF161" i="6"/>
  <c r="AE161" i="6"/>
  <c r="AB161" i="6"/>
  <c r="AA161" i="6"/>
  <c r="Z161" i="6"/>
  <c r="V161" i="6"/>
  <c r="U161" i="6"/>
  <c r="T161" i="6"/>
  <c r="S161" i="6"/>
  <c r="Q161" i="6"/>
  <c r="E161" i="6"/>
  <c r="D161" i="6"/>
  <c r="B161" i="6"/>
  <c r="A161" i="6"/>
  <c r="DL160" i="6"/>
  <c r="DJ160" i="6"/>
  <c r="DI160" i="6"/>
  <c r="DH160" i="6"/>
  <c r="DG160" i="6"/>
  <c r="DF160" i="6"/>
  <c r="DE160" i="6"/>
  <c r="DC160" i="6"/>
  <c r="CY160" i="6"/>
  <c r="CW160" i="6"/>
  <c r="CV160" i="6"/>
  <c r="CU160" i="6"/>
  <c r="CS160" i="6"/>
  <c r="CK160" i="6"/>
  <c r="CI160" i="6"/>
  <c r="CH160" i="6"/>
  <c r="CG160" i="6"/>
  <c r="CF160" i="6"/>
  <c r="CE160" i="6"/>
  <c r="CD160" i="6"/>
  <c r="CC160" i="6"/>
  <c r="CA160" i="6"/>
  <c r="BY160" i="6"/>
  <c r="BW160" i="6"/>
  <c r="BU160" i="6"/>
  <c r="BS160" i="6"/>
  <c r="BQ160" i="6"/>
  <c r="BO160" i="6"/>
  <c r="BM160" i="6"/>
  <c r="BK160" i="6"/>
  <c r="BI160" i="6"/>
  <c r="BG160" i="6"/>
  <c r="BE160" i="6"/>
  <c r="BC160" i="6"/>
  <c r="BA160" i="6"/>
  <c r="AY160" i="6"/>
  <c r="AW160" i="6"/>
  <c r="AU160" i="6"/>
  <c r="AS160" i="6"/>
  <c r="AQ160" i="6"/>
  <c r="AO160" i="6"/>
  <c r="AN160" i="6"/>
  <c r="AM160" i="6"/>
  <c r="AL160" i="6"/>
  <c r="AK160" i="6"/>
  <c r="AJ160" i="6"/>
  <c r="AI160" i="6"/>
  <c r="AH160" i="6"/>
  <c r="AG160" i="6"/>
  <c r="AF160" i="6"/>
  <c r="AE160" i="6"/>
  <c r="AD160" i="6"/>
  <c r="AB160" i="6"/>
  <c r="AA160" i="6"/>
  <c r="Z160" i="6"/>
  <c r="V160" i="6"/>
  <c r="U160" i="6"/>
  <c r="T160" i="6"/>
  <c r="S160" i="6"/>
  <c r="L160" i="6"/>
  <c r="K160" i="6"/>
  <c r="E160" i="6"/>
  <c r="D160" i="6"/>
  <c r="B160" i="6"/>
  <c r="A160" i="6"/>
  <c r="DL159" i="6"/>
  <c r="DJ159" i="6"/>
  <c r="DI159" i="6"/>
  <c r="DH159" i="6"/>
  <c r="DG159" i="6"/>
  <c r="DF159" i="6"/>
  <c r="DE159" i="6"/>
  <c r="DC159" i="6"/>
  <c r="CY159" i="6"/>
  <c r="CW159" i="6"/>
  <c r="CV159" i="6"/>
  <c r="CU159" i="6"/>
  <c r="CS159" i="6"/>
  <c r="CP159" i="6"/>
  <c r="CK159" i="6"/>
  <c r="CI159" i="6"/>
  <c r="CG159" i="6"/>
  <c r="CF159" i="6"/>
  <c r="CE159" i="6"/>
  <c r="CD159" i="6"/>
  <c r="CC159" i="6"/>
  <c r="CA159" i="6"/>
  <c r="BY159" i="6"/>
  <c r="BW159" i="6"/>
  <c r="BU159" i="6"/>
  <c r="BS159" i="6"/>
  <c r="BQ159" i="6"/>
  <c r="BO159" i="6"/>
  <c r="BM159" i="6"/>
  <c r="BK159" i="6"/>
  <c r="BI159" i="6"/>
  <c r="BG159" i="6"/>
  <c r="BE159" i="6"/>
  <c r="BC159" i="6"/>
  <c r="BA159" i="6"/>
  <c r="AY159" i="6"/>
  <c r="AW159" i="6"/>
  <c r="AU159" i="6"/>
  <c r="AS159" i="6"/>
  <c r="AQ159" i="6"/>
  <c r="AO159" i="6"/>
  <c r="AM159" i="6"/>
  <c r="AK159" i="6"/>
  <c r="AI159" i="6"/>
  <c r="AG159" i="6"/>
  <c r="AF159" i="6"/>
  <c r="AE159" i="6"/>
  <c r="AD159" i="6"/>
  <c r="AB159" i="6"/>
  <c r="AA159" i="6"/>
  <c r="Z159" i="6"/>
  <c r="V159" i="6"/>
  <c r="U159" i="6"/>
  <c r="T159" i="6"/>
  <c r="S159" i="6"/>
  <c r="Q159" i="6"/>
  <c r="L159" i="6"/>
  <c r="K159" i="6"/>
  <c r="J159" i="6"/>
  <c r="E159" i="6"/>
  <c r="D159" i="6"/>
  <c r="B159" i="6"/>
  <c r="A159" i="6"/>
  <c r="DL158" i="6"/>
  <c r="DJ158" i="6"/>
  <c r="DI158" i="6"/>
  <c r="DE158" i="6"/>
  <c r="DC158" i="6"/>
  <c r="CY158" i="6"/>
  <c r="CW158" i="6"/>
  <c r="CU158" i="6"/>
  <c r="CS158" i="6"/>
  <c r="CR158" i="6"/>
  <c r="CK158" i="6"/>
  <c r="CI158" i="6"/>
  <c r="CG158" i="6"/>
  <c r="CE158" i="6"/>
  <c r="CC158" i="6"/>
  <c r="CA158" i="6"/>
  <c r="BY158" i="6"/>
  <c r="BW158" i="6"/>
  <c r="BU158" i="6"/>
  <c r="BS158" i="6"/>
  <c r="BQ158" i="6"/>
  <c r="BO158" i="6"/>
  <c r="BM158" i="6"/>
  <c r="BK158" i="6"/>
  <c r="BI158" i="6"/>
  <c r="BG158" i="6"/>
  <c r="BE158" i="6"/>
  <c r="BC158" i="6"/>
  <c r="BA158" i="6"/>
  <c r="AY158" i="6"/>
  <c r="AW158" i="6"/>
  <c r="AU158" i="6"/>
  <c r="AS158" i="6"/>
  <c r="AQ158" i="6"/>
  <c r="AO158" i="6"/>
  <c r="AM158" i="6"/>
  <c r="AK158" i="6"/>
  <c r="AI158" i="6"/>
  <c r="AG158" i="6"/>
  <c r="AF158" i="6"/>
  <c r="AE158" i="6"/>
  <c r="AB158" i="6"/>
  <c r="AA158" i="6"/>
  <c r="Z158" i="6"/>
  <c r="V158" i="6"/>
  <c r="U158" i="6"/>
  <c r="T158" i="6"/>
  <c r="S158" i="6"/>
  <c r="Q158" i="6"/>
  <c r="E158" i="6"/>
  <c r="D158" i="6"/>
  <c r="B158" i="6"/>
  <c r="A158" i="6"/>
  <c r="DL157" i="6"/>
  <c r="DJ157" i="6"/>
  <c r="DI157" i="6"/>
  <c r="DH157" i="6"/>
  <c r="DE157" i="6"/>
  <c r="DD157" i="6"/>
  <c r="DC157" i="6"/>
  <c r="DA157" i="6"/>
  <c r="CY157" i="6"/>
  <c r="CX157" i="6"/>
  <c r="CW157" i="6"/>
  <c r="CU157" i="6"/>
  <c r="CS157" i="6"/>
  <c r="CR157" i="6"/>
  <c r="CK157" i="6"/>
  <c r="CI157" i="6"/>
  <c r="CG157" i="6"/>
  <c r="CF157" i="6"/>
  <c r="CE157" i="6"/>
  <c r="CD157" i="6"/>
  <c r="CC157" i="6"/>
  <c r="CA157" i="6"/>
  <c r="BY157" i="6"/>
  <c r="BW157" i="6"/>
  <c r="BU157" i="6"/>
  <c r="BS157" i="6"/>
  <c r="BQ157" i="6"/>
  <c r="BO157" i="6"/>
  <c r="BM157" i="6"/>
  <c r="BK157" i="6"/>
  <c r="BI157" i="6"/>
  <c r="BG157" i="6"/>
  <c r="BE157" i="6"/>
  <c r="BC157" i="6"/>
  <c r="BA157" i="6"/>
  <c r="AY157" i="6"/>
  <c r="AW157" i="6"/>
  <c r="AU157" i="6"/>
  <c r="AS157" i="6"/>
  <c r="AQ157" i="6"/>
  <c r="AO157" i="6"/>
  <c r="AM157" i="6"/>
  <c r="AK157" i="6"/>
  <c r="AI157" i="6"/>
  <c r="AG157" i="6"/>
  <c r="AF157" i="6"/>
  <c r="AE157" i="6"/>
  <c r="AB157" i="6"/>
  <c r="AA157" i="6"/>
  <c r="Z157" i="6"/>
  <c r="V157" i="6"/>
  <c r="U157" i="6"/>
  <c r="T157" i="6"/>
  <c r="S157" i="6"/>
  <c r="Q157" i="6"/>
  <c r="E157" i="6"/>
  <c r="D157" i="6"/>
  <c r="B157" i="6"/>
  <c r="A157" i="6"/>
  <c r="DL156" i="6"/>
  <c r="DJ156" i="6"/>
  <c r="DI156" i="6"/>
  <c r="DH156" i="6"/>
  <c r="DG156" i="6"/>
  <c r="DF156" i="6"/>
  <c r="DE156" i="6"/>
  <c r="DC156" i="6"/>
  <c r="CY156" i="6"/>
  <c r="CW156" i="6"/>
  <c r="CU156" i="6"/>
  <c r="CS156" i="6"/>
  <c r="CK156" i="6"/>
  <c r="CI156" i="6"/>
  <c r="CG156" i="6"/>
  <c r="CF156" i="6"/>
  <c r="CE156" i="6"/>
  <c r="CD156" i="6"/>
  <c r="CC156" i="6"/>
  <c r="CA156" i="6"/>
  <c r="BY156" i="6"/>
  <c r="BW156" i="6"/>
  <c r="BU156" i="6"/>
  <c r="BS156" i="6"/>
  <c r="BQ156" i="6"/>
  <c r="BO156" i="6"/>
  <c r="BM156" i="6"/>
  <c r="BK156" i="6"/>
  <c r="BI156" i="6"/>
  <c r="BG156" i="6"/>
  <c r="BE156" i="6"/>
  <c r="BC156" i="6"/>
  <c r="BA156" i="6"/>
  <c r="AY156" i="6"/>
  <c r="AW156" i="6"/>
  <c r="AU156" i="6"/>
  <c r="AS156" i="6"/>
  <c r="AQ156" i="6"/>
  <c r="AO156" i="6"/>
  <c r="AM156" i="6"/>
  <c r="AK156" i="6"/>
  <c r="AI156" i="6"/>
  <c r="AG156" i="6"/>
  <c r="AF156" i="6"/>
  <c r="AE156" i="6"/>
  <c r="AD156" i="6"/>
  <c r="AB156" i="6"/>
  <c r="AA156" i="6"/>
  <c r="Z156" i="6"/>
  <c r="V156" i="6"/>
  <c r="U156" i="6"/>
  <c r="T156" i="6"/>
  <c r="S156" i="6"/>
  <c r="Q156" i="6"/>
  <c r="E156" i="6"/>
  <c r="D156" i="6"/>
  <c r="B156" i="6"/>
  <c r="A156" i="6"/>
  <c r="DL155" i="6"/>
  <c r="DJ155" i="6"/>
  <c r="DI155" i="6"/>
  <c r="DE155" i="6"/>
  <c r="DC155" i="6"/>
  <c r="CY155" i="6"/>
  <c r="CW155" i="6"/>
  <c r="CU155" i="6"/>
  <c r="CS155" i="6"/>
  <c r="CK155" i="6"/>
  <c r="CI155" i="6"/>
  <c r="CG155" i="6"/>
  <c r="CE155" i="6"/>
  <c r="CC155" i="6"/>
  <c r="CA155" i="6"/>
  <c r="BY155" i="6"/>
  <c r="BW155" i="6"/>
  <c r="BU155" i="6"/>
  <c r="BS155" i="6"/>
  <c r="BQ155" i="6"/>
  <c r="BO155" i="6"/>
  <c r="BM155" i="6"/>
  <c r="BK155" i="6"/>
  <c r="BI155" i="6"/>
  <c r="BG155" i="6"/>
  <c r="BE155" i="6"/>
  <c r="BC155" i="6"/>
  <c r="BA155" i="6"/>
  <c r="AY155" i="6"/>
  <c r="AW155" i="6"/>
  <c r="AU155" i="6"/>
  <c r="AS155" i="6"/>
  <c r="AQ155" i="6"/>
  <c r="AO155" i="6"/>
  <c r="AM155" i="6"/>
  <c r="AK155" i="6"/>
  <c r="AI155" i="6"/>
  <c r="AG155" i="6"/>
  <c r="AF155" i="6"/>
  <c r="AE155" i="6"/>
  <c r="AD155" i="6"/>
  <c r="AB155" i="6"/>
  <c r="AA155" i="6"/>
  <c r="Z155" i="6"/>
  <c r="V155" i="6"/>
  <c r="U155" i="6"/>
  <c r="T155" i="6"/>
  <c r="S155" i="6"/>
  <c r="Q155" i="6"/>
  <c r="E155" i="6"/>
  <c r="D155" i="6"/>
  <c r="C155" i="6"/>
  <c r="B155" i="6"/>
  <c r="A155" i="6"/>
  <c r="DL154" i="6"/>
  <c r="DJ154" i="6"/>
  <c r="DI154" i="6"/>
  <c r="DH154" i="6"/>
  <c r="DG154" i="6"/>
  <c r="DF154" i="6"/>
  <c r="DE154" i="6"/>
  <c r="DC154" i="6"/>
  <c r="CY154" i="6"/>
  <c r="CW154" i="6"/>
  <c r="CV154" i="6"/>
  <c r="CU154" i="6"/>
  <c r="CS154" i="6"/>
  <c r="CO154" i="6"/>
  <c r="CL154" i="6"/>
  <c r="CK154" i="6"/>
  <c r="CJ154" i="6"/>
  <c r="CI154" i="6"/>
  <c r="CH154" i="6"/>
  <c r="CG154" i="6"/>
  <c r="CF154" i="6"/>
  <c r="CE154" i="6"/>
  <c r="CD154" i="6"/>
  <c r="CC154" i="6"/>
  <c r="CA154" i="6"/>
  <c r="BY154" i="6"/>
  <c r="BW154" i="6"/>
  <c r="BU154" i="6"/>
  <c r="BS154" i="6"/>
  <c r="BQ154" i="6"/>
  <c r="BO154" i="6"/>
  <c r="BM154" i="6"/>
  <c r="BK154" i="6"/>
  <c r="BI154" i="6"/>
  <c r="BG154" i="6"/>
  <c r="BE154" i="6"/>
  <c r="BC154" i="6"/>
  <c r="BA154" i="6"/>
  <c r="AY154" i="6"/>
  <c r="AW154" i="6"/>
  <c r="AV154" i="6"/>
  <c r="AU154" i="6"/>
  <c r="AT154" i="6"/>
  <c r="AS154" i="6"/>
  <c r="AR154" i="6"/>
  <c r="AQ154" i="6"/>
  <c r="AP154" i="6"/>
  <c r="AO154" i="6"/>
  <c r="AN154" i="6"/>
  <c r="AM154" i="6"/>
  <c r="AL154" i="6"/>
  <c r="AK154" i="6"/>
  <c r="AJ154" i="6"/>
  <c r="AI154" i="6"/>
  <c r="AH154" i="6"/>
  <c r="AG154" i="6"/>
  <c r="AF154" i="6"/>
  <c r="AE154" i="6"/>
  <c r="AD154" i="6"/>
  <c r="AB154" i="6"/>
  <c r="AA154" i="6"/>
  <c r="Z154" i="6"/>
  <c r="V154" i="6"/>
  <c r="U154" i="6"/>
  <c r="T154" i="6"/>
  <c r="S154" i="6"/>
  <c r="P154" i="6"/>
  <c r="L154" i="6"/>
  <c r="K154" i="6"/>
  <c r="F154" i="6"/>
  <c r="E154" i="6"/>
  <c r="D154" i="6"/>
  <c r="B154" i="6"/>
  <c r="A154" i="6"/>
  <c r="DL153" i="6"/>
  <c r="DJ153" i="6"/>
  <c r="DI153" i="6"/>
  <c r="DH153" i="6"/>
  <c r="DG153" i="6"/>
  <c r="DF153" i="6"/>
  <c r="DE153" i="6"/>
  <c r="DC153" i="6"/>
  <c r="CY153" i="6"/>
  <c r="CW153" i="6"/>
  <c r="CV153" i="6"/>
  <c r="CU153" i="6"/>
  <c r="CS153" i="6"/>
  <c r="CO153" i="6"/>
  <c r="CL153" i="6"/>
  <c r="CK153" i="6"/>
  <c r="CJ153" i="6"/>
  <c r="CI153" i="6"/>
  <c r="CH153" i="6"/>
  <c r="CG153" i="6"/>
  <c r="CF153" i="6"/>
  <c r="CE153" i="6"/>
  <c r="CD153" i="6"/>
  <c r="CC153" i="6"/>
  <c r="CA153" i="6"/>
  <c r="BY153" i="6"/>
  <c r="BW153" i="6"/>
  <c r="BU153" i="6"/>
  <c r="BS153" i="6"/>
  <c r="BQ153" i="6"/>
  <c r="BO153" i="6"/>
  <c r="BM153" i="6"/>
  <c r="BK153" i="6"/>
  <c r="BI153" i="6"/>
  <c r="BG153" i="6"/>
  <c r="BE153" i="6"/>
  <c r="BC153" i="6"/>
  <c r="BA153" i="6"/>
  <c r="AZ153" i="6"/>
  <c r="AY153" i="6"/>
  <c r="AX153" i="6"/>
  <c r="AW153" i="6"/>
  <c r="AV153" i="6"/>
  <c r="AU153" i="6"/>
  <c r="AT153" i="6"/>
  <c r="AS153" i="6"/>
  <c r="AR153" i="6"/>
  <c r="AQ153" i="6"/>
  <c r="AP153" i="6"/>
  <c r="AO153" i="6"/>
  <c r="AN153" i="6"/>
  <c r="AM153" i="6"/>
  <c r="AL153" i="6"/>
  <c r="AK153" i="6"/>
  <c r="AJ153" i="6"/>
  <c r="AI153" i="6"/>
  <c r="AH153" i="6"/>
  <c r="AG153" i="6"/>
  <c r="AF153" i="6"/>
  <c r="AE153" i="6"/>
  <c r="AD153" i="6"/>
  <c r="AB153" i="6"/>
  <c r="AA153" i="6"/>
  <c r="Z153" i="6"/>
  <c r="V153" i="6"/>
  <c r="U153" i="6"/>
  <c r="T153" i="6"/>
  <c r="S153" i="6"/>
  <c r="P153" i="6"/>
  <c r="L153" i="6"/>
  <c r="K153" i="6"/>
  <c r="E153" i="6"/>
  <c r="D153" i="6"/>
  <c r="B153" i="6"/>
  <c r="A153" i="6"/>
  <c r="DL152" i="6"/>
  <c r="DJ152" i="6"/>
  <c r="DI152" i="6"/>
  <c r="DH152" i="6"/>
  <c r="DG152" i="6"/>
  <c r="DF152" i="6"/>
  <c r="DE152" i="6"/>
  <c r="DC152" i="6"/>
  <c r="CY152" i="6"/>
  <c r="CW152" i="6"/>
  <c r="CV152" i="6"/>
  <c r="CU152" i="6"/>
  <c r="CS152" i="6"/>
  <c r="CO152" i="6"/>
  <c r="CL152" i="6"/>
  <c r="CK152" i="6"/>
  <c r="CJ152" i="6"/>
  <c r="CI152" i="6"/>
  <c r="CH152" i="6"/>
  <c r="CG152" i="6"/>
  <c r="CF152" i="6"/>
  <c r="CE152" i="6"/>
  <c r="CD152" i="6"/>
  <c r="CC152" i="6"/>
  <c r="CA152" i="6"/>
  <c r="BY152" i="6"/>
  <c r="BW152" i="6"/>
  <c r="BU152" i="6"/>
  <c r="BS152" i="6"/>
  <c r="BQ152" i="6"/>
  <c r="BO152" i="6"/>
  <c r="BM152" i="6"/>
  <c r="BK152" i="6"/>
  <c r="BI152" i="6"/>
  <c r="BG152" i="6"/>
  <c r="BE152" i="6"/>
  <c r="BC152" i="6"/>
  <c r="BA152" i="6"/>
  <c r="AY152" i="6"/>
  <c r="AW152" i="6"/>
  <c r="AU152" i="6"/>
  <c r="AS152" i="6"/>
  <c r="AQ152" i="6"/>
  <c r="AO152" i="6"/>
  <c r="AN152" i="6"/>
  <c r="AM152" i="6"/>
  <c r="AL152" i="6"/>
  <c r="AK152" i="6"/>
  <c r="AJ152" i="6"/>
  <c r="AI152" i="6"/>
  <c r="AH152" i="6"/>
  <c r="AG152" i="6"/>
  <c r="AF152" i="6"/>
  <c r="AE152" i="6"/>
  <c r="AD152" i="6"/>
  <c r="AB152" i="6"/>
  <c r="AA152" i="6"/>
  <c r="Z152" i="6"/>
  <c r="V152" i="6"/>
  <c r="U152" i="6"/>
  <c r="T152" i="6"/>
  <c r="S152" i="6"/>
  <c r="P152" i="6"/>
  <c r="L152" i="6"/>
  <c r="K152" i="6"/>
  <c r="E152" i="6"/>
  <c r="D152" i="6"/>
  <c r="B152" i="6"/>
  <c r="A152" i="6"/>
  <c r="DL151" i="6"/>
  <c r="DJ151" i="6"/>
  <c r="DI151" i="6"/>
  <c r="DH151" i="6"/>
  <c r="DG151" i="6"/>
  <c r="DF151" i="6"/>
  <c r="DE151" i="6"/>
  <c r="DC151" i="6"/>
  <c r="CY151" i="6"/>
  <c r="CW151" i="6"/>
  <c r="CU151" i="6"/>
  <c r="CS151" i="6"/>
  <c r="CK151" i="6"/>
  <c r="CJ151" i="6"/>
  <c r="CI151" i="6"/>
  <c r="CH151" i="6"/>
  <c r="CG151" i="6"/>
  <c r="CF151" i="6"/>
  <c r="CE151" i="6"/>
  <c r="CD151" i="6"/>
  <c r="CC151" i="6"/>
  <c r="CA151" i="6"/>
  <c r="BY151" i="6"/>
  <c r="BW151" i="6"/>
  <c r="BU151" i="6"/>
  <c r="BS151" i="6"/>
  <c r="BQ151" i="6"/>
  <c r="BO151" i="6"/>
  <c r="BM151" i="6"/>
  <c r="BK151" i="6"/>
  <c r="BI151" i="6"/>
  <c r="BH151" i="6"/>
  <c r="BG151" i="6"/>
  <c r="BF151" i="6"/>
  <c r="BE151" i="6"/>
  <c r="BD151" i="6"/>
  <c r="BC151" i="6"/>
  <c r="BB151" i="6"/>
  <c r="BA151" i="6"/>
  <c r="AZ151" i="6"/>
  <c r="AY151" i="6"/>
  <c r="AX151" i="6"/>
  <c r="AW151" i="6"/>
  <c r="AV151" i="6"/>
  <c r="AU151" i="6"/>
  <c r="AT151" i="6"/>
  <c r="AS151" i="6"/>
  <c r="AR151" i="6"/>
  <c r="AQ151" i="6"/>
  <c r="AP151" i="6"/>
  <c r="AO151" i="6"/>
  <c r="AN151" i="6"/>
  <c r="AM151" i="6"/>
  <c r="AL151" i="6"/>
  <c r="AK151" i="6"/>
  <c r="AJ151" i="6"/>
  <c r="AI151" i="6"/>
  <c r="AH151" i="6"/>
  <c r="AG151" i="6"/>
  <c r="AF151" i="6"/>
  <c r="AE151" i="6"/>
  <c r="AD151" i="6"/>
  <c r="AB151" i="6"/>
  <c r="AA151" i="6"/>
  <c r="Z151" i="6"/>
  <c r="V151" i="6"/>
  <c r="U151" i="6"/>
  <c r="T151" i="6"/>
  <c r="S151" i="6"/>
  <c r="L151" i="6"/>
  <c r="K151" i="6"/>
  <c r="E151" i="6"/>
  <c r="D151" i="6"/>
  <c r="B151" i="6"/>
  <c r="A151" i="6"/>
  <c r="DL150" i="6"/>
  <c r="DJ150" i="6"/>
  <c r="DI150" i="6"/>
  <c r="DG150" i="6"/>
  <c r="DF150" i="6"/>
  <c r="DE150" i="6"/>
  <c r="DC150" i="6"/>
  <c r="CY150" i="6"/>
  <c r="CW150" i="6"/>
  <c r="CU150" i="6"/>
  <c r="CS150" i="6"/>
  <c r="CK150" i="6"/>
  <c r="CI150" i="6"/>
  <c r="CG150" i="6"/>
  <c r="CE150" i="6"/>
  <c r="CC150" i="6"/>
  <c r="CA150" i="6"/>
  <c r="BY150" i="6"/>
  <c r="BW150" i="6"/>
  <c r="BU150" i="6"/>
  <c r="BS150" i="6"/>
  <c r="BQ150" i="6"/>
  <c r="BO150" i="6"/>
  <c r="BM150" i="6"/>
  <c r="BK150" i="6"/>
  <c r="BI150" i="6"/>
  <c r="BG150" i="6"/>
  <c r="BE150" i="6"/>
  <c r="BC150" i="6"/>
  <c r="BA150" i="6"/>
  <c r="AY150" i="6"/>
  <c r="AW150" i="6"/>
  <c r="AU150" i="6"/>
  <c r="AS150" i="6"/>
  <c r="AQ150" i="6"/>
  <c r="AO150" i="6"/>
  <c r="AM150" i="6"/>
  <c r="AK150" i="6"/>
  <c r="AI150" i="6"/>
  <c r="AG150" i="6"/>
  <c r="AF150" i="6"/>
  <c r="AE150" i="6"/>
  <c r="AD150" i="6"/>
  <c r="AB150" i="6"/>
  <c r="AA150" i="6"/>
  <c r="Z150" i="6"/>
  <c r="V150" i="6"/>
  <c r="U150" i="6"/>
  <c r="T150" i="6"/>
  <c r="S150" i="6"/>
  <c r="Q150" i="6"/>
  <c r="L150" i="6"/>
  <c r="K150" i="6"/>
  <c r="E150" i="6"/>
  <c r="D150" i="6"/>
  <c r="B150" i="6"/>
  <c r="A150" i="6"/>
  <c r="DL149" i="6"/>
  <c r="DJ149" i="6"/>
  <c r="DI149" i="6"/>
  <c r="DH149" i="6"/>
  <c r="DE149" i="6"/>
  <c r="DC149" i="6"/>
  <c r="CY149" i="6"/>
  <c r="CW149" i="6"/>
  <c r="CU149" i="6"/>
  <c r="CS149" i="6"/>
  <c r="CK149" i="6"/>
  <c r="CI149" i="6"/>
  <c r="CG149" i="6"/>
  <c r="CF149" i="6"/>
  <c r="CE149" i="6"/>
  <c r="CD149" i="6"/>
  <c r="CC149" i="6"/>
  <c r="CA149" i="6"/>
  <c r="BY149" i="6"/>
  <c r="BW149" i="6"/>
  <c r="BU149" i="6"/>
  <c r="BS149" i="6"/>
  <c r="BQ149" i="6"/>
  <c r="BO149" i="6"/>
  <c r="BM149" i="6"/>
  <c r="BK149" i="6"/>
  <c r="BI149" i="6"/>
  <c r="BG149" i="6"/>
  <c r="BE149" i="6"/>
  <c r="BC149" i="6"/>
  <c r="BA149" i="6"/>
  <c r="AY149" i="6"/>
  <c r="AW149" i="6"/>
  <c r="AU149" i="6"/>
  <c r="AS149" i="6"/>
  <c r="AQ149" i="6"/>
  <c r="AO149" i="6"/>
  <c r="AM149" i="6"/>
  <c r="AK149" i="6"/>
  <c r="AI149" i="6"/>
  <c r="AG149" i="6"/>
  <c r="AF149" i="6"/>
  <c r="AE149" i="6"/>
  <c r="AB149" i="6"/>
  <c r="AA149" i="6"/>
  <c r="Z149" i="6"/>
  <c r="V149" i="6"/>
  <c r="U149" i="6"/>
  <c r="T149" i="6"/>
  <c r="S149" i="6"/>
  <c r="E149" i="6"/>
  <c r="D149" i="6"/>
  <c r="B149" i="6"/>
  <c r="A149" i="6"/>
  <c r="DL148" i="6"/>
  <c r="DJ148" i="6"/>
  <c r="DI148" i="6"/>
  <c r="DH148" i="6"/>
  <c r="DG148" i="6"/>
  <c r="DF148" i="6"/>
  <c r="DE148" i="6"/>
  <c r="DC148" i="6"/>
  <c r="CY148" i="6"/>
  <c r="CW148" i="6"/>
  <c r="CV148" i="6"/>
  <c r="CU148" i="6"/>
  <c r="CS148" i="6"/>
  <c r="CO148" i="6"/>
  <c r="CK148" i="6"/>
  <c r="CI148" i="6"/>
  <c r="CG148" i="6"/>
  <c r="CF148" i="6"/>
  <c r="CE148" i="6"/>
  <c r="CD148" i="6"/>
  <c r="CC148" i="6"/>
  <c r="CA148" i="6"/>
  <c r="BY148" i="6"/>
  <c r="BW148" i="6"/>
  <c r="BU148" i="6"/>
  <c r="BS148" i="6"/>
  <c r="BQ148" i="6"/>
  <c r="BO148" i="6"/>
  <c r="BM148" i="6"/>
  <c r="BK148" i="6"/>
  <c r="BI148" i="6"/>
  <c r="BG148" i="6"/>
  <c r="BE148" i="6"/>
  <c r="BC148" i="6"/>
  <c r="BA148" i="6"/>
  <c r="AY148" i="6"/>
  <c r="AW148" i="6"/>
  <c r="AU148" i="6"/>
  <c r="AS148" i="6"/>
  <c r="AQ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B148" i="6"/>
  <c r="AA148" i="6"/>
  <c r="Z148" i="6"/>
  <c r="V148" i="6"/>
  <c r="U148" i="6"/>
  <c r="T148" i="6"/>
  <c r="S148" i="6"/>
  <c r="P148" i="6"/>
  <c r="L148" i="6"/>
  <c r="K148" i="6"/>
  <c r="E148" i="6"/>
  <c r="D148" i="6"/>
  <c r="B148" i="6"/>
  <c r="A148" i="6"/>
  <c r="DL147" i="6"/>
  <c r="DJ147" i="6"/>
  <c r="DI147" i="6"/>
  <c r="DH147" i="6"/>
  <c r="DE147" i="6"/>
  <c r="DC147" i="6"/>
  <c r="CY147" i="6"/>
  <c r="CW147" i="6"/>
  <c r="CV147" i="6"/>
  <c r="CU147" i="6"/>
  <c r="CS147" i="6"/>
  <c r="CK147" i="6"/>
  <c r="CI147" i="6"/>
  <c r="CG147" i="6"/>
  <c r="CF147" i="6"/>
  <c r="CE147" i="6"/>
  <c r="CD147" i="6"/>
  <c r="CC147" i="6"/>
  <c r="CA147" i="6"/>
  <c r="BY147" i="6"/>
  <c r="BW147" i="6"/>
  <c r="BU147" i="6"/>
  <c r="BS147" i="6"/>
  <c r="BQ147" i="6"/>
  <c r="BO147" i="6"/>
  <c r="BM147" i="6"/>
  <c r="BK147" i="6"/>
  <c r="BI147" i="6"/>
  <c r="BG147" i="6"/>
  <c r="BE147" i="6"/>
  <c r="BC147" i="6"/>
  <c r="BA147" i="6"/>
  <c r="AY147" i="6"/>
  <c r="AW147" i="6"/>
  <c r="AU147" i="6"/>
  <c r="AS147" i="6"/>
  <c r="AQ147" i="6"/>
  <c r="AO147" i="6"/>
  <c r="AM147" i="6"/>
  <c r="AK147" i="6"/>
  <c r="AI147" i="6"/>
  <c r="AG147" i="6"/>
  <c r="AF147" i="6"/>
  <c r="AE147" i="6"/>
  <c r="AB147" i="6"/>
  <c r="AA147" i="6"/>
  <c r="Z147" i="6"/>
  <c r="V147" i="6"/>
  <c r="U147" i="6"/>
  <c r="T147" i="6"/>
  <c r="S147" i="6"/>
  <c r="Q147" i="6"/>
  <c r="E147" i="6"/>
  <c r="D147" i="6"/>
  <c r="B147" i="6"/>
  <c r="A147" i="6"/>
  <c r="DL146" i="6"/>
  <c r="DJ146" i="6"/>
  <c r="DI146" i="6"/>
  <c r="DG146" i="6"/>
  <c r="DF146" i="6"/>
  <c r="DE146" i="6"/>
  <c r="DC146" i="6"/>
  <c r="CY146" i="6"/>
  <c r="CW146" i="6"/>
  <c r="CU146" i="6"/>
  <c r="CS146" i="6"/>
  <c r="CK146" i="6"/>
  <c r="CI146" i="6"/>
  <c r="CH146" i="6"/>
  <c r="CG146" i="6"/>
  <c r="CE146" i="6"/>
  <c r="CC146" i="6"/>
  <c r="CA146" i="6"/>
  <c r="BY146" i="6"/>
  <c r="BW146" i="6"/>
  <c r="BU146" i="6"/>
  <c r="BS146" i="6"/>
  <c r="BQ146" i="6"/>
  <c r="BO146" i="6"/>
  <c r="BM146" i="6"/>
  <c r="BK146" i="6"/>
  <c r="BI146" i="6"/>
  <c r="BG146" i="6"/>
  <c r="BE146" i="6"/>
  <c r="BC146" i="6"/>
  <c r="BA146" i="6"/>
  <c r="AY146" i="6"/>
  <c r="AW146" i="6"/>
  <c r="AU146" i="6"/>
  <c r="AS146" i="6"/>
  <c r="AQ146" i="6"/>
  <c r="AO146" i="6"/>
  <c r="AN146" i="6"/>
  <c r="AM146" i="6"/>
  <c r="AL146" i="6"/>
  <c r="AK146" i="6"/>
  <c r="AJ146" i="6"/>
  <c r="AI146" i="6"/>
  <c r="AH146" i="6"/>
  <c r="AG146" i="6"/>
  <c r="AF146" i="6"/>
  <c r="AE146" i="6"/>
  <c r="AD146" i="6"/>
  <c r="AB146" i="6"/>
  <c r="AA146" i="6"/>
  <c r="Z146" i="6"/>
  <c r="V146" i="6"/>
  <c r="U146" i="6"/>
  <c r="T146" i="6"/>
  <c r="S146" i="6"/>
  <c r="L146" i="6"/>
  <c r="K146" i="6"/>
  <c r="E146" i="6"/>
  <c r="D146" i="6"/>
  <c r="B146" i="6"/>
  <c r="A146" i="6"/>
  <c r="DL145" i="6"/>
  <c r="DK145" i="6"/>
  <c r="DJ145" i="6"/>
  <c r="DI145" i="6"/>
  <c r="DE145" i="6"/>
  <c r="DD145" i="6"/>
  <c r="DC145" i="6"/>
  <c r="DB145" i="6"/>
  <c r="DA145" i="6"/>
  <c r="CY145" i="6"/>
  <c r="CX145" i="6"/>
  <c r="CW145" i="6"/>
  <c r="CU145" i="6"/>
  <c r="CS145" i="6"/>
  <c r="CK145" i="6"/>
  <c r="CI145" i="6"/>
  <c r="CG145" i="6"/>
  <c r="CE145" i="6"/>
  <c r="CC145" i="6"/>
  <c r="CA145" i="6"/>
  <c r="BY145" i="6"/>
  <c r="BW145" i="6"/>
  <c r="BU145" i="6"/>
  <c r="BS145" i="6"/>
  <c r="BQ145" i="6"/>
  <c r="BO145" i="6"/>
  <c r="BM145" i="6"/>
  <c r="BK145" i="6"/>
  <c r="BI145" i="6"/>
  <c r="BG145" i="6"/>
  <c r="BE145" i="6"/>
  <c r="BC145" i="6"/>
  <c r="BA145" i="6"/>
  <c r="AY145" i="6"/>
  <c r="AW145" i="6"/>
  <c r="AU145" i="6"/>
  <c r="AS145" i="6"/>
  <c r="AQ145" i="6"/>
  <c r="AO145" i="6"/>
  <c r="AM145" i="6"/>
  <c r="AK145" i="6"/>
  <c r="AI145" i="6"/>
  <c r="AG145" i="6"/>
  <c r="AF145" i="6"/>
  <c r="AE145" i="6"/>
  <c r="AD145" i="6"/>
  <c r="AB145" i="6"/>
  <c r="AA145" i="6"/>
  <c r="Z145" i="6"/>
  <c r="V145" i="6"/>
  <c r="U145" i="6"/>
  <c r="T145" i="6"/>
  <c r="S145" i="6"/>
  <c r="L145" i="6"/>
  <c r="K145" i="6"/>
  <c r="E145" i="6"/>
  <c r="D145" i="6"/>
  <c r="B145" i="6"/>
  <c r="A145" i="6"/>
  <c r="DL144" i="6"/>
  <c r="DJ144" i="6"/>
  <c r="DI144" i="6"/>
  <c r="DE144" i="6"/>
  <c r="DC144" i="6"/>
  <c r="CY144" i="6"/>
  <c r="CW144" i="6"/>
  <c r="CU144" i="6"/>
  <c r="CS144" i="6"/>
  <c r="CK144" i="6"/>
  <c r="CI144" i="6"/>
  <c r="CG144" i="6"/>
  <c r="CE144" i="6"/>
  <c r="CC144" i="6"/>
  <c r="CA144" i="6"/>
  <c r="BY144" i="6"/>
  <c r="BW144" i="6"/>
  <c r="BU144" i="6"/>
  <c r="BS144" i="6"/>
  <c r="BQ144" i="6"/>
  <c r="BO144" i="6"/>
  <c r="BM144" i="6"/>
  <c r="BK144" i="6"/>
  <c r="BI144" i="6"/>
  <c r="BG144" i="6"/>
  <c r="BE144" i="6"/>
  <c r="BC144" i="6"/>
  <c r="BA144" i="6"/>
  <c r="AY144" i="6"/>
  <c r="AW144" i="6"/>
  <c r="AU144" i="6"/>
  <c r="AS144" i="6"/>
  <c r="AQ144" i="6"/>
  <c r="AO144" i="6"/>
  <c r="AM144" i="6"/>
  <c r="AK144" i="6"/>
  <c r="AI144" i="6"/>
  <c r="AG144" i="6"/>
  <c r="AF144" i="6"/>
  <c r="AE144" i="6"/>
  <c r="AD144" i="6"/>
  <c r="AB144" i="6"/>
  <c r="AA144" i="6"/>
  <c r="Z144" i="6"/>
  <c r="V144" i="6"/>
  <c r="U144" i="6"/>
  <c r="T144" i="6"/>
  <c r="S144" i="6"/>
  <c r="Q144" i="6"/>
  <c r="L144" i="6"/>
  <c r="K144" i="6"/>
  <c r="J144" i="6"/>
  <c r="E144" i="6"/>
  <c r="D144" i="6"/>
  <c r="B144" i="6"/>
  <c r="A144" i="6"/>
  <c r="DL143" i="6"/>
  <c r="DJ143" i="6"/>
  <c r="DI143" i="6"/>
  <c r="DE143" i="6"/>
  <c r="DC143" i="6"/>
  <c r="CY143" i="6"/>
  <c r="CW143" i="6"/>
  <c r="CU143" i="6"/>
  <c r="CS143" i="6"/>
  <c r="CK143" i="6"/>
  <c r="CI143" i="6"/>
  <c r="CG143" i="6"/>
  <c r="CE143" i="6"/>
  <c r="CC143" i="6"/>
  <c r="CA143" i="6"/>
  <c r="BY143" i="6"/>
  <c r="BW143" i="6"/>
  <c r="BU143" i="6"/>
  <c r="BS143" i="6"/>
  <c r="BQ143" i="6"/>
  <c r="BO143" i="6"/>
  <c r="BM143" i="6"/>
  <c r="BK143" i="6"/>
  <c r="BI143" i="6"/>
  <c r="BG143" i="6"/>
  <c r="BE143" i="6"/>
  <c r="BC143" i="6"/>
  <c r="BA143" i="6"/>
  <c r="AY143" i="6"/>
  <c r="AW143" i="6"/>
  <c r="AU143" i="6"/>
  <c r="AS143" i="6"/>
  <c r="AQ143" i="6"/>
  <c r="AO143" i="6"/>
  <c r="AM143" i="6"/>
  <c r="AK143" i="6"/>
  <c r="AJ143" i="6"/>
  <c r="AI143" i="6"/>
  <c r="AH143" i="6"/>
  <c r="AG143" i="6"/>
  <c r="AF143" i="6"/>
  <c r="AE143" i="6"/>
  <c r="AD143" i="6"/>
  <c r="AB143" i="6"/>
  <c r="AA143" i="6"/>
  <c r="Z143" i="6"/>
  <c r="V143" i="6"/>
  <c r="U143" i="6"/>
  <c r="T143" i="6"/>
  <c r="S143" i="6"/>
  <c r="L143" i="6"/>
  <c r="K143" i="6"/>
  <c r="J143" i="6"/>
  <c r="E143" i="6"/>
  <c r="D143" i="6"/>
  <c r="B143" i="6"/>
  <c r="A143" i="6"/>
  <c r="DL142" i="6"/>
  <c r="DJ142" i="6"/>
  <c r="DI142" i="6"/>
  <c r="DE142" i="6"/>
  <c r="DC142" i="6"/>
  <c r="CY142" i="6"/>
  <c r="CW142" i="6"/>
  <c r="CU142" i="6"/>
  <c r="CS142" i="6"/>
  <c r="CK142" i="6"/>
  <c r="CI142" i="6"/>
  <c r="CG142" i="6"/>
  <c r="CE142" i="6"/>
  <c r="CC142" i="6"/>
  <c r="CA142" i="6"/>
  <c r="BY142" i="6"/>
  <c r="BW142" i="6"/>
  <c r="BU142" i="6"/>
  <c r="BS142" i="6"/>
  <c r="BQ142" i="6"/>
  <c r="BO142" i="6"/>
  <c r="BM142" i="6"/>
  <c r="BK142" i="6"/>
  <c r="BI142" i="6"/>
  <c r="BG142" i="6"/>
  <c r="BE142" i="6"/>
  <c r="BC142" i="6"/>
  <c r="BA142" i="6"/>
  <c r="AY142" i="6"/>
  <c r="AW142" i="6"/>
  <c r="AU142" i="6"/>
  <c r="AS142" i="6"/>
  <c r="AQ142" i="6"/>
  <c r="AO142" i="6"/>
  <c r="AM142" i="6"/>
  <c r="AK142" i="6"/>
  <c r="AI142" i="6"/>
  <c r="AG142" i="6"/>
  <c r="AF142" i="6"/>
  <c r="AE142" i="6"/>
  <c r="AB142" i="6"/>
  <c r="AA142" i="6"/>
  <c r="Z142" i="6"/>
  <c r="V142" i="6"/>
  <c r="U142" i="6"/>
  <c r="T142" i="6"/>
  <c r="S142" i="6"/>
  <c r="Q142" i="6"/>
  <c r="E142" i="6"/>
  <c r="D142" i="6"/>
  <c r="B142" i="6"/>
  <c r="A142" i="6"/>
  <c r="DL141" i="6"/>
  <c r="DK141" i="6"/>
  <c r="DJ141" i="6"/>
  <c r="DI141" i="6"/>
  <c r="DE141" i="6"/>
  <c r="DC141" i="6"/>
  <c r="CY141" i="6"/>
  <c r="CW141" i="6"/>
  <c r="CU141" i="6"/>
  <c r="CS141" i="6"/>
  <c r="CK141" i="6"/>
  <c r="CI141" i="6"/>
  <c r="CG141" i="6"/>
  <c r="CE141" i="6"/>
  <c r="CC141" i="6"/>
  <c r="CA141" i="6"/>
  <c r="BY141" i="6"/>
  <c r="BW141" i="6"/>
  <c r="BU141" i="6"/>
  <c r="BS141" i="6"/>
  <c r="BQ141" i="6"/>
  <c r="BO141" i="6"/>
  <c r="BM141" i="6"/>
  <c r="BK141" i="6"/>
  <c r="BI141" i="6"/>
  <c r="BG141" i="6"/>
  <c r="BE141" i="6"/>
  <c r="BC141" i="6"/>
  <c r="BA141" i="6"/>
  <c r="AY141" i="6"/>
  <c r="AW141" i="6"/>
  <c r="AU141" i="6"/>
  <c r="AS141" i="6"/>
  <c r="AQ141" i="6"/>
  <c r="AO141" i="6"/>
  <c r="AM141" i="6"/>
  <c r="AK141" i="6"/>
  <c r="AJ141" i="6"/>
  <c r="AI141" i="6"/>
  <c r="AH141" i="6"/>
  <c r="AG141" i="6"/>
  <c r="AF141" i="6"/>
  <c r="AE141" i="6"/>
  <c r="AB141" i="6"/>
  <c r="AA141" i="6"/>
  <c r="Z141" i="6"/>
  <c r="V141" i="6"/>
  <c r="U141" i="6"/>
  <c r="T141" i="6"/>
  <c r="S141" i="6"/>
  <c r="E141" i="6"/>
  <c r="D141" i="6"/>
  <c r="B141" i="6"/>
  <c r="A141" i="6"/>
  <c r="DL140" i="6"/>
  <c r="DJ140" i="6"/>
  <c r="DI140" i="6"/>
  <c r="DE140" i="6"/>
  <c r="DC140" i="6"/>
  <c r="CY140" i="6"/>
  <c r="CW140" i="6"/>
  <c r="CU140" i="6"/>
  <c r="CS140" i="6"/>
  <c r="CK140" i="6"/>
  <c r="CI140" i="6"/>
  <c r="CG140" i="6"/>
  <c r="CE140" i="6"/>
  <c r="CC140" i="6"/>
  <c r="CA140" i="6"/>
  <c r="BY140" i="6"/>
  <c r="BW140" i="6"/>
  <c r="BU140" i="6"/>
  <c r="BS140" i="6"/>
  <c r="BQ140" i="6"/>
  <c r="BO140" i="6"/>
  <c r="BM140" i="6"/>
  <c r="BK140" i="6"/>
  <c r="BI140" i="6"/>
  <c r="BG140" i="6"/>
  <c r="BE140" i="6"/>
  <c r="BC140" i="6"/>
  <c r="BA140" i="6"/>
  <c r="AY140" i="6"/>
  <c r="AW140" i="6"/>
  <c r="AU140" i="6"/>
  <c r="AS140" i="6"/>
  <c r="AQ140" i="6"/>
  <c r="AO140" i="6"/>
  <c r="AM140" i="6"/>
  <c r="AK140" i="6"/>
  <c r="AI140" i="6"/>
  <c r="AG140" i="6"/>
  <c r="AF140" i="6"/>
  <c r="AE140" i="6"/>
  <c r="AB140" i="6"/>
  <c r="AA140" i="6"/>
  <c r="Z140" i="6"/>
  <c r="V140" i="6"/>
  <c r="U140" i="6"/>
  <c r="T140" i="6"/>
  <c r="S140" i="6"/>
  <c r="Q140" i="6"/>
  <c r="L140" i="6"/>
  <c r="K140" i="6"/>
  <c r="E140" i="6"/>
  <c r="D140" i="6"/>
  <c r="B140" i="6"/>
  <c r="A140" i="6"/>
  <c r="DL139" i="6"/>
  <c r="DJ139" i="6"/>
  <c r="DI139" i="6"/>
  <c r="DE139" i="6"/>
  <c r="DD139" i="6"/>
  <c r="DC139" i="6"/>
  <c r="DB139" i="6"/>
  <c r="DA139" i="6"/>
  <c r="CY139" i="6"/>
  <c r="CX139" i="6"/>
  <c r="CW139" i="6"/>
  <c r="CU139" i="6"/>
  <c r="CS139" i="6"/>
  <c r="CR139" i="6"/>
  <c r="CK139" i="6"/>
  <c r="CI139" i="6"/>
  <c r="CG139" i="6"/>
  <c r="CE139" i="6"/>
  <c r="CC139" i="6"/>
  <c r="CA139" i="6"/>
  <c r="BY139" i="6"/>
  <c r="BW139" i="6"/>
  <c r="BU139" i="6"/>
  <c r="BS139" i="6"/>
  <c r="BQ139" i="6"/>
  <c r="BO139" i="6"/>
  <c r="BM139" i="6"/>
  <c r="BK139" i="6"/>
  <c r="BI139" i="6"/>
  <c r="BG139" i="6"/>
  <c r="BE139" i="6"/>
  <c r="BC139" i="6"/>
  <c r="BA139" i="6"/>
  <c r="AY139" i="6"/>
  <c r="AW139" i="6"/>
  <c r="AU139" i="6"/>
  <c r="AS139" i="6"/>
  <c r="AQ139" i="6"/>
  <c r="AO139" i="6"/>
  <c r="AM139" i="6"/>
  <c r="AK139" i="6"/>
  <c r="AI139" i="6"/>
  <c r="AG139" i="6"/>
  <c r="AF139" i="6"/>
  <c r="AE139" i="6"/>
  <c r="AD139" i="6"/>
  <c r="AB139" i="6"/>
  <c r="AA139" i="6"/>
  <c r="Z139" i="6"/>
  <c r="V139" i="6"/>
  <c r="U139" i="6"/>
  <c r="T139" i="6"/>
  <c r="S139" i="6"/>
  <c r="L139" i="6"/>
  <c r="K139" i="6"/>
  <c r="J139" i="6"/>
  <c r="E139" i="6"/>
  <c r="D139" i="6"/>
  <c r="B139" i="6"/>
  <c r="A139" i="6"/>
  <c r="DL138" i="6"/>
  <c r="DK138" i="6"/>
  <c r="DJ138" i="6"/>
  <c r="DI138" i="6"/>
  <c r="DH138" i="6"/>
  <c r="DE138" i="6"/>
  <c r="DC138" i="6"/>
  <c r="CY138" i="6"/>
  <c r="CW138" i="6"/>
  <c r="CU138" i="6"/>
  <c r="CS138" i="6"/>
  <c r="CK138" i="6"/>
  <c r="CI138" i="6"/>
  <c r="CG138" i="6"/>
  <c r="CF138" i="6"/>
  <c r="CE138" i="6"/>
  <c r="CD138" i="6"/>
  <c r="CC138" i="6"/>
  <c r="CA138" i="6"/>
  <c r="BY138" i="6"/>
  <c r="BW138" i="6"/>
  <c r="BU138" i="6"/>
  <c r="BS138" i="6"/>
  <c r="BQ138" i="6"/>
  <c r="BO138" i="6"/>
  <c r="BM138" i="6"/>
  <c r="BK138" i="6"/>
  <c r="BI138" i="6"/>
  <c r="BG138" i="6"/>
  <c r="BE138" i="6"/>
  <c r="BC138" i="6"/>
  <c r="BA138" i="6"/>
  <c r="AY138" i="6"/>
  <c r="AW138" i="6"/>
  <c r="AU138" i="6"/>
  <c r="AS138" i="6"/>
  <c r="AQ138" i="6"/>
  <c r="AO138" i="6"/>
  <c r="AM138" i="6"/>
  <c r="AK138" i="6"/>
  <c r="AI138" i="6"/>
  <c r="AG138" i="6"/>
  <c r="AF138" i="6"/>
  <c r="AE138" i="6"/>
  <c r="AB138" i="6"/>
  <c r="AA138" i="6"/>
  <c r="Z138" i="6"/>
  <c r="V138" i="6"/>
  <c r="U138" i="6"/>
  <c r="T138" i="6"/>
  <c r="S138" i="6"/>
  <c r="Q138" i="6"/>
  <c r="E138" i="6"/>
  <c r="D138" i="6"/>
  <c r="B138" i="6"/>
  <c r="A138" i="6"/>
  <c r="DL137" i="6"/>
  <c r="DJ137" i="6"/>
  <c r="DI137" i="6"/>
  <c r="DE137" i="6"/>
  <c r="DC137" i="6"/>
  <c r="CY137" i="6"/>
  <c r="CW137" i="6"/>
  <c r="CU137" i="6"/>
  <c r="CS137" i="6"/>
  <c r="CK137" i="6"/>
  <c r="CI137" i="6"/>
  <c r="CG137" i="6"/>
  <c r="CE137" i="6"/>
  <c r="CC137" i="6"/>
  <c r="CA137" i="6"/>
  <c r="BY137" i="6"/>
  <c r="BW137" i="6"/>
  <c r="BU137" i="6"/>
  <c r="BS137" i="6"/>
  <c r="BQ137" i="6"/>
  <c r="BO137" i="6"/>
  <c r="BM137" i="6"/>
  <c r="BK137" i="6"/>
  <c r="BI137" i="6"/>
  <c r="BG137" i="6"/>
  <c r="BE137" i="6"/>
  <c r="BC137" i="6"/>
  <c r="BA137" i="6"/>
  <c r="AY137" i="6"/>
  <c r="AW137" i="6"/>
  <c r="AU137" i="6"/>
  <c r="AS137" i="6"/>
  <c r="AQ137" i="6"/>
  <c r="AO137" i="6"/>
  <c r="AM137" i="6"/>
  <c r="AK137" i="6"/>
  <c r="AJ137" i="6"/>
  <c r="AI137" i="6"/>
  <c r="AH137" i="6"/>
  <c r="AG137" i="6"/>
  <c r="AF137" i="6"/>
  <c r="AE137" i="6"/>
  <c r="AB137" i="6"/>
  <c r="AA137" i="6"/>
  <c r="Z137" i="6"/>
  <c r="V137" i="6"/>
  <c r="U137" i="6"/>
  <c r="T137" i="6"/>
  <c r="S137" i="6"/>
  <c r="L137" i="6"/>
  <c r="K137" i="6"/>
  <c r="E137" i="6"/>
  <c r="D137" i="6"/>
  <c r="B137" i="6"/>
  <c r="A137" i="6"/>
  <c r="DL136" i="6"/>
  <c r="DJ136" i="6"/>
  <c r="DI136" i="6"/>
  <c r="DE136" i="6"/>
  <c r="DC136" i="6"/>
  <c r="CY136" i="6"/>
  <c r="CW136" i="6"/>
  <c r="CU136" i="6"/>
  <c r="CS136" i="6"/>
  <c r="CK136" i="6"/>
  <c r="CI136" i="6"/>
  <c r="CG136" i="6"/>
  <c r="CE136" i="6"/>
  <c r="CC136" i="6"/>
  <c r="CA136" i="6"/>
  <c r="BY136" i="6"/>
  <c r="BW136" i="6"/>
  <c r="BU136" i="6"/>
  <c r="BS136" i="6"/>
  <c r="BQ136" i="6"/>
  <c r="BO136" i="6"/>
  <c r="BM136" i="6"/>
  <c r="BK136" i="6"/>
  <c r="BI136" i="6"/>
  <c r="BG136" i="6"/>
  <c r="BE136" i="6"/>
  <c r="BC136" i="6"/>
  <c r="BA136" i="6"/>
  <c r="AY136" i="6"/>
  <c r="AW136" i="6"/>
  <c r="AU136" i="6"/>
  <c r="AS136" i="6"/>
  <c r="AQ136" i="6"/>
  <c r="AO136" i="6"/>
  <c r="AM136" i="6"/>
  <c r="AK136" i="6"/>
  <c r="AI136" i="6"/>
  <c r="AG136" i="6"/>
  <c r="AF136" i="6"/>
  <c r="AE136" i="6"/>
  <c r="AB136" i="6"/>
  <c r="AA136" i="6"/>
  <c r="Z136" i="6"/>
  <c r="V136" i="6"/>
  <c r="U136" i="6"/>
  <c r="T136" i="6"/>
  <c r="S136" i="6"/>
  <c r="Q136" i="6"/>
  <c r="E136" i="6"/>
  <c r="D136" i="6"/>
  <c r="B136" i="6"/>
  <c r="A136" i="6"/>
  <c r="DL135" i="6"/>
  <c r="DJ135" i="6"/>
  <c r="DI135" i="6"/>
  <c r="DH135" i="6"/>
  <c r="DG135" i="6"/>
  <c r="DF135" i="6"/>
  <c r="DE135" i="6"/>
  <c r="DC135" i="6"/>
  <c r="CY135" i="6"/>
  <c r="CW135" i="6"/>
  <c r="CU135" i="6"/>
  <c r="CS135" i="6"/>
  <c r="CK135" i="6"/>
  <c r="CI135" i="6"/>
  <c r="CG135" i="6"/>
  <c r="CF135" i="6"/>
  <c r="CE135" i="6"/>
  <c r="CD135" i="6"/>
  <c r="CC135" i="6"/>
  <c r="CA135" i="6"/>
  <c r="BY135" i="6"/>
  <c r="BW135" i="6"/>
  <c r="BU135" i="6"/>
  <c r="BS135" i="6"/>
  <c r="BQ135" i="6"/>
  <c r="BO135" i="6"/>
  <c r="BM135" i="6"/>
  <c r="BK135" i="6"/>
  <c r="BI135" i="6"/>
  <c r="BG135" i="6"/>
  <c r="BE135" i="6"/>
  <c r="BC135" i="6"/>
  <c r="BA135" i="6"/>
  <c r="AY135" i="6"/>
  <c r="AW135" i="6"/>
  <c r="AU135" i="6"/>
  <c r="AS135" i="6"/>
  <c r="AQ135" i="6"/>
  <c r="AO135" i="6"/>
  <c r="AM135" i="6"/>
  <c r="AK135" i="6"/>
  <c r="AJ135" i="6"/>
  <c r="AI135" i="6"/>
  <c r="AH135" i="6"/>
  <c r="AG135" i="6"/>
  <c r="AF135" i="6"/>
  <c r="AE135" i="6"/>
  <c r="AD135" i="6"/>
  <c r="AB135" i="6"/>
  <c r="AA135" i="6"/>
  <c r="Z135" i="6"/>
  <c r="V135" i="6"/>
  <c r="U135" i="6"/>
  <c r="T135" i="6"/>
  <c r="S135" i="6"/>
  <c r="L135" i="6"/>
  <c r="K135" i="6"/>
  <c r="J135" i="6"/>
  <c r="E135" i="6"/>
  <c r="D135" i="6"/>
  <c r="B135" i="6"/>
  <c r="A135" i="6"/>
  <c r="DL134" i="6"/>
  <c r="DJ134" i="6"/>
  <c r="DI134" i="6"/>
  <c r="DE134" i="6"/>
  <c r="DC134" i="6"/>
  <c r="CY134" i="6"/>
  <c r="CW134" i="6"/>
  <c r="CU134" i="6"/>
  <c r="CS134" i="6"/>
  <c r="CK134" i="6"/>
  <c r="CI134" i="6"/>
  <c r="CG134" i="6"/>
  <c r="CE134" i="6"/>
  <c r="CC134" i="6"/>
  <c r="CA134" i="6"/>
  <c r="BY134" i="6"/>
  <c r="BW134" i="6"/>
  <c r="BU134" i="6"/>
  <c r="BS134" i="6"/>
  <c r="BQ134" i="6"/>
  <c r="BO134" i="6"/>
  <c r="BM134" i="6"/>
  <c r="BK134" i="6"/>
  <c r="BI134" i="6"/>
  <c r="BG134" i="6"/>
  <c r="BE134" i="6"/>
  <c r="BC134" i="6"/>
  <c r="BA134" i="6"/>
  <c r="AY134" i="6"/>
  <c r="AW134" i="6"/>
  <c r="AU134" i="6"/>
  <c r="AS134" i="6"/>
  <c r="AQ134" i="6"/>
  <c r="AO134" i="6"/>
  <c r="AM134" i="6"/>
  <c r="AK134" i="6"/>
  <c r="AI134" i="6"/>
  <c r="AG134" i="6"/>
  <c r="AF134" i="6"/>
  <c r="AE134" i="6"/>
  <c r="AB134" i="6"/>
  <c r="AA134" i="6"/>
  <c r="Z134" i="6"/>
  <c r="V134" i="6"/>
  <c r="U134" i="6"/>
  <c r="T134" i="6"/>
  <c r="S134" i="6"/>
  <c r="Q134" i="6"/>
  <c r="E134" i="6"/>
  <c r="D134" i="6"/>
  <c r="B134" i="6"/>
  <c r="A134" i="6"/>
  <c r="DL133" i="6"/>
  <c r="DJ133" i="6"/>
  <c r="DI133" i="6"/>
  <c r="DE133" i="6"/>
  <c r="DC133" i="6"/>
  <c r="CY133" i="6"/>
  <c r="CW133" i="6"/>
  <c r="CU133" i="6"/>
  <c r="CS133" i="6"/>
  <c r="CK133" i="6"/>
  <c r="CI133" i="6"/>
  <c r="CG133" i="6"/>
  <c r="CE133" i="6"/>
  <c r="CC133" i="6"/>
  <c r="CA133" i="6"/>
  <c r="BY133" i="6"/>
  <c r="BW133" i="6"/>
  <c r="BU133" i="6"/>
  <c r="BS133" i="6"/>
  <c r="BQ133" i="6"/>
  <c r="BO133" i="6"/>
  <c r="BM133" i="6"/>
  <c r="BK133" i="6"/>
  <c r="BI133" i="6"/>
  <c r="BG133" i="6"/>
  <c r="BE133" i="6"/>
  <c r="BC133" i="6"/>
  <c r="BA133" i="6"/>
  <c r="AY133" i="6"/>
  <c r="AW133" i="6"/>
  <c r="AU133" i="6"/>
  <c r="AS133" i="6"/>
  <c r="AQ133" i="6"/>
  <c r="AO133" i="6"/>
  <c r="AM133" i="6"/>
  <c r="AK133" i="6"/>
  <c r="AJ133" i="6"/>
  <c r="AI133" i="6"/>
  <c r="AH133" i="6"/>
  <c r="AG133" i="6"/>
  <c r="AF133" i="6"/>
  <c r="AE133" i="6"/>
  <c r="AB133" i="6"/>
  <c r="AA133" i="6"/>
  <c r="Z133" i="6"/>
  <c r="V133" i="6"/>
  <c r="U133" i="6"/>
  <c r="T133" i="6"/>
  <c r="S133" i="6"/>
  <c r="L133" i="6"/>
  <c r="K133" i="6"/>
  <c r="J133" i="6"/>
  <c r="E133" i="6"/>
  <c r="D133" i="6"/>
  <c r="B133" i="6"/>
  <c r="A133" i="6"/>
  <c r="DL132" i="6"/>
  <c r="DJ132" i="6"/>
  <c r="DI132" i="6"/>
  <c r="DH132" i="6"/>
  <c r="DG132" i="6"/>
  <c r="DF132" i="6"/>
  <c r="DE132" i="6"/>
  <c r="DC132" i="6"/>
  <c r="CY132" i="6"/>
  <c r="CW132" i="6"/>
  <c r="CU132" i="6"/>
  <c r="CS132" i="6"/>
  <c r="CK132" i="6"/>
  <c r="CJ132" i="6"/>
  <c r="CI132" i="6"/>
  <c r="CH132" i="6"/>
  <c r="CG132" i="6"/>
  <c r="CF132" i="6"/>
  <c r="CE132" i="6"/>
  <c r="CD132" i="6"/>
  <c r="CC132" i="6"/>
  <c r="CA132" i="6"/>
  <c r="BY132" i="6"/>
  <c r="BW132" i="6"/>
  <c r="BU132" i="6"/>
  <c r="BS132" i="6"/>
  <c r="BQ132" i="6"/>
  <c r="BO132" i="6"/>
  <c r="BM132" i="6"/>
  <c r="BK132" i="6"/>
  <c r="BI132" i="6"/>
  <c r="BG132" i="6"/>
  <c r="BE132" i="6"/>
  <c r="BC132" i="6"/>
  <c r="BA132" i="6"/>
  <c r="AY132" i="6"/>
  <c r="AW132" i="6"/>
  <c r="AU132" i="6"/>
  <c r="AS132" i="6"/>
  <c r="AQ132" i="6"/>
  <c r="AO132" i="6"/>
  <c r="AN132" i="6"/>
  <c r="AM132" i="6"/>
  <c r="AL132" i="6"/>
  <c r="AK132" i="6"/>
  <c r="AJ132" i="6"/>
  <c r="AI132" i="6"/>
  <c r="AH132" i="6"/>
  <c r="AG132" i="6"/>
  <c r="AF132" i="6"/>
  <c r="AE132" i="6"/>
  <c r="AD132" i="6"/>
  <c r="AB132" i="6"/>
  <c r="AA132" i="6"/>
  <c r="Z132" i="6"/>
  <c r="V132" i="6"/>
  <c r="U132" i="6"/>
  <c r="T132" i="6"/>
  <c r="S132" i="6"/>
  <c r="L132" i="6"/>
  <c r="K132" i="6"/>
  <c r="E132" i="6"/>
  <c r="D132" i="6"/>
  <c r="B132" i="6"/>
  <c r="A132" i="6"/>
  <c r="DL131" i="6"/>
  <c r="DJ131" i="6"/>
  <c r="DI131" i="6"/>
  <c r="DH131" i="6"/>
  <c r="DE131" i="6"/>
  <c r="DD131" i="6"/>
  <c r="DC131" i="6"/>
  <c r="DA131" i="6"/>
  <c r="CY131" i="6"/>
  <c r="CX131" i="6"/>
  <c r="CW131" i="6"/>
  <c r="CU131" i="6"/>
  <c r="CS131" i="6"/>
  <c r="CK131" i="6"/>
  <c r="CI131" i="6"/>
  <c r="CG131" i="6"/>
  <c r="CF131" i="6"/>
  <c r="CE131" i="6"/>
  <c r="CD131" i="6"/>
  <c r="CC131" i="6"/>
  <c r="CA131" i="6"/>
  <c r="BY131" i="6"/>
  <c r="BW131" i="6"/>
  <c r="BU131" i="6"/>
  <c r="BS131" i="6"/>
  <c r="BQ131" i="6"/>
  <c r="BO131" i="6"/>
  <c r="BM131" i="6"/>
  <c r="BK131" i="6"/>
  <c r="BI131" i="6"/>
  <c r="BG131" i="6"/>
  <c r="BE131" i="6"/>
  <c r="BC131" i="6"/>
  <c r="BA131" i="6"/>
  <c r="AY131" i="6"/>
  <c r="AW131" i="6"/>
  <c r="AU131" i="6"/>
  <c r="AS131" i="6"/>
  <c r="AQ131" i="6"/>
  <c r="AO131" i="6"/>
  <c r="AM131" i="6"/>
  <c r="AK131" i="6"/>
  <c r="AI131" i="6"/>
  <c r="AG131" i="6"/>
  <c r="AF131" i="6"/>
  <c r="AE131" i="6"/>
  <c r="AB131" i="6"/>
  <c r="AA131" i="6"/>
  <c r="Z131" i="6"/>
  <c r="V131" i="6"/>
  <c r="U131" i="6"/>
  <c r="T131" i="6"/>
  <c r="S131" i="6"/>
  <c r="E131" i="6"/>
  <c r="D131" i="6"/>
  <c r="B131" i="6"/>
  <c r="A131" i="6"/>
  <c r="DL130" i="6"/>
  <c r="DJ130" i="6"/>
  <c r="DI130" i="6"/>
  <c r="DE130" i="6"/>
  <c r="DC130" i="6"/>
  <c r="CY130" i="6"/>
  <c r="CW130" i="6"/>
  <c r="CV130" i="6"/>
  <c r="CU130" i="6"/>
  <c r="CS130" i="6"/>
  <c r="CK130" i="6"/>
  <c r="CI130" i="6"/>
  <c r="CG130" i="6"/>
  <c r="CE130" i="6"/>
  <c r="CC130" i="6"/>
  <c r="CA130" i="6"/>
  <c r="BY130" i="6"/>
  <c r="BW130" i="6"/>
  <c r="BU130" i="6"/>
  <c r="BS130" i="6"/>
  <c r="BQ130" i="6"/>
  <c r="BO130" i="6"/>
  <c r="BM130" i="6"/>
  <c r="BK130" i="6"/>
  <c r="BI130" i="6"/>
  <c r="BG130" i="6"/>
  <c r="BE130" i="6"/>
  <c r="BC130" i="6"/>
  <c r="BA130" i="6"/>
  <c r="AY130" i="6"/>
  <c r="AW130" i="6"/>
  <c r="AU130" i="6"/>
  <c r="AS130" i="6"/>
  <c r="AQ130" i="6"/>
  <c r="AO130" i="6"/>
  <c r="AM130" i="6"/>
  <c r="AK130" i="6"/>
  <c r="AI130" i="6"/>
  <c r="AG130" i="6"/>
  <c r="AF130" i="6"/>
  <c r="AE130" i="6"/>
  <c r="AD130" i="6"/>
  <c r="AB130" i="6"/>
  <c r="AA130" i="6"/>
  <c r="Z130" i="6"/>
  <c r="V130" i="6"/>
  <c r="U130" i="6"/>
  <c r="T130" i="6"/>
  <c r="S130" i="6"/>
  <c r="Q130" i="6"/>
  <c r="L130" i="6"/>
  <c r="K130" i="6"/>
  <c r="E130" i="6"/>
  <c r="D130" i="6"/>
  <c r="B130" i="6"/>
  <c r="A130" i="6"/>
  <c r="DL129" i="6"/>
  <c r="DJ129" i="6"/>
  <c r="DI129" i="6"/>
  <c r="DE129" i="6"/>
  <c r="DC129" i="6"/>
  <c r="CY129" i="6"/>
  <c r="CW129" i="6"/>
  <c r="CU129" i="6"/>
  <c r="CS129" i="6"/>
  <c r="CK129" i="6"/>
  <c r="CI129" i="6"/>
  <c r="CG129" i="6"/>
  <c r="CE129" i="6"/>
  <c r="CC129" i="6"/>
  <c r="CA129" i="6"/>
  <c r="BY129" i="6"/>
  <c r="BW129" i="6"/>
  <c r="BU129" i="6"/>
  <c r="BS129" i="6"/>
  <c r="BQ129" i="6"/>
  <c r="BO129" i="6"/>
  <c r="BM129" i="6"/>
  <c r="BK129" i="6"/>
  <c r="BI129" i="6"/>
  <c r="BG129" i="6"/>
  <c r="BE129" i="6"/>
  <c r="BC129" i="6"/>
  <c r="BA129" i="6"/>
  <c r="AY129" i="6"/>
  <c r="AW129" i="6"/>
  <c r="AU129" i="6"/>
  <c r="AS129" i="6"/>
  <c r="AQ129" i="6"/>
  <c r="AO129" i="6"/>
  <c r="AM129" i="6"/>
  <c r="AK129" i="6"/>
  <c r="AI129" i="6"/>
  <c r="AG129" i="6"/>
  <c r="AF129" i="6"/>
  <c r="AE129" i="6"/>
  <c r="AD129" i="6"/>
  <c r="AB129" i="6"/>
  <c r="AA129" i="6"/>
  <c r="Z129" i="6"/>
  <c r="V129" i="6"/>
  <c r="U129" i="6"/>
  <c r="T129" i="6"/>
  <c r="S129" i="6"/>
  <c r="L129" i="6"/>
  <c r="K129" i="6"/>
  <c r="J129" i="6"/>
  <c r="E129" i="6"/>
  <c r="D129" i="6"/>
  <c r="B129" i="6"/>
  <c r="A129" i="6"/>
  <c r="DL128" i="6"/>
  <c r="DJ128" i="6"/>
  <c r="DI128" i="6"/>
  <c r="DH128" i="6"/>
  <c r="DG128" i="6"/>
  <c r="DF128" i="6"/>
  <c r="DE128" i="6"/>
  <c r="DC128" i="6"/>
  <c r="CY128" i="6"/>
  <c r="CW128" i="6"/>
  <c r="CU128" i="6"/>
  <c r="CS128" i="6"/>
  <c r="CR128" i="6"/>
  <c r="CO128" i="6"/>
  <c r="CL128" i="6"/>
  <c r="CK128" i="6"/>
  <c r="CI128" i="6"/>
  <c r="CH128" i="6"/>
  <c r="CG128" i="6"/>
  <c r="CF128" i="6"/>
  <c r="CE128" i="6"/>
  <c r="CD128" i="6"/>
  <c r="CC128" i="6"/>
  <c r="CA128" i="6"/>
  <c r="BY128" i="6"/>
  <c r="BW128" i="6"/>
  <c r="BU128" i="6"/>
  <c r="BS128" i="6"/>
  <c r="BQ128" i="6"/>
  <c r="BO128" i="6"/>
  <c r="BM128" i="6"/>
  <c r="BK128" i="6"/>
  <c r="BI128" i="6"/>
  <c r="BG128" i="6"/>
  <c r="BE128" i="6"/>
  <c r="BC128" i="6"/>
  <c r="BA128" i="6"/>
  <c r="AY128" i="6"/>
  <c r="AW128" i="6"/>
  <c r="AU128" i="6"/>
  <c r="AS128" i="6"/>
  <c r="AR128" i="6"/>
  <c r="AQ128" i="6"/>
  <c r="AP128" i="6"/>
  <c r="AO128" i="6"/>
  <c r="AN128" i="6"/>
  <c r="AM128" i="6"/>
  <c r="AL128" i="6"/>
  <c r="AK128" i="6"/>
  <c r="AJ128" i="6"/>
  <c r="AI128" i="6"/>
  <c r="AH128" i="6"/>
  <c r="AG128" i="6"/>
  <c r="AF128" i="6"/>
  <c r="AE128" i="6"/>
  <c r="AD128" i="6"/>
  <c r="AB128" i="6"/>
  <c r="AA128" i="6"/>
  <c r="Z128" i="6"/>
  <c r="V128" i="6"/>
  <c r="U128" i="6"/>
  <c r="T128" i="6"/>
  <c r="S128" i="6"/>
  <c r="P128" i="6"/>
  <c r="L128" i="6"/>
  <c r="K128" i="6"/>
  <c r="F128" i="6"/>
  <c r="E128" i="6"/>
  <c r="D128" i="6"/>
  <c r="B128" i="6"/>
  <c r="A128" i="6"/>
  <c r="DL127" i="6"/>
  <c r="DJ127" i="6"/>
  <c r="DI127" i="6"/>
  <c r="DG127" i="6"/>
  <c r="DF127" i="6"/>
  <c r="DE127" i="6"/>
  <c r="DC127" i="6"/>
  <c r="CY127" i="6"/>
  <c r="CW127" i="6"/>
  <c r="CU127" i="6"/>
  <c r="CS127" i="6"/>
  <c r="CO127" i="6"/>
  <c r="CL127" i="6"/>
  <c r="CK127" i="6"/>
  <c r="CI127" i="6"/>
  <c r="CG127" i="6"/>
  <c r="CE127" i="6"/>
  <c r="CC127" i="6"/>
  <c r="CA127" i="6"/>
  <c r="BY127" i="6"/>
  <c r="BW127" i="6"/>
  <c r="BU127" i="6"/>
  <c r="BS127" i="6"/>
  <c r="BQ127" i="6"/>
  <c r="BO127" i="6"/>
  <c r="BM127" i="6"/>
  <c r="BK127" i="6"/>
  <c r="BI127" i="6"/>
  <c r="BG127" i="6"/>
  <c r="BE127" i="6"/>
  <c r="BC127" i="6"/>
  <c r="BA127" i="6"/>
  <c r="AY127" i="6"/>
  <c r="AW127" i="6"/>
  <c r="AU127" i="6"/>
  <c r="AS127" i="6"/>
  <c r="AQ127" i="6"/>
  <c r="AO127" i="6"/>
  <c r="AM127" i="6"/>
  <c r="AK127" i="6"/>
  <c r="AI127" i="6"/>
  <c r="AG127" i="6"/>
  <c r="AF127" i="6"/>
  <c r="AE127" i="6"/>
  <c r="AD127" i="6"/>
  <c r="AB127" i="6"/>
  <c r="AA127" i="6"/>
  <c r="Z127" i="6"/>
  <c r="V127" i="6"/>
  <c r="U127" i="6"/>
  <c r="T127" i="6"/>
  <c r="S127" i="6"/>
  <c r="Q127" i="6"/>
  <c r="P127" i="6"/>
  <c r="L127" i="6"/>
  <c r="K127" i="6"/>
  <c r="J127" i="6"/>
  <c r="E127" i="6"/>
  <c r="D127" i="6"/>
  <c r="B127" i="6"/>
  <c r="A127" i="6"/>
  <c r="DL126" i="6"/>
  <c r="DJ126" i="6"/>
  <c r="DI126" i="6"/>
  <c r="DE126" i="6"/>
  <c r="DC126" i="6"/>
  <c r="CY126" i="6"/>
  <c r="CW126" i="6"/>
  <c r="CU126" i="6"/>
  <c r="CS126" i="6"/>
  <c r="CR126" i="6"/>
  <c r="CK126" i="6"/>
  <c r="CI126" i="6"/>
  <c r="CG126" i="6"/>
  <c r="CE126" i="6"/>
  <c r="CC126" i="6"/>
  <c r="CA126" i="6"/>
  <c r="BY126" i="6"/>
  <c r="BW126" i="6"/>
  <c r="BU126" i="6"/>
  <c r="BS126" i="6"/>
  <c r="BQ126" i="6"/>
  <c r="BO126" i="6"/>
  <c r="BM126" i="6"/>
  <c r="BK126" i="6"/>
  <c r="BI126" i="6"/>
  <c r="BG126" i="6"/>
  <c r="BE126" i="6"/>
  <c r="BC126" i="6"/>
  <c r="BA126" i="6"/>
  <c r="AY126" i="6"/>
  <c r="AW126" i="6"/>
  <c r="AU126" i="6"/>
  <c r="AS126" i="6"/>
  <c r="AQ126" i="6"/>
  <c r="AO126" i="6"/>
  <c r="AM126" i="6"/>
  <c r="AK126" i="6"/>
  <c r="AJ126" i="6"/>
  <c r="AI126" i="6"/>
  <c r="AH126" i="6"/>
  <c r="AG126" i="6"/>
  <c r="AF126" i="6"/>
  <c r="AE126" i="6"/>
  <c r="AB126" i="6"/>
  <c r="AA126" i="6"/>
  <c r="Z126" i="6"/>
  <c r="V126" i="6"/>
  <c r="U126" i="6"/>
  <c r="T126" i="6"/>
  <c r="S126" i="6"/>
  <c r="L126" i="6"/>
  <c r="K126" i="6"/>
  <c r="J126" i="6"/>
  <c r="E126" i="6"/>
  <c r="D126" i="6"/>
  <c r="B126" i="6"/>
  <c r="A126" i="6"/>
  <c r="DL125" i="6"/>
  <c r="DJ125" i="6"/>
  <c r="DI125" i="6"/>
  <c r="DG125" i="6"/>
  <c r="DF125" i="6"/>
  <c r="DE125" i="6"/>
  <c r="DC125" i="6"/>
  <c r="CY125" i="6"/>
  <c r="CW125" i="6"/>
  <c r="CU125" i="6"/>
  <c r="CS125" i="6"/>
  <c r="CK125" i="6"/>
  <c r="CI125" i="6"/>
  <c r="CG125" i="6"/>
  <c r="CE125" i="6"/>
  <c r="CC125" i="6"/>
  <c r="CA125" i="6"/>
  <c r="BY125" i="6"/>
  <c r="BW125" i="6"/>
  <c r="BU125" i="6"/>
  <c r="BS125" i="6"/>
  <c r="BQ125" i="6"/>
  <c r="BO125" i="6"/>
  <c r="BM125" i="6"/>
  <c r="BK125" i="6"/>
  <c r="BI125" i="6"/>
  <c r="BG125" i="6"/>
  <c r="BE125" i="6"/>
  <c r="BC125" i="6"/>
  <c r="BA125" i="6"/>
  <c r="AY125" i="6"/>
  <c r="AW125" i="6"/>
  <c r="AU125" i="6"/>
  <c r="AS125" i="6"/>
  <c r="AQ125" i="6"/>
  <c r="AO125" i="6"/>
  <c r="AM125" i="6"/>
  <c r="AK125" i="6"/>
  <c r="AI125" i="6"/>
  <c r="AG125" i="6"/>
  <c r="AF125" i="6"/>
  <c r="AE125" i="6"/>
  <c r="AD125" i="6"/>
  <c r="AB125" i="6"/>
  <c r="AA125" i="6"/>
  <c r="Z125" i="6"/>
  <c r="V125" i="6"/>
  <c r="U125" i="6"/>
  <c r="T125" i="6"/>
  <c r="S125" i="6"/>
  <c r="Q125" i="6"/>
  <c r="F125" i="6"/>
  <c r="E125" i="6"/>
  <c r="D125" i="6"/>
  <c r="B125" i="6"/>
  <c r="A125" i="6"/>
  <c r="DL124" i="6"/>
  <c r="DJ124" i="6"/>
  <c r="DI124" i="6"/>
  <c r="DE124" i="6"/>
  <c r="DC124" i="6"/>
  <c r="CY124" i="6"/>
  <c r="CW124" i="6"/>
  <c r="CU124" i="6"/>
  <c r="CS124" i="6"/>
  <c r="CK124" i="6"/>
  <c r="CI124" i="6"/>
  <c r="CG124" i="6"/>
  <c r="CE124" i="6"/>
  <c r="CC124" i="6"/>
  <c r="CA124" i="6"/>
  <c r="BY124" i="6"/>
  <c r="BW124" i="6"/>
  <c r="BU124" i="6"/>
  <c r="BS124" i="6"/>
  <c r="BQ124" i="6"/>
  <c r="BO124" i="6"/>
  <c r="BM124" i="6"/>
  <c r="BK124" i="6"/>
  <c r="BI124" i="6"/>
  <c r="BG124" i="6"/>
  <c r="BE124" i="6"/>
  <c r="BC124" i="6"/>
  <c r="BA124" i="6"/>
  <c r="AY124" i="6"/>
  <c r="AW124" i="6"/>
  <c r="AU124" i="6"/>
  <c r="AS124" i="6"/>
  <c r="AQ124" i="6"/>
  <c r="AO124" i="6"/>
  <c r="AM124" i="6"/>
  <c r="AK124" i="6"/>
  <c r="AI124" i="6"/>
  <c r="AG124" i="6"/>
  <c r="AF124" i="6"/>
  <c r="AE124" i="6"/>
  <c r="AD124" i="6"/>
  <c r="AB124" i="6"/>
  <c r="AA124" i="6"/>
  <c r="Z124" i="6"/>
  <c r="V124" i="6"/>
  <c r="U124" i="6"/>
  <c r="T124" i="6"/>
  <c r="S124" i="6"/>
  <c r="L124" i="6"/>
  <c r="K124" i="6"/>
  <c r="E124" i="6"/>
  <c r="D124" i="6"/>
  <c r="B124" i="6"/>
  <c r="A124" i="6"/>
  <c r="DL123" i="6"/>
  <c r="DJ123" i="6"/>
  <c r="DI123" i="6"/>
  <c r="DH123" i="6"/>
  <c r="DE123" i="6"/>
  <c r="DC123" i="6"/>
  <c r="CY123" i="6"/>
  <c r="CW123" i="6"/>
  <c r="CU123" i="6"/>
  <c r="CS123" i="6"/>
  <c r="CK123" i="6"/>
  <c r="CI123" i="6"/>
  <c r="CG123" i="6"/>
  <c r="CF123" i="6"/>
  <c r="CE123" i="6"/>
  <c r="CD123" i="6"/>
  <c r="CC123" i="6"/>
  <c r="CA123" i="6"/>
  <c r="BY123" i="6"/>
  <c r="BW123" i="6"/>
  <c r="BU123" i="6"/>
  <c r="BS123" i="6"/>
  <c r="BQ123" i="6"/>
  <c r="BO123" i="6"/>
  <c r="BM123" i="6"/>
  <c r="BK123" i="6"/>
  <c r="BI123" i="6"/>
  <c r="BG123" i="6"/>
  <c r="BE123" i="6"/>
  <c r="BC123" i="6"/>
  <c r="BA123" i="6"/>
  <c r="AY123" i="6"/>
  <c r="AW123" i="6"/>
  <c r="AU123" i="6"/>
  <c r="AS123" i="6"/>
  <c r="AQ123" i="6"/>
  <c r="AO123" i="6"/>
  <c r="AM123" i="6"/>
  <c r="AK123" i="6"/>
  <c r="AI123" i="6"/>
  <c r="AG123" i="6"/>
  <c r="AF123" i="6"/>
  <c r="AE123" i="6"/>
  <c r="AB123" i="6"/>
  <c r="AA123" i="6"/>
  <c r="Z123" i="6"/>
  <c r="V123" i="6"/>
  <c r="U123" i="6"/>
  <c r="T123" i="6"/>
  <c r="S123" i="6"/>
  <c r="L123" i="6"/>
  <c r="K123" i="6"/>
  <c r="E123" i="6"/>
  <c r="D123" i="6"/>
  <c r="B123" i="6"/>
  <c r="A123" i="6"/>
  <c r="DL122" i="6"/>
  <c r="DJ122" i="6"/>
  <c r="DI122" i="6"/>
  <c r="DH122" i="6"/>
  <c r="DE122" i="6"/>
  <c r="DC122" i="6"/>
  <c r="CY122" i="6"/>
  <c r="CW122" i="6"/>
  <c r="CV122" i="6"/>
  <c r="CU122" i="6"/>
  <c r="CS122" i="6"/>
  <c r="CK122" i="6"/>
  <c r="CI122" i="6"/>
  <c r="CG122" i="6"/>
  <c r="CF122" i="6"/>
  <c r="CE122" i="6"/>
  <c r="CD122" i="6"/>
  <c r="CC122" i="6"/>
  <c r="CA122" i="6"/>
  <c r="BY122" i="6"/>
  <c r="BW122" i="6"/>
  <c r="BU122" i="6"/>
  <c r="BS122" i="6"/>
  <c r="BQ122" i="6"/>
  <c r="BO122" i="6"/>
  <c r="BM122" i="6"/>
  <c r="BK122" i="6"/>
  <c r="BI122" i="6"/>
  <c r="BG122" i="6"/>
  <c r="BE122" i="6"/>
  <c r="BC122" i="6"/>
  <c r="BA122" i="6"/>
  <c r="AY122" i="6"/>
  <c r="AW122" i="6"/>
  <c r="AU122" i="6"/>
  <c r="AS122" i="6"/>
  <c r="AQ122" i="6"/>
  <c r="AO122" i="6"/>
  <c r="AN122" i="6"/>
  <c r="AM122" i="6"/>
  <c r="AL122" i="6"/>
  <c r="AK122" i="6"/>
  <c r="AJ122" i="6"/>
  <c r="AI122" i="6"/>
  <c r="AH122" i="6"/>
  <c r="AG122" i="6"/>
  <c r="AF122" i="6"/>
  <c r="AE122" i="6"/>
  <c r="AB122" i="6"/>
  <c r="AA122" i="6"/>
  <c r="Z122" i="6"/>
  <c r="V122" i="6"/>
  <c r="U122" i="6"/>
  <c r="T122" i="6"/>
  <c r="S122" i="6"/>
  <c r="L122" i="6"/>
  <c r="K122" i="6"/>
  <c r="E122" i="6"/>
  <c r="D122" i="6"/>
  <c r="B122" i="6"/>
  <c r="A122" i="6"/>
  <c r="DL121" i="6"/>
  <c r="DJ121" i="6"/>
  <c r="DI121" i="6"/>
  <c r="DE121" i="6"/>
  <c r="DC121" i="6"/>
  <c r="CY121" i="6"/>
  <c r="CW121" i="6"/>
  <c r="CU121" i="6"/>
  <c r="CS121" i="6"/>
  <c r="CK121" i="6"/>
  <c r="CI121" i="6"/>
  <c r="CG121" i="6"/>
  <c r="CE121" i="6"/>
  <c r="CC121" i="6"/>
  <c r="CA121" i="6"/>
  <c r="BY121" i="6"/>
  <c r="BW121" i="6"/>
  <c r="BU121" i="6"/>
  <c r="BS121" i="6"/>
  <c r="BQ121" i="6"/>
  <c r="BO121" i="6"/>
  <c r="BM121" i="6"/>
  <c r="BK121" i="6"/>
  <c r="BI121" i="6"/>
  <c r="BG121" i="6"/>
  <c r="BE121" i="6"/>
  <c r="BC121" i="6"/>
  <c r="BA121" i="6"/>
  <c r="AY121" i="6"/>
  <c r="AW121" i="6"/>
  <c r="AU121" i="6"/>
  <c r="AS121" i="6"/>
  <c r="AQ121" i="6"/>
  <c r="AO121" i="6"/>
  <c r="AM121" i="6"/>
  <c r="AK121" i="6"/>
  <c r="AI121" i="6"/>
  <c r="AG121" i="6"/>
  <c r="AF121" i="6"/>
  <c r="AE121" i="6"/>
  <c r="AB121" i="6"/>
  <c r="AA121" i="6"/>
  <c r="Z121" i="6"/>
  <c r="V121" i="6"/>
  <c r="U121" i="6"/>
  <c r="T121" i="6"/>
  <c r="S121" i="6"/>
  <c r="L121" i="6"/>
  <c r="K121" i="6"/>
  <c r="E121" i="6"/>
  <c r="D121" i="6"/>
  <c r="B121" i="6"/>
  <c r="A121" i="6"/>
  <c r="DL120" i="6"/>
  <c r="DJ120" i="6"/>
  <c r="DI120" i="6"/>
  <c r="DE120" i="6"/>
  <c r="DC120" i="6"/>
  <c r="CY120" i="6"/>
  <c r="CW120" i="6"/>
  <c r="CU120" i="6"/>
  <c r="CS120" i="6"/>
  <c r="CK120" i="6"/>
  <c r="CI120" i="6"/>
  <c r="CG120" i="6"/>
  <c r="CE120" i="6"/>
  <c r="CC120" i="6"/>
  <c r="CA120" i="6"/>
  <c r="BY120" i="6"/>
  <c r="BW120" i="6"/>
  <c r="BU120" i="6"/>
  <c r="BS120" i="6"/>
  <c r="BQ120" i="6"/>
  <c r="BO120" i="6"/>
  <c r="BM120" i="6"/>
  <c r="BK120" i="6"/>
  <c r="BI120" i="6"/>
  <c r="BG120" i="6"/>
  <c r="BE120" i="6"/>
  <c r="BC120" i="6"/>
  <c r="BA120" i="6"/>
  <c r="AY120" i="6"/>
  <c r="AW120" i="6"/>
  <c r="AU120" i="6"/>
  <c r="AS120" i="6"/>
  <c r="AQ120" i="6"/>
  <c r="AO120" i="6"/>
  <c r="AM120" i="6"/>
  <c r="AK120" i="6"/>
  <c r="AI120" i="6"/>
  <c r="AG120" i="6"/>
  <c r="AF120" i="6"/>
  <c r="AE120" i="6"/>
  <c r="AB120" i="6"/>
  <c r="AA120" i="6"/>
  <c r="Z120" i="6"/>
  <c r="V120" i="6"/>
  <c r="U120" i="6"/>
  <c r="T120" i="6"/>
  <c r="S120" i="6"/>
  <c r="Q120" i="6"/>
  <c r="E120" i="6"/>
  <c r="D120" i="6"/>
  <c r="B120" i="6"/>
  <c r="A120" i="6"/>
  <c r="DL119" i="6"/>
  <c r="DJ119" i="6"/>
  <c r="DI119" i="6"/>
  <c r="DE119" i="6"/>
  <c r="DC119" i="6"/>
  <c r="DB119" i="6"/>
  <c r="DA119" i="6"/>
  <c r="CY119" i="6"/>
  <c r="CX119" i="6"/>
  <c r="CW119" i="6"/>
  <c r="CU119" i="6"/>
  <c r="CS119" i="6"/>
  <c r="CR119" i="6"/>
  <c r="CK119" i="6"/>
  <c r="CI119" i="6"/>
  <c r="CG119" i="6"/>
  <c r="CE119" i="6"/>
  <c r="CC119" i="6"/>
  <c r="CA119" i="6"/>
  <c r="BY119" i="6"/>
  <c r="BW119" i="6"/>
  <c r="BU119" i="6"/>
  <c r="BS119" i="6"/>
  <c r="BQ119" i="6"/>
  <c r="BO119" i="6"/>
  <c r="BM119" i="6"/>
  <c r="BK119" i="6"/>
  <c r="BI119" i="6"/>
  <c r="BG119" i="6"/>
  <c r="BE119" i="6"/>
  <c r="BC119" i="6"/>
  <c r="BA119" i="6"/>
  <c r="AY119" i="6"/>
  <c r="AW119" i="6"/>
  <c r="AU119" i="6"/>
  <c r="AS119" i="6"/>
  <c r="AQ119" i="6"/>
  <c r="AO119" i="6"/>
  <c r="AM119" i="6"/>
  <c r="AK119" i="6"/>
  <c r="AI119" i="6"/>
  <c r="AG119" i="6"/>
  <c r="AF119" i="6"/>
  <c r="AE119" i="6"/>
  <c r="AD119" i="6"/>
  <c r="AB119" i="6"/>
  <c r="AA119" i="6"/>
  <c r="Z119" i="6"/>
  <c r="V119" i="6"/>
  <c r="U119" i="6"/>
  <c r="T119" i="6"/>
  <c r="S119" i="6"/>
  <c r="Q119" i="6"/>
  <c r="E119" i="6"/>
  <c r="D119" i="6"/>
  <c r="B119" i="6"/>
  <c r="A119" i="6"/>
  <c r="DL118" i="6"/>
  <c r="DJ118" i="6"/>
  <c r="DI118" i="6"/>
  <c r="DE118" i="6"/>
  <c r="DC118" i="6"/>
  <c r="CY118" i="6"/>
  <c r="CW118" i="6"/>
  <c r="CU118" i="6"/>
  <c r="CS118" i="6"/>
  <c r="CR118" i="6"/>
  <c r="CK118" i="6"/>
  <c r="CI118" i="6"/>
  <c r="CG118" i="6"/>
  <c r="CE118" i="6"/>
  <c r="CC118" i="6"/>
  <c r="CA118" i="6"/>
  <c r="BY118" i="6"/>
  <c r="BW118" i="6"/>
  <c r="BU118" i="6"/>
  <c r="BS118" i="6"/>
  <c r="BQ118" i="6"/>
  <c r="BO118" i="6"/>
  <c r="BM118" i="6"/>
  <c r="BK118" i="6"/>
  <c r="BI118" i="6"/>
  <c r="BG118" i="6"/>
  <c r="BE118" i="6"/>
  <c r="BC118" i="6"/>
  <c r="BA118" i="6"/>
  <c r="AY118" i="6"/>
  <c r="AW118" i="6"/>
  <c r="AU118" i="6"/>
  <c r="AS118" i="6"/>
  <c r="AQ118" i="6"/>
  <c r="AO118" i="6"/>
  <c r="AM118" i="6"/>
  <c r="AK118" i="6"/>
  <c r="AJ118" i="6"/>
  <c r="AI118" i="6"/>
  <c r="AH118" i="6"/>
  <c r="AG118" i="6"/>
  <c r="AF118" i="6"/>
  <c r="AB118" i="6"/>
  <c r="AA118" i="6"/>
  <c r="Z118" i="6"/>
  <c r="V118" i="6"/>
  <c r="U118" i="6"/>
  <c r="T118" i="6"/>
  <c r="S118" i="6"/>
  <c r="L118" i="6"/>
  <c r="K118" i="6"/>
  <c r="J118" i="6"/>
  <c r="I118" i="6"/>
  <c r="H118" i="6"/>
  <c r="G118" i="6"/>
  <c r="E118" i="6"/>
  <c r="D118" i="6"/>
  <c r="B118" i="6"/>
  <c r="A118" i="6"/>
  <c r="DL117" i="6"/>
  <c r="DK117" i="6"/>
  <c r="DJ117" i="6"/>
  <c r="DI117" i="6"/>
  <c r="DE117" i="6"/>
  <c r="DC117" i="6"/>
  <c r="CY117" i="6"/>
  <c r="CW117" i="6"/>
  <c r="CV117" i="6"/>
  <c r="CU117" i="6"/>
  <c r="CS117" i="6"/>
  <c r="CK117" i="6"/>
  <c r="CI117" i="6"/>
  <c r="CG117" i="6"/>
  <c r="CE117" i="6"/>
  <c r="CC117" i="6"/>
  <c r="CA117" i="6"/>
  <c r="BY117" i="6"/>
  <c r="BW117" i="6"/>
  <c r="BU117" i="6"/>
  <c r="BS117" i="6"/>
  <c r="BQ117" i="6"/>
  <c r="BO117" i="6"/>
  <c r="BM117" i="6"/>
  <c r="BK117" i="6"/>
  <c r="BI117" i="6"/>
  <c r="BG117" i="6"/>
  <c r="BE117" i="6"/>
  <c r="BC117" i="6"/>
  <c r="BA117" i="6"/>
  <c r="AY117" i="6"/>
  <c r="AW117" i="6"/>
  <c r="AU117" i="6"/>
  <c r="AS117" i="6"/>
  <c r="AQ117" i="6"/>
  <c r="AO117" i="6"/>
  <c r="AM117" i="6"/>
  <c r="AK117" i="6"/>
  <c r="AI117" i="6"/>
  <c r="AG117" i="6"/>
  <c r="AF117" i="6"/>
  <c r="AB117" i="6"/>
  <c r="AA117" i="6"/>
  <c r="Z117" i="6"/>
  <c r="V117" i="6"/>
  <c r="U117" i="6"/>
  <c r="T117" i="6"/>
  <c r="S117" i="6"/>
  <c r="E117" i="6"/>
  <c r="D117" i="6"/>
  <c r="B117" i="6"/>
  <c r="A117" i="6"/>
  <c r="DL116" i="6"/>
  <c r="DJ116" i="6"/>
  <c r="DI116" i="6"/>
  <c r="DE116" i="6"/>
  <c r="DC116" i="6"/>
  <c r="CY116" i="6"/>
  <c r="CW116" i="6"/>
  <c r="CU116" i="6"/>
  <c r="CS116" i="6"/>
  <c r="CK116" i="6"/>
  <c r="CI116" i="6"/>
  <c r="CG116" i="6"/>
  <c r="CE116" i="6"/>
  <c r="CC116" i="6"/>
  <c r="CA116" i="6"/>
  <c r="BY116" i="6"/>
  <c r="BW116" i="6"/>
  <c r="BU116" i="6"/>
  <c r="BS116" i="6"/>
  <c r="BQ116" i="6"/>
  <c r="BO116" i="6"/>
  <c r="BM116" i="6"/>
  <c r="BK116" i="6"/>
  <c r="BI116" i="6"/>
  <c r="BG116" i="6"/>
  <c r="BE116" i="6"/>
  <c r="BC116" i="6"/>
  <c r="BA116" i="6"/>
  <c r="AY116" i="6"/>
  <c r="AW116" i="6"/>
  <c r="AU116" i="6"/>
  <c r="AS116" i="6"/>
  <c r="AQ116" i="6"/>
  <c r="AO116" i="6"/>
  <c r="AM116" i="6"/>
  <c r="AK116" i="6"/>
  <c r="AI116" i="6"/>
  <c r="AG116" i="6"/>
  <c r="AF116" i="6"/>
  <c r="AE116" i="6"/>
  <c r="AD116" i="6"/>
  <c r="AB116" i="6"/>
  <c r="AA116" i="6"/>
  <c r="Z116" i="6"/>
  <c r="V116" i="6"/>
  <c r="U116" i="6"/>
  <c r="T116" i="6"/>
  <c r="S116" i="6"/>
  <c r="L116" i="6"/>
  <c r="K116" i="6"/>
  <c r="E116" i="6"/>
  <c r="D116" i="6"/>
  <c r="B116" i="6"/>
  <c r="A116" i="6"/>
  <c r="DL115" i="6"/>
  <c r="DJ115" i="6"/>
  <c r="DI115" i="6"/>
  <c r="DH115" i="6"/>
  <c r="DG115" i="6"/>
  <c r="DF115" i="6"/>
  <c r="DE115" i="6"/>
  <c r="DC115" i="6"/>
  <c r="CY115" i="6"/>
  <c r="CW115" i="6"/>
  <c r="CV115" i="6"/>
  <c r="CU115" i="6"/>
  <c r="CS115" i="6"/>
  <c r="CK115" i="6"/>
  <c r="CJ115" i="6"/>
  <c r="CI115" i="6"/>
  <c r="CH115" i="6"/>
  <c r="CG115" i="6"/>
  <c r="CF115" i="6"/>
  <c r="CE115" i="6"/>
  <c r="CD115" i="6"/>
  <c r="CC115" i="6"/>
  <c r="CA115" i="6"/>
  <c r="BY115" i="6"/>
  <c r="BW115" i="6"/>
  <c r="BU115" i="6"/>
  <c r="BS115" i="6"/>
  <c r="BQ115" i="6"/>
  <c r="BO115" i="6"/>
  <c r="BM115" i="6"/>
  <c r="BK115" i="6"/>
  <c r="BI115" i="6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AP115" i="6"/>
  <c r="AO115" i="6"/>
  <c r="AN115" i="6"/>
  <c r="AM115" i="6"/>
  <c r="AL115" i="6"/>
  <c r="AK115" i="6"/>
  <c r="AJ115" i="6"/>
  <c r="AI115" i="6"/>
  <c r="AH115" i="6"/>
  <c r="AG115" i="6"/>
  <c r="AF115" i="6"/>
  <c r="AE115" i="6"/>
  <c r="AD115" i="6"/>
  <c r="AB115" i="6"/>
  <c r="AA115" i="6"/>
  <c r="Z115" i="6"/>
  <c r="V115" i="6"/>
  <c r="U115" i="6"/>
  <c r="T115" i="6"/>
  <c r="S115" i="6"/>
  <c r="L115" i="6"/>
  <c r="K115" i="6"/>
  <c r="J115" i="6"/>
  <c r="E115" i="6"/>
  <c r="D115" i="6"/>
  <c r="B115" i="6"/>
  <c r="A115" i="6"/>
  <c r="DL114" i="6"/>
  <c r="DJ114" i="6"/>
  <c r="DI114" i="6"/>
  <c r="DH114" i="6"/>
  <c r="DE114" i="6"/>
  <c r="DC114" i="6"/>
  <c r="CY114" i="6"/>
  <c r="CW114" i="6"/>
  <c r="CU114" i="6"/>
  <c r="CS114" i="6"/>
  <c r="CK114" i="6"/>
  <c r="CI114" i="6"/>
  <c r="CG114" i="6"/>
  <c r="CF114" i="6"/>
  <c r="CE114" i="6"/>
  <c r="CD114" i="6"/>
  <c r="CC114" i="6"/>
  <c r="CA114" i="6"/>
  <c r="BY114" i="6"/>
  <c r="BW114" i="6"/>
  <c r="BU114" i="6"/>
  <c r="BS114" i="6"/>
  <c r="BQ114" i="6"/>
  <c r="BO114" i="6"/>
  <c r="BM114" i="6"/>
  <c r="BK114" i="6"/>
  <c r="BI114" i="6"/>
  <c r="BG114" i="6"/>
  <c r="BE114" i="6"/>
  <c r="BC114" i="6"/>
  <c r="BA114" i="6"/>
  <c r="AY114" i="6"/>
  <c r="AW114" i="6"/>
  <c r="AU114" i="6"/>
  <c r="AS114" i="6"/>
  <c r="AQ114" i="6"/>
  <c r="AO114" i="6"/>
  <c r="AM114" i="6"/>
  <c r="AK114" i="6"/>
  <c r="AJ114" i="6"/>
  <c r="AI114" i="6"/>
  <c r="AH114" i="6"/>
  <c r="AG114" i="6"/>
  <c r="AF114" i="6"/>
  <c r="AB114" i="6"/>
  <c r="AA114" i="6"/>
  <c r="Z114" i="6"/>
  <c r="V114" i="6"/>
  <c r="U114" i="6"/>
  <c r="T114" i="6"/>
  <c r="S114" i="6"/>
  <c r="Q114" i="6"/>
  <c r="F114" i="6"/>
  <c r="E114" i="6"/>
  <c r="D114" i="6"/>
  <c r="B114" i="6"/>
  <c r="A114" i="6"/>
  <c r="DL113" i="6"/>
  <c r="DJ113" i="6"/>
  <c r="DI113" i="6"/>
  <c r="DH113" i="6"/>
  <c r="DE113" i="6"/>
  <c r="DC113" i="6"/>
  <c r="CY113" i="6"/>
  <c r="CW113" i="6"/>
  <c r="CU113" i="6"/>
  <c r="CS113" i="6"/>
  <c r="CK113" i="6"/>
  <c r="CI113" i="6"/>
  <c r="CG113" i="6"/>
  <c r="CF113" i="6"/>
  <c r="CE113" i="6"/>
  <c r="CD113" i="6"/>
  <c r="CC113" i="6"/>
  <c r="CA113" i="6"/>
  <c r="BY113" i="6"/>
  <c r="BW113" i="6"/>
  <c r="BU113" i="6"/>
  <c r="BS113" i="6"/>
  <c r="BQ113" i="6"/>
  <c r="BO113" i="6"/>
  <c r="BM113" i="6"/>
  <c r="BK113" i="6"/>
  <c r="BI113" i="6"/>
  <c r="BG113" i="6"/>
  <c r="BE113" i="6"/>
  <c r="BC113" i="6"/>
  <c r="BA113" i="6"/>
  <c r="AY113" i="6"/>
  <c r="AW113" i="6"/>
  <c r="AU113" i="6"/>
  <c r="AS113" i="6"/>
  <c r="AQ113" i="6"/>
  <c r="AO113" i="6"/>
  <c r="AM113" i="6"/>
  <c r="AK113" i="6"/>
  <c r="AI113" i="6"/>
  <c r="AG113" i="6"/>
  <c r="AF113" i="6"/>
  <c r="AB113" i="6"/>
  <c r="AA113" i="6"/>
  <c r="Z113" i="6"/>
  <c r="V113" i="6"/>
  <c r="U113" i="6"/>
  <c r="T113" i="6"/>
  <c r="S113" i="6"/>
  <c r="E113" i="6"/>
  <c r="D113" i="6"/>
  <c r="B113" i="6"/>
  <c r="A113" i="6"/>
  <c r="DL112" i="6"/>
  <c r="DJ112" i="6"/>
  <c r="DI112" i="6"/>
  <c r="DH112" i="6"/>
  <c r="DG112" i="6"/>
  <c r="DF112" i="6"/>
  <c r="DE112" i="6"/>
  <c r="DC112" i="6"/>
  <c r="CY112" i="6"/>
  <c r="CW112" i="6"/>
  <c r="CV112" i="6"/>
  <c r="CU112" i="6"/>
  <c r="CS112" i="6"/>
  <c r="CK112" i="6"/>
  <c r="CJ112" i="6"/>
  <c r="CI112" i="6"/>
  <c r="CH112" i="6"/>
  <c r="CG112" i="6"/>
  <c r="CF112" i="6"/>
  <c r="CE112" i="6"/>
  <c r="CD112" i="6"/>
  <c r="CC112" i="6"/>
  <c r="CA112" i="6"/>
  <c r="BY112" i="6"/>
  <c r="BW112" i="6"/>
  <c r="BU112" i="6"/>
  <c r="BS112" i="6"/>
  <c r="BQ112" i="6"/>
  <c r="BO112" i="6"/>
  <c r="BM112" i="6"/>
  <c r="BK112" i="6"/>
  <c r="BI112" i="6"/>
  <c r="BG112" i="6"/>
  <c r="BE112" i="6"/>
  <c r="BC112" i="6"/>
  <c r="BA112" i="6"/>
  <c r="AZ112" i="6"/>
  <c r="AY112" i="6"/>
  <c r="AX112" i="6"/>
  <c r="AW112" i="6"/>
  <c r="AV112" i="6"/>
  <c r="AU112" i="6"/>
  <c r="AT112" i="6"/>
  <c r="AS112" i="6"/>
  <c r="AR112" i="6"/>
  <c r="AQ112" i="6"/>
  <c r="AP112" i="6"/>
  <c r="AO112" i="6"/>
  <c r="AN112" i="6"/>
  <c r="AM112" i="6"/>
  <c r="AL112" i="6"/>
  <c r="AK112" i="6"/>
  <c r="AJ112" i="6"/>
  <c r="AI112" i="6"/>
  <c r="AH112" i="6"/>
  <c r="AG112" i="6"/>
  <c r="AF112" i="6"/>
  <c r="AE112" i="6"/>
  <c r="AD112" i="6"/>
  <c r="AB112" i="6"/>
  <c r="AA112" i="6"/>
  <c r="Z112" i="6"/>
  <c r="V112" i="6"/>
  <c r="U112" i="6"/>
  <c r="T112" i="6"/>
  <c r="S112" i="6"/>
  <c r="L112" i="6"/>
  <c r="K112" i="6"/>
  <c r="E112" i="6"/>
  <c r="D112" i="6"/>
  <c r="B112" i="6"/>
  <c r="A112" i="6"/>
  <c r="DL111" i="6"/>
  <c r="DJ111" i="6"/>
  <c r="DI111" i="6"/>
  <c r="DH111" i="6"/>
  <c r="DE111" i="6"/>
  <c r="DC111" i="6"/>
  <c r="CY111" i="6"/>
  <c r="CW111" i="6"/>
  <c r="CU111" i="6"/>
  <c r="CS111" i="6"/>
  <c r="CK111" i="6"/>
  <c r="CI111" i="6"/>
  <c r="CG111" i="6"/>
  <c r="CF111" i="6"/>
  <c r="CE111" i="6"/>
  <c r="CD111" i="6"/>
  <c r="CC111" i="6"/>
  <c r="CA111" i="6"/>
  <c r="BY111" i="6"/>
  <c r="BW111" i="6"/>
  <c r="BU111" i="6"/>
  <c r="BS111" i="6"/>
  <c r="BQ111" i="6"/>
  <c r="BO111" i="6"/>
  <c r="BM111" i="6"/>
  <c r="BK111" i="6"/>
  <c r="BI111" i="6"/>
  <c r="BG111" i="6"/>
  <c r="BE111" i="6"/>
  <c r="BC111" i="6"/>
  <c r="BA111" i="6"/>
  <c r="AY111" i="6"/>
  <c r="AW111" i="6"/>
  <c r="AU111" i="6"/>
  <c r="AS111" i="6"/>
  <c r="AQ111" i="6"/>
  <c r="AO111" i="6"/>
  <c r="AM111" i="6"/>
  <c r="AK111" i="6"/>
  <c r="AI111" i="6"/>
  <c r="AG111" i="6"/>
  <c r="AF111" i="6"/>
  <c r="AB111" i="6"/>
  <c r="AA111" i="6"/>
  <c r="Z111" i="6"/>
  <c r="V111" i="6"/>
  <c r="U111" i="6"/>
  <c r="T111" i="6"/>
  <c r="S111" i="6"/>
  <c r="L111" i="6"/>
  <c r="K111" i="6"/>
  <c r="F111" i="6"/>
  <c r="E111" i="6"/>
  <c r="D111" i="6"/>
  <c r="B111" i="6"/>
  <c r="A111" i="6"/>
  <c r="DL110" i="6"/>
  <c r="DJ110" i="6"/>
  <c r="DI110" i="6"/>
  <c r="DE110" i="6"/>
  <c r="DC110" i="6"/>
  <c r="CY110" i="6"/>
  <c r="CW110" i="6"/>
  <c r="CU110" i="6"/>
  <c r="CS110" i="6"/>
  <c r="CK110" i="6"/>
  <c r="CI110" i="6"/>
  <c r="CG110" i="6"/>
  <c r="CE110" i="6"/>
  <c r="CC110" i="6"/>
  <c r="CA110" i="6"/>
  <c r="BY110" i="6"/>
  <c r="BW110" i="6"/>
  <c r="BU110" i="6"/>
  <c r="BS110" i="6"/>
  <c r="BQ110" i="6"/>
  <c r="BO110" i="6"/>
  <c r="BM110" i="6"/>
  <c r="BK110" i="6"/>
  <c r="BI110" i="6"/>
  <c r="BG110" i="6"/>
  <c r="BE110" i="6"/>
  <c r="BC110" i="6"/>
  <c r="BA110" i="6"/>
  <c r="AY110" i="6"/>
  <c r="AW110" i="6"/>
  <c r="AU110" i="6"/>
  <c r="AS110" i="6"/>
  <c r="AQ110" i="6"/>
  <c r="AO110" i="6"/>
  <c r="AM110" i="6"/>
  <c r="AK110" i="6"/>
  <c r="AI110" i="6"/>
  <c r="AG110" i="6"/>
  <c r="AF110" i="6"/>
  <c r="AE110" i="6"/>
  <c r="AD110" i="6"/>
  <c r="AB110" i="6"/>
  <c r="AA110" i="6"/>
  <c r="Z110" i="6"/>
  <c r="V110" i="6"/>
  <c r="U110" i="6"/>
  <c r="T110" i="6"/>
  <c r="S110" i="6"/>
  <c r="L110" i="6"/>
  <c r="K110" i="6"/>
  <c r="E110" i="6"/>
  <c r="D110" i="6"/>
  <c r="B110" i="6"/>
  <c r="A110" i="6"/>
  <c r="DL109" i="6"/>
  <c r="DJ109" i="6"/>
  <c r="DI109" i="6"/>
  <c r="DE109" i="6"/>
  <c r="DC109" i="6"/>
  <c r="CY109" i="6"/>
  <c r="CW109" i="6"/>
  <c r="CU109" i="6"/>
  <c r="CS109" i="6"/>
  <c r="CK109" i="6"/>
  <c r="CI109" i="6"/>
  <c r="CG109" i="6"/>
  <c r="CE109" i="6"/>
  <c r="CC109" i="6"/>
  <c r="CA109" i="6"/>
  <c r="BY109" i="6"/>
  <c r="BW109" i="6"/>
  <c r="BU109" i="6"/>
  <c r="BS109" i="6"/>
  <c r="BQ109" i="6"/>
  <c r="BO109" i="6"/>
  <c r="BM109" i="6"/>
  <c r="BK109" i="6"/>
  <c r="BI109" i="6"/>
  <c r="BG109" i="6"/>
  <c r="BE109" i="6"/>
  <c r="BC109" i="6"/>
  <c r="BA109" i="6"/>
  <c r="AY109" i="6"/>
  <c r="AW109" i="6"/>
  <c r="AU109" i="6"/>
  <c r="AS109" i="6"/>
  <c r="AQ109" i="6"/>
  <c r="AO109" i="6"/>
  <c r="AM109" i="6"/>
  <c r="AK109" i="6"/>
  <c r="AI109" i="6"/>
  <c r="AG109" i="6"/>
  <c r="AF109" i="6"/>
  <c r="AE109" i="6"/>
  <c r="AD109" i="6"/>
  <c r="AB109" i="6"/>
  <c r="AA109" i="6"/>
  <c r="Z109" i="6"/>
  <c r="V109" i="6"/>
  <c r="U109" i="6"/>
  <c r="T109" i="6"/>
  <c r="S109" i="6"/>
  <c r="L109" i="6"/>
  <c r="K109" i="6"/>
  <c r="E109" i="6"/>
  <c r="D109" i="6"/>
  <c r="B109" i="6"/>
  <c r="A109" i="6"/>
  <c r="DL108" i="6"/>
  <c r="DJ108" i="6"/>
  <c r="DI108" i="6"/>
  <c r="DE108" i="6"/>
  <c r="DC108" i="6"/>
  <c r="CY108" i="6"/>
  <c r="CW108" i="6"/>
  <c r="CU108" i="6"/>
  <c r="CS108" i="6"/>
  <c r="CR108" i="6"/>
  <c r="CK108" i="6"/>
  <c r="CI108" i="6"/>
  <c r="CG108" i="6"/>
  <c r="CE108" i="6"/>
  <c r="CC108" i="6"/>
  <c r="CA108" i="6"/>
  <c r="BY108" i="6"/>
  <c r="BW108" i="6"/>
  <c r="BU108" i="6"/>
  <c r="BS108" i="6"/>
  <c r="BQ108" i="6"/>
  <c r="BO108" i="6"/>
  <c r="BM108" i="6"/>
  <c r="BK108" i="6"/>
  <c r="BI108" i="6"/>
  <c r="BG108" i="6"/>
  <c r="BE108" i="6"/>
  <c r="BC108" i="6"/>
  <c r="BA108" i="6"/>
  <c r="AY108" i="6"/>
  <c r="AW108" i="6"/>
  <c r="AU108" i="6"/>
  <c r="AS108" i="6"/>
  <c r="AQ108" i="6"/>
  <c r="AO108" i="6"/>
  <c r="AM108" i="6"/>
  <c r="AK108" i="6"/>
  <c r="AI108" i="6"/>
  <c r="AG108" i="6"/>
  <c r="AF108" i="6"/>
  <c r="AB108" i="6"/>
  <c r="AA108" i="6"/>
  <c r="Z108" i="6"/>
  <c r="V108" i="6"/>
  <c r="U108" i="6"/>
  <c r="T108" i="6"/>
  <c r="S108" i="6"/>
  <c r="L108" i="6"/>
  <c r="K108" i="6"/>
  <c r="E108" i="6"/>
  <c r="D108" i="6"/>
  <c r="B108" i="6"/>
  <c r="A108" i="6"/>
  <c r="DL107" i="6"/>
  <c r="DJ107" i="6"/>
  <c r="DI107" i="6"/>
  <c r="DE107" i="6"/>
  <c r="DC107" i="6"/>
  <c r="CY107" i="6"/>
  <c r="CW107" i="6"/>
  <c r="CU107" i="6"/>
  <c r="CS107" i="6"/>
  <c r="CK107" i="6"/>
  <c r="CI107" i="6"/>
  <c r="CG107" i="6"/>
  <c r="CE107" i="6"/>
  <c r="CC107" i="6"/>
  <c r="CA107" i="6"/>
  <c r="BY107" i="6"/>
  <c r="BW107" i="6"/>
  <c r="BU107" i="6"/>
  <c r="BS107" i="6"/>
  <c r="BQ107" i="6"/>
  <c r="BO107" i="6"/>
  <c r="BM107" i="6"/>
  <c r="BK107" i="6"/>
  <c r="BI107" i="6"/>
  <c r="BG107" i="6"/>
  <c r="BE107" i="6"/>
  <c r="BC107" i="6"/>
  <c r="BA107" i="6"/>
  <c r="AY107" i="6"/>
  <c r="AW107" i="6"/>
  <c r="AU107" i="6"/>
  <c r="AS107" i="6"/>
  <c r="AQ107" i="6"/>
  <c r="AO107" i="6"/>
  <c r="AM107" i="6"/>
  <c r="AK107" i="6"/>
  <c r="AI107" i="6"/>
  <c r="AG107" i="6"/>
  <c r="AF107" i="6"/>
  <c r="AB107" i="6"/>
  <c r="AA107" i="6"/>
  <c r="Z107" i="6"/>
  <c r="V107" i="6"/>
  <c r="U107" i="6"/>
  <c r="T107" i="6"/>
  <c r="S107" i="6"/>
  <c r="L107" i="6"/>
  <c r="K107" i="6"/>
  <c r="J107" i="6"/>
  <c r="E107" i="6"/>
  <c r="D107" i="6"/>
  <c r="B107" i="6"/>
  <c r="A107" i="6"/>
  <c r="DL106" i="6"/>
  <c r="DJ106" i="6"/>
  <c r="DI106" i="6"/>
  <c r="DE106" i="6"/>
  <c r="DC106" i="6"/>
  <c r="CY106" i="6"/>
  <c r="CW106" i="6"/>
  <c r="CV106" i="6"/>
  <c r="CU106" i="6"/>
  <c r="CS106" i="6"/>
  <c r="CK106" i="6"/>
  <c r="CI106" i="6"/>
  <c r="CG106" i="6"/>
  <c r="CE106" i="6"/>
  <c r="CC106" i="6"/>
  <c r="CA106" i="6"/>
  <c r="BY106" i="6"/>
  <c r="BW106" i="6"/>
  <c r="BU106" i="6"/>
  <c r="BS106" i="6"/>
  <c r="BQ106" i="6"/>
  <c r="BO106" i="6"/>
  <c r="BM106" i="6"/>
  <c r="BK106" i="6"/>
  <c r="BI106" i="6"/>
  <c r="BG106" i="6"/>
  <c r="BE106" i="6"/>
  <c r="BC106" i="6"/>
  <c r="BA106" i="6"/>
  <c r="AY106" i="6"/>
  <c r="AW106" i="6"/>
  <c r="AU106" i="6"/>
  <c r="AS106" i="6"/>
  <c r="AQ106" i="6"/>
  <c r="AO106" i="6"/>
  <c r="AM106" i="6"/>
  <c r="AK106" i="6"/>
  <c r="AI106" i="6"/>
  <c r="AG106" i="6"/>
  <c r="AF106" i="6"/>
  <c r="AB106" i="6"/>
  <c r="AA106" i="6"/>
  <c r="Z106" i="6"/>
  <c r="V106" i="6"/>
  <c r="U106" i="6"/>
  <c r="T106" i="6"/>
  <c r="S106" i="6"/>
  <c r="L106" i="6"/>
  <c r="K106" i="6"/>
  <c r="J106" i="6"/>
  <c r="E106" i="6"/>
  <c r="D106" i="6"/>
  <c r="B106" i="6"/>
  <c r="A106" i="6"/>
  <c r="DL105" i="6"/>
  <c r="DJ105" i="6"/>
  <c r="DI105" i="6"/>
  <c r="DH105" i="6"/>
  <c r="DE105" i="6"/>
  <c r="DC105" i="6"/>
  <c r="DB105" i="6"/>
  <c r="DA105" i="6"/>
  <c r="CY105" i="6"/>
  <c r="CX105" i="6"/>
  <c r="CW105" i="6"/>
  <c r="CV105" i="6"/>
  <c r="CU105" i="6"/>
  <c r="CT105" i="6"/>
  <c r="CS105" i="6"/>
  <c r="CK105" i="6"/>
  <c r="CI105" i="6"/>
  <c r="CG105" i="6"/>
  <c r="CF105" i="6"/>
  <c r="CE105" i="6"/>
  <c r="CD105" i="6"/>
  <c r="CC105" i="6"/>
  <c r="CA105" i="6"/>
  <c r="BY105" i="6"/>
  <c r="BW105" i="6"/>
  <c r="BU105" i="6"/>
  <c r="BS105" i="6"/>
  <c r="BQ105" i="6"/>
  <c r="BO105" i="6"/>
  <c r="BM105" i="6"/>
  <c r="BK105" i="6"/>
  <c r="BI105" i="6"/>
  <c r="BG105" i="6"/>
  <c r="BE105" i="6"/>
  <c r="BC105" i="6"/>
  <c r="BA105" i="6"/>
  <c r="AY105" i="6"/>
  <c r="AW105" i="6"/>
  <c r="AU105" i="6"/>
  <c r="AS105" i="6"/>
  <c r="AQ105" i="6"/>
  <c r="AO105" i="6"/>
  <c r="AM105" i="6"/>
  <c r="AK105" i="6"/>
  <c r="AI105" i="6"/>
  <c r="AG105" i="6"/>
  <c r="AF105" i="6"/>
  <c r="AE105" i="6"/>
  <c r="AD105" i="6"/>
  <c r="AB105" i="6"/>
  <c r="AA105" i="6"/>
  <c r="Z105" i="6"/>
  <c r="V105" i="6"/>
  <c r="U105" i="6"/>
  <c r="T105" i="6"/>
  <c r="S105" i="6"/>
  <c r="L105" i="6"/>
  <c r="K105" i="6"/>
  <c r="J105" i="6"/>
  <c r="E105" i="6"/>
  <c r="D105" i="6"/>
  <c r="B105" i="6"/>
  <c r="A105" i="6"/>
  <c r="DL104" i="6"/>
  <c r="DJ104" i="6"/>
  <c r="DI104" i="6"/>
  <c r="DH104" i="6"/>
  <c r="DE104" i="6"/>
  <c r="DC104" i="6"/>
  <c r="CY104" i="6"/>
  <c r="CW104" i="6"/>
  <c r="CV104" i="6"/>
  <c r="CU104" i="6"/>
  <c r="CS104" i="6"/>
  <c r="CK104" i="6"/>
  <c r="CI104" i="6"/>
  <c r="CG104" i="6"/>
  <c r="CF104" i="6"/>
  <c r="CE104" i="6"/>
  <c r="CD104" i="6"/>
  <c r="CC104" i="6"/>
  <c r="CA104" i="6"/>
  <c r="BY104" i="6"/>
  <c r="BW104" i="6"/>
  <c r="BU104" i="6"/>
  <c r="BS104" i="6"/>
  <c r="BQ104" i="6"/>
  <c r="BO104" i="6"/>
  <c r="BM104" i="6"/>
  <c r="BK104" i="6"/>
  <c r="BI104" i="6"/>
  <c r="BG104" i="6"/>
  <c r="BE104" i="6"/>
  <c r="BC104" i="6"/>
  <c r="BA104" i="6"/>
  <c r="AY104" i="6"/>
  <c r="AW104" i="6"/>
  <c r="AU104" i="6"/>
  <c r="AS104" i="6"/>
  <c r="AR104" i="6"/>
  <c r="AQ104" i="6"/>
  <c r="AP104" i="6"/>
  <c r="AO104" i="6"/>
  <c r="AN104" i="6"/>
  <c r="AM104" i="6"/>
  <c r="AL104" i="6"/>
  <c r="AK104" i="6"/>
  <c r="AJ104" i="6"/>
  <c r="AI104" i="6"/>
  <c r="AH104" i="6"/>
  <c r="AG104" i="6"/>
  <c r="AF104" i="6"/>
  <c r="AE104" i="6"/>
  <c r="AD104" i="6"/>
  <c r="AB104" i="6"/>
  <c r="AA104" i="6"/>
  <c r="Z104" i="6"/>
  <c r="V104" i="6"/>
  <c r="U104" i="6"/>
  <c r="T104" i="6"/>
  <c r="S104" i="6"/>
  <c r="L104" i="6"/>
  <c r="K104" i="6"/>
  <c r="J104" i="6"/>
  <c r="F104" i="6"/>
  <c r="E104" i="6"/>
  <c r="D104" i="6"/>
  <c r="B104" i="6"/>
  <c r="A104" i="6"/>
  <c r="DL103" i="6"/>
  <c r="DJ103" i="6"/>
  <c r="DI103" i="6"/>
  <c r="DH103" i="6"/>
  <c r="DE103" i="6"/>
  <c r="DC103" i="6"/>
  <c r="CY103" i="6"/>
  <c r="CW103" i="6"/>
  <c r="CU103" i="6"/>
  <c r="CS103" i="6"/>
  <c r="CR103" i="6"/>
  <c r="CK103" i="6"/>
  <c r="CI103" i="6"/>
  <c r="CG103" i="6"/>
  <c r="CF103" i="6"/>
  <c r="CE103" i="6"/>
  <c r="CD103" i="6"/>
  <c r="CC103" i="6"/>
  <c r="CA103" i="6"/>
  <c r="BY103" i="6"/>
  <c r="BW103" i="6"/>
  <c r="BU103" i="6"/>
  <c r="BS103" i="6"/>
  <c r="BQ103" i="6"/>
  <c r="BO103" i="6"/>
  <c r="BM103" i="6"/>
  <c r="BK103" i="6"/>
  <c r="BI103" i="6"/>
  <c r="BG103" i="6"/>
  <c r="BE103" i="6"/>
  <c r="BC103" i="6"/>
  <c r="BA103" i="6"/>
  <c r="AY103" i="6"/>
  <c r="AW103" i="6"/>
  <c r="AU103" i="6"/>
  <c r="AS103" i="6"/>
  <c r="AQ103" i="6"/>
  <c r="AO103" i="6"/>
  <c r="AM103" i="6"/>
  <c r="AK103" i="6"/>
  <c r="AI103" i="6"/>
  <c r="AG103" i="6"/>
  <c r="AF103" i="6"/>
  <c r="AE103" i="6"/>
  <c r="AB103" i="6"/>
  <c r="AA103" i="6"/>
  <c r="Z103" i="6"/>
  <c r="V103" i="6"/>
  <c r="U103" i="6"/>
  <c r="T103" i="6"/>
  <c r="S103" i="6"/>
  <c r="L103" i="6"/>
  <c r="K103" i="6"/>
  <c r="E103" i="6"/>
  <c r="D103" i="6"/>
  <c r="B103" i="6"/>
  <c r="A103" i="6"/>
  <c r="DL102" i="6"/>
  <c r="DJ102" i="6"/>
  <c r="DI102" i="6"/>
  <c r="DH102" i="6"/>
  <c r="DE102" i="6"/>
  <c r="DC102" i="6"/>
  <c r="CY102" i="6"/>
  <c r="CW102" i="6"/>
  <c r="CV102" i="6"/>
  <c r="CU102" i="6"/>
  <c r="CT102" i="6"/>
  <c r="CS102" i="6"/>
  <c r="CK102" i="6"/>
  <c r="CI102" i="6"/>
  <c r="CG102" i="6"/>
  <c r="CF102" i="6"/>
  <c r="CE102" i="6"/>
  <c r="CD102" i="6"/>
  <c r="CC102" i="6"/>
  <c r="CA102" i="6"/>
  <c r="BY102" i="6"/>
  <c r="BW102" i="6"/>
  <c r="BU102" i="6"/>
  <c r="BS102" i="6"/>
  <c r="BQ102" i="6"/>
  <c r="BO102" i="6"/>
  <c r="BM102" i="6"/>
  <c r="BK102" i="6"/>
  <c r="BI102" i="6"/>
  <c r="BG102" i="6"/>
  <c r="BE102" i="6"/>
  <c r="BC102" i="6"/>
  <c r="BA102" i="6"/>
  <c r="AY102" i="6"/>
  <c r="AW102" i="6"/>
  <c r="AU102" i="6"/>
  <c r="AS102" i="6"/>
  <c r="AQ102" i="6"/>
  <c r="AO102" i="6"/>
  <c r="AM102" i="6"/>
  <c r="AK102" i="6"/>
  <c r="AI102" i="6"/>
  <c r="AG102" i="6"/>
  <c r="AF102" i="6"/>
  <c r="AE102" i="6"/>
  <c r="AB102" i="6"/>
  <c r="AA102" i="6"/>
  <c r="Z102" i="6"/>
  <c r="V102" i="6"/>
  <c r="U102" i="6"/>
  <c r="T102" i="6"/>
  <c r="S102" i="6"/>
  <c r="L102" i="6"/>
  <c r="K102" i="6"/>
  <c r="J102" i="6"/>
  <c r="E102" i="6"/>
  <c r="D102" i="6"/>
  <c r="B102" i="6"/>
  <c r="A102" i="6"/>
  <c r="DL101" i="6"/>
  <c r="DJ101" i="6"/>
  <c r="DI101" i="6"/>
  <c r="DE101" i="6"/>
  <c r="DC101" i="6"/>
  <c r="CY101" i="6"/>
  <c r="CW101" i="6"/>
  <c r="CU101" i="6"/>
  <c r="CS101" i="6"/>
  <c r="CK101" i="6"/>
  <c r="CI101" i="6"/>
  <c r="CG101" i="6"/>
  <c r="CE101" i="6"/>
  <c r="CC101" i="6"/>
  <c r="CA101" i="6"/>
  <c r="BY101" i="6"/>
  <c r="BW101" i="6"/>
  <c r="BU101" i="6"/>
  <c r="BS101" i="6"/>
  <c r="BQ101" i="6"/>
  <c r="BO101" i="6"/>
  <c r="BM101" i="6"/>
  <c r="BK101" i="6"/>
  <c r="BI101" i="6"/>
  <c r="BG101" i="6"/>
  <c r="BE101" i="6"/>
  <c r="BC101" i="6"/>
  <c r="BA101" i="6"/>
  <c r="AY101" i="6"/>
  <c r="AW101" i="6"/>
  <c r="AU101" i="6"/>
  <c r="AS101" i="6"/>
  <c r="AQ101" i="6"/>
  <c r="AO101" i="6"/>
  <c r="AM101" i="6"/>
  <c r="AK101" i="6"/>
  <c r="AI101" i="6"/>
  <c r="AG101" i="6"/>
  <c r="AF101" i="6"/>
  <c r="AE101" i="6"/>
  <c r="AB101" i="6"/>
  <c r="AA101" i="6"/>
  <c r="Z101" i="6"/>
  <c r="V101" i="6"/>
  <c r="U101" i="6"/>
  <c r="T101" i="6"/>
  <c r="S101" i="6"/>
  <c r="L101" i="6"/>
  <c r="K101" i="6"/>
  <c r="E101" i="6"/>
  <c r="D101" i="6"/>
  <c r="B101" i="6"/>
  <c r="A101" i="6"/>
  <c r="DL100" i="6"/>
  <c r="DJ100" i="6"/>
  <c r="DI100" i="6"/>
  <c r="DE100" i="6"/>
  <c r="DC100" i="6"/>
  <c r="CY100" i="6"/>
  <c r="CW100" i="6"/>
  <c r="CV100" i="6"/>
  <c r="CU100" i="6"/>
  <c r="CS100" i="6"/>
  <c r="CK100" i="6"/>
  <c r="CI100" i="6"/>
  <c r="CG100" i="6"/>
  <c r="CE100" i="6"/>
  <c r="CC100" i="6"/>
  <c r="CA100" i="6"/>
  <c r="BY100" i="6"/>
  <c r="BW100" i="6"/>
  <c r="BU100" i="6"/>
  <c r="BS100" i="6"/>
  <c r="BQ100" i="6"/>
  <c r="BO100" i="6"/>
  <c r="BM100" i="6"/>
  <c r="BK100" i="6"/>
  <c r="BI100" i="6"/>
  <c r="BG100" i="6"/>
  <c r="BE100" i="6"/>
  <c r="BC100" i="6"/>
  <c r="BA100" i="6"/>
  <c r="AY100" i="6"/>
  <c r="AW100" i="6"/>
  <c r="AU100" i="6"/>
  <c r="AS100" i="6"/>
  <c r="AQ100" i="6"/>
  <c r="AO100" i="6"/>
  <c r="AM100" i="6"/>
  <c r="AK100" i="6"/>
  <c r="AJ100" i="6"/>
  <c r="AI100" i="6"/>
  <c r="AH100" i="6"/>
  <c r="AG100" i="6"/>
  <c r="AF100" i="6"/>
  <c r="AE100" i="6"/>
  <c r="AB100" i="6"/>
  <c r="AA100" i="6"/>
  <c r="Z100" i="6"/>
  <c r="V100" i="6"/>
  <c r="U100" i="6"/>
  <c r="T100" i="6"/>
  <c r="S100" i="6"/>
  <c r="L100" i="6"/>
  <c r="K100" i="6"/>
  <c r="E100" i="6"/>
  <c r="D100" i="6"/>
  <c r="B100" i="6"/>
  <c r="A100" i="6"/>
  <c r="DL99" i="6"/>
  <c r="DJ99" i="6"/>
  <c r="DI99" i="6"/>
  <c r="DH99" i="6"/>
  <c r="DE99" i="6"/>
  <c r="DC99" i="6"/>
  <c r="CY99" i="6"/>
  <c r="CW99" i="6"/>
  <c r="CV99" i="6"/>
  <c r="CU99" i="6"/>
  <c r="CS99" i="6"/>
  <c r="CK99" i="6"/>
  <c r="CJ99" i="6"/>
  <c r="CI99" i="6"/>
  <c r="CG99" i="6"/>
  <c r="CF99" i="6"/>
  <c r="CE99" i="6"/>
  <c r="CD99" i="6"/>
  <c r="CC99" i="6"/>
  <c r="CA99" i="6"/>
  <c r="BY99" i="6"/>
  <c r="BW99" i="6"/>
  <c r="BU99" i="6"/>
  <c r="BS99" i="6"/>
  <c r="BQ99" i="6"/>
  <c r="BO99" i="6"/>
  <c r="BM99" i="6"/>
  <c r="BK99" i="6"/>
  <c r="BI99" i="6"/>
  <c r="BG99" i="6"/>
  <c r="BE99" i="6"/>
  <c r="BC99" i="6"/>
  <c r="BA99" i="6"/>
  <c r="AY99" i="6"/>
  <c r="AW99" i="6"/>
  <c r="AU99" i="6"/>
  <c r="AS99" i="6"/>
  <c r="AQ99" i="6"/>
  <c r="AO99" i="6"/>
  <c r="AM99" i="6"/>
  <c r="AK99" i="6"/>
  <c r="AI99" i="6"/>
  <c r="AG99" i="6"/>
  <c r="AF99" i="6"/>
  <c r="AE99" i="6"/>
  <c r="AD99" i="6"/>
  <c r="AB99" i="6"/>
  <c r="AA99" i="6"/>
  <c r="Z99" i="6"/>
  <c r="V99" i="6"/>
  <c r="U99" i="6"/>
  <c r="T99" i="6"/>
  <c r="S99" i="6"/>
  <c r="Q99" i="6"/>
  <c r="E99" i="6"/>
  <c r="D99" i="6"/>
  <c r="B99" i="6"/>
  <c r="A99" i="6"/>
  <c r="DL98" i="6"/>
  <c r="DJ98" i="6"/>
  <c r="DI98" i="6"/>
  <c r="DE98" i="6"/>
  <c r="DC98" i="6"/>
  <c r="CY98" i="6"/>
  <c r="CW98" i="6"/>
  <c r="CU98" i="6"/>
  <c r="CS98" i="6"/>
  <c r="CK98" i="6"/>
  <c r="CI98" i="6"/>
  <c r="CG98" i="6"/>
  <c r="CE98" i="6"/>
  <c r="CC98" i="6"/>
  <c r="CA98" i="6"/>
  <c r="BY98" i="6"/>
  <c r="BW98" i="6"/>
  <c r="BU98" i="6"/>
  <c r="BS98" i="6"/>
  <c r="BQ98" i="6"/>
  <c r="BO98" i="6"/>
  <c r="BM98" i="6"/>
  <c r="BK98" i="6"/>
  <c r="BI98" i="6"/>
  <c r="BG98" i="6"/>
  <c r="BE98" i="6"/>
  <c r="BC98" i="6"/>
  <c r="BA98" i="6"/>
  <c r="AY98" i="6"/>
  <c r="AW98" i="6"/>
  <c r="AU98" i="6"/>
  <c r="AS98" i="6"/>
  <c r="AQ98" i="6"/>
  <c r="AO98" i="6"/>
  <c r="AM98" i="6"/>
  <c r="AK98" i="6"/>
  <c r="AJ98" i="6"/>
  <c r="AI98" i="6"/>
  <c r="AH98" i="6"/>
  <c r="AG98" i="6"/>
  <c r="AF98" i="6"/>
  <c r="AE98" i="6"/>
  <c r="AB98" i="6"/>
  <c r="AA98" i="6"/>
  <c r="Z98" i="6"/>
  <c r="V98" i="6"/>
  <c r="U98" i="6"/>
  <c r="T98" i="6"/>
  <c r="S98" i="6"/>
  <c r="Q98" i="6"/>
  <c r="E98" i="6"/>
  <c r="D98" i="6"/>
  <c r="B98" i="6"/>
  <c r="A98" i="6"/>
  <c r="DL97" i="6"/>
  <c r="DK97" i="6"/>
  <c r="DJ97" i="6"/>
  <c r="DI97" i="6"/>
  <c r="DE97" i="6"/>
  <c r="DC97" i="6"/>
  <c r="CY97" i="6"/>
  <c r="CW97" i="6"/>
  <c r="CU97" i="6"/>
  <c r="CS97" i="6"/>
  <c r="CK97" i="6"/>
  <c r="CI97" i="6"/>
  <c r="CG97" i="6"/>
  <c r="CE97" i="6"/>
  <c r="CC97" i="6"/>
  <c r="CA97" i="6"/>
  <c r="BY97" i="6"/>
  <c r="BW97" i="6"/>
  <c r="BU97" i="6"/>
  <c r="BS97" i="6"/>
  <c r="BQ97" i="6"/>
  <c r="BO97" i="6"/>
  <c r="BM97" i="6"/>
  <c r="BK97" i="6"/>
  <c r="BI97" i="6"/>
  <c r="BG97" i="6"/>
  <c r="BE97" i="6"/>
  <c r="BC97" i="6"/>
  <c r="BA97" i="6"/>
  <c r="AY97" i="6"/>
  <c r="AW97" i="6"/>
  <c r="AU97" i="6"/>
  <c r="AS97" i="6"/>
  <c r="AQ97" i="6"/>
  <c r="AO97" i="6"/>
  <c r="AM97" i="6"/>
  <c r="AK97" i="6"/>
  <c r="AI97" i="6"/>
  <c r="AG97" i="6"/>
  <c r="AF97" i="6"/>
  <c r="AE97" i="6"/>
  <c r="AB97" i="6"/>
  <c r="AA97" i="6"/>
  <c r="Z97" i="6"/>
  <c r="V97" i="6"/>
  <c r="U97" i="6"/>
  <c r="T97" i="6"/>
  <c r="S97" i="6"/>
  <c r="L97" i="6"/>
  <c r="K97" i="6"/>
  <c r="E97" i="6"/>
  <c r="D97" i="6"/>
  <c r="B97" i="6"/>
  <c r="A97" i="6"/>
  <c r="DL96" i="6"/>
  <c r="DJ96" i="6"/>
  <c r="DI96" i="6"/>
  <c r="DE96" i="6"/>
  <c r="DC96" i="6"/>
  <c r="CY96" i="6"/>
  <c r="CW96" i="6"/>
  <c r="CU96" i="6"/>
  <c r="CS96" i="6"/>
  <c r="CK96" i="6"/>
  <c r="CI96" i="6"/>
  <c r="CG96" i="6"/>
  <c r="CE96" i="6"/>
  <c r="CC96" i="6"/>
  <c r="CA96" i="6"/>
  <c r="BY96" i="6"/>
  <c r="BW96" i="6"/>
  <c r="BU96" i="6"/>
  <c r="BS96" i="6"/>
  <c r="BQ96" i="6"/>
  <c r="BO96" i="6"/>
  <c r="BM96" i="6"/>
  <c r="BK96" i="6"/>
  <c r="BI96" i="6"/>
  <c r="BG96" i="6"/>
  <c r="BE96" i="6"/>
  <c r="BC96" i="6"/>
  <c r="BA96" i="6"/>
  <c r="AY96" i="6"/>
  <c r="AW96" i="6"/>
  <c r="AU96" i="6"/>
  <c r="AS96" i="6"/>
  <c r="AQ96" i="6"/>
  <c r="AO96" i="6"/>
  <c r="AM96" i="6"/>
  <c r="AK96" i="6"/>
  <c r="AI96" i="6"/>
  <c r="AG96" i="6"/>
  <c r="AF96" i="6"/>
  <c r="AE96" i="6"/>
  <c r="AB96" i="6"/>
  <c r="AA96" i="6"/>
  <c r="Z96" i="6"/>
  <c r="V96" i="6"/>
  <c r="U96" i="6"/>
  <c r="T96" i="6"/>
  <c r="S96" i="6"/>
  <c r="L96" i="6"/>
  <c r="K96" i="6"/>
  <c r="E96" i="6"/>
  <c r="D96" i="6"/>
  <c r="B96" i="6"/>
  <c r="A96" i="6"/>
  <c r="DL95" i="6"/>
  <c r="DJ95" i="6"/>
  <c r="DI95" i="6"/>
  <c r="DH95" i="6"/>
  <c r="DE95" i="6"/>
  <c r="DC95" i="6"/>
  <c r="CY95" i="6"/>
  <c r="CW95" i="6"/>
  <c r="CV95" i="6"/>
  <c r="CU95" i="6"/>
  <c r="CS95" i="6"/>
  <c r="CK95" i="6"/>
  <c r="CI95" i="6"/>
  <c r="CG95" i="6"/>
  <c r="CF95" i="6"/>
  <c r="CE95" i="6"/>
  <c r="CD95" i="6"/>
  <c r="CC95" i="6"/>
  <c r="CA95" i="6"/>
  <c r="BY95" i="6"/>
  <c r="BW95" i="6"/>
  <c r="BU95" i="6"/>
  <c r="BS95" i="6"/>
  <c r="BQ95" i="6"/>
  <c r="BO95" i="6"/>
  <c r="BM95" i="6"/>
  <c r="BK95" i="6"/>
  <c r="BI95" i="6"/>
  <c r="BG95" i="6"/>
  <c r="BE95" i="6"/>
  <c r="BC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B95" i="6"/>
  <c r="AA95" i="6"/>
  <c r="Z95" i="6"/>
  <c r="V95" i="6"/>
  <c r="U95" i="6"/>
  <c r="T95" i="6"/>
  <c r="S95" i="6"/>
  <c r="L95" i="6"/>
  <c r="K95" i="6"/>
  <c r="E95" i="6"/>
  <c r="D95" i="6"/>
  <c r="B95" i="6"/>
  <c r="A95" i="6"/>
  <c r="DL94" i="6"/>
  <c r="DJ94" i="6"/>
  <c r="DI94" i="6"/>
  <c r="DH94" i="6"/>
  <c r="DE94" i="6"/>
  <c r="DD94" i="6"/>
  <c r="DC94" i="6"/>
  <c r="DB94" i="6"/>
  <c r="DA94" i="6"/>
  <c r="CY94" i="6"/>
  <c r="CX94" i="6"/>
  <c r="CW94" i="6"/>
  <c r="CU94" i="6"/>
  <c r="CS94" i="6"/>
  <c r="CK94" i="6"/>
  <c r="CI94" i="6"/>
  <c r="CG94" i="6"/>
  <c r="CF94" i="6"/>
  <c r="CE94" i="6"/>
  <c r="CD94" i="6"/>
  <c r="CC94" i="6"/>
  <c r="CA94" i="6"/>
  <c r="BY94" i="6"/>
  <c r="BW94" i="6"/>
  <c r="BU94" i="6"/>
  <c r="BS94" i="6"/>
  <c r="BQ94" i="6"/>
  <c r="BO94" i="6"/>
  <c r="BM94" i="6"/>
  <c r="BK94" i="6"/>
  <c r="BI94" i="6"/>
  <c r="BG94" i="6"/>
  <c r="BE94" i="6"/>
  <c r="BC94" i="6"/>
  <c r="BA94" i="6"/>
  <c r="AY94" i="6"/>
  <c r="AW94" i="6"/>
  <c r="AU94" i="6"/>
  <c r="AS94" i="6"/>
  <c r="AQ94" i="6"/>
  <c r="AO94" i="6"/>
  <c r="AM94" i="6"/>
  <c r="AK94" i="6"/>
  <c r="AI94" i="6"/>
  <c r="AG94" i="6"/>
  <c r="AF94" i="6"/>
  <c r="AE94" i="6"/>
  <c r="AB94" i="6"/>
  <c r="AA94" i="6"/>
  <c r="Z94" i="6"/>
  <c r="V94" i="6"/>
  <c r="U94" i="6"/>
  <c r="T94" i="6"/>
  <c r="S94" i="6"/>
  <c r="Q94" i="6"/>
  <c r="E94" i="6"/>
  <c r="D94" i="6"/>
  <c r="B94" i="6"/>
  <c r="A94" i="6"/>
  <c r="DL93" i="6"/>
  <c r="DJ93" i="6"/>
  <c r="DI93" i="6"/>
  <c r="DE93" i="6"/>
  <c r="DC93" i="6"/>
  <c r="CY93" i="6"/>
  <c r="CW93" i="6"/>
  <c r="CU93" i="6"/>
  <c r="CS93" i="6"/>
  <c r="CK93" i="6"/>
  <c r="CI93" i="6"/>
  <c r="CG93" i="6"/>
  <c r="CE93" i="6"/>
  <c r="CC93" i="6"/>
  <c r="CA93" i="6"/>
  <c r="BY93" i="6"/>
  <c r="BW93" i="6"/>
  <c r="BU93" i="6"/>
  <c r="BS93" i="6"/>
  <c r="BQ93" i="6"/>
  <c r="BO93" i="6"/>
  <c r="BM93" i="6"/>
  <c r="BK93" i="6"/>
  <c r="BI93" i="6"/>
  <c r="BG93" i="6"/>
  <c r="BE93" i="6"/>
  <c r="BC93" i="6"/>
  <c r="BA93" i="6"/>
  <c r="AY93" i="6"/>
  <c r="AW93" i="6"/>
  <c r="AU93" i="6"/>
  <c r="AS93" i="6"/>
  <c r="AQ93" i="6"/>
  <c r="AO93" i="6"/>
  <c r="AM93" i="6"/>
  <c r="AK93" i="6"/>
  <c r="AJ93" i="6"/>
  <c r="AI93" i="6"/>
  <c r="AH93" i="6"/>
  <c r="AG93" i="6"/>
  <c r="AF93" i="6"/>
  <c r="AE93" i="6"/>
  <c r="AB93" i="6"/>
  <c r="AA93" i="6"/>
  <c r="Z93" i="6"/>
  <c r="V93" i="6"/>
  <c r="U93" i="6"/>
  <c r="T93" i="6"/>
  <c r="S93" i="6"/>
  <c r="L93" i="6"/>
  <c r="K93" i="6"/>
  <c r="J93" i="6"/>
  <c r="E93" i="6"/>
  <c r="D93" i="6"/>
  <c r="B93" i="6"/>
  <c r="A93" i="6"/>
  <c r="DL92" i="6"/>
  <c r="DJ92" i="6"/>
  <c r="DI92" i="6"/>
  <c r="DE92" i="6"/>
  <c r="DC92" i="6"/>
  <c r="CY92" i="6"/>
  <c r="CW92" i="6"/>
  <c r="CU92" i="6"/>
  <c r="CS92" i="6"/>
  <c r="CK92" i="6"/>
  <c r="CI92" i="6"/>
  <c r="CG92" i="6"/>
  <c r="CE92" i="6"/>
  <c r="CC92" i="6"/>
  <c r="CA92" i="6"/>
  <c r="BY92" i="6"/>
  <c r="BW92" i="6"/>
  <c r="BU92" i="6"/>
  <c r="BS92" i="6"/>
  <c r="BQ92" i="6"/>
  <c r="BO92" i="6"/>
  <c r="BM92" i="6"/>
  <c r="BK92" i="6"/>
  <c r="BI92" i="6"/>
  <c r="BG92" i="6"/>
  <c r="BE92" i="6"/>
  <c r="BC92" i="6"/>
  <c r="BA92" i="6"/>
  <c r="AY92" i="6"/>
  <c r="AW92" i="6"/>
  <c r="AU92" i="6"/>
  <c r="AS92" i="6"/>
  <c r="AQ92" i="6"/>
  <c r="AO92" i="6"/>
  <c r="AM92" i="6"/>
  <c r="AK92" i="6"/>
  <c r="AI92" i="6"/>
  <c r="AG92" i="6"/>
  <c r="AF92" i="6"/>
  <c r="AE92" i="6"/>
  <c r="AB92" i="6"/>
  <c r="AA92" i="6"/>
  <c r="Z92" i="6"/>
  <c r="V92" i="6"/>
  <c r="U92" i="6"/>
  <c r="T92" i="6"/>
  <c r="S92" i="6"/>
  <c r="Q92" i="6"/>
  <c r="E92" i="6"/>
  <c r="D92" i="6"/>
  <c r="B92" i="6"/>
  <c r="A92" i="6"/>
  <c r="DL91" i="6"/>
  <c r="DJ91" i="6"/>
  <c r="DI91" i="6"/>
  <c r="DE91" i="6"/>
  <c r="DC91" i="6"/>
  <c r="CY91" i="6"/>
  <c r="CW91" i="6"/>
  <c r="CU91" i="6"/>
  <c r="CS91" i="6"/>
  <c r="CR91" i="6"/>
  <c r="CK91" i="6"/>
  <c r="CI91" i="6"/>
  <c r="CG91" i="6"/>
  <c r="CE91" i="6"/>
  <c r="CC91" i="6"/>
  <c r="CA91" i="6"/>
  <c r="BY91" i="6"/>
  <c r="BW91" i="6"/>
  <c r="BU91" i="6"/>
  <c r="BS91" i="6"/>
  <c r="BQ91" i="6"/>
  <c r="BO91" i="6"/>
  <c r="BM91" i="6"/>
  <c r="BK91" i="6"/>
  <c r="BI91" i="6"/>
  <c r="BG91" i="6"/>
  <c r="BE91" i="6"/>
  <c r="BC91" i="6"/>
  <c r="BA91" i="6"/>
  <c r="AY91" i="6"/>
  <c r="AW91" i="6"/>
  <c r="AU91" i="6"/>
  <c r="AS91" i="6"/>
  <c r="AQ91" i="6"/>
  <c r="AO91" i="6"/>
  <c r="AM91" i="6"/>
  <c r="AK91" i="6"/>
  <c r="AI91" i="6"/>
  <c r="AG91" i="6"/>
  <c r="AF91" i="6"/>
  <c r="AE91" i="6"/>
  <c r="AD91" i="6"/>
  <c r="AB91" i="6"/>
  <c r="AA91" i="6"/>
  <c r="Z91" i="6"/>
  <c r="V91" i="6"/>
  <c r="U91" i="6"/>
  <c r="T91" i="6"/>
  <c r="S91" i="6"/>
  <c r="Q91" i="6"/>
  <c r="L91" i="6"/>
  <c r="K91" i="6"/>
  <c r="F91" i="6"/>
  <c r="E91" i="6"/>
  <c r="D91" i="6"/>
  <c r="B91" i="6"/>
  <c r="A91" i="6"/>
  <c r="DL90" i="6"/>
  <c r="DJ90" i="6"/>
  <c r="DI90" i="6"/>
  <c r="DE90" i="6"/>
  <c r="DC90" i="6"/>
  <c r="CY90" i="6"/>
  <c r="CW90" i="6"/>
  <c r="CU90" i="6"/>
  <c r="CS90" i="6"/>
  <c r="CR90" i="6"/>
  <c r="CK90" i="6"/>
  <c r="CI90" i="6"/>
  <c r="CG90" i="6"/>
  <c r="CE90" i="6"/>
  <c r="CC90" i="6"/>
  <c r="CA90" i="6"/>
  <c r="BY90" i="6"/>
  <c r="BW90" i="6"/>
  <c r="BU90" i="6"/>
  <c r="BS90" i="6"/>
  <c r="BQ90" i="6"/>
  <c r="BO90" i="6"/>
  <c r="BM90" i="6"/>
  <c r="BK90" i="6"/>
  <c r="BI90" i="6"/>
  <c r="BG90" i="6"/>
  <c r="BE90" i="6"/>
  <c r="BC90" i="6"/>
  <c r="BA90" i="6"/>
  <c r="AY90" i="6"/>
  <c r="AW90" i="6"/>
  <c r="AU90" i="6"/>
  <c r="AS90" i="6"/>
  <c r="AQ90" i="6"/>
  <c r="AO90" i="6"/>
  <c r="AM90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V90" i="6"/>
  <c r="U90" i="6"/>
  <c r="T90" i="6"/>
  <c r="S90" i="6"/>
  <c r="L90" i="6"/>
  <c r="K90" i="6"/>
  <c r="E90" i="6"/>
  <c r="D90" i="6"/>
  <c r="B90" i="6"/>
  <c r="A90" i="6"/>
  <c r="DL89" i="6"/>
  <c r="DJ89" i="6"/>
  <c r="DI89" i="6"/>
  <c r="DE89" i="6"/>
  <c r="DC89" i="6"/>
  <c r="CY89" i="6"/>
  <c r="CW89" i="6"/>
  <c r="CU89" i="6"/>
  <c r="CS89" i="6"/>
  <c r="CK89" i="6"/>
  <c r="CI89" i="6"/>
  <c r="CG89" i="6"/>
  <c r="CE89" i="6"/>
  <c r="CC89" i="6"/>
  <c r="CA89" i="6"/>
  <c r="BY89" i="6"/>
  <c r="BW89" i="6"/>
  <c r="BU89" i="6"/>
  <c r="BS89" i="6"/>
  <c r="BQ89" i="6"/>
  <c r="BO89" i="6"/>
  <c r="BM89" i="6"/>
  <c r="BK89" i="6"/>
  <c r="BI89" i="6"/>
  <c r="BG89" i="6"/>
  <c r="BE89" i="6"/>
  <c r="BC89" i="6"/>
  <c r="BA89" i="6"/>
  <c r="AY89" i="6"/>
  <c r="AW89" i="6"/>
  <c r="AU89" i="6"/>
  <c r="AS89" i="6"/>
  <c r="AQ89" i="6"/>
  <c r="AO89" i="6"/>
  <c r="AM89" i="6"/>
  <c r="AK89" i="6"/>
  <c r="AJ89" i="6"/>
  <c r="AI89" i="6"/>
  <c r="AH89" i="6"/>
  <c r="AG89" i="6"/>
  <c r="AF89" i="6"/>
  <c r="AE89" i="6"/>
  <c r="AB89" i="6"/>
  <c r="AA89" i="6"/>
  <c r="Z89" i="6"/>
  <c r="V89" i="6"/>
  <c r="U89" i="6"/>
  <c r="T89" i="6"/>
  <c r="S89" i="6"/>
  <c r="L89" i="6"/>
  <c r="K89" i="6"/>
  <c r="E89" i="6"/>
  <c r="D89" i="6"/>
  <c r="B89" i="6"/>
  <c r="A89" i="6"/>
  <c r="DL88" i="6"/>
  <c r="DJ88" i="6"/>
  <c r="DI88" i="6"/>
  <c r="DE88" i="6"/>
  <c r="DD88" i="6"/>
  <c r="DC88" i="6"/>
  <c r="DA88" i="6"/>
  <c r="CY88" i="6"/>
  <c r="CX88" i="6"/>
  <c r="CW88" i="6"/>
  <c r="CU88" i="6"/>
  <c r="CS88" i="6"/>
  <c r="CR88" i="6"/>
  <c r="CK88" i="6"/>
  <c r="CI88" i="6"/>
  <c r="CG88" i="6"/>
  <c r="CE88" i="6"/>
  <c r="CC88" i="6"/>
  <c r="CA88" i="6"/>
  <c r="BY88" i="6"/>
  <c r="BW88" i="6"/>
  <c r="BU88" i="6"/>
  <c r="BS88" i="6"/>
  <c r="BQ88" i="6"/>
  <c r="BO88" i="6"/>
  <c r="BM88" i="6"/>
  <c r="BK88" i="6"/>
  <c r="BI88" i="6"/>
  <c r="BG88" i="6"/>
  <c r="BE88" i="6"/>
  <c r="BC88" i="6"/>
  <c r="BA88" i="6"/>
  <c r="AY88" i="6"/>
  <c r="AW88" i="6"/>
  <c r="AU88" i="6"/>
  <c r="AS88" i="6"/>
  <c r="AQ88" i="6"/>
  <c r="AO88" i="6"/>
  <c r="AM88" i="6"/>
  <c r="AK88" i="6"/>
  <c r="AI88" i="6"/>
  <c r="AG88" i="6"/>
  <c r="AF88" i="6"/>
  <c r="AE88" i="6"/>
  <c r="AB88" i="6"/>
  <c r="AA88" i="6"/>
  <c r="Z88" i="6"/>
  <c r="V88" i="6"/>
  <c r="U88" i="6"/>
  <c r="T88" i="6"/>
  <c r="S88" i="6"/>
  <c r="E88" i="6"/>
  <c r="D88" i="6"/>
  <c r="B88" i="6"/>
  <c r="A88" i="6"/>
  <c r="DL87" i="6"/>
  <c r="DJ87" i="6"/>
  <c r="DI87" i="6"/>
  <c r="DE87" i="6"/>
  <c r="DC87" i="6"/>
  <c r="CY87" i="6"/>
  <c r="CW87" i="6"/>
  <c r="CU87" i="6"/>
  <c r="CS87" i="6"/>
  <c r="CK87" i="6"/>
  <c r="CI87" i="6"/>
  <c r="CG87" i="6"/>
  <c r="CE87" i="6"/>
  <c r="CC87" i="6"/>
  <c r="CA87" i="6"/>
  <c r="BY87" i="6"/>
  <c r="BW87" i="6"/>
  <c r="BU87" i="6"/>
  <c r="BS87" i="6"/>
  <c r="BQ87" i="6"/>
  <c r="BO87" i="6"/>
  <c r="BM87" i="6"/>
  <c r="BK87" i="6"/>
  <c r="BI87" i="6"/>
  <c r="BG87" i="6"/>
  <c r="BE87" i="6"/>
  <c r="BC87" i="6"/>
  <c r="BA87" i="6"/>
  <c r="AY87" i="6"/>
  <c r="AW87" i="6"/>
  <c r="AU87" i="6"/>
  <c r="AS87" i="6"/>
  <c r="AQ87" i="6"/>
  <c r="AO87" i="6"/>
  <c r="AM87" i="6"/>
  <c r="AK87" i="6"/>
  <c r="AJ87" i="6"/>
  <c r="AI87" i="6"/>
  <c r="AH87" i="6"/>
  <c r="AG87" i="6"/>
  <c r="AF87" i="6"/>
  <c r="AE87" i="6"/>
  <c r="AB87" i="6"/>
  <c r="AA87" i="6"/>
  <c r="Z87" i="6"/>
  <c r="V87" i="6"/>
  <c r="U87" i="6"/>
  <c r="T87" i="6"/>
  <c r="S87" i="6"/>
  <c r="L87" i="6"/>
  <c r="K87" i="6"/>
  <c r="E87" i="6"/>
  <c r="D87" i="6"/>
  <c r="B87" i="6"/>
  <c r="A87" i="6"/>
  <c r="DL86" i="6"/>
  <c r="DJ86" i="6"/>
  <c r="DI86" i="6"/>
  <c r="DE86" i="6"/>
  <c r="DC86" i="6"/>
  <c r="CY86" i="6"/>
  <c r="CW86" i="6"/>
  <c r="CV86" i="6"/>
  <c r="CU86" i="6"/>
  <c r="CS86" i="6"/>
  <c r="CK86" i="6"/>
  <c r="CI86" i="6"/>
  <c r="CG86" i="6"/>
  <c r="CE86" i="6"/>
  <c r="CC86" i="6"/>
  <c r="CA86" i="6"/>
  <c r="BY86" i="6"/>
  <c r="BW86" i="6"/>
  <c r="BU86" i="6"/>
  <c r="BS86" i="6"/>
  <c r="BQ86" i="6"/>
  <c r="BO86" i="6"/>
  <c r="BM86" i="6"/>
  <c r="BK86" i="6"/>
  <c r="BI86" i="6"/>
  <c r="BG86" i="6"/>
  <c r="BE86" i="6"/>
  <c r="BC86" i="6"/>
  <c r="BA86" i="6"/>
  <c r="AY86" i="6"/>
  <c r="AW86" i="6"/>
  <c r="AU86" i="6"/>
  <c r="AS86" i="6"/>
  <c r="AQ86" i="6"/>
  <c r="AO86" i="6"/>
  <c r="AM86" i="6"/>
  <c r="AK86" i="6"/>
  <c r="AI86" i="6"/>
  <c r="AG86" i="6"/>
  <c r="AF86" i="6"/>
  <c r="AE86" i="6"/>
  <c r="AB86" i="6"/>
  <c r="AA86" i="6"/>
  <c r="Z86" i="6"/>
  <c r="V86" i="6"/>
  <c r="U86" i="6"/>
  <c r="T86" i="6"/>
  <c r="S86" i="6"/>
  <c r="Q86" i="6"/>
  <c r="E86" i="6"/>
  <c r="D86" i="6"/>
  <c r="B86" i="6"/>
  <c r="A86" i="6"/>
  <c r="DL85" i="6"/>
  <c r="DJ85" i="6"/>
  <c r="DI85" i="6"/>
  <c r="DE85" i="6"/>
  <c r="DC85" i="6"/>
  <c r="CY85" i="6"/>
  <c r="CW85" i="6"/>
  <c r="CU85" i="6"/>
  <c r="CS85" i="6"/>
  <c r="CK85" i="6"/>
  <c r="CI85" i="6"/>
  <c r="CG85" i="6"/>
  <c r="CE85" i="6"/>
  <c r="CC85" i="6"/>
  <c r="CA85" i="6"/>
  <c r="BY85" i="6"/>
  <c r="BW85" i="6"/>
  <c r="BU85" i="6"/>
  <c r="BS85" i="6"/>
  <c r="BQ85" i="6"/>
  <c r="BO85" i="6"/>
  <c r="BM85" i="6"/>
  <c r="BK85" i="6"/>
  <c r="BI85" i="6"/>
  <c r="BG85" i="6"/>
  <c r="BE85" i="6"/>
  <c r="BC85" i="6"/>
  <c r="BA85" i="6"/>
  <c r="AY85" i="6"/>
  <c r="AW85" i="6"/>
  <c r="AU85" i="6"/>
  <c r="AS85" i="6"/>
  <c r="AQ85" i="6"/>
  <c r="AO85" i="6"/>
  <c r="AM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V85" i="6"/>
  <c r="U85" i="6"/>
  <c r="T85" i="6"/>
  <c r="S85" i="6"/>
  <c r="L85" i="6"/>
  <c r="K85" i="6"/>
  <c r="E85" i="6"/>
  <c r="D85" i="6"/>
  <c r="B85" i="6"/>
  <c r="A85" i="6"/>
  <c r="DL84" i="6"/>
  <c r="DJ84" i="6"/>
  <c r="DI84" i="6"/>
  <c r="DG84" i="6"/>
  <c r="DF84" i="6"/>
  <c r="DE84" i="6"/>
  <c r="DC84" i="6"/>
  <c r="CY84" i="6"/>
  <c r="CW84" i="6"/>
  <c r="CV84" i="6"/>
  <c r="CU84" i="6"/>
  <c r="CS84" i="6"/>
  <c r="CK84" i="6"/>
  <c r="CI84" i="6"/>
  <c r="CH84" i="6"/>
  <c r="CG84" i="6"/>
  <c r="CE84" i="6"/>
  <c r="CC84" i="6"/>
  <c r="CA84" i="6"/>
  <c r="BY84" i="6"/>
  <c r="BW84" i="6"/>
  <c r="BU84" i="6"/>
  <c r="BS84" i="6"/>
  <c r="BQ84" i="6"/>
  <c r="BO84" i="6"/>
  <c r="BM84" i="6"/>
  <c r="BK84" i="6"/>
  <c r="BI84" i="6"/>
  <c r="BG84" i="6"/>
  <c r="BE84" i="6"/>
  <c r="BC84" i="6"/>
  <c r="BA84" i="6"/>
  <c r="AY84" i="6"/>
  <c r="AW84" i="6"/>
  <c r="AU84" i="6"/>
  <c r="AS84" i="6"/>
  <c r="AQ84" i="6"/>
  <c r="AO84" i="6"/>
  <c r="AN84" i="6"/>
  <c r="AM84" i="6"/>
  <c r="AL84" i="6"/>
  <c r="AK84" i="6"/>
  <c r="AJ84" i="6"/>
  <c r="AI84" i="6"/>
  <c r="AH84" i="6"/>
  <c r="AG84" i="6"/>
  <c r="AF84" i="6"/>
  <c r="AE84" i="6"/>
  <c r="AD84" i="6"/>
  <c r="AB84" i="6"/>
  <c r="AA84" i="6"/>
  <c r="Z84" i="6"/>
  <c r="V84" i="6"/>
  <c r="U84" i="6"/>
  <c r="T84" i="6"/>
  <c r="S84" i="6"/>
  <c r="Q84" i="6"/>
  <c r="L84" i="6"/>
  <c r="K84" i="6"/>
  <c r="E84" i="6"/>
  <c r="D84" i="6"/>
  <c r="B84" i="6"/>
  <c r="A84" i="6"/>
  <c r="DL83" i="6"/>
  <c r="DJ83" i="6"/>
  <c r="DI83" i="6"/>
  <c r="DE83" i="6"/>
  <c r="DC83" i="6"/>
  <c r="CY83" i="6"/>
  <c r="CW83" i="6"/>
  <c r="CU83" i="6"/>
  <c r="CS83" i="6"/>
  <c r="CR83" i="6"/>
  <c r="CK83" i="6"/>
  <c r="CI83" i="6"/>
  <c r="CG83" i="6"/>
  <c r="CE83" i="6"/>
  <c r="CC83" i="6"/>
  <c r="CA83" i="6"/>
  <c r="BY83" i="6"/>
  <c r="BW83" i="6"/>
  <c r="BU83" i="6"/>
  <c r="BS83" i="6"/>
  <c r="BQ83" i="6"/>
  <c r="BO83" i="6"/>
  <c r="BM83" i="6"/>
  <c r="BK83" i="6"/>
  <c r="BI83" i="6"/>
  <c r="BG83" i="6"/>
  <c r="BE83" i="6"/>
  <c r="BC83" i="6"/>
  <c r="BA83" i="6"/>
  <c r="AY83" i="6"/>
  <c r="AW83" i="6"/>
  <c r="AU83" i="6"/>
  <c r="AS83" i="6"/>
  <c r="AQ83" i="6"/>
  <c r="AO83" i="6"/>
  <c r="AM83" i="6"/>
  <c r="AK83" i="6"/>
  <c r="AJ83" i="6"/>
  <c r="AI83" i="6"/>
  <c r="AH83" i="6"/>
  <c r="AG83" i="6"/>
  <c r="AF83" i="6"/>
  <c r="AE83" i="6"/>
  <c r="AB83" i="6"/>
  <c r="AA83" i="6"/>
  <c r="Z83" i="6"/>
  <c r="V83" i="6"/>
  <c r="U83" i="6"/>
  <c r="T83" i="6"/>
  <c r="S83" i="6"/>
  <c r="L83" i="6"/>
  <c r="K83" i="6"/>
  <c r="J83" i="6"/>
  <c r="E83" i="6"/>
  <c r="D83" i="6"/>
  <c r="B83" i="6"/>
  <c r="A83" i="6"/>
  <c r="DL82" i="6"/>
  <c r="DJ82" i="6"/>
  <c r="DI82" i="6"/>
  <c r="DG82" i="6"/>
  <c r="DF82" i="6"/>
  <c r="DE82" i="6"/>
  <c r="DC82" i="6"/>
  <c r="CY82" i="6"/>
  <c r="CW82" i="6"/>
  <c r="CU82" i="6"/>
  <c r="CS82" i="6"/>
  <c r="CK82" i="6"/>
  <c r="CI82" i="6"/>
  <c r="CH82" i="6"/>
  <c r="CG82" i="6"/>
  <c r="CE82" i="6"/>
  <c r="CC82" i="6"/>
  <c r="CA82" i="6"/>
  <c r="BY82" i="6"/>
  <c r="BW82" i="6"/>
  <c r="BU82" i="6"/>
  <c r="BS82" i="6"/>
  <c r="BQ82" i="6"/>
  <c r="BO82" i="6"/>
  <c r="BM82" i="6"/>
  <c r="BK82" i="6"/>
  <c r="BI82" i="6"/>
  <c r="BG82" i="6"/>
  <c r="BE82" i="6"/>
  <c r="BC82" i="6"/>
  <c r="BA82" i="6"/>
  <c r="AY82" i="6"/>
  <c r="AW82" i="6"/>
  <c r="AU82" i="6"/>
  <c r="AS82" i="6"/>
  <c r="AQ82" i="6"/>
  <c r="AO82" i="6"/>
  <c r="AN82" i="6"/>
  <c r="AM82" i="6"/>
  <c r="AL82" i="6"/>
  <c r="AK82" i="6"/>
  <c r="AJ82" i="6"/>
  <c r="AI82" i="6"/>
  <c r="AH82" i="6"/>
  <c r="AG82" i="6"/>
  <c r="AF82" i="6"/>
  <c r="AE82" i="6"/>
  <c r="AD82" i="6"/>
  <c r="AB82" i="6"/>
  <c r="AA82" i="6"/>
  <c r="Z82" i="6"/>
  <c r="V82" i="6"/>
  <c r="U82" i="6"/>
  <c r="T82" i="6"/>
  <c r="S82" i="6"/>
  <c r="L82" i="6"/>
  <c r="K82" i="6"/>
  <c r="E82" i="6"/>
  <c r="D82" i="6"/>
  <c r="B82" i="6"/>
  <c r="A82" i="6"/>
  <c r="DL81" i="6"/>
  <c r="DJ81" i="6"/>
  <c r="DI81" i="6"/>
  <c r="DE81" i="6"/>
  <c r="DD81" i="6"/>
  <c r="DC81" i="6"/>
  <c r="DB81" i="6"/>
  <c r="DA81" i="6"/>
  <c r="CY81" i="6"/>
  <c r="CX81" i="6"/>
  <c r="CW81" i="6"/>
  <c r="CU81" i="6"/>
  <c r="CS81" i="6"/>
  <c r="CR81" i="6"/>
  <c r="CK81" i="6"/>
  <c r="CI81" i="6"/>
  <c r="CG81" i="6"/>
  <c r="CE81" i="6"/>
  <c r="CC81" i="6"/>
  <c r="CA81" i="6"/>
  <c r="BY81" i="6"/>
  <c r="BW81" i="6"/>
  <c r="BU81" i="6"/>
  <c r="BS81" i="6"/>
  <c r="BQ81" i="6"/>
  <c r="BO81" i="6"/>
  <c r="BM81" i="6"/>
  <c r="BK81" i="6"/>
  <c r="BI81" i="6"/>
  <c r="BG81" i="6"/>
  <c r="BE81" i="6"/>
  <c r="BC81" i="6"/>
  <c r="BA81" i="6"/>
  <c r="AY81" i="6"/>
  <c r="AW81" i="6"/>
  <c r="AU81" i="6"/>
  <c r="AS81" i="6"/>
  <c r="AQ81" i="6"/>
  <c r="AO81" i="6"/>
  <c r="AM81" i="6"/>
  <c r="AK81" i="6"/>
  <c r="AI81" i="6"/>
  <c r="AG81" i="6"/>
  <c r="AF81" i="6"/>
  <c r="AE81" i="6"/>
  <c r="AD81" i="6"/>
  <c r="AB81" i="6"/>
  <c r="AA81" i="6"/>
  <c r="Z81" i="6"/>
  <c r="V81" i="6"/>
  <c r="U81" i="6"/>
  <c r="T81" i="6"/>
  <c r="S81" i="6"/>
  <c r="L81" i="6"/>
  <c r="K81" i="6"/>
  <c r="J81" i="6"/>
  <c r="E81" i="6"/>
  <c r="D81" i="6"/>
  <c r="B81" i="6"/>
  <c r="A81" i="6"/>
  <c r="DL80" i="6"/>
  <c r="DJ80" i="6"/>
  <c r="DI80" i="6"/>
  <c r="DG80" i="6"/>
  <c r="DF80" i="6"/>
  <c r="DE80" i="6"/>
  <c r="DC80" i="6"/>
  <c r="CY80" i="6"/>
  <c r="CW80" i="6"/>
  <c r="CV80" i="6"/>
  <c r="CU80" i="6"/>
  <c r="CS80" i="6"/>
  <c r="CK80" i="6"/>
  <c r="CI80" i="6"/>
  <c r="CG80" i="6"/>
  <c r="CE80" i="6"/>
  <c r="CC80" i="6"/>
  <c r="CA80" i="6"/>
  <c r="BY80" i="6"/>
  <c r="BW80" i="6"/>
  <c r="BU80" i="6"/>
  <c r="BS80" i="6"/>
  <c r="BQ80" i="6"/>
  <c r="BO80" i="6"/>
  <c r="BM80" i="6"/>
  <c r="BK80" i="6"/>
  <c r="BI80" i="6"/>
  <c r="BG80" i="6"/>
  <c r="BE80" i="6"/>
  <c r="BC80" i="6"/>
  <c r="BA80" i="6"/>
  <c r="AY80" i="6"/>
  <c r="AW80" i="6"/>
  <c r="AU80" i="6"/>
  <c r="AS80" i="6"/>
  <c r="AQ80" i="6"/>
  <c r="AO80" i="6"/>
  <c r="AM80" i="6"/>
  <c r="AK80" i="6"/>
  <c r="AI80" i="6"/>
  <c r="AG80" i="6"/>
  <c r="AF80" i="6"/>
  <c r="AE80" i="6"/>
  <c r="AD80" i="6"/>
  <c r="AB80" i="6"/>
  <c r="AA80" i="6"/>
  <c r="Z80" i="6"/>
  <c r="V80" i="6"/>
  <c r="U80" i="6"/>
  <c r="T80" i="6"/>
  <c r="S80" i="6"/>
  <c r="L80" i="6"/>
  <c r="K80" i="6"/>
  <c r="E80" i="6"/>
  <c r="D80" i="6"/>
  <c r="B80" i="6"/>
  <c r="A80" i="6"/>
  <c r="DL79" i="6"/>
  <c r="DJ79" i="6"/>
  <c r="DI79" i="6"/>
  <c r="DE79" i="6"/>
  <c r="DC79" i="6"/>
  <c r="CY79" i="6"/>
  <c r="CW79" i="6"/>
  <c r="CU79" i="6"/>
  <c r="CS79" i="6"/>
  <c r="CK79" i="6"/>
  <c r="CI79" i="6"/>
  <c r="CG79" i="6"/>
  <c r="CE79" i="6"/>
  <c r="CC79" i="6"/>
  <c r="CA79" i="6"/>
  <c r="BY79" i="6"/>
  <c r="BW79" i="6"/>
  <c r="BU79" i="6"/>
  <c r="BS79" i="6"/>
  <c r="BQ79" i="6"/>
  <c r="BO79" i="6"/>
  <c r="BM79" i="6"/>
  <c r="BK79" i="6"/>
  <c r="BI79" i="6"/>
  <c r="BG79" i="6"/>
  <c r="BE79" i="6"/>
  <c r="BC79" i="6"/>
  <c r="BA79" i="6"/>
  <c r="AY79" i="6"/>
  <c r="AW79" i="6"/>
  <c r="AU79" i="6"/>
  <c r="AS79" i="6"/>
  <c r="AQ79" i="6"/>
  <c r="AO79" i="6"/>
  <c r="AM79" i="6"/>
  <c r="AK79" i="6"/>
  <c r="AI79" i="6"/>
  <c r="AG79" i="6"/>
  <c r="AF79" i="6"/>
  <c r="AE79" i="6"/>
  <c r="AB79" i="6"/>
  <c r="AA79" i="6"/>
  <c r="Z79" i="6"/>
  <c r="V79" i="6"/>
  <c r="U79" i="6"/>
  <c r="T79" i="6"/>
  <c r="S79" i="6"/>
  <c r="L79" i="6"/>
  <c r="K79" i="6"/>
  <c r="E79" i="6"/>
  <c r="D79" i="6"/>
  <c r="B79" i="6"/>
  <c r="A79" i="6"/>
  <c r="DL78" i="6"/>
  <c r="DJ78" i="6"/>
  <c r="DI78" i="6"/>
  <c r="DE78" i="6"/>
  <c r="DC78" i="6"/>
  <c r="CY78" i="6"/>
  <c r="CW78" i="6"/>
  <c r="CU78" i="6"/>
  <c r="CS78" i="6"/>
  <c r="CO78" i="6"/>
  <c r="CK78" i="6"/>
  <c r="CI78" i="6"/>
  <c r="CG78" i="6"/>
  <c r="CE78" i="6"/>
  <c r="CC78" i="6"/>
  <c r="CA78" i="6"/>
  <c r="BY78" i="6"/>
  <c r="BW78" i="6"/>
  <c r="BU78" i="6"/>
  <c r="BS78" i="6"/>
  <c r="BQ78" i="6"/>
  <c r="BO78" i="6"/>
  <c r="BM78" i="6"/>
  <c r="BK78" i="6"/>
  <c r="BI78" i="6"/>
  <c r="BG78" i="6"/>
  <c r="BE78" i="6"/>
  <c r="BC78" i="6"/>
  <c r="BA78" i="6"/>
  <c r="AY78" i="6"/>
  <c r="AW78" i="6"/>
  <c r="AU78" i="6"/>
  <c r="AS78" i="6"/>
  <c r="AQ78" i="6"/>
  <c r="AO78" i="6"/>
  <c r="AM78" i="6"/>
  <c r="AK78" i="6"/>
  <c r="AI78" i="6"/>
  <c r="AG78" i="6"/>
  <c r="AF78" i="6"/>
  <c r="AE78" i="6"/>
  <c r="AD78" i="6"/>
  <c r="AB78" i="6"/>
  <c r="AA78" i="6"/>
  <c r="Z78" i="6"/>
  <c r="V78" i="6"/>
  <c r="U78" i="6"/>
  <c r="T78" i="6"/>
  <c r="S78" i="6"/>
  <c r="P78" i="6"/>
  <c r="L78" i="6"/>
  <c r="K78" i="6"/>
  <c r="E78" i="6"/>
  <c r="D78" i="6"/>
  <c r="B78" i="6"/>
  <c r="A78" i="6"/>
  <c r="DL77" i="6"/>
  <c r="DJ77" i="6"/>
  <c r="DI77" i="6"/>
  <c r="DG77" i="6"/>
  <c r="DF77" i="6"/>
  <c r="DE77" i="6"/>
  <c r="DC77" i="6"/>
  <c r="CY77" i="6"/>
  <c r="CW77" i="6"/>
  <c r="CU77" i="6"/>
  <c r="CS77" i="6"/>
  <c r="CO77" i="6"/>
  <c r="CK77" i="6"/>
  <c r="CI77" i="6"/>
  <c r="CG77" i="6"/>
  <c r="CE77" i="6"/>
  <c r="CC77" i="6"/>
  <c r="CA77" i="6"/>
  <c r="BY77" i="6"/>
  <c r="BW77" i="6"/>
  <c r="BU77" i="6"/>
  <c r="BS77" i="6"/>
  <c r="BQ77" i="6"/>
  <c r="BO77" i="6"/>
  <c r="BM77" i="6"/>
  <c r="BK77" i="6"/>
  <c r="BI77" i="6"/>
  <c r="BG77" i="6"/>
  <c r="BE77" i="6"/>
  <c r="BC77" i="6"/>
  <c r="BA77" i="6"/>
  <c r="AY77" i="6"/>
  <c r="AW77" i="6"/>
  <c r="AU77" i="6"/>
  <c r="AS77" i="6"/>
  <c r="AQ77" i="6"/>
  <c r="AO77" i="6"/>
  <c r="AM77" i="6"/>
  <c r="AK77" i="6"/>
  <c r="AI77" i="6"/>
  <c r="AG77" i="6"/>
  <c r="AF77" i="6"/>
  <c r="AE77" i="6"/>
  <c r="AD77" i="6"/>
  <c r="AB77" i="6"/>
  <c r="AA77" i="6"/>
  <c r="Z77" i="6"/>
  <c r="V77" i="6"/>
  <c r="U77" i="6"/>
  <c r="T77" i="6"/>
  <c r="S77" i="6"/>
  <c r="P77" i="6"/>
  <c r="L77" i="6"/>
  <c r="K77" i="6"/>
  <c r="E77" i="6"/>
  <c r="D77" i="6"/>
  <c r="B77" i="6"/>
  <c r="A77" i="6"/>
  <c r="DL76" i="6"/>
  <c r="DJ76" i="6"/>
  <c r="DI76" i="6"/>
  <c r="DE76" i="6"/>
  <c r="DC76" i="6"/>
  <c r="CY76" i="6"/>
  <c r="CW76" i="6"/>
  <c r="CV76" i="6"/>
  <c r="CU76" i="6"/>
  <c r="CS76" i="6"/>
  <c r="CK76" i="6"/>
  <c r="CI76" i="6"/>
  <c r="CG76" i="6"/>
  <c r="CE76" i="6"/>
  <c r="CC76" i="6"/>
  <c r="CA76" i="6"/>
  <c r="BY76" i="6"/>
  <c r="BW76" i="6"/>
  <c r="BU76" i="6"/>
  <c r="BS76" i="6"/>
  <c r="BQ76" i="6"/>
  <c r="BO76" i="6"/>
  <c r="BM76" i="6"/>
  <c r="BK76" i="6"/>
  <c r="BI76" i="6"/>
  <c r="BG76" i="6"/>
  <c r="BE76" i="6"/>
  <c r="BC76" i="6"/>
  <c r="BA76" i="6"/>
  <c r="AY76" i="6"/>
  <c r="AW76" i="6"/>
  <c r="AU76" i="6"/>
  <c r="AS76" i="6"/>
  <c r="AQ76" i="6"/>
  <c r="AO76" i="6"/>
  <c r="AM76" i="6"/>
  <c r="AK76" i="6"/>
  <c r="AI76" i="6"/>
  <c r="AG76" i="6"/>
  <c r="AF76" i="6"/>
  <c r="AE76" i="6"/>
  <c r="AD76" i="6"/>
  <c r="AB76" i="6"/>
  <c r="AA76" i="6"/>
  <c r="Z76" i="6"/>
  <c r="V76" i="6"/>
  <c r="U76" i="6"/>
  <c r="T76" i="6"/>
  <c r="S76" i="6"/>
  <c r="L76" i="6"/>
  <c r="K76" i="6"/>
  <c r="E76" i="6"/>
  <c r="D76" i="6"/>
  <c r="B76" i="6"/>
  <c r="A76" i="6"/>
  <c r="DL75" i="6"/>
  <c r="DJ75" i="6"/>
  <c r="DI75" i="6"/>
  <c r="DE75" i="6"/>
  <c r="DD75" i="6"/>
  <c r="DC75" i="6"/>
  <c r="DB75" i="6"/>
  <c r="DA75" i="6"/>
  <c r="CY75" i="6"/>
  <c r="CX75" i="6"/>
  <c r="CW75" i="6"/>
  <c r="CU75" i="6"/>
  <c r="CS75" i="6"/>
  <c r="CK75" i="6"/>
  <c r="CI75" i="6"/>
  <c r="CG75" i="6"/>
  <c r="CE75" i="6"/>
  <c r="CC75" i="6"/>
  <c r="CA75" i="6"/>
  <c r="BY75" i="6"/>
  <c r="BW75" i="6"/>
  <c r="BU75" i="6"/>
  <c r="BS75" i="6"/>
  <c r="BQ75" i="6"/>
  <c r="BO75" i="6"/>
  <c r="BM75" i="6"/>
  <c r="BK75" i="6"/>
  <c r="BI75" i="6"/>
  <c r="BG75" i="6"/>
  <c r="BE75" i="6"/>
  <c r="BC75" i="6"/>
  <c r="BA75" i="6"/>
  <c r="AY75" i="6"/>
  <c r="AW75" i="6"/>
  <c r="AU75" i="6"/>
  <c r="AS75" i="6"/>
  <c r="AQ75" i="6"/>
  <c r="AO75" i="6"/>
  <c r="AM75" i="6"/>
  <c r="AK75" i="6"/>
  <c r="AI75" i="6"/>
  <c r="AG75" i="6"/>
  <c r="AF75" i="6"/>
  <c r="AE75" i="6"/>
  <c r="AD75" i="6"/>
  <c r="AB75" i="6"/>
  <c r="AA75" i="6"/>
  <c r="Z75" i="6"/>
  <c r="V75" i="6"/>
  <c r="U75" i="6"/>
  <c r="T75" i="6"/>
  <c r="S75" i="6"/>
  <c r="Q75" i="6"/>
  <c r="E75" i="6"/>
  <c r="D75" i="6"/>
  <c r="C75" i="6"/>
  <c r="B75" i="6"/>
  <c r="A75" i="6"/>
  <c r="DL74" i="6"/>
  <c r="DJ74" i="6"/>
  <c r="DI74" i="6"/>
  <c r="DE74" i="6"/>
  <c r="DC74" i="6"/>
  <c r="CY74" i="6"/>
  <c r="CW74" i="6"/>
  <c r="CU74" i="6"/>
  <c r="CS74" i="6"/>
  <c r="CK74" i="6"/>
  <c r="CI74" i="6"/>
  <c r="CG74" i="6"/>
  <c r="CE74" i="6"/>
  <c r="CC74" i="6"/>
  <c r="CA74" i="6"/>
  <c r="BY74" i="6"/>
  <c r="BW74" i="6"/>
  <c r="BU74" i="6"/>
  <c r="BS74" i="6"/>
  <c r="BQ74" i="6"/>
  <c r="BO74" i="6"/>
  <c r="BM74" i="6"/>
  <c r="BK74" i="6"/>
  <c r="BI74" i="6"/>
  <c r="BG74" i="6"/>
  <c r="BE74" i="6"/>
  <c r="BC74" i="6"/>
  <c r="BA74" i="6"/>
  <c r="AY74" i="6"/>
  <c r="AW74" i="6"/>
  <c r="AU74" i="6"/>
  <c r="AS74" i="6"/>
  <c r="AQ74" i="6"/>
  <c r="AO74" i="6"/>
  <c r="AM74" i="6"/>
  <c r="AK74" i="6"/>
  <c r="AJ74" i="6"/>
  <c r="AI74" i="6"/>
  <c r="AH74" i="6"/>
  <c r="AG74" i="6"/>
  <c r="AF74" i="6"/>
  <c r="AE74" i="6"/>
  <c r="AB74" i="6"/>
  <c r="AA74" i="6"/>
  <c r="Z74" i="6"/>
  <c r="V74" i="6"/>
  <c r="U74" i="6"/>
  <c r="T74" i="6"/>
  <c r="S74" i="6"/>
  <c r="L74" i="6"/>
  <c r="K74" i="6"/>
  <c r="E74" i="6"/>
  <c r="D74" i="6"/>
  <c r="B74" i="6"/>
  <c r="A74" i="6"/>
  <c r="DL73" i="6"/>
  <c r="DJ73" i="6"/>
  <c r="DI73" i="6"/>
  <c r="DH73" i="6"/>
  <c r="DG73" i="6"/>
  <c r="DF73" i="6"/>
  <c r="DE73" i="6"/>
  <c r="DC73" i="6"/>
  <c r="CY73" i="6"/>
  <c r="CW73" i="6"/>
  <c r="CV73" i="6"/>
  <c r="CU73" i="6"/>
  <c r="CS73" i="6"/>
  <c r="CK73" i="6"/>
  <c r="CI73" i="6"/>
  <c r="CG73" i="6"/>
  <c r="CF73" i="6"/>
  <c r="CE73" i="6"/>
  <c r="CD73" i="6"/>
  <c r="CC73" i="6"/>
  <c r="CA73" i="6"/>
  <c r="BY73" i="6"/>
  <c r="BW73" i="6"/>
  <c r="BU73" i="6"/>
  <c r="BS73" i="6"/>
  <c r="BQ73" i="6"/>
  <c r="BO73" i="6"/>
  <c r="BM73" i="6"/>
  <c r="BK73" i="6"/>
  <c r="BI73" i="6"/>
  <c r="BG73" i="6"/>
  <c r="BE73" i="6"/>
  <c r="BC73" i="6"/>
  <c r="BA73" i="6"/>
  <c r="AY73" i="6"/>
  <c r="AW73" i="6"/>
  <c r="AU73" i="6"/>
  <c r="AS73" i="6"/>
  <c r="AQ73" i="6"/>
  <c r="AO73" i="6"/>
  <c r="AM73" i="6"/>
  <c r="AK73" i="6"/>
  <c r="AI73" i="6"/>
  <c r="AG73" i="6"/>
  <c r="AF73" i="6"/>
  <c r="AE73" i="6"/>
  <c r="AD73" i="6"/>
  <c r="AB73" i="6"/>
  <c r="AA73" i="6"/>
  <c r="Z73" i="6"/>
  <c r="V73" i="6"/>
  <c r="U73" i="6"/>
  <c r="T73" i="6"/>
  <c r="S73" i="6"/>
  <c r="Q73" i="6"/>
  <c r="E73" i="6"/>
  <c r="D73" i="6"/>
  <c r="B73" i="6"/>
  <c r="A73" i="6"/>
  <c r="DL72" i="6"/>
  <c r="DJ72" i="6"/>
  <c r="DI72" i="6"/>
  <c r="DH72" i="6"/>
  <c r="DE72" i="6"/>
  <c r="DC72" i="6"/>
  <c r="CY72" i="6"/>
  <c r="CW72" i="6"/>
  <c r="CU72" i="6"/>
  <c r="CS72" i="6"/>
  <c r="CK72" i="6"/>
  <c r="CI72" i="6"/>
  <c r="CG72" i="6"/>
  <c r="CF72" i="6"/>
  <c r="CE72" i="6"/>
  <c r="CD72" i="6"/>
  <c r="CC72" i="6"/>
  <c r="CA72" i="6"/>
  <c r="BY72" i="6"/>
  <c r="BW72" i="6"/>
  <c r="BU72" i="6"/>
  <c r="BS72" i="6"/>
  <c r="BQ72" i="6"/>
  <c r="BO72" i="6"/>
  <c r="BM72" i="6"/>
  <c r="BK72" i="6"/>
  <c r="BI72" i="6"/>
  <c r="BG72" i="6"/>
  <c r="BE72" i="6"/>
  <c r="BC72" i="6"/>
  <c r="BA72" i="6"/>
  <c r="AY72" i="6"/>
  <c r="AW72" i="6"/>
  <c r="AU72" i="6"/>
  <c r="AS72" i="6"/>
  <c r="AQ72" i="6"/>
  <c r="AO72" i="6"/>
  <c r="AM72" i="6"/>
  <c r="AK72" i="6"/>
  <c r="AJ72" i="6"/>
  <c r="AI72" i="6"/>
  <c r="AH72" i="6"/>
  <c r="AG72" i="6"/>
  <c r="AF72" i="6"/>
  <c r="AE72" i="6"/>
  <c r="AB72" i="6"/>
  <c r="AA72" i="6"/>
  <c r="Z72" i="6"/>
  <c r="V72" i="6"/>
  <c r="U72" i="6"/>
  <c r="T72" i="6"/>
  <c r="S72" i="6"/>
  <c r="L72" i="6"/>
  <c r="K72" i="6"/>
  <c r="E72" i="6"/>
  <c r="D72" i="6"/>
  <c r="B72" i="6"/>
  <c r="A72" i="6"/>
  <c r="DL71" i="6"/>
  <c r="DJ71" i="6"/>
  <c r="DI71" i="6"/>
  <c r="DH71" i="6"/>
  <c r="DE71" i="6"/>
  <c r="DC71" i="6"/>
  <c r="CY71" i="6"/>
  <c r="CW71" i="6"/>
  <c r="CV71" i="6"/>
  <c r="CU71" i="6"/>
  <c r="CS71" i="6"/>
  <c r="CK71" i="6"/>
  <c r="CI71" i="6"/>
  <c r="CG71" i="6"/>
  <c r="CF71" i="6"/>
  <c r="CE71" i="6"/>
  <c r="CD71" i="6"/>
  <c r="CC71" i="6"/>
  <c r="CA71" i="6"/>
  <c r="BY71" i="6"/>
  <c r="BW71" i="6"/>
  <c r="BU71" i="6"/>
  <c r="BS71" i="6"/>
  <c r="BQ71" i="6"/>
  <c r="BO71" i="6"/>
  <c r="BM71" i="6"/>
  <c r="BK71" i="6"/>
  <c r="BI71" i="6"/>
  <c r="BG71" i="6"/>
  <c r="BE71" i="6"/>
  <c r="BC71" i="6"/>
  <c r="BA71" i="6"/>
  <c r="AY71" i="6"/>
  <c r="AW71" i="6"/>
  <c r="AU71" i="6"/>
  <c r="AS71" i="6"/>
  <c r="AQ71" i="6"/>
  <c r="AO71" i="6"/>
  <c r="AM71" i="6"/>
  <c r="AK71" i="6"/>
  <c r="AI71" i="6"/>
  <c r="AG71" i="6"/>
  <c r="AF71" i="6"/>
  <c r="AE71" i="6"/>
  <c r="AB71" i="6"/>
  <c r="AA71" i="6"/>
  <c r="Z71" i="6"/>
  <c r="V71" i="6"/>
  <c r="U71" i="6"/>
  <c r="T71" i="6"/>
  <c r="S71" i="6"/>
  <c r="Q71" i="6"/>
  <c r="E71" i="6"/>
  <c r="D71" i="6"/>
  <c r="B71" i="6"/>
  <c r="A71" i="6"/>
  <c r="DL70" i="6"/>
  <c r="DJ70" i="6"/>
  <c r="DI70" i="6"/>
  <c r="DH70" i="6"/>
  <c r="DE70" i="6"/>
  <c r="DC70" i="6"/>
  <c r="CY70" i="6"/>
  <c r="CW70" i="6"/>
  <c r="CV70" i="6"/>
  <c r="CU70" i="6"/>
  <c r="CS70" i="6"/>
  <c r="CK70" i="6"/>
  <c r="CI70" i="6"/>
  <c r="CG70" i="6"/>
  <c r="CF70" i="6"/>
  <c r="CE70" i="6"/>
  <c r="CD70" i="6"/>
  <c r="CC70" i="6"/>
  <c r="CA70" i="6"/>
  <c r="BY70" i="6"/>
  <c r="BW70" i="6"/>
  <c r="BU70" i="6"/>
  <c r="BS70" i="6"/>
  <c r="BQ70" i="6"/>
  <c r="BO70" i="6"/>
  <c r="BM70" i="6"/>
  <c r="BK70" i="6"/>
  <c r="BI70" i="6"/>
  <c r="BG70" i="6"/>
  <c r="BE70" i="6"/>
  <c r="BC70" i="6"/>
  <c r="BA70" i="6"/>
  <c r="AY70" i="6"/>
  <c r="AW70" i="6"/>
  <c r="AU70" i="6"/>
  <c r="AS70" i="6"/>
  <c r="AQ70" i="6"/>
  <c r="AO70" i="6"/>
  <c r="AM70" i="6"/>
  <c r="AK70" i="6"/>
  <c r="AI70" i="6"/>
  <c r="AG70" i="6"/>
  <c r="AF70" i="6"/>
  <c r="AE70" i="6"/>
  <c r="AB70" i="6"/>
  <c r="AA70" i="6"/>
  <c r="Z70" i="6"/>
  <c r="V70" i="6"/>
  <c r="U70" i="6"/>
  <c r="T70" i="6"/>
  <c r="S70" i="6"/>
  <c r="Q70" i="6"/>
  <c r="E70" i="6"/>
  <c r="D70" i="6"/>
  <c r="B70" i="6"/>
  <c r="A70" i="6"/>
  <c r="DL69" i="6"/>
  <c r="DJ69" i="6"/>
  <c r="DI69" i="6"/>
  <c r="DE69" i="6"/>
  <c r="DC69" i="6"/>
  <c r="CY69" i="6"/>
  <c r="CW69" i="6"/>
  <c r="CU69" i="6"/>
  <c r="CS69" i="6"/>
  <c r="CR69" i="6"/>
  <c r="CO69" i="6"/>
  <c r="CK69" i="6"/>
  <c r="CI69" i="6"/>
  <c r="CG69" i="6"/>
  <c r="CE69" i="6"/>
  <c r="CC69" i="6"/>
  <c r="CA69" i="6"/>
  <c r="BY69" i="6"/>
  <c r="BW69" i="6"/>
  <c r="BU69" i="6"/>
  <c r="BS69" i="6"/>
  <c r="BQ69" i="6"/>
  <c r="BO69" i="6"/>
  <c r="BM69" i="6"/>
  <c r="BK69" i="6"/>
  <c r="BI69" i="6"/>
  <c r="BG69" i="6"/>
  <c r="BE69" i="6"/>
  <c r="BC69" i="6"/>
  <c r="BA69" i="6"/>
  <c r="AY69" i="6"/>
  <c r="AW69" i="6"/>
  <c r="AU69" i="6"/>
  <c r="AS69" i="6"/>
  <c r="AQ69" i="6"/>
  <c r="AO69" i="6"/>
  <c r="AM69" i="6"/>
  <c r="AK69" i="6"/>
  <c r="AJ69" i="6"/>
  <c r="AI69" i="6"/>
  <c r="AH69" i="6"/>
  <c r="AG69" i="6"/>
  <c r="AF69" i="6"/>
  <c r="AE69" i="6"/>
  <c r="AB69" i="6"/>
  <c r="AA69" i="6"/>
  <c r="Z69" i="6"/>
  <c r="V69" i="6"/>
  <c r="U69" i="6"/>
  <c r="T69" i="6"/>
  <c r="S69" i="6"/>
  <c r="P69" i="6"/>
  <c r="L69" i="6"/>
  <c r="K69" i="6"/>
  <c r="E69" i="6"/>
  <c r="D69" i="6"/>
  <c r="B69" i="6"/>
  <c r="A69" i="6"/>
  <c r="DL68" i="6"/>
  <c r="DJ68" i="6"/>
  <c r="DI68" i="6"/>
  <c r="DH68" i="6"/>
  <c r="DE68" i="6"/>
  <c r="DC68" i="6"/>
  <c r="CY68" i="6"/>
  <c r="CW68" i="6"/>
  <c r="CV68" i="6"/>
  <c r="CU68" i="6"/>
  <c r="CS68" i="6"/>
  <c r="CK68" i="6"/>
  <c r="CI68" i="6"/>
  <c r="CG68" i="6"/>
  <c r="CF68" i="6"/>
  <c r="CE68" i="6"/>
  <c r="CD68" i="6"/>
  <c r="CC68" i="6"/>
  <c r="CA68" i="6"/>
  <c r="BY68" i="6"/>
  <c r="BW68" i="6"/>
  <c r="BU68" i="6"/>
  <c r="BS68" i="6"/>
  <c r="BQ68" i="6"/>
  <c r="BO68" i="6"/>
  <c r="BM68" i="6"/>
  <c r="BK68" i="6"/>
  <c r="BI68" i="6"/>
  <c r="BG68" i="6"/>
  <c r="BE68" i="6"/>
  <c r="BC68" i="6"/>
  <c r="BA68" i="6"/>
  <c r="AY68" i="6"/>
  <c r="AW68" i="6"/>
  <c r="AU68" i="6"/>
  <c r="AS68" i="6"/>
  <c r="AQ68" i="6"/>
  <c r="AO68" i="6"/>
  <c r="AM68" i="6"/>
  <c r="AK68" i="6"/>
  <c r="AI68" i="6"/>
  <c r="AG68" i="6"/>
  <c r="AF68" i="6"/>
  <c r="AE68" i="6"/>
  <c r="AB68" i="6"/>
  <c r="AA68" i="6"/>
  <c r="Z68" i="6"/>
  <c r="V68" i="6"/>
  <c r="U68" i="6"/>
  <c r="T68" i="6"/>
  <c r="S68" i="6"/>
  <c r="Q68" i="6"/>
  <c r="L68" i="6"/>
  <c r="K68" i="6"/>
  <c r="E68" i="6"/>
  <c r="D68" i="6"/>
  <c r="B68" i="6"/>
  <c r="A68" i="6"/>
  <c r="DL67" i="6"/>
  <c r="DJ67" i="6"/>
  <c r="DI67" i="6"/>
  <c r="DH67" i="6"/>
  <c r="DE67" i="6"/>
  <c r="DC67" i="6"/>
  <c r="CY67" i="6"/>
  <c r="CW67" i="6"/>
  <c r="CV67" i="6"/>
  <c r="CU67" i="6"/>
  <c r="CS67" i="6"/>
  <c r="CK67" i="6"/>
  <c r="CI67" i="6"/>
  <c r="CG67" i="6"/>
  <c r="CF67" i="6"/>
  <c r="CE67" i="6"/>
  <c r="CD67" i="6"/>
  <c r="CC67" i="6"/>
  <c r="CA67" i="6"/>
  <c r="BY67" i="6"/>
  <c r="BW67" i="6"/>
  <c r="BU67" i="6"/>
  <c r="BS67" i="6"/>
  <c r="BQ67" i="6"/>
  <c r="BO67" i="6"/>
  <c r="BM67" i="6"/>
  <c r="BK67" i="6"/>
  <c r="BI67" i="6"/>
  <c r="BG67" i="6"/>
  <c r="BE67" i="6"/>
  <c r="BC67" i="6"/>
  <c r="BA67" i="6"/>
  <c r="AY67" i="6"/>
  <c r="AW67" i="6"/>
  <c r="AU67" i="6"/>
  <c r="AS67" i="6"/>
  <c r="AQ67" i="6"/>
  <c r="AO67" i="6"/>
  <c r="AM67" i="6"/>
  <c r="AK67" i="6"/>
  <c r="AI67" i="6"/>
  <c r="AG67" i="6"/>
  <c r="AF67" i="6"/>
  <c r="AE67" i="6"/>
  <c r="AB67" i="6"/>
  <c r="AA67" i="6"/>
  <c r="Z67" i="6"/>
  <c r="V67" i="6"/>
  <c r="U67" i="6"/>
  <c r="T67" i="6"/>
  <c r="S67" i="6"/>
  <c r="Q67" i="6"/>
  <c r="L67" i="6"/>
  <c r="K67" i="6"/>
  <c r="E67" i="6"/>
  <c r="D67" i="6"/>
  <c r="B67" i="6"/>
  <c r="A67" i="6"/>
  <c r="DL66" i="6"/>
  <c r="DJ66" i="6"/>
  <c r="DI66" i="6"/>
  <c r="DH66" i="6"/>
  <c r="DG66" i="6"/>
  <c r="DF66" i="6"/>
  <c r="DE66" i="6"/>
  <c r="DC66" i="6"/>
  <c r="CY66" i="6"/>
  <c r="CW66" i="6"/>
  <c r="CV66" i="6"/>
  <c r="CU66" i="6"/>
  <c r="CS66" i="6"/>
  <c r="CK66" i="6"/>
  <c r="CI66" i="6"/>
  <c r="CG66" i="6"/>
  <c r="CF66" i="6"/>
  <c r="CE66" i="6"/>
  <c r="CD66" i="6"/>
  <c r="CC66" i="6"/>
  <c r="CA66" i="6"/>
  <c r="BY66" i="6"/>
  <c r="BW66" i="6"/>
  <c r="BU66" i="6"/>
  <c r="BS66" i="6"/>
  <c r="BQ66" i="6"/>
  <c r="BO66" i="6"/>
  <c r="BM66" i="6"/>
  <c r="BK66" i="6"/>
  <c r="BI66" i="6"/>
  <c r="BG66" i="6"/>
  <c r="BE66" i="6"/>
  <c r="BC66" i="6"/>
  <c r="BA66" i="6"/>
  <c r="AY66" i="6"/>
  <c r="AW66" i="6"/>
  <c r="AU66" i="6"/>
  <c r="AS66" i="6"/>
  <c r="AQ66" i="6"/>
  <c r="AO66" i="6"/>
  <c r="AM66" i="6"/>
  <c r="AK66" i="6"/>
  <c r="AJ66" i="6"/>
  <c r="AI66" i="6"/>
  <c r="AH66" i="6"/>
  <c r="AG66" i="6"/>
  <c r="AF66" i="6"/>
  <c r="AE66" i="6"/>
  <c r="AD66" i="6"/>
  <c r="AB66" i="6"/>
  <c r="AA66" i="6"/>
  <c r="Z66" i="6"/>
  <c r="V66" i="6"/>
  <c r="U66" i="6"/>
  <c r="T66" i="6"/>
  <c r="S66" i="6"/>
  <c r="L66" i="6"/>
  <c r="K66" i="6"/>
  <c r="J66" i="6"/>
  <c r="E66" i="6"/>
  <c r="D66" i="6"/>
  <c r="B66" i="6"/>
  <c r="A66" i="6"/>
  <c r="DL65" i="6"/>
  <c r="DJ65" i="6"/>
  <c r="DI65" i="6"/>
  <c r="DH65" i="6"/>
  <c r="DE65" i="6"/>
  <c r="DC65" i="6"/>
  <c r="CY65" i="6"/>
  <c r="CW65" i="6"/>
  <c r="CU65" i="6"/>
  <c r="CS65" i="6"/>
  <c r="CK65" i="6"/>
  <c r="CI65" i="6"/>
  <c r="CG65" i="6"/>
  <c r="CF65" i="6"/>
  <c r="CE65" i="6"/>
  <c r="CD65" i="6"/>
  <c r="CC65" i="6"/>
  <c r="CA65" i="6"/>
  <c r="BY65" i="6"/>
  <c r="BW65" i="6"/>
  <c r="BU65" i="6"/>
  <c r="BS65" i="6"/>
  <c r="BQ65" i="6"/>
  <c r="BO65" i="6"/>
  <c r="BM65" i="6"/>
  <c r="BK65" i="6"/>
  <c r="BI65" i="6"/>
  <c r="BG65" i="6"/>
  <c r="BE65" i="6"/>
  <c r="BC65" i="6"/>
  <c r="BA65" i="6"/>
  <c r="AY65" i="6"/>
  <c r="AW65" i="6"/>
  <c r="AU65" i="6"/>
  <c r="AS65" i="6"/>
  <c r="AQ65" i="6"/>
  <c r="AO65" i="6"/>
  <c r="AM65" i="6"/>
  <c r="AK65" i="6"/>
  <c r="AI65" i="6"/>
  <c r="AG65" i="6"/>
  <c r="AF65" i="6"/>
  <c r="AE65" i="6"/>
  <c r="AB65" i="6"/>
  <c r="AA65" i="6"/>
  <c r="Z65" i="6"/>
  <c r="V65" i="6"/>
  <c r="U65" i="6"/>
  <c r="T65" i="6"/>
  <c r="S65" i="6"/>
  <c r="E65" i="6"/>
  <c r="D65" i="6"/>
  <c r="B65" i="6"/>
  <c r="A65" i="6"/>
  <c r="DL64" i="6"/>
  <c r="DJ64" i="6"/>
  <c r="DI64" i="6"/>
  <c r="DH64" i="6"/>
  <c r="DE64" i="6"/>
  <c r="DC64" i="6"/>
  <c r="CY64" i="6"/>
  <c r="CW64" i="6"/>
  <c r="CU64" i="6"/>
  <c r="CS64" i="6"/>
  <c r="CK64" i="6"/>
  <c r="CI64" i="6"/>
  <c r="CG64" i="6"/>
  <c r="CF64" i="6"/>
  <c r="CE64" i="6"/>
  <c r="CD64" i="6"/>
  <c r="CC64" i="6"/>
  <c r="CA64" i="6"/>
  <c r="BY64" i="6"/>
  <c r="BW64" i="6"/>
  <c r="BU64" i="6"/>
  <c r="BS64" i="6"/>
  <c r="BQ64" i="6"/>
  <c r="BO64" i="6"/>
  <c r="BM64" i="6"/>
  <c r="BK64" i="6"/>
  <c r="BI64" i="6"/>
  <c r="BG64" i="6"/>
  <c r="BE64" i="6"/>
  <c r="BC64" i="6"/>
  <c r="BA64" i="6"/>
  <c r="AY64" i="6"/>
  <c r="AW64" i="6"/>
  <c r="AU64" i="6"/>
  <c r="AS64" i="6"/>
  <c r="AQ64" i="6"/>
  <c r="AO64" i="6"/>
  <c r="AM64" i="6"/>
  <c r="AK64" i="6"/>
  <c r="AI64" i="6"/>
  <c r="AG64" i="6"/>
  <c r="AF64" i="6"/>
  <c r="AE64" i="6"/>
  <c r="AB64" i="6"/>
  <c r="AA64" i="6"/>
  <c r="Z64" i="6"/>
  <c r="V64" i="6"/>
  <c r="U64" i="6"/>
  <c r="T64" i="6"/>
  <c r="S64" i="6"/>
  <c r="E64" i="6"/>
  <c r="D64" i="6"/>
  <c r="B64" i="6"/>
  <c r="A64" i="6"/>
  <c r="DL63" i="6"/>
  <c r="DJ63" i="6"/>
  <c r="DI63" i="6"/>
  <c r="DE63" i="6"/>
  <c r="DC63" i="6"/>
  <c r="CY63" i="6"/>
  <c r="CW63" i="6"/>
  <c r="CU63" i="6"/>
  <c r="CS63" i="6"/>
  <c r="CR63" i="6"/>
  <c r="CK63" i="6"/>
  <c r="CI63" i="6"/>
  <c r="CG63" i="6"/>
  <c r="CE63" i="6"/>
  <c r="CC63" i="6"/>
  <c r="CA63" i="6"/>
  <c r="BY63" i="6"/>
  <c r="BW63" i="6"/>
  <c r="BU63" i="6"/>
  <c r="BS63" i="6"/>
  <c r="BQ63" i="6"/>
  <c r="BO63" i="6"/>
  <c r="BM63" i="6"/>
  <c r="BK63" i="6"/>
  <c r="BI63" i="6"/>
  <c r="BG63" i="6"/>
  <c r="BE63" i="6"/>
  <c r="BC63" i="6"/>
  <c r="BA63" i="6"/>
  <c r="AY63" i="6"/>
  <c r="AW63" i="6"/>
  <c r="AU63" i="6"/>
  <c r="AS63" i="6"/>
  <c r="AQ63" i="6"/>
  <c r="AO63" i="6"/>
  <c r="AM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V63" i="6"/>
  <c r="U63" i="6"/>
  <c r="T63" i="6"/>
  <c r="S63" i="6"/>
  <c r="O63" i="6"/>
  <c r="N63" i="6"/>
  <c r="M63" i="6"/>
  <c r="L63" i="6"/>
  <c r="K63" i="6"/>
  <c r="J63" i="6"/>
  <c r="E63" i="6"/>
  <c r="D63" i="6"/>
  <c r="B63" i="6"/>
  <c r="A63" i="6"/>
  <c r="DL62" i="6"/>
  <c r="DJ62" i="6"/>
  <c r="DI62" i="6"/>
  <c r="DH62" i="6"/>
  <c r="DE62" i="6"/>
  <c r="DC62" i="6"/>
  <c r="CY62" i="6"/>
  <c r="CW62" i="6"/>
  <c r="CV62" i="6"/>
  <c r="CU62" i="6"/>
  <c r="CS62" i="6"/>
  <c r="CR62" i="6"/>
  <c r="CK62" i="6"/>
  <c r="CI62" i="6"/>
  <c r="CG62" i="6"/>
  <c r="CF62" i="6"/>
  <c r="CE62" i="6"/>
  <c r="CD62" i="6"/>
  <c r="CC62" i="6"/>
  <c r="CA62" i="6"/>
  <c r="BY62" i="6"/>
  <c r="BW62" i="6"/>
  <c r="BU62" i="6"/>
  <c r="BS62" i="6"/>
  <c r="BQ62" i="6"/>
  <c r="BO62" i="6"/>
  <c r="BM62" i="6"/>
  <c r="BK62" i="6"/>
  <c r="BI62" i="6"/>
  <c r="BG62" i="6"/>
  <c r="BE62" i="6"/>
  <c r="BC62" i="6"/>
  <c r="BA62" i="6"/>
  <c r="AY62" i="6"/>
  <c r="AW62" i="6"/>
  <c r="AU62" i="6"/>
  <c r="AS62" i="6"/>
  <c r="AQ62" i="6"/>
  <c r="AO62" i="6"/>
  <c r="AM62" i="6"/>
  <c r="AK62" i="6"/>
  <c r="AI62" i="6"/>
  <c r="AG62" i="6"/>
  <c r="AF62" i="6"/>
  <c r="AE62" i="6"/>
  <c r="AB62" i="6"/>
  <c r="AA62" i="6"/>
  <c r="Z62" i="6"/>
  <c r="V62" i="6"/>
  <c r="U62" i="6"/>
  <c r="T62" i="6"/>
  <c r="S62" i="6"/>
  <c r="Q62" i="6"/>
  <c r="E62" i="6"/>
  <c r="D62" i="6"/>
  <c r="B62" i="6"/>
  <c r="A62" i="6"/>
  <c r="DL61" i="6"/>
  <c r="DJ61" i="6"/>
  <c r="DI61" i="6"/>
  <c r="DE61" i="6"/>
  <c r="DC61" i="6"/>
  <c r="CY61" i="6"/>
  <c r="CW61" i="6"/>
  <c r="CU61" i="6"/>
  <c r="CS61" i="6"/>
  <c r="CR61" i="6"/>
  <c r="CK61" i="6"/>
  <c r="CI61" i="6"/>
  <c r="CG61" i="6"/>
  <c r="CE61" i="6"/>
  <c r="CC61" i="6"/>
  <c r="CA61" i="6"/>
  <c r="BY61" i="6"/>
  <c r="BW61" i="6"/>
  <c r="BU61" i="6"/>
  <c r="BS61" i="6"/>
  <c r="BQ61" i="6"/>
  <c r="BO61" i="6"/>
  <c r="BM61" i="6"/>
  <c r="BK61" i="6"/>
  <c r="BI61" i="6"/>
  <c r="BG61" i="6"/>
  <c r="BE61" i="6"/>
  <c r="BC61" i="6"/>
  <c r="BA61" i="6"/>
  <c r="AY61" i="6"/>
  <c r="AW61" i="6"/>
  <c r="AU61" i="6"/>
  <c r="AS61" i="6"/>
  <c r="AQ61" i="6"/>
  <c r="AO61" i="6"/>
  <c r="AN61" i="6"/>
  <c r="AM61" i="6"/>
  <c r="AL61" i="6"/>
  <c r="AK61" i="6"/>
  <c r="AJ61" i="6"/>
  <c r="AI61" i="6"/>
  <c r="AH61" i="6"/>
  <c r="AG61" i="6"/>
  <c r="AF61" i="6"/>
  <c r="AE61" i="6"/>
  <c r="AB61" i="6"/>
  <c r="AA61" i="6"/>
  <c r="Z61" i="6"/>
  <c r="V61" i="6"/>
  <c r="U61" i="6"/>
  <c r="T61" i="6"/>
  <c r="S61" i="6"/>
  <c r="L61" i="6"/>
  <c r="K61" i="6"/>
  <c r="E61" i="6"/>
  <c r="D61" i="6"/>
  <c r="B61" i="6"/>
  <c r="A61" i="6"/>
  <c r="DL60" i="6"/>
  <c r="DJ60" i="6"/>
  <c r="DI60" i="6"/>
  <c r="DE60" i="6"/>
  <c r="DC60" i="6"/>
  <c r="CY60" i="6"/>
  <c r="CW60" i="6"/>
  <c r="CU60" i="6"/>
  <c r="CS60" i="6"/>
  <c r="CR60" i="6"/>
  <c r="CK60" i="6"/>
  <c r="CI60" i="6"/>
  <c r="CG60" i="6"/>
  <c r="CE60" i="6"/>
  <c r="CC60" i="6"/>
  <c r="CA60" i="6"/>
  <c r="BY60" i="6"/>
  <c r="BW60" i="6"/>
  <c r="BU60" i="6"/>
  <c r="BS60" i="6"/>
  <c r="BQ60" i="6"/>
  <c r="BO60" i="6"/>
  <c r="BM60" i="6"/>
  <c r="BK60" i="6"/>
  <c r="BI60" i="6"/>
  <c r="BG60" i="6"/>
  <c r="BE60" i="6"/>
  <c r="BC60" i="6"/>
  <c r="BA60" i="6"/>
  <c r="AY60" i="6"/>
  <c r="AW60" i="6"/>
  <c r="AU60" i="6"/>
  <c r="AS60" i="6"/>
  <c r="AQ60" i="6"/>
  <c r="AO60" i="6"/>
  <c r="AM60" i="6"/>
  <c r="AK60" i="6"/>
  <c r="AJ60" i="6"/>
  <c r="AI60" i="6"/>
  <c r="AH60" i="6"/>
  <c r="AG60" i="6"/>
  <c r="AF60" i="6"/>
  <c r="AE60" i="6"/>
  <c r="AB60" i="6"/>
  <c r="AA60" i="6"/>
  <c r="Z60" i="6"/>
  <c r="V60" i="6"/>
  <c r="U60" i="6"/>
  <c r="T60" i="6"/>
  <c r="S60" i="6"/>
  <c r="Q60" i="6"/>
  <c r="L60" i="6"/>
  <c r="K60" i="6"/>
  <c r="E60" i="6"/>
  <c r="D60" i="6"/>
  <c r="B60" i="6"/>
  <c r="A60" i="6"/>
  <c r="DL59" i="6"/>
  <c r="DJ59" i="6"/>
  <c r="DI59" i="6"/>
  <c r="DH59" i="6"/>
  <c r="DE59" i="6"/>
  <c r="DC59" i="6"/>
  <c r="CY59" i="6"/>
  <c r="CW59" i="6"/>
  <c r="CV59" i="6"/>
  <c r="CU59" i="6"/>
  <c r="CS59" i="6"/>
  <c r="CR59" i="6"/>
  <c r="CK59" i="6"/>
  <c r="CI59" i="6"/>
  <c r="CG59" i="6"/>
  <c r="CF59" i="6"/>
  <c r="CE59" i="6"/>
  <c r="CD59" i="6"/>
  <c r="CC59" i="6"/>
  <c r="CA59" i="6"/>
  <c r="BY59" i="6"/>
  <c r="BW59" i="6"/>
  <c r="BU59" i="6"/>
  <c r="BS59" i="6"/>
  <c r="BQ59" i="6"/>
  <c r="BO59" i="6"/>
  <c r="BM59" i="6"/>
  <c r="BK59" i="6"/>
  <c r="BI59" i="6"/>
  <c r="BG59" i="6"/>
  <c r="BE59" i="6"/>
  <c r="BC59" i="6"/>
  <c r="BA59" i="6"/>
  <c r="AY59" i="6"/>
  <c r="AW59" i="6"/>
  <c r="AU59" i="6"/>
  <c r="AS59" i="6"/>
  <c r="AQ59" i="6"/>
  <c r="AO59" i="6"/>
  <c r="AM59" i="6"/>
  <c r="AK59" i="6"/>
  <c r="AJ59" i="6"/>
  <c r="AI59" i="6"/>
  <c r="AH59" i="6"/>
  <c r="AG59" i="6"/>
  <c r="AF59" i="6"/>
  <c r="AE59" i="6"/>
  <c r="AB59" i="6"/>
  <c r="AA59" i="6"/>
  <c r="Z59" i="6"/>
  <c r="V59" i="6"/>
  <c r="U59" i="6"/>
  <c r="T59" i="6"/>
  <c r="S59" i="6"/>
  <c r="Q59" i="6"/>
  <c r="E59" i="6"/>
  <c r="D59" i="6"/>
  <c r="B59" i="6"/>
  <c r="A59" i="6"/>
  <c r="DL58" i="6"/>
  <c r="DJ58" i="6"/>
  <c r="DI58" i="6"/>
  <c r="DE58" i="6"/>
  <c r="DC58" i="6"/>
  <c r="CY58" i="6"/>
  <c r="CW58" i="6"/>
  <c r="CU58" i="6"/>
  <c r="CS58" i="6"/>
  <c r="CR58" i="6"/>
  <c r="CK58" i="6"/>
  <c r="CI58" i="6"/>
  <c r="CG58" i="6"/>
  <c r="CE58" i="6"/>
  <c r="CC58" i="6"/>
  <c r="CA58" i="6"/>
  <c r="BY58" i="6"/>
  <c r="BW58" i="6"/>
  <c r="BU58" i="6"/>
  <c r="BS58" i="6"/>
  <c r="BQ58" i="6"/>
  <c r="BO58" i="6"/>
  <c r="BM58" i="6"/>
  <c r="BK58" i="6"/>
  <c r="BI58" i="6"/>
  <c r="BG58" i="6"/>
  <c r="BE58" i="6"/>
  <c r="BC58" i="6"/>
  <c r="BA58" i="6"/>
  <c r="AY58" i="6"/>
  <c r="AW58" i="6"/>
  <c r="AU58" i="6"/>
  <c r="AS58" i="6"/>
  <c r="AQ58" i="6"/>
  <c r="AO58" i="6"/>
  <c r="AM58" i="6"/>
  <c r="AK58" i="6"/>
  <c r="AI58" i="6"/>
  <c r="AG58" i="6"/>
  <c r="AF58" i="6"/>
  <c r="AE58" i="6"/>
  <c r="AD58" i="6"/>
  <c r="AB58" i="6"/>
  <c r="AA58" i="6"/>
  <c r="Z58" i="6"/>
  <c r="V58" i="6"/>
  <c r="U58" i="6"/>
  <c r="T58" i="6"/>
  <c r="S58" i="6"/>
  <c r="L58" i="6"/>
  <c r="K58" i="6"/>
  <c r="E58" i="6"/>
  <c r="D58" i="6"/>
  <c r="B58" i="6"/>
  <c r="A58" i="6"/>
  <c r="DL57" i="6"/>
  <c r="DJ57" i="6"/>
  <c r="DI57" i="6"/>
  <c r="DE57" i="6"/>
  <c r="DC57" i="6"/>
  <c r="CY57" i="6"/>
  <c r="CW57" i="6"/>
  <c r="CV57" i="6"/>
  <c r="CU57" i="6"/>
  <c r="CS57" i="6"/>
  <c r="CK57" i="6"/>
  <c r="CI57" i="6"/>
  <c r="CG57" i="6"/>
  <c r="CE57" i="6"/>
  <c r="CC57" i="6"/>
  <c r="CA57" i="6"/>
  <c r="BY57" i="6"/>
  <c r="BW57" i="6"/>
  <c r="BU57" i="6"/>
  <c r="BS57" i="6"/>
  <c r="BQ57" i="6"/>
  <c r="BO57" i="6"/>
  <c r="BM57" i="6"/>
  <c r="BK57" i="6"/>
  <c r="BI57" i="6"/>
  <c r="BG57" i="6"/>
  <c r="BE57" i="6"/>
  <c r="BC57" i="6"/>
  <c r="BA57" i="6"/>
  <c r="AY57" i="6"/>
  <c r="AW57" i="6"/>
  <c r="AU57" i="6"/>
  <c r="AS57" i="6"/>
  <c r="AQ57" i="6"/>
  <c r="AO57" i="6"/>
  <c r="AM57" i="6"/>
  <c r="AK57" i="6"/>
  <c r="AI57" i="6"/>
  <c r="AG57" i="6"/>
  <c r="AF57" i="6"/>
  <c r="AE57" i="6"/>
  <c r="AB57" i="6"/>
  <c r="AA57" i="6"/>
  <c r="Z57" i="6"/>
  <c r="V57" i="6"/>
  <c r="U57" i="6"/>
  <c r="T57" i="6"/>
  <c r="S57" i="6"/>
  <c r="L57" i="6"/>
  <c r="K57" i="6"/>
  <c r="E57" i="6"/>
  <c r="D57" i="6"/>
  <c r="B57" i="6"/>
  <c r="A57" i="6"/>
  <c r="DL56" i="6"/>
  <c r="DJ56" i="6"/>
  <c r="DI56" i="6"/>
  <c r="DH56" i="6"/>
  <c r="DG56" i="6"/>
  <c r="DF56" i="6"/>
  <c r="DE56" i="6"/>
  <c r="DC56" i="6"/>
  <c r="CY56" i="6"/>
  <c r="CW56" i="6"/>
  <c r="CV56" i="6"/>
  <c r="CU56" i="6"/>
  <c r="CS56" i="6"/>
  <c r="CK56" i="6"/>
  <c r="CJ56" i="6"/>
  <c r="CI56" i="6"/>
  <c r="CH56" i="6"/>
  <c r="CG56" i="6"/>
  <c r="CF56" i="6"/>
  <c r="CE56" i="6"/>
  <c r="CD56" i="6"/>
  <c r="CC56" i="6"/>
  <c r="CA56" i="6"/>
  <c r="BY56" i="6"/>
  <c r="BW56" i="6"/>
  <c r="BU56" i="6"/>
  <c r="BS56" i="6"/>
  <c r="BQ56" i="6"/>
  <c r="BO56" i="6"/>
  <c r="BM56" i="6"/>
  <c r="BK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B56" i="6"/>
  <c r="AA56" i="6"/>
  <c r="Z56" i="6"/>
  <c r="V56" i="6"/>
  <c r="U56" i="6"/>
  <c r="T56" i="6"/>
  <c r="S56" i="6"/>
  <c r="L56" i="6"/>
  <c r="K56" i="6"/>
  <c r="E56" i="6"/>
  <c r="D56" i="6"/>
  <c r="B56" i="6"/>
  <c r="A56" i="6"/>
  <c r="DL55" i="6"/>
  <c r="DJ55" i="6"/>
  <c r="DI55" i="6"/>
  <c r="DE55" i="6"/>
  <c r="DC55" i="6"/>
  <c r="CY55" i="6"/>
  <c r="CW55" i="6"/>
  <c r="CV55" i="6"/>
  <c r="CU55" i="6"/>
  <c r="CS55" i="6"/>
  <c r="CK55" i="6"/>
  <c r="CI55" i="6"/>
  <c r="CG55" i="6"/>
  <c r="CE55" i="6"/>
  <c r="CC55" i="6"/>
  <c r="CA55" i="6"/>
  <c r="BY55" i="6"/>
  <c r="BW55" i="6"/>
  <c r="BU55" i="6"/>
  <c r="BS55" i="6"/>
  <c r="BQ55" i="6"/>
  <c r="BO55" i="6"/>
  <c r="BM55" i="6"/>
  <c r="BK55" i="6"/>
  <c r="BI55" i="6"/>
  <c r="BG55" i="6"/>
  <c r="BE55" i="6"/>
  <c r="BC55" i="6"/>
  <c r="BA55" i="6"/>
  <c r="AY55" i="6"/>
  <c r="AW55" i="6"/>
  <c r="AU55" i="6"/>
  <c r="AS55" i="6"/>
  <c r="AQ55" i="6"/>
  <c r="AO55" i="6"/>
  <c r="AM55" i="6"/>
  <c r="AK55" i="6"/>
  <c r="AI55" i="6"/>
  <c r="AG55" i="6"/>
  <c r="AF55" i="6"/>
  <c r="AE55" i="6"/>
  <c r="AB55" i="6"/>
  <c r="AA55" i="6"/>
  <c r="Z55" i="6"/>
  <c r="V55" i="6"/>
  <c r="U55" i="6"/>
  <c r="T55" i="6"/>
  <c r="S55" i="6"/>
  <c r="E55" i="6"/>
  <c r="D55" i="6"/>
  <c r="B55" i="6"/>
  <c r="A55" i="6"/>
  <c r="DL54" i="6"/>
  <c r="DK54" i="6"/>
  <c r="DJ54" i="6"/>
  <c r="DI54" i="6"/>
  <c r="DH54" i="6"/>
  <c r="DG54" i="6"/>
  <c r="DF54" i="6"/>
  <c r="DE54" i="6"/>
  <c r="DD54" i="6"/>
  <c r="DC54" i="6"/>
  <c r="DA54" i="6"/>
  <c r="CY54" i="6"/>
  <c r="CX54" i="6"/>
  <c r="CW54" i="6"/>
  <c r="CV54" i="6"/>
  <c r="CU54" i="6"/>
  <c r="CT54" i="6"/>
  <c r="CS54" i="6"/>
  <c r="CO54" i="6"/>
  <c r="CK54" i="6"/>
  <c r="CJ54" i="6"/>
  <c r="CI54" i="6"/>
  <c r="CH54" i="6"/>
  <c r="CG54" i="6"/>
  <c r="CF54" i="6"/>
  <c r="CE54" i="6"/>
  <c r="CD54" i="6"/>
  <c r="CC54" i="6"/>
  <c r="CA54" i="6"/>
  <c r="BY54" i="6"/>
  <c r="BW54" i="6"/>
  <c r="BU54" i="6"/>
  <c r="BS54" i="6"/>
  <c r="BQ54" i="6"/>
  <c r="BO54" i="6"/>
  <c r="BM54" i="6"/>
  <c r="BK54" i="6"/>
  <c r="BI54" i="6"/>
  <c r="BG54" i="6"/>
  <c r="BE54" i="6"/>
  <c r="BC54" i="6"/>
  <c r="BA54" i="6"/>
  <c r="AY54" i="6"/>
  <c r="AW54" i="6"/>
  <c r="AU54" i="6"/>
  <c r="AS54" i="6"/>
  <c r="AQ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B54" i="6"/>
  <c r="AA54" i="6"/>
  <c r="Z54" i="6"/>
  <c r="V54" i="6"/>
  <c r="U54" i="6"/>
  <c r="T54" i="6"/>
  <c r="S54" i="6"/>
  <c r="Q54" i="6"/>
  <c r="P54" i="6"/>
  <c r="O54" i="6"/>
  <c r="N54" i="6"/>
  <c r="M54" i="6"/>
  <c r="L54" i="6"/>
  <c r="K54" i="6"/>
  <c r="E54" i="6"/>
  <c r="D54" i="6"/>
  <c r="B54" i="6"/>
  <c r="A54" i="6"/>
  <c r="DL53" i="6"/>
  <c r="DJ53" i="6"/>
  <c r="DI53" i="6"/>
  <c r="DE53" i="6"/>
  <c r="DD53" i="6"/>
  <c r="DC53" i="6"/>
  <c r="DA53" i="6"/>
  <c r="CY53" i="6"/>
  <c r="CX53" i="6"/>
  <c r="CW53" i="6"/>
  <c r="CU53" i="6"/>
  <c r="CS53" i="6"/>
  <c r="CK53" i="6"/>
  <c r="CI53" i="6"/>
  <c r="CG53" i="6"/>
  <c r="CE53" i="6"/>
  <c r="CC53" i="6"/>
  <c r="CA53" i="6"/>
  <c r="BY53" i="6"/>
  <c r="BW53" i="6"/>
  <c r="BU53" i="6"/>
  <c r="BS53" i="6"/>
  <c r="BQ53" i="6"/>
  <c r="BO53" i="6"/>
  <c r="BM53" i="6"/>
  <c r="BK53" i="6"/>
  <c r="BI53" i="6"/>
  <c r="BG53" i="6"/>
  <c r="BE53" i="6"/>
  <c r="BC53" i="6"/>
  <c r="BA53" i="6"/>
  <c r="AY53" i="6"/>
  <c r="AW53" i="6"/>
  <c r="AU53" i="6"/>
  <c r="AS53" i="6"/>
  <c r="AQ53" i="6"/>
  <c r="AO53" i="6"/>
  <c r="AM53" i="6"/>
  <c r="AK53" i="6"/>
  <c r="AI53" i="6"/>
  <c r="AG53" i="6"/>
  <c r="AF53" i="6"/>
  <c r="AE53" i="6"/>
  <c r="AD53" i="6"/>
  <c r="AB53" i="6"/>
  <c r="AA53" i="6"/>
  <c r="Z53" i="6"/>
  <c r="V53" i="6"/>
  <c r="U53" i="6"/>
  <c r="T53" i="6"/>
  <c r="S53" i="6"/>
  <c r="Q53" i="6"/>
  <c r="L53" i="6"/>
  <c r="K53" i="6"/>
  <c r="J53" i="6"/>
  <c r="E53" i="6"/>
  <c r="D53" i="6"/>
  <c r="C53" i="6"/>
  <c r="B53" i="6"/>
  <c r="A53" i="6"/>
  <c r="DL52" i="6"/>
  <c r="DK52" i="6"/>
  <c r="DJ52" i="6"/>
  <c r="DI52" i="6"/>
  <c r="DH52" i="6"/>
  <c r="DG52" i="6"/>
  <c r="DF52" i="6"/>
  <c r="DE52" i="6"/>
  <c r="DD52" i="6"/>
  <c r="DC52" i="6"/>
  <c r="DA52" i="6"/>
  <c r="CY52" i="6"/>
  <c r="CX52" i="6"/>
  <c r="CW52" i="6"/>
  <c r="CV52" i="6"/>
  <c r="CU52" i="6"/>
  <c r="CS52" i="6"/>
  <c r="CO52" i="6"/>
  <c r="CK52" i="6"/>
  <c r="CJ52" i="6"/>
  <c r="CI52" i="6"/>
  <c r="CH52" i="6"/>
  <c r="CG52" i="6"/>
  <c r="CF52" i="6"/>
  <c r="CE52" i="6"/>
  <c r="CD52" i="6"/>
  <c r="CC52" i="6"/>
  <c r="CA52" i="6"/>
  <c r="BY52" i="6"/>
  <c r="BW52" i="6"/>
  <c r="BU52" i="6"/>
  <c r="BS52" i="6"/>
  <c r="BQ52" i="6"/>
  <c r="BO52" i="6"/>
  <c r="BM52" i="6"/>
  <c r="BK52" i="6"/>
  <c r="BI52" i="6"/>
  <c r="BG52" i="6"/>
  <c r="BE52" i="6"/>
  <c r="BC52" i="6"/>
  <c r="BA52" i="6"/>
  <c r="AY52" i="6"/>
  <c r="AW52" i="6"/>
  <c r="AU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B52" i="6"/>
  <c r="AA52" i="6"/>
  <c r="Z52" i="6"/>
  <c r="V52" i="6"/>
  <c r="U52" i="6"/>
  <c r="T52" i="6"/>
  <c r="S52" i="6"/>
  <c r="O52" i="6"/>
  <c r="N52" i="6"/>
  <c r="M52" i="6"/>
  <c r="L52" i="6"/>
  <c r="K52" i="6"/>
  <c r="F52" i="6"/>
  <c r="E52" i="6"/>
  <c r="D52" i="6"/>
  <c r="B52" i="6"/>
  <c r="A52" i="6"/>
  <c r="DL51" i="6"/>
  <c r="DJ51" i="6"/>
  <c r="DI51" i="6"/>
  <c r="DE51" i="6"/>
  <c r="DC51" i="6"/>
  <c r="CY51" i="6"/>
  <c r="CW51" i="6"/>
  <c r="CU51" i="6"/>
  <c r="CS51" i="6"/>
  <c r="CK51" i="6"/>
  <c r="CI51" i="6"/>
  <c r="CG51" i="6"/>
  <c r="CE51" i="6"/>
  <c r="CC51" i="6"/>
  <c r="CA51" i="6"/>
  <c r="BY51" i="6"/>
  <c r="BW51" i="6"/>
  <c r="BU51" i="6"/>
  <c r="BS51" i="6"/>
  <c r="BQ51" i="6"/>
  <c r="BO51" i="6"/>
  <c r="BM51" i="6"/>
  <c r="BK51" i="6"/>
  <c r="BI51" i="6"/>
  <c r="BG51" i="6"/>
  <c r="BE51" i="6"/>
  <c r="BC51" i="6"/>
  <c r="BA51" i="6"/>
  <c r="AY51" i="6"/>
  <c r="AW51" i="6"/>
  <c r="AU51" i="6"/>
  <c r="AS51" i="6"/>
  <c r="AQ51" i="6"/>
  <c r="AO51" i="6"/>
  <c r="AM51" i="6"/>
  <c r="AK51" i="6"/>
  <c r="AI51" i="6"/>
  <c r="AG51" i="6"/>
  <c r="AF51" i="6"/>
  <c r="AE51" i="6"/>
  <c r="AB51" i="6"/>
  <c r="AA51" i="6"/>
  <c r="Z51" i="6"/>
  <c r="V51" i="6"/>
  <c r="U51" i="6"/>
  <c r="T51" i="6"/>
  <c r="S51" i="6"/>
  <c r="L51" i="6"/>
  <c r="K51" i="6"/>
  <c r="J51" i="6"/>
  <c r="E51" i="6"/>
  <c r="D51" i="6"/>
  <c r="B51" i="6"/>
  <c r="A51" i="6"/>
  <c r="DL50" i="6"/>
  <c r="DJ50" i="6"/>
  <c r="DI50" i="6"/>
  <c r="DE50" i="6"/>
  <c r="DC50" i="6"/>
  <c r="DB50" i="6"/>
  <c r="DA50" i="6"/>
  <c r="CY50" i="6"/>
  <c r="CX50" i="6"/>
  <c r="CW50" i="6"/>
  <c r="CV50" i="6"/>
  <c r="CU50" i="6"/>
  <c r="CT50" i="6"/>
  <c r="CS50" i="6"/>
  <c r="CK50" i="6"/>
  <c r="CI50" i="6"/>
  <c r="CG50" i="6"/>
  <c r="CE50" i="6"/>
  <c r="CC50" i="6"/>
  <c r="CA50" i="6"/>
  <c r="BY50" i="6"/>
  <c r="BW50" i="6"/>
  <c r="BU50" i="6"/>
  <c r="BS50" i="6"/>
  <c r="BQ50" i="6"/>
  <c r="BO50" i="6"/>
  <c r="BM50" i="6"/>
  <c r="BK50" i="6"/>
  <c r="BI50" i="6"/>
  <c r="BG50" i="6"/>
  <c r="BE50" i="6"/>
  <c r="BC50" i="6"/>
  <c r="BA50" i="6"/>
  <c r="AY50" i="6"/>
  <c r="AW50" i="6"/>
  <c r="AU50" i="6"/>
  <c r="AS50" i="6"/>
  <c r="AQ50" i="6"/>
  <c r="AO50" i="6"/>
  <c r="AM50" i="6"/>
  <c r="AK50" i="6"/>
  <c r="AI50" i="6"/>
  <c r="AG50" i="6"/>
  <c r="AF50" i="6"/>
  <c r="AE50" i="6"/>
  <c r="AB50" i="6"/>
  <c r="AA50" i="6"/>
  <c r="Z50" i="6"/>
  <c r="V50" i="6"/>
  <c r="U50" i="6"/>
  <c r="T50" i="6"/>
  <c r="S50" i="6"/>
  <c r="Q50" i="6"/>
  <c r="L50" i="6"/>
  <c r="K50" i="6"/>
  <c r="J50" i="6"/>
  <c r="E50" i="6"/>
  <c r="D50" i="6"/>
  <c r="B50" i="6"/>
  <c r="A50" i="6"/>
  <c r="DL49" i="6"/>
  <c r="DJ49" i="6"/>
  <c r="DI49" i="6"/>
  <c r="DE49" i="6"/>
  <c r="DC49" i="6"/>
  <c r="CY49" i="6"/>
  <c r="CW49" i="6"/>
  <c r="CU49" i="6"/>
  <c r="CS49" i="6"/>
  <c r="CK49" i="6"/>
  <c r="CI49" i="6"/>
  <c r="CG49" i="6"/>
  <c r="CE49" i="6"/>
  <c r="CC49" i="6"/>
  <c r="CA49" i="6"/>
  <c r="BY49" i="6"/>
  <c r="BW49" i="6"/>
  <c r="BU49" i="6"/>
  <c r="BS49" i="6"/>
  <c r="BQ49" i="6"/>
  <c r="BO49" i="6"/>
  <c r="BM49" i="6"/>
  <c r="BK49" i="6"/>
  <c r="BI49" i="6"/>
  <c r="BG49" i="6"/>
  <c r="BE49" i="6"/>
  <c r="BC49" i="6"/>
  <c r="BA49" i="6"/>
  <c r="AY49" i="6"/>
  <c r="AW49" i="6"/>
  <c r="AU49" i="6"/>
  <c r="AS49" i="6"/>
  <c r="AQ49" i="6"/>
  <c r="AO49" i="6"/>
  <c r="AM49" i="6"/>
  <c r="AK49" i="6"/>
  <c r="AJ49" i="6"/>
  <c r="AI49" i="6"/>
  <c r="AH49" i="6"/>
  <c r="AG49" i="6"/>
  <c r="AF49" i="6"/>
  <c r="AE49" i="6"/>
  <c r="AB49" i="6"/>
  <c r="AA49" i="6"/>
  <c r="Z49" i="6"/>
  <c r="V49" i="6"/>
  <c r="U49" i="6"/>
  <c r="T49" i="6"/>
  <c r="S49" i="6"/>
  <c r="L49" i="6"/>
  <c r="K49" i="6"/>
  <c r="E49" i="6"/>
  <c r="D49" i="6"/>
  <c r="B49" i="6"/>
  <c r="A49" i="6"/>
  <c r="DL48" i="6"/>
  <c r="DJ48" i="6"/>
  <c r="DI48" i="6"/>
  <c r="DE48" i="6"/>
  <c r="DC48" i="6"/>
  <c r="CY48" i="6"/>
  <c r="CW48" i="6"/>
  <c r="CV48" i="6"/>
  <c r="CU48" i="6"/>
  <c r="CS48" i="6"/>
  <c r="CK48" i="6"/>
  <c r="CI48" i="6"/>
  <c r="CG48" i="6"/>
  <c r="CE48" i="6"/>
  <c r="CC48" i="6"/>
  <c r="CA48" i="6"/>
  <c r="BY48" i="6"/>
  <c r="BW48" i="6"/>
  <c r="BU48" i="6"/>
  <c r="BS48" i="6"/>
  <c r="BQ48" i="6"/>
  <c r="BO48" i="6"/>
  <c r="BM48" i="6"/>
  <c r="BK48" i="6"/>
  <c r="BI48" i="6"/>
  <c r="BG48" i="6"/>
  <c r="BE48" i="6"/>
  <c r="BC48" i="6"/>
  <c r="BA48" i="6"/>
  <c r="AY48" i="6"/>
  <c r="AW48" i="6"/>
  <c r="AU48" i="6"/>
  <c r="AS48" i="6"/>
  <c r="AQ48" i="6"/>
  <c r="AO48" i="6"/>
  <c r="AM48" i="6"/>
  <c r="AK48" i="6"/>
  <c r="AI48" i="6"/>
  <c r="AG48" i="6"/>
  <c r="AF48" i="6"/>
  <c r="AE48" i="6"/>
  <c r="AB48" i="6"/>
  <c r="AA48" i="6"/>
  <c r="Z48" i="6"/>
  <c r="V48" i="6"/>
  <c r="U48" i="6"/>
  <c r="T48" i="6"/>
  <c r="S48" i="6"/>
  <c r="Q48" i="6"/>
  <c r="E48" i="6"/>
  <c r="D48" i="6"/>
  <c r="B48" i="6"/>
  <c r="A48" i="6"/>
  <c r="DL47" i="6"/>
  <c r="DJ47" i="6"/>
  <c r="DI47" i="6"/>
  <c r="DE47" i="6"/>
  <c r="DC47" i="6"/>
  <c r="CY47" i="6"/>
  <c r="CW47" i="6"/>
  <c r="CU47" i="6"/>
  <c r="CS47" i="6"/>
  <c r="CK47" i="6"/>
  <c r="CI47" i="6"/>
  <c r="CG47" i="6"/>
  <c r="CE47" i="6"/>
  <c r="CC47" i="6"/>
  <c r="CA47" i="6"/>
  <c r="BY47" i="6"/>
  <c r="BW47" i="6"/>
  <c r="BU47" i="6"/>
  <c r="BS47" i="6"/>
  <c r="BQ47" i="6"/>
  <c r="BO47" i="6"/>
  <c r="BM47" i="6"/>
  <c r="BK47" i="6"/>
  <c r="BI47" i="6"/>
  <c r="BG47" i="6"/>
  <c r="BE47" i="6"/>
  <c r="BC47" i="6"/>
  <c r="BA47" i="6"/>
  <c r="AY47" i="6"/>
  <c r="AW47" i="6"/>
  <c r="AU47" i="6"/>
  <c r="AS47" i="6"/>
  <c r="AQ47" i="6"/>
  <c r="AO47" i="6"/>
  <c r="AM47" i="6"/>
  <c r="AK47" i="6"/>
  <c r="AJ47" i="6"/>
  <c r="AI47" i="6"/>
  <c r="AH47" i="6"/>
  <c r="AG47" i="6"/>
  <c r="AF47" i="6"/>
  <c r="AE47" i="6"/>
  <c r="AB47" i="6"/>
  <c r="AA47" i="6"/>
  <c r="Z47" i="6"/>
  <c r="V47" i="6"/>
  <c r="U47" i="6"/>
  <c r="T47" i="6"/>
  <c r="S47" i="6"/>
  <c r="L47" i="6"/>
  <c r="K47" i="6"/>
  <c r="E47" i="6"/>
  <c r="D47" i="6"/>
  <c r="B47" i="6"/>
  <c r="A47" i="6"/>
  <c r="DL46" i="6"/>
  <c r="DJ46" i="6"/>
  <c r="DI46" i="6"/>
  <c r="DE46" i="6"/>
  <c r="DC46" i="6"/>
  <c r="CY46" i="6"/>
  <c r="CW46" i="6"/>
  <c r="CU46" i="6"/>
  <c r="CS46" i="6"/>
  <c r="CK46" i="6"/>
  <c r="CI46" i="6"/>
  <c r="CG46" i="6"/>
  <c r="CE46" i="6"/>
  <c r="CC46" i="6"/>
  <c r="CA46" i="6"/>
  <c r="BY46" i="6"/>
  <c r="BW46" i="6"/>
  <c r="BU46" i="6"/>
  <c r="BS46" i="6"/>
  <c r="BQ46" i="6"/>
  <c r="BO46" i="6"/>
  <c r="BM46" i="6"/>
  <c r="BK46" i="6"/>
  <c r="BI46" i="6"/>
  <c r="BG46" i="6"/>
  <c r="BE46" i="6"/>
  <c r="BC46" i="6"/>
  <c r="BA46" i="6"/>
  <c r="AY46" i="6"/>
  <c r="AW46" i="6"/>
  <c r="AU46" i="6"/>
  <c r="AS46" i="6"/>
  <c r="AQ46" i="6"/>
  <c r="AO46" i="6"/>
  <c r="AM46" i="6"/>
  <c r="AK46" i="6"/>
  <c r="AJ46" i="6"/>
  <c r="AI46" i="6"/>
  <c r="AH46" i="6"/>
  <c r="AG46" i="6"/>
  <c r="AF46" i="6"/>
  <c r="AE46" i="6"/>
  <c r="AB46" i="6"/>
  <c r="AA46" i="6"/>
  <c r="Z46" i="6"/>
  <c r="V46" i="6"/>
  <c r="U46" i="6"/>
  <c r="T46" i="6"/>
  <c r="S46" i="6"/>
  <c r="L46" i="6"/>
  <c r="K46" i="6"/>
  <c r="J46" i="6"/>
  <c r="E46" i="6"/>
  <c r="D46" i="6"/>
  <c r="B46" i="6"/>
  <c r="A46" i="6"/>
  <c r="DL45" i="6"/>
  <c r="DJ45" i="6"/>
  <c r="DI45" i="6"/>
  <c r="DE45" i="6"/>
  <c r="DC45" i="6"/>
  <c r="CY45" i="6"/>
  <c r="CW45" i="6"/>
  <c r="CV45" i="6"/>
  <c r="CU45" i="6"/>
  <c r="CS45" i="6"/>
  <c r="CK45" i="6"/>
  <c r="CI45" i="6"/>
  <c r="CG45" i="6"/>
  <c r="CE45" i="6"/>
  <c r="CC45" i="6"/>
  <c r="CA45" i="6"/>
  <c r="BY45" i="6"/>
  <c r="BW45" i="6"/>
  <c r="BU45" i="6"/>
  <c r="BS45" i="6"/>
  <c r="BQ45" i="6"/>
  <c r="BO45" i="6"/>
  <c r="BM45" i="6"/>
  <c r="BK45" i="6"/>
  <c r="BI45" i="6"/>
  <c r="BG45" i="6"/>
  <c r="BE45" i="6"/>
  <c r="BC45" i="6"/>
  <c r="BA45" i="6"/>
  <c r="AY45" i="6"/>
  <c r="AW45" i="6"/>
  <c r="AU45" i="6"/>
  <c r="AS45" i="6"/>
  <c r="AQ45" i="6"/>
  <c r="AO45" i="6"/>
  <c r="AM45" i="6"/>
  <c r="AK45" i="6"/>
  <c r="AI45" i="6"/>
  <c r="AG45" i="6"/>
  <c r="AF45" i="6"/>
  <c r="AE45" i="6"/>
  <c r="AB45" i="6"/>
  <c r="AA45" i="6"/>
  <c r="Z45" i="6"/>
  <c r="V45" i="6"/>
  <c r="U45" i="6"/>
  <c r="T45" i="6"/>
  <c r="S45" i="6"/>
  <c r="Q45" i="6"/>
  <c r="E45" i="6"/>
  <c r="D45" i="6"/>
  <c r="B45" i="6"/>
  <c r="A45" i="6"/>
  <c r="DL44" i="6"/>
  <c r="DJ44" i="6"/>
  <c r="DI44" i="6"/>
  <c r="DH44" i="6"/>
  <c r="DG44" i="6"/>
  <c r="DF44" i="6"/>
  <c r="DE44" i="6"/>
  <c r="DC44" i="6"/>
  <c r="CY44" i="6"/>
  <c r="CW44" i="6"/>
  <c r="CV44" i="6"/>
  <c r="CU44" i="6"/>
  <c r="CS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B44" i="6"/>
  <c r="AA44" i="6"/>
  <c r="Z44" i="6"/>
  <c r="V44" i="6"/>
  <c r="U44" i="6"/>
  <c r="T44" i="6"/>
  <c r="S44" i="6"/>
  <c r="L44" i="6"/>
  <c r="K44" i="6"/>
  <c r="J44" i="6"/>
  <c r="E44" i="6"/>
  <c r="D44" i="6"/>
  <c r="B44" i="6"/>
  <c r="A44" i="6"/>
  <c r="DL43" i="6"/>
  <c r="DJ43" i="6"/>
  <c r="DI43" i="6"/>
  <c r="DH43" i="6"/>
  <c r="DG43" i="6"/>
  <c r="DF43" i="6"/>
  <c r="DE43" i="6"/>
  <c r="DC43" i="6"/>
  <c r="CY43" i="6"/>
  <c r="CW43" i="6"/>
  <c r="CV43" i="6"/>
  <c r="CU43" i="6"/>
  <c r="CS43" i="6"/>
  <c r="CK43" i="6"/>
  <c r="CJ43" i="6"/>
  <c r="CI43" i="6"/>
  <c r="CH43" i="6"/>
  <c r="CG43" i="6"/>
  <c r="CF43" i="6"/>
  <c r="CE43" i="6"/>
  <c r="CD43" i="6"/>
  <c r="CC43" i="6"/>
  <c r="CA43" i="6"/>
  <c r="BY43" i="6"/>
  <c r="BW43" i="6"/>
  <c r="BU43" i="6"/>
  <c r="BS43" i="6"/>
  <c r="BQ43" i="6"/>
  <c r="BO43" i="6"/>
  <c r="BM43" i="6"/>
  <c r="BK43" i="6"/>
  <c r="BI43" i="6"/>
  <c r="BG43" i="6"/>
  <c r="BE43" i="6"/>
  <c r="BC43" i="6"/>
  <c r="BA43" i="6"/>
  <c r="AY43" i="6"/>
  <c r="AW43" i="6"/>
  <c r="AU43" i="6"/>
  <c r="AS43" i="6"/>
  <c r="AQ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B43" i="6"/>
  <c r="AA43" i="6"/>
  <c r="Z43" i="6"/>
  <c r="V43" i="6"/>
  <c r="U43" i="6"/>
  <c r="T43" i="6"/>
  <c r="S43" i="6"/>
  <c r="Q43" i="6"/>
  <c r="L43" i="6"/>
  <c r="K43" i="6"/>
  <c r="J43" i="6"/>
  <c r="F43" i="6"/>
  <c r="E43" i="6"/>
  <c r="D43" i="6"/>
  <c r="B43" i="6"/>
  <c r="A43" i="6"/>
  <c r="DL42" i="6"/>
  <c r="DJ42" i="6"/>
  <c r="DI42" i="6"/>
  <c r="DH42" i="6"/>
  <c r="DG42" i="6"/>
  <c r="DF42" i="6"/>
  <c r="DE42" i="6"/>
  <c r="DC42" i="6"/>
  <c r="CY42" i="6"/>
  <c r="CW42" i="6"/>
  <c r="CV42" i="6"/>
  <c r="CU42" i="6"/>
  <c r="CS42" i="6"/>
  <c r="CK42" i="6"/>
  <c r="CJ42" i="6"/>
  <c r="CI42" i="6"/>
  <c r="CH42" i="6"/>
  <c r="CG42" i="6"/>
  <c r="CF42" i="6"/>
  <c r="CE42" i="6"/>
  <c r="CD42" i="6"/>
  <c r="CC42" i="6"/>
  <c r="CA42" i="6"/>
  <c r="BY42" i="6"/>
  <c r="BW42" i="6"/>
  <c r="BU42" i="6"/>
  <c r="BS42" i="6"/>
  <c r="BQ42" i="6"/>
  <c r="BO42" i="6"/>
  <c r="BM42" i="6"/>
  <c r="BK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B42" i="6"/>
  <c r="AA42" i="6"/>
  <c r="Z42" i="6"/>
  <c r="V42" i="6"/>
  <c r="U42" i="6"/>
  <c r="T42" i="6"/>
  <c r="S42" i="6"/>
  <c r="L42" i="6"/>
  <c r="K42" i="6"/>
  <c r="J42" i="6"/>
  <c r="E42" i="6"/>
  <c r="D42" i="6"/>
  <c r="B42" i="6"/>
  <c r="A42" i="6"/>
  <c r="DL41" i="6"/>
  <c r="DJ41" i="6"/>
  <c r="DI41" i="6"/>
  <c r="DH41" i="6"/>
  <c r="DE41" i="6"/>
  <c r="DC41" i="6"/>
  <c r="CY41" i="6"/>
  <c r="CW41" i="6"/>
  <c r="CV41" i="6"/>
  <c r="CU41" i="6"/>
  <c r="CS41" i="6"/>
  <c r="CK41" i="6"/>
  <c r="CI41" i="6"/>
  <c r="CG41" i="6"/>
  <c r="CF41" i="6"/>
  <c r="CE41" i="6"/>
  <c r="CD41" i="6"/>
  <c r="CC41" i="6"/>
  <c r="CA41" i="6"/>
  <c r="BY41" i="6"/>
  <c r="BW41" i="6"/>
  <c r="BU41" i="6"/>
  <c r="BS41" i="6"/>
  <c r="BQ41" i="6"/>
  <c r="BO41" i="6"/>
  <c r="BM41" i="6"/>
  <c r="BK41" i="6"/>
  <c r="BI41" i="6"/>
  <c r="BG41" i="6"/>
  <c r="BE41" i="6"/>
  <c r="BC41" i="6"/>
  <c r="BA41" i="6"/>
  <c r="AY41" i="6"/>
  <c r="AW41" i="6"/>
  <c r="AU41" i="6"/>
  <c r="AS41" i="6"/>
  <c r="AQ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B41" i="6"/>
  <c r="AA41" i="6"/>
  <c r="Z41" i="6"/>
  <c r="V41" i="6"/>
  <c r="U41" i="6"/>
  <c r="T41" i="6"/>
  <c r="S41" i="6"/>
  <c r="L41" i="6"/>
  <c r="K41" i="6"/>
  <c r="J41" i="6"/>
  <c r="E41" i="6"/>
  <c r="D41" i="6"/>
  <c r="B41" i="6"/>
  <c r="A41" i="6"/>
  <c r="DL40" i="6"/>
  <c r="DJ40" i="6"/>
  <c r="DI40" i="6"/>
  <c r="DH40" i="6"/>
  <c r="DG40" i="6"/>
  <c r="DF40" i="6"/>
  <c r="DE40" i="6"/>
  <c r="DC40" i="6"/>
  <c r="CY40" i="6"/>
  <c r="CW40" i="6"/>
  <c r="CV40" i="6"/>
  <c r="CU40" i="6"/>
  <c r="CS40" i="6"/>
  <c r="CK40" i="6"/>
  <c r="CI40" i="6"/>
  <c r="CH40" i="6"/>
  <c r="CG40" i="6"/>
  <c r="CF40" i="6"/>
  <c r="CE40" i="6"/>
  <c r="CD40" i="6"/>
  <c r="CC40" i="6"/>
  <c r="CA40" i="6"/>
  <c r="BY40" i="6"/>
  <c r="BW40" i="6"/>
  <c r="BU40" i="6"/>
  <c r="BS40" i="6"/>
  <c r="BQ40" i="6"/>
  <c r="BO40" i="6"/>
  <c r="BM40" i="6"/>
  <c r="BK40" i="6"/>
  <c r="BI40" i="6"/>
  <c r="BG40" i="6"/>
  <c r="BE40" i="6"/>
  <c r="BC40" i="6"/>
  <c r="BA40" i="6"/>
  <c r="AY40" i="6"/>
  <c r="AW40" i="6"/>
  <c r="AU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B40" i="6"/>
  <c r="AA40" i="6"/>
  <c r="Z40" i="6"/>
  <c r="V40" i="6"/>
  <c r="U40" i="6"/>
  <c r="T40" i="6"/>
  <c r="S40" i="6"/>
  <c r="L40" i="6"/>
  <c r="K40" i="6"/>
  <c r="J40" i="6"/>
  <c r="E40" i="6"/>
  <c r="D40" i="6"/>
  <c r="B40" i="6"/>
  <c r="A40" i="6"/>
  <c r="DL39" i="6"/>
  <c r="DJ39" i="6"/>
  <c r="DI39" i="6"/>
  <c r="DE39" i="6"/>
  <c r="DC39" i="6"/>
  <c r="CY39" i="6"/>
  <c r="CW39" i="6"/>
  <c r="CU39" i="6"/>
  <c r="CS39" i="6"/>
  <c r="CK39" i="6"/>
  <c r="CI39" i="6"/>
  <c r="CG39" i="6"/>
  <c r="CE39" i="6"/>
  <c r="CC39" i="6"/>
  <c r="CA39" i="6"/>
  <c r="BY39" i="6"/>
  <c r="BW39" i="6"/>
  <c r="BU39" i="6"/>
  <c r="BS39" i="6"/>
  <c r="BQ39" i="6"/>
  <c r="BO39" i="6"/>
  <c r="BM39" i="6"/>
  <c r="BK39" i="6"/>
  <c r="BI39" i="6"/>
  <c r="BG39" i="6"/>
  <c r="BE39" i="6"/>
  <c r="BC39" i="6"/>
  <c r="BA39" i="6"/>
  <c r="AY39" i="6"/>
  <c r="AW39" i="6"/>
  <c r="AU39" i="6"/>
  <c r="AS39" i="6"/>
  <c r="AQ39" i="6"/>
  <c r="AO39" i="6"/>
  <c r="AM39" i="6"/>
  <c r="AK39" i="6"/>
  <c r="AI39" i="6"/>
  <c r="AG39" i="6"/>
  <c r="AF39" i="6"/>
  <c r="AE39" i="6"/>
  <c r="AD39" i="6"/>
  <c r="AB39" i="6"/>
  <c r="AA39" i="6"/>
  <c r="Z39" i="6"/>
  <c r="V39" i="6"/>
  <c r="U39" i="6"/>
  <c r="T39" i="6"/>
  <c r="S39" i="6"/>
  <c r="L39" i="6"/>
  <c r="K39" i="6"/>
  <c r="E39" i="6"/>
  <c r="D39" i="6"/>
  <c r="B39" i="6"/>
  <c r="A39" i="6"/>
  <c r="DL38" i="6"/>
  <c r="DJ38" i="6"/>
  <c r="DI38" i="6"/>
  <c r="DE38" i="6"/>
  <c r="DC38" i="6"/>
  <c r="CY38" i="6"/>
  <c r="CW38" i="6"/>
  <c r="CU38" i="6"/>
  <c r="CS38" i="6"/>
  <c r="CR38" i="6"/>
  <c r="CK38" i="6"/>
  <c r="CI38" i="6"/>
  <c r="CG38" i="6"/>
  <c r="CE38" i="6"/>
  <c r="CC38" i="6"/>
  <c r="CA38" i="6"/>
  <c r="BY38" i="6"/>
  <c r="BW38" i="6"/>
  <c r="BU38" i="6"/>
  <c r="BS38" i="6"/>
  <c r="BQ38" i="6"/>
  <c r="BO38" i="6"/>
  <c r="BM38" i="6"/>
  <c r="BK38" i="6"/>
  <c r="BI38" i="6"/>
  <c r="BG38" i="6"/>
  <c r="BE38" i="6"/>
  <c r="BC38" i="6"/>
  <c r="BA38" i="6"/>
  <c r="AY38" i="6"/>
  <c r="AW38" i="6"/>
  <c r="AU38" i="6"/>
  <c r="AS38" i="6"/>
  <c r="AQ38" i="6"/>
  <c r="AO38" i="6"/>
  <c r="AM38" i="6"/>
  <c r="AK38" i="6"/>
  <c r="AJ38" i="6"/>
  <c r="AI38" i="6"/>
  <c r="AH38" i="6"/>
  <c r="AG38" i="6"/>
  <c r="AF38" i="6"/>
  <c r="AE38" i="6"/>
  <c r="AB38" i="6"/>
  <c r="AA38" i="6"/>
  <c r="Z38" i="6"/>
  <c r="V38" i="6"/>
  <c r="U38" i="6"/>
  <c r="T38" i="6"/>
  <c r="S38" i="6"/>
  <c r="L38" i="6"/>
  <c r="K38" i="6"/>
  <c r="E38" i="6"/>
  <c r="D38" i="6"/>
  <c r="B38" i="6"/>
  <c r="A38" i="6"/>
  <c r="DL37" i="6"/>
  <c r="DJ37" i="6"/>
  <c r="DI37" i="6"/>
  <c r="DE37" i="6"/>
  <c r="DC37" i="6"/>
  <c r="CY37" i="6"/>
  <c r="CW37" i="6"/>
  <c r="CU37" i="6"/>
  <c r="CS37" i="6"/>
  <c r="CR37" i="6"/>
  <c r="CK37" i="6"/>
  <c r="CI37" i="6"/>
  <c r="CG37" i="6"/>
  <c r="CE37" i="6"/>
  <c r="CC37" i="6"/>
  <c r="CA37" i="6"/>
  <c r="BY37" i="6"/>
  <c r="BW37" i="6"/>
  <c r="BU37" i="6"/>
  <c r="BS37" i="6"/>
  <c r="BQ37" i="6"/>
  <c r="BO37" i="6"/>
  <c r="BM37" i="6"/>
  <c r="BK37" i="6"/>
  <c r="BI37" i="6"/>
  <c r="BG37" i="6"/>
  <c r="BE37" i="6"/>
  <c r="BC37" i="6"/>
  <c r="BA37" i="6"/>
  <c r="AY37" i="6"/>
  <c r="AW37" i="6"/>
  <c r="AU37" i="6"/>
  <c r="AS37" i="6"/>
  <c r="AQ37" i="6"/>
  <c r="AO37" i="6"/>
  <c r="AM37" i="6"/>
  <c r="AK37" i="6"/>
  <c r="AI37" i="6"/>
  <c r="AG37" i="6"/>
  <c r="AF37" i="6"/>
  <c r="AE37" i="6"/>
  <c r="AD37" i="6"/>
  <c r="AC37" i="6"/>
  <c r="AB37" i="6"/>
  <c r="AA37" i="6"/>
  <c r="Z37" i="6"/>
  <c r="V37" i="6"/>
  <c r="U37" i="6"/>
  <c r="T37" i="6"/>
  <c r="S37" i="6"/>
  <c r="Q37" i="6"/>
  <c r="L37" i="6"/>
  <c r="K37" i="6"/>
  <c r="E37" i="6"/>
  <c r="D37" i="6"/>
  <c r="B37" i="6"/>
  <c r="A37" i="6"/>
  <c r="DL36" i="6"/>
  <c r="DJ36" i="6"/>
  <c r="DI36" i="6"/>
  <c r="DE36" i="6"/>
  <c r="DD36" i="6"/>
  <c r="DC36" i="6"/>
  <c r="DB36" i="6"/>
  <c r="DA36" i="6"/>
  <c r="CY36" i="6"/>
  <c r="CX36" i="6"/>
  <c r="CW36" i="6"/>
  <c r="CV36" i="6"/>
  <c r="CU36" i="6"/>
  <c r="CS36" i="6"/>
  <c r="CK36" i="6"/>
  <c r="CI36" i="6"/>
  <c r="CG36" i="6"/>
  <c r="CE36" i="6"/>
  <c r="CC36" i="6"/>
  <c r="CA36" i="6"/>
  <c r="BY36" i="6"/>
  <c r="BW36" i="6"/>
  <c r="BU36" i="6"/>
  <c r="BS36" i="6"/>
  <c r="BQ36" i="6"/>
  <c r="BO36" i="6"/>
  <c r="BM36" i="6"/>
  <c r="BK36" i="6"/>
  <c r="BI36" i="6"/>
  <c r="BG36" i="6"/>
  <c r="BE36" i="6"/>
  <c r="BC36" i="6"/>
  <c r="BA36" i="6"/>
  <c r="AY36" i="6"/>
  <c r="AW36" i="6"/>
  <c r="AU36" i="6"/>
  <c r="AS36" i="6"/>
  <c r="AQ36" i="6"/>
  <c r="AO36" i="6"/>
  <c r="AM36" i="6"/>
  <c r="AK36" i="6"/>
  <c r="AI36" i="6"/>
  <c r="AG36" i="6"/>
  <c r="AF36" i="6"/>
  <c r="AE36" i="6"/>
  <c r="AD36" i="6"/>
  <c r="AB36" i="6"/>
  <c r="AA36" i="6"/>
  <c r="Z36" i="6"/>
  <c r="V36" i="6"/>
  <c r="U36" i="6"/>
  <c r="T36" i="6"/>
  <c r="S36" i="6"/>
  <c r="Q36" i="6"/>
  <c r="E36" i="6"/>
  <c r="D36" i="6"/>
  <c r="C36" i="6"/>
  <c r="B36" i="6"/>
  <c r="A36" i="6"/>
  <c r="DL35" i="6"/>
  <c r="DJ35" i="6"/>
  <c r="DI35" i="6"/>
  <c r="DE35" i="6"/>
  <c r="DC35" i="6"/>
  <c r="CY35" i="6"/>
  <c r="CW35" i="6"/>
  <c r="CV35" i="6"/>
  <c r="CU35" i="6"/>
  <c r="CS35" i="6"/>
  <c r="CK35" i="6"/>
  <c r="CI35" i="6"/>
  <c r="CG35" i="6"/>
  <c r="CE35" i="6"/>
  <c r="CC35" i="6"/>
  <c r="CA35" i="6"/>
  <c r="BY35" i="6"/>
  <c r="BW35" i="6"/>
  <c r="BU35" i="6"/>
  <c r="BS35" i="6"/>
  <c r="BQ35" i="6"/>
  <c r="BO35" i="6"/>
  <c r="BM35" i="6"/>
  <c r="BK35" i="6"/>
  <c r="BI35" i="6"/>
  <c r="BG35" i="6"/>
  <c r="BE35" i="6"/>
  <c r="BC35" i="6"/>
  <c r="BA35" i="6"/>
  <c r="AY35" i="6"/>
  <c r="AW35" i="6"/>
  <c r="AU35" i="6"/>
  <c r="AS35" i="6"/>
  <c r="AQ35" i="6"/>
  <c r="AO35" i="6"/>
  <c r="AM35" i="6"/>
  <c r="AK35" i="6"/>
  <c r="AI35" i="6"/>
  <c r="AG35" i="6"/>
  <c r="AF35" i="6"/>
  <c r="AE35" i="6"/>
  <c r="AB35" i="6"/>
  <c r="AA35" i="6"/>
  <c r="Z35" i="6"/>
  <c r="V35" i="6"/>
  <c r="U35" i="6"/>
  <c r="T35" i="6"/>
  <c r="S35" i="6"/>
  <c r="L35" i="6"/>
  <c r="K35" i="6"/>
  <c r="E35" i="6"/>
  <c r="D35" i="6"/>
  <c r="B35" i="6"/>
  <c r="A35" i="6"/>
  <c r="DL34" i="6"/>
  <c r="DJ34" i="6"/>
  <c r="DI34" i="6"/>
  <c r="DE34" i="6"/>
  <c r="DC34" i="6"/>
  <c r="CY34" i="6"/>
  <c r="CW34" i="6"/>
  <c r="CV34" i="6"/>
  <c r="CU34" i="6"/>
  <c r="CS34" i="6"/>
  <c r="CK34" i="6"/>
  <c r="CI34" i="6"/>
  <c r="CG34" i="6"/>
  <c r="CE34" i="6"/>
  <c r="CC34" i="6"/>
  <c r="CA34" i="6"/>
  <c r="BY34" i="6"/>
  <c r="BW34" i="6"/>
  <c r="BU34" i="6"/>
  <c r="BS34" i="6"/>
  <c r="BQ34" i="6"/>
  <c r="BO34" i="6"/>
  <c r="BM34" i="6"/>
  <c r="BK34" i="6"/>
  <c r="BI34" i="6"/>
  <c r="BG34" i="6"/>
  <c r="BE34" i="6"/>
  <c r="BC34" i="6"/>
  <c r="BA34" i="6"/>
  <c r="AY34" i="6"/>
  <c r="AW34" i="6"/>
  <c r="AU34" i="6"/>
  <c r="AS34" i="6"/>
  <c r="AQ34" i="6"/>
  <c r="AO34" i="6"/>
  <c r="AM34" i="6"/>
  <c r="AK34" i="6"/>
  <c r="AI34" i="6"/>
  <c r="AG34" i="6"/>
  <c r="AF34" i="6"/>
  <c r="AE34" i="6"/>
  <c r="AD34" i="6"/>
  <c r="AB34" i="6"/>
  <c r="AA34" i="6"/>
  <c r="Z34" i="6"/>
  <c r="V34" i="6"/>
  <c r="U34" i="6"/>
  <c r="T34" i="6"/>
  <c r="S34" i="6"/>
  <c r="Q34" i="6"/>
  <c r="E34" i="6"/>
  <c r="D34" i="6"/>
  <c r="B34" i="6"/>
  <c r="A34" i="6"/>
  <c r="DL33" i="6"/>
  <c r="DJ33" i="6"/>
  <c r="DI33" i="6"/>
  <c r="DH33" i="6"/>
  <c r="DG33" i="6"/>
  <c r="DF33" i="6"/>
  <c r="DE33" i="6"/>
  <c r="DC33" i="6"/>
  <c r="CY33" i="6"/>
  <c r="CW33" i="6"/>
  <c r="CU33" i="6"/>
  <c r="CS33" i="6"/>
  <c r="CR33" i="6"/>
  <c r="CK33" i="6"/>
  <c r="CI33" i="6"/>
  <c r="CG33" i="6"/>
  <c r="CF33" i="6"/>
  <c r="CE33" i="6"/>
  <c r="CD33" i="6"/>
  <c r="CC33" i="6"/>
  <c r="CA33" i="6"/>
  <c r="BY33" i="6"/>
  <c r="BW33" i="6"/>
  <c r="BU33" i="6"/>
  <c r="BS33" i="6"/>
  <c r="BQ33" i="6"/>
  <c r="BO33" i="6"/>
  <c r="BM33" i="6"/>
  <c r="BK33" i="6"/>
  <c r="BI33" i="6"/>
  <c r="BG33" i="6"/>
  <c r="BE33" i="6"/>
  <c r="BC33" i="6"/>
  <c r="BA33" i="6"/>
  <c r="AY33" i="6"/>
  <c r="AW33" i="6"/>
  <c r="AU33" i="6"/>
  <c r="AS33" i="6"/>
  <c r="AQ33" i="6"/>
  <c r="AO33" i="6"/>
  <c r="AM33" i="6"/>
  <c r="AK33" i="6"/>
  <c r="AJ33" i="6"/>
  <c r="AI33" i="6"/>
  <c r="AH33" i="6"/>
  <c r="AG33" i="6"/>
  <c r="AF33" i="6"/>
  <c r="AE33" i="6"/>
  <c r="AD33" i="6"/>
  <c r="AB33" i="6"/>
  <c r="AA33" i="6"/>
  <c r="Z33" i="6"/>
  <c r="V33" i="6"/>
  <c r="U33" i="6"/>
  <c r="T33" i="6"/>
  <c r="S33" i="6"/>
  <c r="L33" i="6"/>
  <c r="K33" i="6"/>
  <c r="E33" i="6"/>
  <c r="D33" i="6"/>
  <c r="B33" i="6"/>
  <c r="A33" i="6"/>
  <c r="DL32" i="6"/>
  <c r="DJ32" i="6"/>
  <c r="DI32" i="6"/>
  <c r="DE32" i="6"/>
  <c r="DD32" i="6"/>
  <c r="DC32" i="6"/>
  <c r="DB32" i="6"/>
  <c r="DA32" i="6"/>
  <c r="CY32" i="6"/>
  <c r="CX32" i="6"/>
  <c r="CW32" i="6"/>
  <c r="CV32" i="6"/>
  <c r="CU32" i="6"/>
  <c r="CS32" i="6"/>
  <c r="CK32" i="6"/>
  <c r="CI32" i="6"/>
  <c r="CG32" i="6"/>
  <c r="CE32" i="6"/>
  <c r="CC32" i="6"/>
  <c r="CA32" i="6"/>
  <c r="BY32" i="6"/>
  <c r="BW32" i="6"/>
  <c r="BU32" i="6"/>
  <c r="BS32" i="6"/>
  <c r="BQ32" i="6"/>
  <c r="BO32" i="6"/>
  <c r="BM32" i="6"/>
  <c r="BK32" i="6"/>
  <c r="BI32" i="6"/>
  <c r="BG32" i="6"/>
  <c r="BE32" i="6"/>
  <c r="BC32" i="6"/>
  <c r="BA32" i="6"/>
  <c r="AY32" i="6"/>
  <c r="AW32" i="6"/>
  <c r="AU32" i="6"/>
  <c r="AS32" i="6"/>
  <c r="AQ32" i="6"/>
  <c r="AO32" i="6"/>
  <c r="AM32" i="6"/>
  <c r="AK32" i="6"/>
  <c r="AI32" i="6"/>
  <c r="AG32" i="6"/>
  <c r="AF32" i="6"/>
  <c r="AE32" i="6"/>
  <c r="AD32" i="6"/>
  <c r="AB32" i="6"/>
  <c r="AA32" i="6"/>
  <c r="Z32" i="6"/>
  <c r="V32" i="6"/>
  <c r="U32" i="6"/>
  <c r="T32" i="6"/>
  <c r="S32" i="6"/>
  <c r="Q32" i="6"/>
  <c r="L32" i="6"/>
  <c r="K32" i="6"/>
  <c r="J32" i="6"/>
  <c r="E32" i="6"/>
  <c r="D32" i="6"/>
  <c r="C32" i="6"/>
  <c r="B32" i="6"/>
  <c r="A32" i="6"/>
  <c r="DL31" i="6"/>
  <c r="DJ31" i="6"/>
  <c r="DI31" i="6"/>
  <c r="DE31" i="6"/>
  <c r="DC31" i="6"/>
  <c r="CY31" i="6"/>
  <c r="CW31" i="6"/>
  <c r="CU31" i="6"/>
  <c r="CS31" i="6"/>
  <c r="CK31" i="6"/>
  <c r="CI31" i="6"/>
  <c r="CG31" i="6"/>
  <c r="CE31" i="6"/>
  <c r="CC31" i="6"/>
  <c r="CA31" i="6"/>
  <c r="BY31" i="6"/>
  <c r="BW31" i="6"/>
  <c r="BU31" i="6"/>
  <c r="BS31" i="6"/>
  <c r="BQ31" i="6"/>
  <c r="BO31" i="6"/>
  <c r="BM31" i="6"/>
  <c r="BK31" i="6"/>
  <c r="BI31" i="6"/>
  <c r="BG31" i="6"/>
  <c r="BE31" i="6"/>
  <c r="BC31" i="6"/>
  <c r="BA31" i="6"/>
  <c r="AY31" i="6"/>
  <c r="AW31" i="6"/>
  <c r="AU31" i="6"/>
  <c r="AS31" i="6"/>
  <c r="AQ31" i="6"/>
  <c r="AO31" i="6"/>
  <c r="AM31" i="6"/>
  <c r="AK31" i="6"/>
  <c r="AI31" i="6"/>
  <c r="AG31" i="6"/>
  <c r="AF31" i="6"/>
  <c r="AE31" i="6"/>
  <c r="AB31" i="6"/>
  <c r="AA31" i="6"/>
  <c r="Z31" i="6"/>
  <c r="V31" i="6"/>
  <c r="U31" i="6"/>
  <c r="T31" i="6"/>
  <c r="S31" i="6"/>
  <c r="E31" i="6"/>
  <c r="D31" i="6"/>
  <c r="B31" i="6"/>
  <c r="A31" i="6"/>
  <c r="DL30" i="6"/>
  <c r="DJ30" i="6"/>
  <c r="DI30" i="6"/>
  <c r="DE30" i="6"/>
  <c r="DC30" i="6"/>
  <c r="CY30" i="6"/>
  <c r="CW30" i="6"/>
  <c r="CU30" i="6"/>
  <c r="CS30" i="6"/>
  <c r="CK30" i="6"/>
  <c r="CI30" i="6"/>
  <c r="CG30" i="6"/>
  <c r="CE30" i="6"/>
  <c r="CC30" i="6"/>
  <c r="CA30" i="6"/>
  <c r="BY30" i="6"/>
  <c r="BW30" i="6"/>
  <c r="BU30" i="6"/>
  <c r="BS30" i="6"/>
  <c r="BQ30" i="6"/>
  <c r="BO30" i="6"/>
  <c r="BM30" i="6"/>
  <c r="BK30" i="6"/>
  <c r="BI30" i="6"/>
  <c r="BG30" i="6"/>
  <c r="BE30" i="6"/>
  <c r="BC30" i="6"/>
  <c r="BA30" i="6"/>
  <c r="AY30" i="6"/>
  <c r="AW30" i="6"/>
  <c r="AU30" i="6"/>
  <c r="AS30" i="6"/>
  <c r="AQ30" i="6"/>
  <c r="AO30" i="6"/>
  <c r="AM30" i="6"/>
  <c r="AK30" i="6"/>
  <c r="AJ30" i="6"/>
  <c r="AI30" i="6"/>
  <c r="AH30" i="6"/>
  <c r="AG30" i="6"/>
  <c r="AF30" i="6"/>
  <c r="AE30" i="6"/>
  <c r="AB30" i="6"/>
  <c r="AA30" i="6"/>
  <c r="Z30" i="6"/>
  <c r="V30" i="6"/>
  <c r="U30" i="6"/>
  <c r="T30" i="6"/>
  <c r="S30" i="6"/>
  <c r="L30" i="6"/>
  <c r="K30" i="6"/>
  <c r="E30" i="6"/>
  <c r="D30" i="6"/>
  <c r="B30" i="6"/>
  <c r="A30" i="6"/>
  <c r="DL29" i="6"/>
  <c r="DJ29" i="6"/>
  <c r="DI29" i="6"/>
  <c r="DE29" i="6"/>
  <c r="DC29" i="6"/>
  <c r="CY29" i="6"/>
  <c r="CW29" i="6"/>
  <c r="CU29" i="6"/>
  <c r="CS29" i="6"/>
  <c r="CK29" i="6"/>
  <c r="CI29" i="6"/>
  <c r="CG29" i="6"/>
  <c r="CE29" i="6"/>
  <c r="CC29" i="6"/>
  <c r="CA29" i="6"/>
  <c r="BY29" i="6"/>
  <c r="BW29" i="6"/>
  <c r="BU29" i="6"/>
  <c r="BS29" i="6"/>
  <c r="BQ29" i="6"/>
  <c r="BO29" i="6"/>
  <c r="BM29" i="6"/>
  <c r="BK29" i="6"/>
  <c r="BI29" i="6"/>
  <c r="BG29" i="6"/>
  <c r="BE29" i="6"/>
  <c r="BC29" i="6"/>
  <c r="BA29" i="6"/>
  <c r="AY29" i="6"/>
  <c r="AW29" i="6"/>
  <c r="AU29" i="6"/>
  <c r="AS29" i="6"/>
  <c r="AQ29" i="6"/>
  <c r="AO29" i="6"/>
  <c r="AM29" i="6"/>
  <c r="AK29" i="6"/>
  <c r="AI29" i="6"/>
  <c r="AG29" i="6"/>
  <c r="AF29" i="6"/>
  <c r="AE29" i="6"/>
  <c r="AB29" i="6"/>
  <c r="AA29" i="6"/>
  <c r="Z29" i="6"/>
  <c r="V29" i="6"/>
  <c r="U29" i="6"/>
  <c r="T29" i="6"/>
  <c r="S29" i="6"/>
  <c r="L29" i="6"/>
  <c r="K29" i="6"/>
  <c r="E29" i="6"/>
  <c r="D29" i="6"/>
  <c r="B29" i="6"/>
  <c r="A29" i="6"/>
  <c r="DL28" i="6"/>
  <c r="DJ28" i="6"/>
  <c r="DI28" i="6"/>
  <c r="DH28" i="6"/>
  <c r="DE28" i="6"/>
  <c r="DC28" i="6"/>
  <c r="CY28" i="6"/>
  <c r="CW28" i="6"/>
  <c r="CV28" i="6"/>
  <c r="CU28" i="6"/>
  <c r="CS28" i="6"/>
  <c r="CK28" i="6"/>
  <c r="CI28" i="6"/>
  <c r="CG28" i="6"/>
  <c r="CF28" i="6"/>
  <c r="CE28" i="6"/>
  <c r="CD28" i="6"/>
  <c r="CC28" i="6"/>
  <c r="CA28" i="6"/>
  <c r="BY28" i="6"/>
  <c r="BW28" i="6"/>
  <c r="BU28" i="6"/>
  <c r="BS28" i="6"/>
  <c r="BQ28" i="6"/>
  <c r="BO28" i="6"/>
  <c r="BM28" i="6"/>
  <c r="BK28" i="6"/>
  <c r="BI28" i="6"/>
  <c r="BG28" i="6"/>
  <c r="BE28" i="6"/>
  <c r="BC28" i="6"/>
  <c r="BA28" i="6"/>
  <c r="AY28" i="6"/>
  <c r="AW28" i="6"/>
  <c r="AU28" i="6"/>
  <c r="AS28" i="6"/>
  <c r="AQ28" i="6"/>
  <c r="AO28" i="6"/>
  <c r="AM28" i="6"/>
  <c r="AK28" i="6"/>
  <c r="AI28" i="6"/>
  <c r="AG28" i="6"/>
  <c r="AF28" i="6"/>
  <c r="AE28" i="6"/>
  <c r="AB28" i="6"/>
  <c r="AA28" i="6"/>
  <c r="Z28" i="6"/>
  <c r="V28" i="6"/>
  <c r="U28" i="6"/>
  <c r="T28" i="6"/>
  <c r="S28" i="6"/>
  <c r="L28" i="6"/>
  <c r="K28" i="6"/>
  <c r="J28" i="6"/>
  <c r="E28" i="6"/>
  <c r="D28" i="6"/>
  <c r="B28" i="6"/>
  <c r="A28" i="6"/>
  <c r="DL27" i="6"/>
  <c r="DJ27" i="6"/>
  <c r="DI27" i="6"/>
  <c r="DH27" i="6"/>
  <c r="DE27" i="6"/>
  <c r="DC27" i="6"/>
  <c r="CY27" i="6"/>
  <c r="CW27" i="6"/>
  <c r="CV27" i="6"/>
  <c r="CU27" i="6"/>
  <c r="CS27" i="6"/>
  <c r="CK27" i="6"/>
  <c r="CI27" i="6"/>
  <c r="CG27" i="6"/>
  <c r="CF27" i="6"/>
  <c r="CE27" i="6"/>
  <c r="CD27" i="6"/>
  <c r="CC27" i="6"/>
  <c r="CA27" i="6"/>
  <c r="BY27" i="6"/>
  <c r="BW27" i="6"/>
  <c r="BU27" i="6"/>
  <c r="BS27" i="6"/>
  <c r="BQ27" i="6"/>
  <c r="BO27" i="6"/>
  <c r="BM27" i="6"/>
  <c r="BK27" i="6"/>
  <c r="BI27" i="6"/>
  <c r="BG27" i="6"/>
  <c r="BE27" i="6"/>
  <c r="BC27" i="6"/>
  <c r="BA27" i="6"/>
  <c r="AY27" i="6"/>
  <c r="AW27" i="6"/>
  <c r="AU27" i="6"/>
  <c r="AS27" i="6"/>
  <c r="AQ27" i="6"/>
  <c r="AO27" i="6"/>
  <c r="AM27" i="6"/>
  <c r="AK27" i="6"/>
  <c r="AI27" i="6"/>
  <c r="AG27" i="6"/>
  <c r="AF27" i="6"/>
  <c r="AE27" i="6"/>
  <c r="AB27" i="6"/>
  <c r="AA27" i="6"/>
  <c r="Z27" i="6"/>
  <c r="V27" i="6"/>
  <c r="U27" i="6"/>
  <c r="T27" i="6"/>
  <c r="S27" i="6"/>
  <c r="E27" i="6"/>
  <c r="D27" i="6"/>
  <c r="B27" i="6"/>
  <c r="A27" i="6"/>
  <c r="DL26" i="6"/>
  <c r="DJ26" i="6"/>
  <c r="DI26" i="6"/>
  <c r="DH26" i="6"/>
  <c r="DE26" i="6"/>
  <c r="DC26" i="6"/>
  <c r="CY26" i="6"/>
  <c r="CW26" i="6"/>
  <c r="CV26" i="6"/>
  <c r="CU26" i="6"/>
  <c r="CS26" i="6"/>
  <c r="CK26" i="6"/>
  <c r="CI26" i="6"/>
  <c r="CG26" i="6"/>
  <c r="CF26" i="6"/>
  <c r="CE26" i="6"/>
  <c r="CD26" i="6"/>
  <c r="CC26" i="6"/>
  <c r="CA26" i="6"/>
  <c r="BY26" i="6"/>
  <c r="BW26" i="6"/>
  <c r="BU26" i="6"/>
  <c r="BS26" i="6"/>
  <c r="BQ26" i="6"/>
  <c r="BO26" i="6"/>
  <c r="BM26" i="6"/>
  <c r="BK26" i="6"/>
  <c r="BI26" i="6"/>
  <c r="BG26" i="6"/>
  <c r="BE26" i="6"/>
  <c r="BC26" i="6"/>
  <c r="BA26" i="6"/>
  <c r="AY26" i="6"/>
  <c r="AW26" i="6"/>
  <c r="AU26" i="6"/>
  <c r="AS26" i="6"/>
  <c r="AQ26" i="6"/>
  <c r="AO26" i="6"/>
  <c r="AM26" i="6"/>
  <c r="AK26" i="6"/>
  <c r="AI26" i="6"/>
  <c r="AG26" i="6"/>
  <c r="AF26" i="6"/>
  <c r="AE26" i="6"/>
  <c r="AB26" i="6"/>
  <c r="AA26" i="6"/>
  <c r="Z26" i="6"/>
  <c r="V26" i="6"/>
  <c r="U26" i="6"/>
  <c r="T26" i="6"/>
  <c r="S26" i="6"/>
  <c r="E26" i="6"/>
  <c r="D26" i="6"/>
  <c r="B26" i="6"/>
  <c r="A26" i="6"/>
  <c r="DL25" i="6"/>
  <c r="DJ25" i="6"/>
  <c r="DI25" i="6"/>
  <c r="DH25" i="6"/>
  <c r="DE25" i="6"/>
  <c r="DC25" i="6"/>
  <c r="CY25" i="6"/>
  <c r="CW25" i="6"/>
  <c r="CU25" i="6"/>
  <c r="CS25" i="6"/>
  <c r="CK25" i="6"/>
  <c r="CI25" i="6"/>
  <c r="CG25" i="6"/>
  <c r="CF25" i="6"/>
  <c r="CE25" i="6"/>
  <c r="CD25" i="6"/>
  <c r="CC25" i="6"/>
  <c r="CA25" i="6"/>
  <c r="BY25" i="6"/>
  <c r="BW25" i="6"/>
  <c r="BU25" i="6"/>
  <c r="BS25" i="6"/>
  <c r="BQ25" i="6"/>
  <c r="BO25" i="6"/>
  <c r="BM25" i="6"/>
  <c r="BK25" i="6"/>
  <c r="BI25" i="6"/>
  <c r="BG25" i="6"/>
  <c r="BE25" i="6"/>
  <c r="BC25" i="6"/>
  <c r="BA25" i="6"/>
  <c r="AY25" i="6"/>
  <c r="AW25" i="6"/>
  <c r="AU25" i="6"/>
  <c r="AS25" i="6"/>
  <c r="AQ25" i="6"/>
  <c r="AO25" i="6"/>
  <c r="AM25" i="6"/>
  <c r="AK25" i="6"/>
  <c r="AI25" i="6"/>
  <c r="AG25" i="6"/>
  <c r="AF25" i="6"/>
  <c r="AE25" i="6"/>
  <c r="AB25" i="6"/>
  <c r="AA25" i="6"/>
  <c r="Z25" i="6"/>
  <c r="V25" i="6"/>
  <c r="U25" i="6"/>
  <c r="T25" i="6"/>
  <c r="S25" i="6"/>
  <c r="L25" i="6"/>
  <c r="K25" i="6"/>
  <c r="J25" i="6"/>
  <c r="E25" i="6"/>
  <c r="D25" i="6"/>
  <c r="B25" i="6"/>
  <c r="A25" i="6"/>
  <c r="DL24" i="6"/>
  <c r="DJ24" i="6"/>
  <c r="DI24" i="6"/>
  <c r="DF24" i="6"/>
  <c r="DE24" i="6"/>
  <c r="DC24" i="6"/>
  <c r="CY24" i="6"/>
  <c r="CW24" i="6"/>
  <c r="CV24" i="6"/>
  <c r="CU24" i="6"/>
  <c r="CS24" i="6"/>
  <c r="CK24" i="6"/>
  <c r="CI24" i="6"/>
  <c r="CG24" i="6"/>
  <c r="CE24" i="6"/>
  <c r="CC24" i="6"/>
  <c r="CA24" i="6"/>
  <c r="BY24" i="6"/>
  <c r="BW24" i="6"/>
  <c r="BU24" i="6"/>
  <c r="BS24" i="6"/>
  <c r="BQ24" i="6"/>
  <c r="BO24" i="6"/>
  <c r="BM24" i="6"/>
  <c r="BK24" i="6"/>
  <c r="BI24" i="6"/>
  <c r="BG24" i="6"/>
  <c r="BE24" i="6"/>
  <c r="BC24" i="6"/>
  <c r="BA24" i="6"/>
  <c r="AY24" i="6"/>
  <c r="AW24" i="6"/>
  <c r="AU24" i="6"/>
  <c r="AS24" i="6"/>
  <c r="AQ24" i="6"/>
  <c r="AO24" i="6"/>
  <c r="AM24" i="6"/>
  <c r="AK24" i="6"/>
  <c r="AI24" i="6"/>
  <c r="AG24" i="6"/>
  <c r="AF24" i="6"/>
  <c r="AE24" i="6"/>
  <c r="AB24" i="6"/>
  <c r="AA24" i="6"/>
  <c r="Z24" i="6"/>
  <c r="V24" i="6"/>
  <c r="U24" i="6"/>
  <c r="T24" i="6"/>
  <c r="S24" i="6"/>
  <c r="L24" i="6"/>
  <c r="K24" i="6"/>
  <c r="E24" i="6"/>
  <c r="D24" i="6"/>
  <c r="B24" i="6"/>
  <c r="A24" i="6"/>
  <c r="DL23" i="6"/>
  <c r="DJ23" i="6"/>
  <c r="DI23" i="6"/>
  <c r="DE23" i="6"/>
  <c r="DC23" i="6"/>
  <c r="CY23" i="6"/>
  <c r="CW23" i="6"/>
  <c r="CV23" i="6"/>
  <c r="CU23" i="6"/>
  <c r="CS23" i="6"/>
  <c r="CK23" i="6"/>
  <c r="CI23" i="6"/>
  <c r="CG23" i="6"/>
  <c r="CE23" i="6"/>
  <c r="CC23" i="6"/>
  <c r="CA23" i="6"/>
  <c r="BY23" i="6"/>
  <c r="BW23" i="6"/>
  <c r="BU23" i="6"/>
  <c r="BS23" i="6"/>
  <c r="BQ23" i="6"/>
  <c r="BO23" i="6"/>
  <c r="BM23" i="6"/>
  <c r="BK23" i="6"/>
  <c r="BI23" i="6"/>
  <c r="BG23" i="6"/>
  <c r="BE23" i="6"/>
  <c r="BC23" i="6"/>
  <c r="BA23" i="6"/>
  <c r="AY23" i="6"/>
  <c r="AW23" i="6"/>
  <c r="AU23" i="6"/>
  <c r="AS23" i="6"/>
  <c r="AQ23" i="6"/>
  <c r="AO23" i="6"/>
  <c r="AM23" i="6"/>
  <c r="AK23" i="6"/>
  <c r="AJ23" i="6"/>
  <c r="AI23" i="6"/>
  <c r="AH23" i="6"/>
  <c r="AG23" i="6"/>
  <c r="AF23" i="6"/>
  <c r="AE23" i="6"/>
  <c r="AB23" i="6"/>
  <c r="AA23" i="6"/>
  <c r="Z23" i="6"/>
  <c r="V23" i="6"/>
  <c r="U23" i="6"/>
  <c r="T23" i="6"/>
  <c r="S23" i="6"/>
  <c r="L23" i="6"/>
  <c r="K23" i="6"/>
  <c r="E23" i="6"/>
  <c r="D23" i="6"/>
  <c r="B23" i="6"/>
  <c r="A23" i="6"/>
  <c r="DL22" i="6"/>
  <c r="DJ22" i="6"/>
  <c r="DI22" i="6"/>
  <c r="DE22" i="6"/>
  <c r="DC22" i="6"/>
  <c r="CY22" i="6"/>
  <c r="CW22" i="6"/>
  <c r="CV22" i="6"/>
  <c r="CU22" i="6"/>
  <c r="CS22" i="6"/>
  <c r="CK22" i="6"/>
  <c r="CI22" i="6"/>
  <c r="CG22" i="6"/>
  <c r="CE22" i="6"/>
  <c r="CC22" i="6"/>
  <c r="CA22" i="6"/>
  <c r="BY22" i="6"/>
  <c r="BW22" i="6"/>
  <c r="BU22" i="6"/>
  <c r="BS22" i="6"/>
  <c r="BQ22" i="6"/>
  <c r="BO22" i="6"/>
  <c r="BM22" i="6"/>
  <c r="BK22" i="6"/>
  <c r="BI22" i="6"/>
  <c r="BG22" i="6"/>
  <c r="BE22" i="6"/>
  <c r="BC22" i="6"/>
  <c r="BA22" i="6"/>
  <c r="AY22" i="6"/>
  <c r="AW22" i="6"/>
  <c r="AU22" i="6"/>
  <c r="AS22" i="6"/>
  <c r="AQ22" i="6"/>
  <c r="AO22" i="6"/>
  <c r="AM22" i="6"/>
  <c r="AK22" i="6"/>
  <c r="AJ22" i="6"/>
  <c r="AI22" i="6"/>
  <c r="AH22" i="6"/>
  <c r="AG22" i="6"/>
  <c r="AF22" i="6"/>
  <c r="AE22" i="6"/>
  <c r="AB22" i="6"/>
  <c r="AA22" i="6"/>
  <c r="Z22" i="6"/>
  <c r="V22" i="6"/>
  <c r="U22" i="6"/>
  <c r="T22" i="6"/>
  <c r="S22" i="6"/>
  <c r="L22" i="6"/>
  <c r="K22" i="6"/>
  <c r="J22" i="6"/>
  <c r="E22" i="6"/>
  <c r="D22" i="6"/>
  <c r="B22" i="6"/>
  <c r="A22" i="6"/>
  <c r="DL21" i="6"/>
  <c r="DJ21" i="6"/>
  <c r="DI21" i="6"/>
  <c r="DH21" i="6"/>
  <c r="DE21" i="6"/>
  <c r="DC21" i="6"/>
  <c r="CY21" i="6"/>
  <c r="CW21" i="6"/>
  <c r="CV21" i="6"/>
  <c r="CU21" i="6"/>
  <c r="CS21" i="6"/>
  <c r="CK21" i="6"/>
  <c r="CI21" i="6"/>
  <c r="CG21" i="6"/>
  <c r="CF21" i="6"/>
  <c r="CE21" i="6"/>
  <c r="CD21" i="6"/>
  <c r="CC21" i="6"/>
  <c r="CA21" i="6"/>
  <c r="BY21" i="6"/>
  <c r="BW21" i="6"/>
  <c r="BU21" i="6"/>
  <c r="BS21" i="6"/>
  <c r="BQ21" i="6"/>
  <c r="BO21" i="6"/>
  <c r="BM21" i="6"/>
  <c r="BK21" i="6"/>
  <c r="BI21" i="6"/>
  <c r="BG21" i="6"/>
  <c r="BE21" i="6"/>
  <c r="BC21" i="6"/>
  <c r="BA21" i="6"/>
  <c r="AY21" i="6"/>
  <c r="AW21" i="6"/>
  <c r="AU21" i="6"/>
  <c r="AS21" i="6"/>
  <c r="AQ21" i="6"/>
  <c r="AO21" i="6"/>
  <c r="AM21" i="6"/>
  <c r="AK21" i="6"/>
  <c r="AJ21" i="6"/>
  <c r="AI21" i="6"/>
  <c r="AH21" i="6"/>
  <c r="AG21" i="6"/>
  <c r="AF21" i="6"/>
  <c r="AE21" i="6"/>
  <c r="AB21" i="6"/>
  <c r="AA21" i="6"/>
  <c r="Z21" i="6"/>
  <c r="V21" i="6"/>
  <c r="U21" i="6"/>
  <c r="T21" i="6"/>
  <c r="S21" i="6"/>
  <c r="Q21" i="6"/>
  <c r="E21" i="6"/>
  <c r="D21" i="6"/>
  <c r="B21" i="6"/>
  <c r="A21" i="6"/>
  <c r="DL20" i="6"/>
  <c r="DJ20" i="6"/>
  <c r="DI20" i="6"/>
  <c r="DH20" i="6"/>
  <c r="DE20" i="6"/>
  <c r="DC20" i="6"/>
  <c r="CY20" i="6"/>
  <c r="CW20" i="6"/>
  <c r="CV20" i="6"/>
  <c r="CU20" i="6"/>
  <c r="CT20" i="6"/>
  <c r="CS20" i="6"/>
  <c r="CK20" i="6"/>
  <c r="CI20" i="6"/>
  <c r="CG20" i="6"/>
  <c r="CF20" i="6"/>
  <c r="CE20" i="6"/>
  <c r="CD20" i="6"/>
  <c r="CC20" i="6"/>
  <c r="CA20" i="6"/>
  <c r="BY20" i="6"/>
  <c r="BW20" i="6"/>
  <c r="BU20" i="6"/>
  <c r="BS20" i="6"/>
  <c r="BQ20" i="6"/>
  <c r="BO20" i="6"/>
  <c r="BM20" i="6"/>
  <c r="BK20" i="6"/>
  <c r="BI20" i="6"/>
  <c r="BG20" i="6"/>
  <c r="BE20" i="6"/>
  <c r="BC20" i="6"/>
  <c r="BA20" i="6"/>
  <c r="AY20" i="6"/>
  <c r="AW20" i="6"/>
  <c r="AU20" i="6"/>
  <c r="AS20" i="6"/>
  <c r="AQ20" i="6"/>
  <c r="AO20" i="6"/>
  <c r="AM20" i="6"/>
  <c r="AK20" i="6"/>
  <c r="AI20" i="6"/>
  <c r="AG20" i="6"/>
  <c r="AF20" i="6"/>
  <c r="AE20" i="6"/>
  <c r="AB20" i="6"/>
  <c r="AA20" i="6"/>
  <c r="Z20" i="6"/>
  <c r="V20" i="6"/>
  <c r="U20" i="6"/>
  <c r="T20" i="6"/>
  <c r="S20" i="6"/>
  <c r="L20" i="6"/>
  <c r="K20" i="6"/>
  <c r="J20" i="6"/>
  <c r="E20" i="6"/>
  <c r="D20" i="6"/>
  <c r="B20" i="6"/>
  <c r="A20" i="6"/>
  <c r="DL19" i="6"/>
  <c r="DJ19" i="6"/>
  <c r="DI19" i="6"/>
  <c r="DE19" i="6"/>
  <c r="DC19" i="6"/>
  <c r="CY19" i="6"/>
  <c r="CW19" i="6"/>
  <c r="CU19" i="6"/>
  <c r="CS19" i="6"/>
  <c r="CK19" i="6"/>
  <c r="CI19" i="6"/>
  <c r="CG19" i="6"/>
  <c r="CE19" i="6"/>
  <c r="CC19" i="6"/>
  <c r="CA19" i="6"/>
  <c r="BY19" i="6"/>
  <c r="BW19" i="6"/>
  <c r="BU19" i="6"/>
  <c r="BS19" i="6"/>
  <c r="BQ19" i="6"/>
  <c r="BO19" i="6"/>
  <c r="BM19" i="6"/>
  <c r="BK19" i="6"/>
  <c r="BI19" i="6"/>
  <c r="BG19" i="6"/>
  <c r="BE19" i="6"/>
  <c r="BC19" i="6"/>
  <c r="BA19" i="6"/>
  <c r="AY19" i="6"/>
  <c r="AW19" i="6"/>
  <c r="AU19" i="6"/>
  <c r="AS19" i="6"/>
  <c r="AQ19" i="6"/>
  <c r="AO19" i="6"/>
  <c r="AM19" i="6"/>
  <c r="AK19" i="6"/>
  <c r="AJ19" i="6"/>
  <c r="AI19" i="6"/>
  <c r="AH19" i="6"/>
  <c r="AG19" i="6"/>
  <c r="AF19" i="6"/>
  <c r="AE19" i="6"/>
  <c r="AB19" i="6"/>
  <c r="AA19" i="6"/>
  <c r="Z19" i="6"/>
  <c r="V19" i="6"/>
  <c r="U19" i="6"/>
  <c r="T19" i="6"/>
  <c r="S19" i="6"/>
  <c r="L19" i="6"/>
  <c r="K19" i="6"/>
  <c r="J19" i="6"/>
  <c r="E19" i="6"/>
  <c r="D19" i="6"/>
  <c r="B19" i="6"/>
  <c r="A19" i="6"/>
  <c r="DL18" i="6"/>
  <c r="DJ18" i="6"/>
  <c r="DI18" i="6"/>
  <c r="DF18" i="6"/>
  <c r="DE18" i="6"/>
  <c r="DC18" i="6"/>
  <c r="CY18" i="6"/>
  <c r="CW18" i="6"/>
  <c r="CU18" i="6"/>
  <c r="CS18" i="6"/>
  <c r="CR18" i="6"/>
  <c r="CK18" i="6"/>
  <c r="CI18" i="6"/>
  <c r="CG18" i="6"/>
  <c r="CE18" i="6"/>
  <c r="CC18" i="6"/>
  <c r="CA18" i="6"/>
  <c r="BY18" i="6"/>
  <c r="BW18" i="6"/>
  <c r="BU18" i="6"/>
  <c r="BS18" i="6"/>
  <c r="BQ18" i="6"/>
  <c r="BO18" i="6"/>
  <c r="BM18" i="6"/>
  <c r="BK18" i="6"/>
  <c r="BI18" i="6"/>
  <c r="BG18" i="6"/>
  <c r="BE18" i="6"/>
  <c r="BC18" i="6"/>
  <c r="BA18" i="6"/>
  <c r="AY18" i="6"/>
  <c r="AW18" i="6"/>
  <c r="AU18" i="6"/>
  <c r="AS18" i="6"/>
  <c r="AQ18" i="6"/>
  <c r="AO18" i="6"/>
  <c r="AM18" i="6"/>
  <c r="AK18" i="6"/>
  <c r="AI18" i="6"/>
  <c r="AG18" i="6"/>
  <c r="AF18" i="6"/>
  <c r="AE18" i="6"/>
  <c r="AD18" i="6"/>
  <c r="AB18" i="6"/>
  <c r="AA18" i="6"/>
  <c r="Z18" i="6"/>
  <c r="V18" i="6"/>
  <c r="U18" i="6"/>
  <c r="T18" i="6"/>
  <c r="S18" i="6"/>
  <c r="Q18" i="6"/>
  <c r="E18" i="6"/>
  <c r="D18" i="6"/>
  <c r="B18" i="6"/>
  <c r="A18" i="6"/>
  <c r="DL17" i="6"/>
  <c r="DJ17" i="6"/>
  <c r="DI17" i="6"/>
  <c r="DE17" i="6"/>
  <c r="DC17" i="6"/>
  <c r="CY17" i="6"/>
  <c r="CW17" i="6"/>
  <c r="CU17" i="6"/>
  <c r="CS17" i="6"/>
  <c r="CK17" i="6"/>
  <c r="CI17" i="6"/>
  <c r="CG17" i="6"/>
  <c r="CE17" i="6"/>
  <c r="CC17" i="6"/>
  <c r="CA17" i="6"/>
  <c r="BY17" i="6"/>
  <c r="BW17" i="6"/>
  <c r="BU17" i="6"/>
  <c r="BS17" i="6"/>
  <c r="BQ17" i="6"/>
  <c r="BO17" i="6"/>
  <c r="BM17" i="6"/>
  <c r="BK17" i="6"/>
  <c r="BI17" i="6"/>
  <c r="BG17" i="6"/>
  <c r="BE17" i="6"/>
  <c r="BC17" i="6"/>
  <c r="BA17" i="6"/>
  <c r="AY17" i="6"/>
  <c r="AW17" i="6"/>
  <c r="AU17" i="6"/>
  <c r="AS17" i="6"/>
  <c r="AQ17" i="6"/>
  <c r="AO17" i="6"/>
  <c r="AM17" i="6"/>
  <c r="AK17" i="6"/>
  <c r="AJ17" i="6"/>
  <c r="AI17" i="6"/>
  <c r="AH17" i="6"/>
  <c r="AG17" i="6"/>
  <c r="AF17" i="6"/>
  <c r="AE17" i="6"/>
  <c r="AB17" i="6"/>
  <c r="AA17" i="6"/>
  <c r="Z17" i="6"/>
  <c r="V17" i="6"/>
  <c r="U17" i="6"/>
  <c r="T17" i="6"/>
  <c r="S17" i="6"/>
  <c r="L17" i="6"/>
  <c r="K17" i="6"/>
  <c r="J17" i="6"/>
  <c r="E17" i="6"/>
  <c r="D17" i="6"/>
  <c r="B17" i="6"/>
  <c r="A17" i="6"/>
  <c r="DL16" i="6"/>
  <c r="DJ16" i="6"/>
  <c r="DI16" i="6"/>
  <c r="DE16" i="6"/>
  <c r="DC16" i="6"/>
  <c r="CY16" i="6"/>
  <c r="CW16" i="6"/>
  <c r="CV16" i="6"/>
  <c r="CU16" i="6"/>
  <c r="CS16" i="6"/>
  <c r="CK16" i="6"/>
  <c r="CI16" i="6"/>
  <c r="CG16" i="6"/>
  <c r="CE16" i="6"/>
  <c r="CC16" i="6"/>
  <c r="CA16" i="6"/>
  <c r="BY16" i="6"/>
  <c r="BW16" i="6"/>
  <c r="BU16" i="6"/>
  <c r="BS16" i="6"/>
  <c r="BQ16" i="6"/>
  <c r="BO16" i="6"/>
  <c r="BM16" i="6"/>
  <c r="BK16" i="6"/>
  <c r="BI16" i="6"/>
  <c r="BG16" i="6"/>
  <c r="BE16" i="6"/>
  <c r="BC16" i="6"/>
  <c r="BA16" i="6"/>
  <c r="AY16" i="6"/>
  <c r="AW16" i="6"/>
  <c r="AU16" i="6"/>
  <c r="AS16" i="6"/>
  <c r="AQ16" i="6"/>
  <c r="AO16" i="6"/>
  <c r="AM16" i="6"/>
  <c r="AK16" i="6"/>
  <c r="AI16" i="6"/>
  <c r="AG16" i="6"/>
  <c r="AF16" i="6"/>
  <c r="AE16" i="6"/>
  <c r="AB16" i="6"/>
  <c r="AA16" i="6"/>
  <c r="Z16" i="6"/>
  <c r="V16" i="6"/>
  <c r="U16" i="6"/>
  <c r="T16" i="6"/>
  <c r="S16" i="6"/>
  <c r="Q16" i="6"/>
  <c r="E16" i="6"/>
  <c r="D16" i="6"/>
  <c r="B16" i="6"/>
  <c r="A16" i="6"/>
  <c r="DL15" i="6"/>
  <c r="DJ15" i="6"/>
  <c r="DI15" i="6"/>
  <c r="DE15" i="6"/>
  <c r="DC15" i="6"/>
  <c r="CY15" i="6"/>
  <c r="CW15" i="6"/>
  <c r="CV15" i="6"/>
  <c r="CU15" i="6"/>
  <c r="CS15" i="6"/>
  <c r="CK15" i="6"/>
  <c r="CI15" i="6"/>
  <c r="CG15" i="6"/>
  <c r="CE15" i="6"/>
  <c r="CC15" i="6"/>
  <c r="CA15" i="6"/>
  <c r="BY15" i="6"/>
  <c r="BW15" i="6"/>
  <c r="BU15" i="6"/>
  <c r="BS15" i="6"/>
  <c r="BQ15" i="6"/>
  <c r="BO15" i="6"/>
  <c r="BM15" i="6"/>
  <c r="BK15" i="6"/>
  <c r="BI15" i="6"/>
  <c r="BG15" i="6"/>
  <c r="BE15" i="6"/>
  <c r="BC15" i="6"/>
  <c r="BA15" i="6"/>
  <c r="AY15" i="6"/>
  <c r="AW15" i="6"/>
  <c r="AU15" i="6"/>
  <c r="AS15" i="6"/>
  <c r="AQ15" i="6"/>
  <c r="AO15" i="6"/>
  <c r="AM15" i="6"/>
  <c r="AK15" i="6"/>
  <c r="AI15" i="6"/>
  <c r="AG15" i="6"/>
  <c r="AF15" i="6"/>
  <c r="AE15" i="6"/>
  <c r="AB15" i="6"/>
  <c r="AA15" i="6"/>
  <c r="Z15" i="6"/>
  <c r="V15" i="6"/>
  <c r="U15" i="6"/>
  <c r="T15" i="6"/>
  <c r="S15" i="6"/>
  <c r="L15" i="6"/>
  <c r="K15" i="6"/>
  <c r="J15" i="6"/>
  <c r="E15" i="6"/>
  <c r="D15" i="6"/>
  <c r="B15" i="6"/>
  <c r="A15" i="6"/>
  <c r="DL14" i="6"/>
  <c r="DJ14" i="6"/>
  <c r="DI14" i="6"/>
  <c r="DE14" i="6"/>
  <c r="DC14" i="6"/>
  <c r="DB14" i="6"/>
  <c r="DA14" i="6"/>
  <c r="CY14" i="6"/>
  <c r="CX14" i="6"/>
  <c r="CW14" i="6"/>
  <c r="CV14" i="6"/>
  <c r="CU14" i="6"/>
  <c r="CS14" i="6"/>
  <c r="CK14" i="6"/>
  <c r="CI14" i="6"/>
  <c r="CG14" i="6"/>
  <c r="CE14" i="6"/>
  <c r="CC14" i="6"/>
  <c r="CA14" i="6"/>
  <c r="BY14" i="6"/>
  <c r="BW14" i="6"/>
  <c r="BU14" i="6"/>
  <c r="BS14" i="6"/>
  <c r="BQ14" i="6"/>
  <c r="BO14" i="6"/>
  <c r="BM14" i="6"/>
  <c r="BK14" i="6"/>
  <c r="BI14" i="6"/>
  <c r="BG14" i="6"/>
  <c r="BE14" i="6"/>
  <c r="BC14" i="6"/>
  <c r="BA14" i="6"/>
  <c r="AY14" i="6"/>
  <c r="AW14" i="6"/>
  <c r="AU14" i="6"/>
  <c r="AS14" i="6"/>
  <c r="AQ14" i="6"/>
  <c r="AO14" i="6"/>
  <c r="AM14" i="6"/>
  <c r="AK14" i="6"/>
  <c r="AI14" i="6"/>
  <c r="AG14" i="6"/>
  <c r="AF14" i="6"/>
  <c r="AE14" i="6"/>
  <c r="AD14" i="6"/>
  <c r="AB14" i="6"/>
  <c r="AA14" i="6"/>
  <c r="Z14" i="6"/>
  <c r="V14" i="6"/>
  <c r="U14" i="6"/>
  <c r="T14" i="6"/>
  <c r="S14" i="6"/>
  <c r="E14" i="6"/>
  <c r="D14" i="6"/>
  <c r="C14" i="6"/>
  <c r="B14" i="6"/>
  <c r="A14" i="6"/>
  <c r="DL13" i="6"/>
  <c r="DJ13" i="6"/>
  <c r="DI13" i="6"/>
  <c r="DE13" i="6"/>
  <c r="DC13" i="6"/>
  <c r="DB13" i="6"/>
  <c r="DA13" i="6"/>
  <c r="CY13" i="6"/>
  <c r="CX13" i="6"/>
  <c r="CW13" i="6"/>
  <c r="CU13" i="6"/>
  <c r="CS13" i="6"/>
  <c r="CK13" i="6"/>
  <c r="CI13" i="6"/>
  <c r="CG13" i="6"/>
  <c r="CE13" i="6"/>
  <c r="CC13" i="6"/>
  <c r="CA13" i="6"/>
  <c r="BY13" i="6"/>
  <c r="BW13" i="6"/>
  <c r="BU13" i="6"/>
  <c r="BS13" i="6"/>
  <c r="BQ13" i="6"/>
  <c r="BO13" i="6"/>
  <c r="BM13" i="6"/>
  <c r="BK13" i="6"/>
  <c r="BI13" i="6"/>
  <c r="BG13" i="6"/>
  <c r="BE13" i="6"/>
  <c r="BC13" i="6"/>
  <c r="BA13" i="6"/>
  <c r="AY13" i="6"/>
  <c r="AW13" i="6"/>
  <c r="AU13" i="6"/>
  <c r="AS13" i="6"/>
  <c r="AQ13" i="6"/>
  <c r="AO13" i="6"/>
  <c r="AM13" i="6"/>
  <c r="AK13" i="6"/>
  <c r="AI13" i="6"/>
  <c r="AG13" i="6"/>
  <c r="AF13" i="6"/>
  <c r="AE13" i="6"/>
  <c r="AD13" i="6"/>
  <c r="AB13" i="6"/>
  <c r="AA13" i="6"/>
  <c r="Z13" i="6"/>
  <c r="V13" i="6"/>
  <c r="U13" i="6"/>
  <c r="T13" i="6"/>
  <c r="S13" i="6"/>
  <c r="E13" i="6"/>
  <c r="D13" i="6"/>
  <c r="C13" i="6"/>
  <c r="B13" i="6"/>
  <c r="A13" i="6"/>
  <c r="DL12" i="6"/>
  <c r="DJ12" i="6"/>
  <c r="DI12" i="6"/>
  <c r="DE12" i="6"/>
  <c r="DD12" i="6"/>
  <c r="DC12" i="6"/>
  <c r="DB12" i="6"/>
  <c r="DA12" i="6"/>
  <c r="CY12" i="6"/>
  <c r="CX12" i="6"/>
  <c r="CW12" i="6"/>
  <c r="CU12" i="6"/>
  <c r="CS12" i="6"/>
  <c r="CK12" i="6"/>
  <c r="CI12" i="6"/>
  <c r="CG12" i="6"/>
  <c r="CE12" i="6"/>
  <c r="CC12" i="6"/>
  <c r="CA12" i="6"/>
  <c r="BY12" i="6"/>
  <c r="BW12" i="6"/>
  <c r="BU12" i="6"/>
  <c r="BS12" i="6"/>
  <c r="BQ12" i="6"/>
  <c r="BO12" i="6"/>
  <c r="BM12" i="6"/>
  <c r="BK12" i="6"/>
  <c r="BI12" i="6"/>
  <c r="BG12" i="6"/>
  <c r="BE12" i="6"/>
  <c r="BC12" i="6"/>
  <c r="BA12" i="6"/>
  <c r="AY12" i="6"/>
  <c r="AW12" i="6"/>
  <c r="AU12" i="6"/>
  <c r="AS12" i="6"/>
  <c r="AQ12" i="6"/>
  <c r="AO12" i="6"/>
  <c r="AM12" i="6"/>
  <c r="AK12" i="6"/>
  <c r="AI12" i="6"/>
  <c r="AG12" i="6"/>
  <c r="AF12" i="6"/>
  <c r="AE12" i="6"/>
  <c r="AD12" i="6"/>
  <c r="AB12" i="6"/>
  <c r="AA12" i="6"/>
  <c r="Z12" i="6"/>
  <c r="V12" i="6"/>
  <c r="U12" i="6"/>
  <c r="T12" i="6"/>
  <c r="S12" i="6"/>
  <c r="Q12" i="6"/>
  <c r="E12" i="6"/>
  <c r="D12" i="6"/>
  <c r="C12" i="6"/>
  <c r="B12" i="6"/>
  <c r="A12" i="6"/>
  <c r="DL11" i="6"/>
  <c r="DJ11" i="6"/>
  <c r="DI11" i="6"/>
  <c r="DH11" i="6"/>
  <c r="DE11" i="6"/>
  <c r="DC11" i="6"/>
  <c r="CY11" i="6"/>
  <c r="CW11" i="6"/>
  <c r="CV11" i="6"/>
  <c r="CU11" i="6"/>
  <c r="CS11" i="6"/>
  <c r="CK11" i="6"/>
  <c r="CI11" i="6"/>
  <c r="CG11" i="6"/>
  <c r="CF11" i="6"/>
  <c r="CE11" i="6"/>
  <c r="CD11" i="6"/>
  <c r="CC11" i="6"/>
  <c r="CA11" i="6"/>
  <c r="BY11" i="6"/>
  <c r="BW11" i="6"/>
  <c r="BU11" i="6"/>
  <c r="BS11" i="6"/>
  <c r="BQ11" i="6"/>
  <c r="BO11" i="6"/>
  <c r="BM11" i="6"/>
  <c r="BK11" i="6"/>
  <c r="BI11" i="6"/>
  <c r="BG11" i="6"/>
  <c r="BE11" i="6"/>
  <c r="BC11" i="6"/>
  <c r="BA11" i="6"/>
  <c r="AY11" i="6"/>
  <c r="AW11" i="6"/>
  <c r="AU11" i="6"/>
  <c r="AS11" i="6"/>
  <c r="AQ11" i="6"/>
  <c r="AO11" i="6"/>
  <c r="AM11" i="6"/>
  <c r="AK11" i="6"/>
  <c r="AI11" i="6"/>
  <c r="AG11" i="6"/>
  <c r="AF11" i="6"/>
  <c r="AE11" i="6"/>
  <c r="AB11" i="6"/>
  <c r="AA11" i="6"/>
  <c r="Z11" i="6"/>
  <c r="V11" i="6"/>
  <c r="U11" i="6"/>
  <c r="T11" i="6"/>
  <c r="S11" i="6"/>
  <c r="L11" i="6"/>
  <c r="K11" i="6"/>
  <c r="J11" i="6"/>
  <c r="E11" i="6"/>
  <c r="D11" i="6"/>
  <c r="B11" i="6"/>
  <c r="A11" i="6"/>
  <c r="DL10" i="6"/>
  <c r="DJ10" i="6"/>
  <c r="DI10" i="6"/>
  <c r="DE10" i="6"/>
  <c r="DC10" i="6"/>
  <c r="CY10" i="6"/>
  <c r="CW10" i="6"/>
  <c r="CU10" i="6"/>
  <c r="CS10" i="6"/>
  <c r="CK10" i="6"/>
  <c r="CI10" i="6"/>
  <c r="CG10" i="6"/>
  <c r="CE10" i="6"/>
  <c r="CC10" i="6"/>
  <c r="CA10" i="6"/>
  <c r="BY10" i="6"/>
  <c r="BW10" i="6"/>
  <c r="BU10" i="6"/>
  <c r="BS10" i="6"/>
  <c r="BQ10" i="6"/>
  <c r="BO10" i="6"/>
  <c r="BM10" i="6"/>
  <c r="BK10" i="6"/>
  <c r="BI10" i="6"/>
  <c r="BG10" i="6"/>
  <c r="BE10" i="6"/>
  <c r="BC10" i="6"/>
  <c r="BA10" i="6"/>
  <c r="AY10" i="6"/>
  <c r="AW10" i="6"/>
  <c r="AU10" i="6"/>
  <c r="AS10" i="6"/>
  <c r="AQ10" i="6"/>
  <c r="AO10" i="6"/>
  <c r="AM10" i="6"/>
  <c r="AK10" i="6"/>
  <c r="AI10" i="6"/>
  <c r="AG10" i="6"/>
  <c r="AF10" i="6"/>
  <c r="AE10" i="6"/>
  <c r="AB10" i="6"/>
  <c r="AA10" i="6"/>
  <c r="Z10" i="6"/>
  <c r="V10" i="6"/>
  <c r="U10" i="6"/>
  <c r="T10" i="6"/>
  <c r="S10" i="6"/>
  <c r="L10" i="6"/>
  <c r="K10" i="6"/>
  <c r="E10" i="6"/>
  <c r="D10" i="6"/>
  <c r="B10" i="6"/>
  <c r="A10" i="6"/>
  <c r="DL9" i="6"/>
  <c r="DJ9" i="6"/>
  <c r="DI9" i="6"/>
  <c r="DE9" i="6"/>
  <c r="DC9" i="6"/>
  <c r="CY9" i="6"/>
  <c r="CW9" i="6"/>
  <c r="CU9" i="6"/>
  <c r="CS9" i="6"/>
  <c r="CK9" i="6"/>
  <c r="CI9" i="6"/>
  <c r="CG9" i="6"/>
  <c r="CE9" i="6"/>
  <c r="CC9" i="6"/>
  <c r="CA9" i="6"/>
  <c r="BY9" i="6"/>
  <c r="BW9" i="6"/>
  <c r="BU9" i="6"/>
  <c r="BS9" i="6"/>
  <c r="BQ9" i="6"/>
  <c r="BO9" i="6"/>
  <c r="BM9" i="6"/>
  <c r="BK9" i="6"/>
  <c r="BI9" i="6"/>
  <c r="BG9" i="6"/>
  <c r="BE9" i="6"/>
  <c r="BC9" i="6"/>
  <c r="BA9" i="6"/>
  <c r="AY9" i="6"/>
  <c r="AW9" i="6"/>
  <c r="AU9" i="6"/>
  <c r="AS9" i="6"/>
  <c r="AQ9" i="6"/>
  <c r="AO9" i="6"/>
  <c r="AM9" i="6"/>
  <c r="AK9" i="6"/>
  <c r="AI9" i="6"/>
  <c r="AG9" i="6"/>
  <c r="AF9" i="6"/>
  <c r="AE9" i="6"/>
  <c r="AB9" i="6"/>
  <c r="AA9" i="6"/>
  <c r="Z9" i="6"/>
  <c r="V9" i="6"/>
  <c r="U9" i="6"/>
  <c r="T9" i="6"/>
  <c r="S9" i="6"/>
  <c r="I9" i="6"/>
  <c r="H9" i="6"/>
  <c r="G9" i="6"/>
  <c r="E9" i="6"/>
  <c r="D9" i="6"/>
  <c r="B9" i="6"/>
  <c r="A9" i="6"/>
  <c r="DL8" i="6"/>
  <c r="DJ8" i="6"/>
  <c r="DI8" i="6"/>
  <c r="DE8" i="6"/>
  <c r="DC8" i="6"/>
  <c r="CY8" i="6"/>
  <c r="CW8" i="6"/>
  <c r="CV8" i="6"/>
  <c r="CU8" i="6"/>
  <c r="CS8" i="6"/>
  <c r="CK8" i="6"/>
  <c r="CI8" i="6"/>
  <c r="CG8" i="6"/>
  <c r="CE8" i="6"/>
  <c r="CC8" i="6"/>
  <c r="CA8" i="6"/>
  <c r="BY8" i="6"/>
  <c r="BW8" i="6"/>
  <c r="BU8" i="6"/>
  <c r="BS8" i="6"/>
  <c r="BQ8" i="6"/>
  <c r="BO8" i="6"/>
  <c r="BM8" i="6"/>
  <c r="BK8" i="6"/>
  <c r="BI8" i="6"/>
  <c r="BG8" i="6"/>
  <c r="BE8" i="6"/>
  <c r="BC8" i="6"/>
  <c r="BA8" i="6"/>
  <c r="AY8" i="6"/>
  <c r="AW8" i="6"/>
  <c r="AU8" i="6"/>
  <c r="AS8" i="6"/>
  <c r="AQ8" i="6"/>
  <c r="AO8" i="6"/>
  <c r="AM8" i="6"/>
  <c r="AK8" i="6"/>
  <c r="AI8" i="6"/>
  <c r="AG8" i="6"/>
  <c r="AF8" i="6"/>
  <c r="AE8" i="6"/>
  <c r="AB8" i="6"/>
  <c r="AA8" i="6"/>
  <c r="Z8" i="6"/>
  <c r="V8" i="6"/>
  <c r="U8" i="6"/>
  <c r="T8" i="6"/>
  <c r="S8" i="6"/>
  <c r="L8" i="6"/>
  <c r="K8" i="6"/>
  <c r="E8" i="6"/>
  <c r="D8" i="6"/>
  <c r="B8" i="6"/>
  <c r="A8" i="6"/>
  <c r="DL7" i="6"/>
  <c r="DJ7" i="6"/>
  <c r="DI7" i="6"/>
  <c r="DE7" i="6"/>
  <c r="DC7" i="6"/>
  <c r="CY7" i="6"/>
  <c r="CW7" i="6"/>
  <c r="CV7" i="6"/>
  <c r="CU7" i="6"/>
  <c r="CS7" i="6"/>
  <c r="CK7" i="6"/>
  <c r="CI7" i="6"/>
  <c r="CG7" i="6"/>
  <c r="CE7" i="6"/>
  <c r="CC7" i="6"/>
  <c r="CA7" i="6"/>
  <c r="BY7" i="6"/>
  <c r="BW7" i="6"/>
  <c r="BU7" i="6"/>
  <c r="BS7" i="6"/>
  <c r="BQ7" i="6"/>
  <c r="BO7" i="6"/>
  <c r="BM7" i="6"/>
  <c r="BK7" i="6"/>
  <c r="BI7" i="6"/>
  <c r="BG7" i="6"/>
  <c r="BE7" i="6"/>
  <c r="BC7" i="6"/>
  <c r="BA7" i="6"/>
  <c r="AY7" i="6"/>
  <c r="AW7" i="6"/>
  <c r="AU7" i="6"/>
  <c r="AS7" i="6"/>
  <c r="AQ7" i="6"/>
  <c r="AO7" i="6"/>
  <c r="AM7" i="6"/>
  <c r="AK7" i="6"/>
  <c r="AJ7" i="6"/>
  <c r="AI7" i="6"/>
  <c r="AH7" i="6"/>
  <c r="AG7" i="6"/>
  <c r="AF7" i="6"/>
  <c r="AE7" i="6"/>
  <c r="AB7" i="6"/>
  <c r="AA7" i="6"/>
  <c r="Z7" i="6"/>
  <c r="V7" i="6"/>
  <c r="U7" i="6"/>
  <c r="T7" i="6"/>
  <c r="S7" i="6"/>
  <c r="L7" i="6"/>
  <c r="K7" i="6"/>
  <c r="E7" i="6"/>
  <c r="D7" i="6"/>
  <c r="B7" i="6"/>
  <c r="A7" i="6"/>
  <c r="DL6" i="6"/>
  <c r="DJ6" i="6"/>
  <c r="DI6" i="6"/>
  <c r="DE6" i="6"/>
  <c r="DC6" i="6"/>
  <c r="CY6" i="6"/>
  <c r="CW6" i="6"/>
  <c r="CV6" i="6"/>
  <c r="CU6" i="6"/>
  <c r="CS6" i="6"/>
  <c r="CK6" i="6"/>
  <c r="CI6" i="6"/>
  <c r="CG6" i="6"/>
  <c r="CE6" i="6"/>
  <c r="CC6" i="6"/>
  <c r="CA6" i="6"/>
  <c r="BY6" i="6"/>
  <c r="BW6" i="6"/>
  <c r="BU6" i="6"/>
  <c r="BS6" i="6"/>
  <c r="BQ6" i="6"/>
  <c r="BO6" i="6"/>
  <c r="BM6" i="6"/>
  <c r="BK6" i="6"/>
  <c r="BI6" i="6"/>
  <c r="BG6" i="6"/>
  <c r="BE6" i="6"/>
  <c r="BC6" i="6"/>
  <c r="BA6" i="6"/>
  <c r="AY6" i="6"/>
  <c r="AW6" i="6"/>
  <c r="AU6" i="6"/>
  <c r="AS6" i="6"/>
  <c r="AQ6" i="6"/>
  <c r="AO6" i="6"/>
  <c r="AM6" i="6"/>
  <c r="AK6" i="6"/>
  <c r="AI6" i="6"/>
  <c r="AG6" i="6"/>
  <c r="AF6" i="6"/>
  <c r="AE6" i="6"/>
  <c r="AB6" i="6"/>
  <c r="AA6" i="6"/>
  <c r="Z6" i="6"/>
  <c r="V6" i="6"/>
  <c r="U6" i="6"/>
  <c r="T6" i="6"/>
  <c r="S6" i="6"/>
  <c r="Q6" i="6"/>
  <c r="L6" i="6"/>
  <c r="K6" i="6"/>
  <c r="E6" i="6"/>
  <c r="D6" i="6"/>
  <c r="B6" i="6"/>
  <c r="A6" i="6"/>
  <c r="DL5" i="6"/>
  <c r="DJ5" i="6"/>
  <c r="DI5" i="6"/>
  <c r="DE5" i="6"/>
  <c r="DC5" i="6"/>
  <c r="CY5" i="6"/>
  <c r="CW5" i="6"/>
  <c r="CV5" i="6"/>
  <c r="CU5" i="6"/>
  <c r="CS5" i="6"/>
  <c r="CK5" i="6"/>
  <c r="CI5" i="6"/>
  <c r="CG5" i="6"/>
  <c r="CE5" i="6"/>
  <c r="CC5" i="6"/>
  <c r="CA5" i="6"/>
  <c r="BY5" i="6"/>
  <c r="BW5" i="6"/>
  <c r="BU5" i="6"/>
  <c r="BS5" i="6"/>
  <c r="BQ5" i="6"/>
  <c r="BO5" i="6"/>
  <c r="BM5" i="6"/>
  <c r="BK5" i="6"/>
  <c r="BI5" i="6"/>
  <c r="BG5" i="6"/>
  <c r="BE5" i="6"/>
  <c r="BC5" i="6"/>
  <c r="BA5" i="6"/>
  <c r="AY5" i="6"/>
  <c r="AW5" i="6"/>
  <c r="AU5" i="6"/>
  <c r="AS5" i="6"/>
  <c r="AQ5" i="6"/>
  <c r="AO5" i="6"/>
  <c r="AM5" i="6"/>
  <c r="AK5" i="6"/>
  <c r="AI5" i="6"/>
  <c r="AG5" i="6"/>
  <c r="AF5" i="6"/>
  <c r="AE5" i="6"/>
  <c r="AB5" i="6"/>
  <c r="AA5" i="6"/>
  <c r="Z5" i="6"/>
  <c r="V5" i="6"/>
  <c r="U5" i="6"/>
  <c r="T5" i="6"/>
  <c r="S5" i="6"/>
  <c r="Q5" i="6"/>
  <c r="I5" i="6"/>
  <c r="H5" i="6"/>
  <c r="G5" i="6"/>
  <c r="E5" i="6"/>
  <c r="D5" i="6"/>
  <c r="B5" i="6"/>
  <c r="A5" i="6"/>
  <c r="DL4" i="6"/>
  <c r="DJ4" i="6"/>
  <c r="DI4" i="6"/>
  <c r="DE4" i="6"/>
  <c r="DC4" i="6"/>
  <c r="CY4" i="6"/>
  <c r="CW4" i="6"/>
  <c r="CV4" i="6"/>
  <c r="CU4" i="6"/>
  <c r="CS4" i="6"/>
  <c r="CK4" i="6"/>
  <c r="CI4" i="6"/>
  <c r="CG4" i="6"/>
  <c r="CE4" i="6"/>
  <c r="CC4" i="6"/>
  <c r="CA4" i="6"/>
  <c r="BY4" i="6"/>
  <c r="BW4" i="6"/>
  <c r="BU4" i="6"/>
  <c r="BS4" i="6"/>
  <c r="BQ4" i="6"/>
  <c r="BO4" i="6"/>
  <c r="BM4" i="6"/>
  <c r="BK4" i="6"/>
  <c r="BI4" i="6"/>
  <c r="BG4" i="6"/>
  <c r="BE4" i="6"/>
  <c r="BC4" i="6"/>
  <c r="BA4" i="6"/>
  <c r="AY4" i="6"/>
  <c r="AW4" i="6"/>
  <c r="AU4" i="6"/>
  <c r="AS4" i="6"/>
  <c r="AQ4" i="6"/>
  <c r="AO4" i="6"/>
  <c r="AM4" i="6"/>
  <c r="AK4" i="6"/>
  <c r="AJ4" i="6"/>
  <c r="AI4" i="6"/>
  <c r="AH4" i="6"/>
  <c r="AG4" i="6"/>
  <c r="AF4" i="6"/>
  <c r="AE4" i="6"/>
  <c r="AB4" i="6"/>
  <c r="AA4" i="6"/>
  <c r="Z4" i="6"/>
  <c r="V4" i="6"/>
  <c r="U4" i="6"/>
  <c r="T4" i="6"/>
  <c r="S4" i="6"/>
  <c r="I4" i="6"/>
  <c r="H4" i="6"/>
  <c r="G4" i="6"/>
  <c r="E4" i="6"/>
  <c r="D4" i="6"/>
  <c r="B4" i="6"/>
  <c r="A4" i="6"/>
  <c r="DL3" i="6"/>
  <c r="DJ3" i="6"/>
  <c r="DI3" i="6"/>
  <c r="DE3" i="6"/>
  <c r="DC3" i="6"/>
  <c r="DB3" i="6"/>
  <c r="DA3" i="6"/>
  <c r="CY3" i="6"/>
  <c r="CX3" i="6"/>
  <c r="CW3" i="6"/>
  <c r="CV3" i="6"/>
  <c r="CU3" i="6"/>
  <c r="CS3" i="6"/>
  <c r="CK3" i="6"/>
  <c r="CI3" i="6"/>
  <c r="CG3" i="6"/>
  <c r="CE3" i="6"/>
  <c r="CC3" i="6"/>
  <c r="CA3" i="6"/>
  <c r="BY3" i="6"/>
  <c r="BW3" i="6"/>
  <c r="BU3" i="6"/>
  <c r="BS3" i="6"/>
  <c r="BQ3" i="6"/>
  <c r="BO3" i="6"/>
  <c r="BM3" i="6"/>
  <c r="BK3" i="6"/>
  <c r="BI3" i="6"/>
  <c r="BG3" i="6"/>
  <c r="BE3" i="6"/>
  <c r="BC3" i="6"/>
  <c r="BA3" i="6"/>
  <c r="AY3" i="6"/>
  <c r="AW3" i="6"/>
  <c r="AU3" i="6"/>
  <c r="AS3" i="6"/>
  <c r="AQ3" i="6"/>
  <c r="AO3" i="6"/>
  <c r="AM3" i="6"/>
  <c r="AK3" i="6"/>
  <c r="AI3" i="6"/>
  <c r="AG3" i="6"/>
  <c r="AF3" i="6"/>
  <c r="AE3" i="6"/>
  <c r="AD3" i="6"/>
  <c r="AB3" i="6"/>
  <c r="AA3" i="6"/>
  <c r="Z3" i="6"/>
  <c r="V3" i="6"/>
  <c r="U3" i="6"/>
  <c r="T3" i="6"/>
  <c r="S3" i="6"/>
  <c r="Q3" i="6"/>
  <c r="E3" i="6"/>
  <c r="D3" i="6"/>
  <c r="C3" i="6"/>
  <c r="B3" i="6"/>
  <c r="A3" i="6"/>
  <c r="DL2" i="6"/>
  <c r="DJ2" i="6"/>
  <c r="DI2" i="6"/>
  <c r="DE2" i="6"/>
  <c r="DD2" i="6"/>
  <c r="DC2" i="6"/>
  <c r="DB2" i="6"/>
  <c r="DA2" i="6"/>
  <c r="CY2" i="6"/>
  <c r="CX2" i="6"/>
  <c r="CW2" i="6"/>
  <c r="CU2" i="6"/>
  <c r="CT2" i="6"/>
  <c r="CS2" i="6"/>
  <c r="CK2" i="6"/>
  <c r="CI2" i="6"/>
  <c r="CG2" i="6"/>
  <c r="CE2" i="6"/>
  <c r="CC2" i="6"/>
  <c r="CA2" i="6"/>
  <c r="BY2" i="6"/>
  <c r="BW2" i="6"/>
  <c r="BU2" i="6"/>
  <c r="BS2" i="6"/>
  <c r="BQ2" i="6"/>
  <c r="BO2" i="6"/>
  <c r="BM2" i="6"/>
  <c r="BK2" i="6"/>
  <c r="BI2" i="6"/>
  <c r="BG2" i="6"/>
  <c r="BE2" i="6"/>
  <c r="BC2" i="6"/>
  <c r="BA2" i="6"/>
  <c r="AY2" i="6"/>
  <c r="AW2" i="6"/>
  <c r="AU2" i="6"/>
  <c r="AS2" i="6"/>
  <c r="AQ2" i="6"/>
  <c r="AO2" i="6"/>
  <c r="AM2" i="6"/>
  <c r="AK2" i="6"/>
  <c r="AI2" i="6"/>
  <c r="AG2" i="6"/>
  <c r="AF2" i="6"/>
  <c r="AE2" i="6"/>
  <c r="AD2" i="6"/>
  <c r="AB2" i="6"/>
  <c r="AA2" i="6"/>
  <c r="Z2" i="6"/>
  <c r="Y2" i="6"/>
  <c r="X2" i="6"/>
  <c r="W2" i="6"/>
  <c r="V2" i="6"/>
  <c r="U2" i="6"/>
  <c r="T2" i="6"/>
  <c r="S2" i="6"/>
  <c r="L2" i="6"/>
  <c r="K2" i="6"/>
  <c r="J2" i="6"/>
  <c r="E2" i="6"/>
  <c r="D2" i="6"/>
  <c r="B2" i="6"/>
  <c r="A2" i="6"/>
  <c r="DL1" i="6"/>
  <c r="DK1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S94" i="5"/>
  <c r="R94" i="5"/>
  <c r="I94" i="5"/>
  <c r="J94" i="5" s="1"/>
  <c r="K94" i="5" s="1"/>
  <c r="F94" i="5"/>
  <c r="S93" i="5"/>
  <c r="R93" i="5"/>
  <c r="I93" i="5"/>
  <c r="J93" i="5" s="1"/>
  <c r="K93" i="5" s="1"/>
  <c r="F93" i="5"/>
  <c r="R92" i="5"/>
  <c r="S92" i="5" s="1"/>
  <c r="I92" i="5"/>
  <c r="J92" i="5" s="1"/>
  <c r="K92" i="5" s="1"/>
  <c r="F92" i="5"/>
  <c r="R91" i="5"/>
  <c r="S91" i="5" s="1"/>
  <c r="J91" i="5"/>
  <c r="K91" i="5" s="1"/>
  <c r="I91" i="5"/>
  <c r="F91" i="5"/>
  <c r="R90" i="5"/>
  <c r="S90" i="5" s="1"/>
  <c r="I90" i="5"/>
  <c r="J90" i="5" s="1"/>
  <c r="K90" i="5" s="1"/>
  <c r="F90" i="5"/>
  <c r="S89" i="5"/>
  <c r="R89" i="5"/>
  <c r="I89" i="5"/>
  <c r="J89" i="5" s="1"/>
  <c r="K89" i="5" s="1"/>
  <c r="F89" i="5"/>
  <c r="R88" i="5"/>
  <c r="S88" i="5" s="1"/>
  <c r="K88" i="5"/>
  <c r="J88" i="5"/>
  <c r="I88" i="5"/>
  <c r="F88" i="5"/>
  <c r="R87" i="5"/>
  <c r="S87" i="5" s="1"/>
  <c r="J87" i="5"/>
  <c r="K87" i="5" s="1"/>
  <c r="I87" i="5"/>
  <c r="F87" i="5"/>
  <c r="R86" i="5"/>
  <c r="S86" i="5" s="1"/>
  <c r="I86" i="5"/>
  <c r="J86" i="5" s="1"/>
  <c r="K86" i="5" s="1"/>
  <c r="F86" i="5"/>
  <c r="S85" i="5"/>
  <c r="R85" i="5"/>
  <c r="I85" i="5"/>
  <c r="J85" i="5" s="1"/>
  <c r="K85" i="5" s="1"/>
  <c r="F85" i="5"/>
  <c r="R84" i="5"/>
  <c r="S84" i="5" s="1"/>
  <c r="I84" i="5"/>
  <c r="J84" i="5" s="1"/>
  <c r="K84" i="5" s="1"/>
  <c r="F84" i="5"/>
  <c r="R83" i="5"/>
  <c r="S83" i="5" s="1"/>
  <c r="J83" i="5"/>
  <c r="K83" i="5" s="1"/>
  <c r="I83" i="5"/>
  <c r="F83" i="5"/>
  <c r="S82" i="5"/>
  <c r="R82" i="5"/>
  <c r="I82" i="5"/>
  <c r="J82" i="5" s="1"/>
  <c r="K82" i="5" s="1"/>
  <c r="F82" i="5"/>
  <c r="S81" i="5"/>
  <c r="R81" i="5"/>
  <c r="I81" i="5"/>
  <c r="J81" i="5" s="1"/>
  <c r="K81" i="5" s="1"/>
  <c r="F81" i="5"/>
  <c r="R80" i="5"/>
  <c r="S80" i="5" s="1"/>
  <c r="I80" i="5"/>
  <c r="J80" i="5" s="1"/>
  <c r="K80" i="5" s="1"/>
  <c r="F80" i="5"/>
  <c r="R79" i="5"/>
  <c r="S79" i="5" s="1"/>
  <c r="J79" i="5"/>
  <c r="K79" i="5" s="1"/>
  <c r="I79" i="5"/>
  <c r="F79" i="5"/>
  <c r="R78" i="5"/>
  <c r="S78" i="5" s="1"/>
  <c r="I78" i="5"/>
  <c r="J78" i="5" s="1"/>
  <c r="K78" i="5" s="1"/>
  <c r="F78" i="5"/>
  <c r="S77" i="5"/>
  <c r="R77" i="5"/>
  <c r="I77" i="5"/>
  <c r="J77" i="5" s="1"/>
  <c r="K77" i="5" s="1"/>
  <c r="F77" i="5"/>
  <c r="R76" i="5"/>
  <c r="S76" i="5" s="1"/>
  <c r="P76" i="5"/>
  <c r="O76" i="5"/>
  <c r="I76" i="5"/>
  <c r="J76" i="5" s="1"/>
  <c r="K76" i="5" s="1"/>
  <c r="F76" i="5"/>
  <c r="P75" i="5"/>
  <c r="R75" i="5" s="1"/>
  <c r="S75" i="5" s="1"/>
  <c r="O75" i="5"/>
  <c r="J75" i="5"/>
  <c r="K75" i="5" s="1"/>
  <c r="I75" i="5"/>
  <c r="F75" i="5"/>
  <c r="P74" i="5"/>
  <c r="R74" i="5" s="1"/>
  <c r="S74" i="5" s="1"/>
  <c r="O74" i="5"/>
  <c r="I74" i="5"/>
  <c r="J74" i="5" s="1"/>
  <c r="K74" i="5" s="1"/>
  <c r="F74" i="5"/>
  <c r="R73" i="5"/>
  <c r="S73" i="5" s="1"/>
  <c r="P73" i="5"/>
  <c r="O73" i="5"/>
  <c r="I73" i="5"/>
  <c r="J73" i="5" s="1"/>
  <c r="K73" i="5" s="1"/>
  <c r="F73" i="5"/>
  <c r="R72" i="5"/>
  <c r="S72" i="5" s="1"/>
  <c r="P72" i="5"/>
  <c r="O72" i="5"/>
  <c r="I72" i="5"/>
  <c r="J72" i="5" s="1"/>
  <c r="K72" i="5" s="1"/>
  <c r="F72" i="5"/>
  <c r="S71" i="5"/>
  <c r="R71" i="5"/>
  <c r="P71" i="5"/>
  <c r="O71" i="5"/>
  <c r="J71" i="5"/>
  <c r="K71" i="5" s="1"/>
  <c r="I71" i="5"/>
  <c r="F71" i="5"/>
  <c r="P70" i="5"/>
  <c r="R70" i="5" s="1"/>
  <c r="S70" i="5" s="1"/>
  <c r="O70" i="5"/>
  <c r="I70" i="5"/>
  <c r="J70" i="5" s="1"/>
  <c r="K70" i="5" s="1"/>
  <c r="F70" i="5"/>
  <c r="R69" i="5"/>
  <c r="S69" i="5" s="1"/>
  <c r="P69" i="5"/>
  <c r="O69" i="5"/>
  <c r="I69" i="5"/>
  <c r="J69" i="5" s="1"/>
  <c r="K69" i="5" s="1"/>
  <c r="F69" i="5"/>
  <c r="R68" i="5"/>
  <c r="S68" i="5" s="1"/>
  <c r="P68" i="5"/>
  <c r="O68" i="5"/>
  <c r="I68" i="5"/>
  <c r="J68" i="5" s="1"/>
  <c r="K68" i="5" s="1"/>
  <c r="F68" i="5"/>
  <c r="P67" i="5"/>
  <c r="R67" i="5" s="1"/>
  <c r="S67" i="5" s="1"/>
  <c r="O67" i="5"/>
  <c r="J67" i="5"/>
  <c r="K67" i="5" s="1"/>
  <c r="I67" i="5"/>
  <c r="F67" i="5"/>
  <c r="P66" i="5"/>
  <c r="R66" i="5" s="1"/>
  <c r="S66" i="5" s="1"/>
  <c r="O66" i="5"/>
  <c r="K66" i="5"/>
  <c r="J66" i="5"/>
  <c r="I66" i="5"/>
  <c r="F66" i="5"/>
  <c r="P65" i="5"/>
  <c r="R65" i="5" s="1"/>
  <c r="S65" i="5" s="1"/>
  <c r="O65" i="5"/>
  <c r="I65" i="5"/>
  <c r="J65" i="5" s="1"/>
  <c r="K65" i="5" s="1"/>
  <c r="F65" i="5"/>
  <c r="R64" i="5"/>
  <c r="S64" i="5" s="1"/>
  <c r="P64" i="5"/>
  <c r="O64" i="5"/>
  <c r="I64" i="5"/>
  <c r="J64" i="5" s="1"/>
  <c r="K64" i="5" s="1"/>
  <c r="F64" i="5"/>
  <c r="C64" i="5"/>
  <c r="P63" i="5"/>
  <c r="R63" i="5" s="1"/>
  <c r="S63" i="5" s="1"/>
  <c r="O63" i="5"/>
  <c r="I63" i="5"/>
  <c r="J63" i="5" s="1"/>
  <c r="K63" i="5" s="1"/>
  <c r="F63" i="5"/>
  <c r="C63" i="5"/>
  <c r="R62" i="5"/>
  <c r="S62" i="5" s="1"/>
  <c r="P62" i="5"/>
  <c r="O62" i="5"/>
  <c r="I62" i="5"/>
  <c r="J62" i="5" s="1"/>
  <c r="K62" i="5" s="1"/>
  <c r="F62" i="5"/>
  <c r="C62" i="5"/>
  <c r="P61" i="5"/>
  <c r="R61" i="5" s="1"/>
  <c r="S61" i="5" s="1"/>
  <c r="O61" i="5"/>
  <c r="I61" i="5"/>
  <c r="J61" i="5" s="1"/>
  <c r="K61" i="5" s="1"/>
  <c r="F61" i="5"/>
  <c r="C61" i="5"/>
  <c r="R60" i="5"/>
  <c r="S60" i="5" s="1"/>
  <c r="P60" i="5"/>
  <c r="O60" i="5"/>
  <c r="I60" i="5"/>
  <c r="J60" i="5" s="1"/>
  <c r="K60" i="5" s="1"/>
  <c r="F60" i="5"/>
  <c r="C60" i="5"/>
  <c r="P59" i="5"/>
  <c r="R59" i="5" s="1"/>
  <c r="S59" i="5" s="1"/>
  <c r="O59" i="5"/>
  <c r="K59" i="5"/>
  <c r="J59" i="5"/>
  <c r="I59" i="5"/>
  <c r="F59" i="5"/>
  <c r="C59" i="5"/>
  <c r="R58" i="5"/>
  <c r="S58" i="5" s="1"/>
  <c r="P58" i="5"/>
  <c r="O58" i="5"/>
  <c r="I58" i="5"/>
  <c r="J58" i="5" s="1"/>
  <c r="K58" i="5" s="1"/>
  <c r="F58" i="5"/>
  <c r="C58" i="5"/>
  <c r="P57" i="5"/>
  <c r="R57" i="5" s="1"/>
  <c r="S57" i="5" s="1"/>
  <c r="O57" i="5"/>
  <c r="K57" i="5"/>
  <c r="J57" i="5"/>
  <c r="I57" i="5"/>
  <c r="F57" i="5"/>
  <c r="C57" i="5"/>
  <c r="R56" i="5"/>
  <c r="S56" i="5" s="1"/>
  <c r="P56" i="5"/>
  <c r="O56" i="5"/>
  <c r="I56" i="5"/>
  <c r="J56" i="5" s="1"/>
  <c r="K56" i="5" s="1"/>
  <c r="F56" i="5"/>
  <c r="C56" i="5"/>
  <c r="P55" i="5"/>
  <c r="R55" i="5" s="1"/>
  <c r="S55" i="5" s="1"/>
  <c r="O55" i="5"/>
  <c r="I55" i="5"/>
  <c r="J55" i="5" s="1"/>
  <c r="K55" i="5" s="1"/>
  <c r="F55" i="5"/>
  <c r="C55" i="5"/>
  <c r="R54" i="5"/>
  <c r="S54" i="5" s="1"/>
  <c r="P54" i="5"/>
  <c r="O54" i="5"/>
  <c r="I54" i="5"/>
  <c r="J54" i="5" s="1"/>
  <c r="K54" i="5" s="1"/>
  <c r="F54" i="5"/>
  <c r="C54" i="5"/>
  <c r="P53" i="5"/>
  <c r="R53" i="5" s="1"/>
  <c r="S53" i="5" s="1"/>
  <c r="O53" i="5"/>
  <c r="K53" i="5"/>
  <c r="J53" i="5"/>
  <c r="I53" i="5"/>
  <c r="F53" i="5"/>
  <c r="C53" i="5"/>
  <c r="R52" i="5"/>
  <c r="S52" i="5" s="1"/>
  <c r="P52" i="5"/>
  <c r="O52" i="5"/>
  <c r="I52" i="5"/>
  <c r="J52" i="5" s="1"/>
  <c r="K52" i="5" s="1"/>
  <c r="F52" i="5"/>
  <c r="C52" i="5"/>
  <c r="P51" i="5"/>
  <c r="R51" i="5" s="1"/>
  <c r="S51" i="5" s="1"/>
  <c r="O51" i="5"/>
  <c r="K51" i="5"/>
  <c r="J51" i="5"/>
  <c r="I51" i="5"/>
  <c r="F51" i="5"/>
  <c r="C51" i="5"/>
  <c r="R50" i="5"/>
  <c r="S50" i="5" s="1"/>
  <c r="P50" i="5"/>
  <c r="O50" i="5"/>
  <c r="I50" i="5"/>
  <c r="J50" i="5" s="1"/>
  <c r="K50" i="5" s="1"/>
  <c r="F50" i="5"/>
  <c r="C50" i="5"/>
  <c r="P49" i="5"/>
  <c r="R49" i="5" s="1"/>
  <c r="S49" i="5" s="1"/>
  <c r="O49" i="5"/>
  <c r="I49" i="5"/>
  <c r="J49" i="5" s="1"/>
  <c r="K49" i="5" s="1"/>
  <c r="F49" i="5"/>
  <c r="C49" i="5"/>
  <c r="R48" i="5"/>
  <c r="S48" i="5" s="1"/>
  <c r="P48" i="5"/>
  <c r="O48" i="5"/>
  <c r="I48" i="5"/>
  <c r="J48" i="5" s="1"/>
  <c r="K48" i="5" s="1"/>
  <c r="F48" i="5"/>
  <c r="C48" i="5"/>
  <c r="P47" i="5"/>
  <c r="R47" i="5" s="1"/>
  <c r="S47" i="5" s="1"/>
  <c r="O47" i="5"/>
  <c r="K47" i="5"/>
  <c r="J47" i="5"/>
  <c r="I47" i="5"/>
  <c r="F47" i="5"/>
  <c r="C47" i="5"/>
  <c r="R46" i="5"/>
  <c r="S46" i="5" s="1"/>
  <c r="P46" i="5"/>
  <c r="O46" i="5"/>
  <c r="I46" i="5"/>
  <c r="J46" i="5" s="1"/>
  <c r="K46" i="5" s="1"/>
  <c r="F46" i="5"/>
  <c r="C46" i="5"/>
  <c r="P45" i="5"/>
  <c r="R45" i="5" s="1"/>
  <c r="S45" i="5" s="1"/>
  <c r="O45" i="5"/>
  <c r="I45" i="5"/>
  <c r="J45" i="5" s="1"/>
  <c r="K45" i="5" s="1"/>
  <c r="F45" i="5"/>
  <c r="C45" i="5"/>
  <c r="R44" i="5"/>
  <c r="S44" i="5" s="1"/>
  <c r="P44" i="5"/>
  <c r="O44" i="5"/>
  <c r="I44" i="5"/>
  <c r="J44" i="5" s="1"/>
  <c r="K44" i="5" s="1"/>
  <c r="F44" i="5"/>
  <c r="C44" i="5"/>
  <c r="P43" i="5"/>
  <c r="R43" i="5" s="1"/>
  <c r="S43" i="5" s="1"/>
  <c r="O43" i="5"/>
  <c r="I43" i="5"/>
  <c r="J43" i="5" s="1"/>
  <c r="K43" i="5" s="1"/>
  <c r="F43" i="5"/>
  <c r="C43" i="5"/>
  <c r="R42" i="5"/>
  <c r="S42" i="5" s="1"/>
  <c r="P42" i="5"/>
  <c r="O42" i="5"/>
  <c r="I42" i="5"/>
  <c r="J42" i="5" s="1"/>
  <c r="K42" i="5" s="1"/>
  <c r="F42" i="5"/>
  <c r="C42" i="5"/>
  <c r="P41" i="5"/>
  <c r="R41" i="5" s="1"/>
  <c r="S41" i="5" s="1"/>
  <c r="O41" i="5"/>
  <c r="K41" i="5"/>
  <c r="J41" i="5"/>
  <c r="I41" i="5"/>
  <c r="F41" i="5"/>
  <c r="C41" i="5"/>
  <c r="R40" i="5"/>
  <c r="S40" i="5" s="1"/>
  <c r="P40" i="5"/>
  <c r="O40" i="5"/>
  <c r="I40" i="5"/>
  <c r="J40" i="5" s="1"/>
  <c r="K40" i="5" s="1"/>
  <c r="F40" i="5"/>
  <c r="C40" i="5"/>
  <c r="P39" i="5"/>
  <c r="R39" i="5" s="1"/>
  <c r="S39" i="5" s="1"/>
  <c r="O39" i="5"/>
  <c r="I39" i="5"/>
  <c r="J39" i="5" s="1"/>
  <c r="K39" i="5" s="1"/>
  <c r="F39" i="5"/>
  <c r="C39" i="5"/>
  <c r="R38" i="5"/>
  <c r="S38" i="5" s="1"/>
  <c r="P38" i="5"/>
  <c r="O38" i="5"/>
  <c r="I38" i="5"/>
  <c r="J38" i="5" s="1"/>
  <c r="K38" i="5" s="1"/>
  <c r="F38" i="5"/>
  <c r="C38" i="5"/>
  <c r="P37" i="5"/>
  <c r="R37" i="5" s="1"/>
  <c r="S37" i="5" s="1"/>
  <c r="O37" i="5"/>
  <c r="I37" i="5"/>
  <c r="J37" i="5" s="1"/>
  <c r="K37" i="5" s="1"/>
  <c r="F37" i="5"/>
  <c r="C37" i="5"/>
  <c r="R36" i="5"/>
  <c r="S36" i="5" s="1"/>
  <c r="P36" i="5"/>
  <c r="O36" i="5"/>
  <c r="I36" i="5"/>
  <c r="J36" i="5" s="1"/>
  <c r="K36" i="5" s="1"/>
  <c r="F36" i="5"/>
  <c r="C36" i="5"/>
  <c r="P35" i="5"/>
  <c r="R35" i="5" s="1"/>
  <c r="S35" i="5" s="1"/>
  <c r="O35" i="5"/>
  <c r="K35" i="5"/>
  <c r="J35" i="5"/>
  <c r="I35" i="5"/>
  <c r="F35" i="5"/>
  <c r="C35" i="5"/>
  <c r="R34" i="5"/>
  <c r="S34" i="5" s="1"/>
  <c r="P34" i="5"/>
  <c r="O34" i="5"/>
  <c r="I34" i="5"/>
  <c r="J34" i="5" s="1"/>
  <c r="K34" i="5" s="1"/>
  <c r="F34" i="5"/>
  <c r="C34" i="5"/>
  <c r="P33" i="5"/>
  <c r="R33" i="5" s="1"/>
  <c r="S33" i="5" s="1"/>
  <c r="O33" i="5"/>
  <c r="I33" i="5"/>
  <c r="J33" i="5" s="1"/>
  <c r="K33" i="5" s="1"/>
  <c r="F33" i="5"/>
  <c r="C33" i="5"/>
  <c r="R32" i="5"/>
  <c r="S32" i="5" s="1"/>
  <c r="P32" i="5"/>
  <c r="O32" i="5"/>
  <c r="I32" i="5"/>
  <c r="J32" i="5" s="1"/>
  <c r="K32" i="5" s="1"/>
  <c r="F32" i="5"/>
  <c r="C32" i="5"/>
  <c r="P31" i="5"/>
  <c r="R31" i="5" s="1"/>
  <c r="S31" i="5" s="1"/>
  <c r="O31" i="5"/>
  <c r="I31" i="5"/>
  <c r="J31" i="5" s="1"/>
  <c r="K31" i="5" s="1"/>
  <c r="F31" i="5"/>
  <c r="C31" i="5"/>
  <c r="R30" i="5"/>
  <c r="S30" i="5" s="1"/>
  <c r="P30" i="5"/>
  <c r="O30" i="5"/>
  <c r="I30" i="5"/>
  <c r="J30" i="5" s="1"/>
  <c r="K30" i="5" s="1"/>
  <c r="F30" i="5"/>
  <c r="C30" i="5"/>
  <c r="P29" i="5"/>
  <c r="R29" i="5" s="1"/>
  <c r="S29" i="5" s="1"/>
  <c r="O29" i="5"/>
  <c r="K29" i="5"/>
  <c r="J29" i="5"/>
  <c r="I29" i="5"/>
  <c r="F29" i="5"/>
  <c r="C29" i="5"/>
  <c r="R28" i="5"/>
  <c r="S28" i="5" s="1"/>
  <c r="P28" i="5"/>
  <c r="O28" i="5"/>
  <c r="I28" i="5"/>
  <c r="J28" i="5" s="1"/>
  <c r="K28" i="5" s="1"/>
  <c r="F28" i="5"/>
  <c r="C28" i="5"/>
  <c r="P27" i="5"/>
  <c r="R27" i="5" s="1"/>
  <c r="S27" i="5" s="1"/>
  <c r="O27" i="5"/>
  <c r="I27" i="5"/>
  <c r="J27" i="5" s="1"/>
  <c r="K27" i="5" s="1"/>
  <c r="F27" i="5"/>
  <c r="C27" i="5"/>
  <c r="R26" i="5"/>
  <c r="S26" i="5" s="1"/>
  <c r="P26" i="5"/>
  <c r="O26" i="5"/>
  <c r="I26" i="5"/>
  <c r="J26" i="5" s="1"/>
  <c r="K26" i="5" s="1"/>
  <c r="F26" i="5"/>
  <c r="C26" i="5"/>
  <c r="P25" i="5"/>
  <c r="R25" i="5" s="1"/>
  <c r="S25" i="5" s="1"/>
  <c r="O25" i="5"/>
  <c r="I25" i="5"/>
  <c r="J25" i="5" s="1"/>
  <c r="K25" i="5" s="1"/>
  <c r="F25" i="5"/>
  <c r="C25" i="5"/>
  <c r="R24" i="5"/>
  <c r="S24" i="5" s="1"/>
  <c r="P24" i="5"/>
  <c r="O24" i="5"/>
  <c r="I24" i="5"/>
  <c r="J24" i="5" s="1"/>
  <c r="K24" i="5" s="1"/>
  <c r="F24" i="5"/>
  <c r="C24" i="5"/>
  <c r="P23" i="5"/>
  <c r="R23" i="5" s="1"/>
  <c r="S23" i="5" s="1"/>
  <c r="O23" i="5"/>
  <c r="K23" i="5"/>
  <c r="J23" i="5"/>
  <c r="I23" i="5"/>
  <c r="F23" i="5"/>
  <c r="C23" i="5"/>
  <c r="R22" i="5"/>
  <c r="S22" i="5" s="1"/>
  <c r="P22" i="5"/>
  <c r="O22" i="5"/>
  <c r="I22" i="5"/>
  <c r="J22" i="5" s="1"/>
  <c r="K22" i="5" s="1"/>
  <c r="F22" i="5"/>
  <c r="C22" i="5"/>
  <c r="P21" i="5"/>
  <c r="R21" i="5" s="1"/>
  <c r="S21" i="5" s="1"/>
  <c r="O21" i="5"/>
  <c r="I21" i="5"/>
  <c r="J21" i="5" s="1"/>
  <c r="K21" i="5" s="1"/>
  <c r="F21" i="5"/>
  <c r="C21" i="5"/>
  <c r="R20" i="5"/>
  <c r="S20" i="5" s="1"/>
  <c r="P20" i="5"/>
  <c r="O20" i="5"/>
  <c r="I20" i="5"/>
  <c r="J20" i="5" s="1"/>
  <c r="K20" i="5" s="1"/>
  <c r="F20" i="5"/>
  <c r="C20" i="5"/>
  <c r="P19" i="5"/>
  <c r="R19" i="5" s="1"/>
  <c r="S19" i="5" s="1"/>
  <c r="O19" i="5"/>
  <c r="I19" i="5"/>
  <c r="J19" i="5" s="1"/>
  <c r="K19" i="5" s="1"/>
  <c r="F19" i="5"/>
  <c r="C19" i="5"/>
  <c r="R18" i="5"/>
  <c r="S18" i="5" s="1"/>
  <c r="P18" i="5"/>
  <c r="O18" i="5"/>
  <c r="I18" i="5"/>
  <c r="J18" i="5" s="1"/>
  <c r="K18" i="5" s="1"/>
  <c r="F18" i="5"/>
  <c r="C18" i="5"/>
  <c r="P17" i="5"/>
  <c r="R17" i="5" s="1"/>
  <c r="S17" i="5" s="1"/>
  <c r="O17" i="5"/>
  <c r="K17" i="5"/>
  <c r="J17" i="5"/>
  <c r="I17" i="5"/>
  <c r="F17" i="5"/>
  <c r="C17" i="5"/>
  <c r="R16" i="5"/>
  <c r="S16" i="5" s="1"/>
  <c r="P16" i="5"/>
  <c r="O16" i="5"/>
  <c r="I16" i="5"/>
  <c r="J16" i="5" s="1"/>
  <c r="K16" i="5" s="1"/>
  <c r="F16" i="5"/>
  <c r="C16" i="5"/>
  <c r="P15" i="5"/>
  <c r="R15" i="5" s="1"/>
  <c r="S15" i="5" s="1"/>
  <c r="O15" i="5"/>
  <c r="I15" i="5"/>
  <c r="J15" i="5" s="1"/>
  <c r="K15" i="5" s="1"/>
  <c r="F15" i="5"/>
  <c r="C15" i="5"/>
  <c r="R14" i="5"/>
  <c r="S14" i="5" s="1"/>
  <c r="P14" i="5"/>
  <c r="O14" i="5"/>
  <c r="I14" i="5"/>
  <c r="J14" i="5" s="1"/>
  <c r="K14" i="5" s="1"/>
  <c r="F14" i="5"/>
  <c r="C14" i="5"/>
  <c r="P13" i="5"/>
  <c r="R13" i="5" s="1"/>
  <c r="S13" i="5" s="1"/>
  <c r="O13" i="5"/>
  <c r="I13" i="5"/>
  <c r="J13" i="5" s="1"/>
  <c r="K13" i="5" s="1"/>
  <c r="F13" i="5"/>
  <c r="C13" i="5"/>
  <c r="R12" i="5"/>
  <c r="S12" i="5" s="1"/>
  <c r="P12" i="5"/>
  <c r="O12" i="5"/>
  <c r="I12" i="5"/>
  <c r="J12" i="5" s="1"/>
  <c r="K12" i="5" s="1"/>
  <c r="F12" i="5"/>
  <c r="C12" i="5"/>
  <c r="P11" i="5"/>
  <c r="R11" i="5" s="1"/>
  <c r="S11" i="5" s="1"/>
  <c r="O11" i="5"/>
  <c r="K11" i="5"/>
  <c r="J11" i="5"/>
  <c r="I11" i="5"/>
  <c r="F11" i="5"/>
  <c r="C11" i="5"/>
  <c r="R10" i="5"/>
  <c r="S10" i="5" s="1"/>
  <c r="P10" i="5"/>
  <c r="O10" i="5"/>
  <c r="I10" i="5"/>
  <c r="J10" i="5" s="1"/>
  <c r="K10" i="5" s="1"/>
  <c r="F10" i="5"/>
  <c r="C10" i="5"/>
  <c r="P9" i="5"/>
  <c r="R9" i="5" s="1"/>
  <c r="S9" i="5" s="1"/>
  <c r="O9" i="5"/>
  <c r="I9" i="5"/>
  <c r="J9" i="5" s="1"/>
  <c r="K9" i="5" s="1"/>
  <c r="F9" i="5"/>
  <c r="C9" i="5"/>
  <c r="R8" i="5"/>
  <c r="S8" i="5" s="1"/>
  <c r="P8" i="5"/>
  <c r="O8" i="5"/>
  <c r="I8" i="5"/>
  <c r="J8" i="5" s="1"/>
  <c r="K8" i="5" s="1"/>
  <c r="F8" i="5"/>
  <c r="C8" i="5"/>
  <c r="P7" i="5"/>
  <c r="Q69" i="5" s="1"/>
  <c r="O7" i="5"/>
  <c r="I7" i="5"/>
  <c r="J7" i="5" s="1"/>
  <c r="K7" i="5" s="1"/>
  <c r="F7" i="5"/>
  <c r="C7" i="5"/>
  <c r="R6" i="5"/>
  <c r="S6" i="5" s="1"/>
  <c r="P6" i="5"/>
  <c r="O6" i="5"/>
  <c r="I6" i="5"/>
  <c r="J6" i="5" s="1"/>
  <c r="K6" i="5" s="1"/>
  <c r="F6" i="5"/>
  <c r="C6" i="5"/>
  <c r="P5" i="5"/>
  <c r="R5" i="5" s="1"/>
  <c r="S5" i="5" s="1"/>
  <c r="O5" i="5"/>
  <c r="K5" i="5"/>
  <c r="J5" i="5"/>
  <c r="I5" i="5"/>
  <c r="F5" i="5"/>
  <c r="C5" i="5"/>
  <c r="R4" i="5"/>
  <c r="S4" i="5" s="1"/>
  <c r="P4" i="5"/>
  <c r="O4" i="5"/>
  <c r="I4" i="5"/>
  <c r="J4" i="5" s="1"/>
  <c r="K4" i="5" s="1"/>
  <c r="F4" i="5"/>
  <c r="C4" i="5"/>
  <c r="P3" i="5"/>
  <c r="Q34" i="5" s="1"/>
  <c r="O3" i="5"/>
  <c r="I3" i="5"/>
  <c r="J3" i="5" s="1"/>
  <c r="K3" i="5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F3" i="5"/>
  <c r="C3" i="5"/>
  <c r="R2" i="5"/>
  <c r="S2" i="5" s="1"/>
  <c r="Q2" i="5"/>
  <c r="P2" i="5"/>
  <c r="Q84" i="5" s="1"/>
  <c r="O2" i="5"/>
  <c r="I2" i="5"/>
  <c r="J2" i="5" s="1"/>
  <c r="F2" i="5"/>
  <c r="C2" i="5"/>
  <c r="B32" i="3"/>
  <c r="B31" i="3"/>
  <c r="B30" i="3"/>
  <c r="B29" i="3"/>
  <c r="B28" i="3"/>
  <c r="B27" i="3"/>
  <c r="B26" i="3"/>
  <c r="J25" i="3"/>
  <c r="F25" i="3"/>
  <c r="B25" i="3"/>
  <c r="J24" i="3"/>
  <c r="F24" i="3"/>
  <c r="B24" i="3"/>
  <c r="J23" i="3"/>
  <c r="F23" i="3"/>
  <c r="B23" i="3"/>
  <c r="J22" i="3"/>
  <c r="F22" i="3"/>
  <c r="B22" i="3"/>
  <c r="J21" i="3"/>
  <c r="F21" i="3"/>
  <c r="B21" i="3"/>
  <c r="J20" i="3"/>
  <c r="F20" i="3"/>
  <c r="B20" i="3"/>
  <c r="J19" i="3"/>
  <c r="F19" i="3"/>
  <c r="B19" i="3"/>
  <c r="J18" i="3"/>
  <c r="F18" i="3"/>
  <c r="B18" i="3"/>
  <c r="J17" i="3"/>
  <c r="F17" i="3"/>
  <c r="B17" i="3"/>
  <c r="J16" i="3"/>
  <c r="F16" i="3"/>
  <c r="B16" i="3"/>
  <c r="J15" i="3"/>
  <c r="F15" i="3"/>
  <c r="B15" i="3"/>
  <c r="J14" i="3"/>
  <c r="F14" i="3"/>
  <c r="B14" i="3"/>
  <c r="J13" i="3"/>
  <c r="F13" i="3"/>
  <c r="B13" i="3"/>
  <c r="J12" i="3"/>
  <c r="G12" i="3"/>
  <c r="F12" i="3"/>
  <c r="B12" i="3"/>
  <c r="J11" i="3"/>
  <c r="G11" i="3"/>
  <c r="F11" i="3"/>
  <c r="B11" i="3"/>
  <c r="J10" i="3"/>
  <c r="G10" i="3"/>
  <c r="F10" i="3"/>
  <c r="B10" i="3"/>
  <c r="J9" i="3"/>
  <c r="G9" i="3"/>
  <c r="F9" i="3"/>
  <c r="C9" i="3"/>
  <c r="B9" i="3"/>
  <c r="J8" i="3"/>
  <c r="G8" i="3"/>
  <c r="F8" i="3"/>
  <c r="C8" i="3"/>
  <c r="B8" i="3"/>
  <c r="J7" i="3"/>
  <c r="G7" i="3"/>
  <c r="F7" i="3"/>
  <c r="E7" i="3"/>
  <c r="C7" i="3"/>
  <c r="B7" i="3"/>
  <c r="O6" i="3"/>
  <c r="J6" i="3"/>
  <c r="G6" i="3"/>
  <c r="F6" i="3"/>
  <c r="E6" i="3"/>
  <c r="C6" i="3"/>
  <c r="B6" i="3"/>
  <c r="O5" i="3"/>
  <c r="N5" i="3"/>
  <c r="J5" i="3"/>
  <c r="I5" i="3"/>
  <c r="H5" i="3"/>
  <c r="G5" i="3"/>
  <c r="F5" i="3"/>
  <c r="E5" i="3"/>
  <c r="C5" i="3"/>
  <c r="B5" i="3"/>
  <c r="O4" i="3"/>
  <c r="N4" i="3"/>
  <c r="J4" i="3"/>
  <c r="I4" i="3"/>
  <c r="H4" i="3"/>
  <c r="G4" i="3"/>
  <c r="F4" i="3"/>
  <c r="E4" i="3"/>
  <c r="C4" i="3"/>
  <c r="B4" i="3"/>
  <c r="A4" i="3"/>
  <c r="O3" i="3"/>
  <c r="N3" i="3"/>
  <c r="J3" i="3"/>
  <c r="I3" i="3"/>
  <c r="H3" i="3"/>
  <c r="G3" i="3"/>
  <c r="F3" i="3"/>
  <c r="E3" i="3"/>
  <c r="C3" i="3"/>
  <c r="B3" i="3"/>
  <c r="A3" i="3"/>
  <c r="O2" i="3"/>
  <c r="N2" i="3"/>
  <c r="K2" i="3"/>
  <c r="J2" i="3"/>
  <c r="I2" i="3"/>
  <c r="H2" i="3"/>
  <c r="G2" i="3"/>
  <c r="F2" i="3"/>
  <c r="E2" i="3"/>
  <c r="C2" i="3"/>
  <c r="B2" i="3"/>
  <c r="A2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D4" i="2"/>
  <c r="C4" i="2"/>
  <c r="D3" i="2"/>
  <c r="T40" i="5" l="1"/>
  <c r="T28" i="5"/>
  <c r="T59" i="5"/>
  <c r="T90" i="5"/>
  <c r="T21" i="5"/>
  <c r="T9" i="5"/>
  <c r="T62" i="5"/>
  <c r="T50" i="5"/>
  <c r="T2" i="5"/>
  <c r="T93" i="5"/>
  <c r="T71" i="5"/>
  <c r="T31" i="5"/>
  <c r="T19" i="5"/>
  <c r="T60" i="5"/>
  <c r="T48" i="5"/>
  <c r="L94" i="5"/>
  <c r="L82" i="5"/>
  <c r="L72" i="5"/>
  <c r="L62" i="5"/>
  <c r="L56" i="5"/>
  <c r="L50" i="5"/>
  <c r="L44" i="5"/>
  <c r="L38" i="5"/>
  <c r="L32" i="5"/>
  <c r="L26" i="5"/>
  <c r="L20" i="5"/>
  <c r="L14" i="5"/>
  <c r="L8" i="5"/>
  <c r="L2" i="5"/>
  <c r="L83" i="5"/>
  <c r="L71" i="5"/>
  <c r="K2" i="5"/>
  <c r="L84" i="5"/>
  <c r="L70" i="5"/>
  <c r="L61" i="5"/>
  <c r="L55" i="5"/>
  <c r="L49" i="5"/>
  <c r="L43" i="5"/>
  <c r="L37" i="5"/>
  <c r="L31" i="5"/>
  <c r="L25" i="5"/>
  <c r="L19" i="5"/>
  <c r="L13" i="5"/>
  <c r="L7" i="5"/>
  <c r="L93" i="5"/>
  <c r="L85" i="5"/>
  <c r="L69" i="5"/>
  <c r="L86" i="5"/>
  <c r="L68" i="5"/>
  <c r="L60" i="5"/>
  <c r="L54" i="5"/>
  <c r="L48" i="5"/>
  <c r="L42" i="5"/>
  <c r="L36" i="5"/>
  <c r="L30" i="5"/>
  <c r="L24" i="5"/>
  <c r="L18" i="5"/>
  <c r="L12" i="5"/>
  <c r="L6" i="5"/>
  <c r="L87" i="5"/>
  <c r="L67" i="5"/>
  <c r="L88" i="5"/>
  <c r="L66" i="5"/>
  <c r="L59" i="5"/>
  <c r="L53" i="5"/>
  <c r="L47" i="5"/>
  <c r="L41" i="5"/>
  <c r="L35" i="5"/>
  <c r="L29" i="5"/>
  <c r="L23" i="5"/>
  <c r="L17" i="5"/>
  <c r="L11" i="5"/>
  <c r="L5" i="5"/>
  <c r="L89" i="5"/>
  <c r="L77" i="5"/>
  <c r="L65" i="5"/>
  <c r="L90" i="5"/>
  <c r="L78" i="5"/>
  <c r="L76" i="5"/>
  <c r="L64" i="5"/>
  <c r="L58" i="5"/>
  <c r="L52" i="5"/>
  <c r="L46" i="5"/>
  <c r="L40" i="5"/>
  <c r="L34" i="5"/>
  <c r="L28" i="5"/>
  <c r="L22" i="5"/>
  <c r="L16" i="5"/>
  <c r="L10" i="5"/>
  <c r="L4" i="5"/>
  <c r="L73" i="5"/>
  <c r="L91" i="5"/>
  <c r="L79" i="5"/>
  <c r="L75" i="5"/>
  <c r="L81" i="5"/>
  <c r="L92" i="5"/>
  <c r="L80" i="5"/>
  <c r="L74" i="5"/>
  <c r="L63" i="5"/>
  <c r="L57" i="5"/>
  <c r="L51" i="5"/>
  <c r="L45" i="5"/>
  <c r="L39" i="5"/>
  <c r="L33" i="5"/>
  <c r="L27" i="5"/>
  <c r="L21" i="5"/>
  <c r="L15" i="5"/>
  <c r="L9" i="5"/>
  <c r="L3" i="5"/>
  <c r="Q7" i="5"/>
  <c r="Q13" i="5"/>
  <c r="Q19" i="5"/>
  <c r="Q25" i="5"/>
  <c r="Q31" i="5"/>
  <c r="Q37" i="5"/>
  <c r="Q43" i="5"/>
  <c r="Q49" i="5"/>
  <c r="Q55" i="5"/>
  <c r="Q61" i="5"/>
  <c r="Q70" i="5"/>
  <c r="Q82" i="5"/>
  <c r="Q94" i="5"/>
  <c r="R7" i="5"/>
  <c r="S7" i="5" s="1"/>
  <c r="Q71" i="5"/>
  <c r="Q81" i="5"/>
  <c r="Q93" i="5"/>
  <c r="Q83" i="5"/>
  <c r="Q8" i="5"/>
  <c r="Q14" i="5"/>
  <c r="Q20" i="5"/>
  <c r="Q26" i="5"/>
  <c r="Q32" i="5"/>
  <c r="Q38" i="5"/>
  <c r="Q44" i="5"/>
  <c r="Q50" i="5"/>
  <c r="Q56" i="5"/>
  <c r="Q62" i="5"/>
  <c r="Q72" i="5"/>
  <c r="Q80" i="5"/>
  <c r="Q92" i="5"/>
  <c r="Q73" i="5"/>
  <c r="Q79" i="5"/>
  <c r="Q91" i="5"/>
  <c r="Q3" i="5"/>
  <c r="Q9" i="5"/>
  <c r="Q15" i="5"/>
  <c r="Q21" i="5"/>
  <c r="Q27" i="5"/>
  <c r="Q33" i="5"/>
  <c r="Q39" i="5"/>
  <c r="Q45" i="5"/>
  <c r="Q51" i="5"/>
  <c r="Q57" i="5"/>
  <c r="Q63" i="5"/>
  <c r="Q74" i="5"/>
  <c r="Q78" i="5"/>
  <c r="Q90" i="5"/>
  <c r="R3" i="5"/>
  <c r="S3" i="5" s="1"/>
  <c r="T87" i="5" s="1"/>
  <c r="Q75" i="5"/>
  <c r="Q77" i="5"/>
  <c r="Q89" i="5"/>
  <c r="Q4" i="5"/>
  <c r="Q10" i="5"/>
  <c r="Q16" i="5"/>
  <c r="Q22" i="5"/>
  <c r="Q28" i="5"/>
  <c r="Q40" i="5"/>
  <c r="Q46" i="5"/>
  <c r="Q52" i="5"/>
  <c r="Q58" i="5"/>
  <c r="Q64" i="5"/>
  <c r="Q76" i="5"/>
  <c r="Q88" i="5"/>
  <c r="Q65" i="5"/>
  <c r="Q87" i="5"/>
  <c r="Q5" i="5"/>
  <c r="Q11" i="5"/>
  <c r="Q17" i="5"/>
  <c r="Q23" i="5"/>
  <c r="Q29" i="5"/>
  <c r="Q35" i="5"/>
  <c r="Q41" i="5"/>
  <c r="Q47" i="5"/>
  <c r="Q53" i="5"/>
  <c r="Q59" i="5"/>
  <c r="Q66" i="5"/>
  <c r="Q86" i="5"/>
  <c r="Q67" i="5"/>
  <c r="Q85" i="5"/>
  <c r="Q6" i="5"/>
  <c r="Q12" i="5"/>
  <c r="Q18" i="5"/>
  <c r="Q24" i="5"/>
  <c r="Q30" i="5"/>
  <c r="Q36" i="5"/>
  <c r="Q42" i="5"/>
  <c r="Q48" i="5"/>
  <c r="Q54" i="5"/>
  <c r="Q60" i="5"/>
  <c r="Q68" i="5"/>
  <c r="T54" i="5" l="1"/>
  <c r="T25" i="5"/>
  <c r="T81" i="5"/>
  <c r="T56" i="5"/>
  <c r="T15" i="5"/>
  <c r="T23" i="5"/>
  <c r="T34" i="5"/>
  <c r="T67" i="5"/>
  <c r="T68" i="5"/>
  <c r="T37" i="5"/>
  <c r="T5" i="5"/>
  <c r="T72" i="5"/>
  <c r="T27" i="5"/>
  <c r="T66" i="5"/>
  <c r="T46" i="5"/>
  <c r="T85" i="5"/>
  <c r="T84" i="5"/>
  <c r="T43" i="5"/>
  <c r="T80" i="5"/>
  <c r="T33" i="5"/>
  <c r="T75" i="5"/>
  <c r="T52" i="5"/>
  <c r="T6" i="5"/>
  <c r="T41" i="5"/>
  <c r="T49" i="5"/>
  <c r="T8" i="5"/>
  <c r="T92" i="5"/>
  <c r="T39" i="5"/>
  <c r="T77" i="5"/>
  <c r="T58" i="5"/>
  <c r="T12" i="5"/>
  <c r="T69" i="5"/>
  <c r="T55" i="5"/>
  <c r="T14" i="5"/>
  <c r="T11" i="5"/>
  <c r="T45" i="5"/>
  <c r="T89" i="5"/>
  <c r="T64" i="5"/>
  <c r="T18" i="5"/>
  <c r="T83" i="5"/>
  <c r="T61" i="5"/>
  <c r="T20" i="5"/>
  <c r="T47" i="5"/>
  <c r="T51" i="5"/>
  <c r="T53" i="5"/>
  <c r="T76" i="5"/>
  <c r="T24" i="5"/>
  <c r="T29" i="5"/>
  <c r="T70" i="5"/>
  <c r="T26" i="5"/>
  <c r="T73" i="5"/>
  <c r="T57" i="5"/>
  <c r="T4" i="5"/>
  <c r="T88" i="5"/>
  <c r="T30" i="5"/>
  <c r="T86" i="5"/>
  <c r="T82" i="5"/>
  <c r="T32" i="5"/>
  <c r="T79" i="5"/>
  <c r="T63" i="5"/>
  <c r="T10" i="5"/>
  <c r="T17" i="5"/>
  <c r="M83" i="5"/>
  <c r="M71" i="5"/>
  <c r="M82" i="5"/>
  <c r="M72" i="5"/>
  <c r="M38" i="5"/>
  <c r="M26" i="5"/>
  <c r="M2" i="5"/>
  <c r="M84" i="5"/>
  <c r="M70" i="5"/>
  <c r="M61" i="5"/>
  <c r="M55" i="5"/>
  <c r="M49" i="5"/>
  <c r="M43" i="5"/>
  <c r="M37" i="5"/>
  <c r="M31" i="5"/>
  <c r="M25" i="5"/>
  <c r="M19" i="5"/>
  <c r="M13" i="5"/>
  <c r="M7" i="5"/>
  <c r="M44" i="5"/>
  <c r="M85" i="5"/>
  <c r="M69" i="5"/>
  <c r="M32" i="5"/>
  <c r="M86" i="5"/>
  <c r="M68" i="5"/>
  <c r="M60" i="5"/>
  <c r="M54" i="5"/>
  <c r="M48" i="5"/>
  <c r="M42" i="5"/>
  <c r="M36" i="5"/>
  <c r="M30" i="5"/>
  <c r="M24" i="5"/>
  <c r="M18" i="5"/>
  <c r="M12" i="5"/>
  <c r="M6" i="5"/>
  <c r="M62" i="5"/>
  <c r="M87" i="5"/>
  <c r="M67" i="5"/>
  <c r="M88" i="5"/>
  <c r="M66" i="5"/>
  <c r="M59" i="5"/>
  <c r="M53" i="5"/>
  <c r="M47" i="5"/>
  <c r="M41" i="5"/>
  <c r="M35" i="5"/>
  <c r="M29" i="5"/>
  <c r="M23" i="5"/>
  <c r="M17" i="5"/>
  <c r="M11" i="5"/>
  <c r="M5" i="5"/>
  <c r="M94" i="5"/>
  <c r="M56" i="5"/>
  <c r="M89" i="5"/>
  <c r="M77" i="5"/>
  <c r="M65" i="5"/>
  <c r="M90" i="5"/>
  <c r="M78" i="5"/>
  <c r="M76" i="5"/>
  <c r="M64" i="5"/>
  <c r="M58" i="5"/>
  <c r="M52" i="5"/>
  <c r="M46" i="5"/>
  <c r="M40" i="5"/>
  <c r="M34" i="5"/>
  <c r="M28" i="5"/>
  <c r="M22" i="5"/>
  <c r="M16" i="5"/>
  <c r="M10" i="5"/>
  <c r="M4" i="5"/>
  <c r="M50" i="5"/>
  <c r="M8" i="5"/>
  <c r="M91" i="5"/>
  <c r="M79" i="5"/>
  <c r="M75" i="5"/>
  <c r="M20" i="5"/>
  <c r="M14" i="5"/>
  <c r="M92" i="5"/>
  <c r="M80" i="5"/>
  <c r="M74" i="5"/>
  <c r="M63" i="5"/>
  <c r="M57" i="5"/>
  <c r="M51" i="5"/>
  <c r="M45" i="5"/>
  <c r="M39" i="5"/>
  <c r="M33" i="5"/>
  <c r="M27" i="5"/>
  <c r="M21" i="5"/>
  <c r="M15" i="5"/>
  <c r="M9" i="5"/>
  <c r="M3" i="5"/>
  <c r="M93" i="5"/>
  <c r="M81" i="5"/>
  <c r="M73" i="5"/>
  <c r="T36" i="5"/>
  <c r="T7" i="5"/>
  <c r="T94" i="5"/>
  <c r="T38" i="5"/>
  <c r="T91" i="5"/>
  <c r="T74" i="5"/>
  <c r="T16" i="5"/>
  <c r="T65" i="5"/>
  <c r="T42" i="5"/>
  <c r="T13" i="5"/>
  <c r="T35" i="5"/>
  <c r="T44" i="5"/>
  <c r="T3" i="5"/>
  <c r="T78" i="5"/>
  <c r="T22" i="5"/>
</calcChain>
</file>

<file path=xl/sharedStrings.xml><?xml version="1.0" encoding="utf-8"?>
<sst xmlns="http://schemas.openxmlformats.org/spreadsheetml/2006/main" count="2088" uniqueCount="1685">
  <si>
    <t>id</t>
  </si>
  <si>
    <t>sex_label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</si>
  <si>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</si>
  <si>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</si>
  <si>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</si>
  <si>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</si>
  <si>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</si>
  <si>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</si>
  <si>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</si>
  <si>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</si>
  <si>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</si>
  <si>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</si>
  <si>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</si>
  <si>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</si>
  <si>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</si>
  <si>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</si>
  <si>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</si>
  <si>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</si>
  <si>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</si>
  <si>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</si>
  <si>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</si>
  <si>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</si>
  <si>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P0054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</si>
  <si>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</si>
  <si>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</si>
  <si>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</si>
  <si>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</si>
  <si>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</si>
  <si>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</si>
  <si>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</si>
  <si>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</si>
  <si>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</si>
  <si>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</si>
  <si>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</si>
  <si>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</si>
  <si>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P0372</t>
  </si>
  <si>
    <t>P0033</t>
  </si>
  <si>
    <t>P0034</t>
  </si>
  <si>
    <t>P0035</t>
  </si>
  <si>
    <t>P0036</t>
  </si>
  <si>
    <t>P0037</t>
  </si>
  <si>
    <t>P0038</t>
  </si>
  <si>
    <t>P0039</t>
  </si>
  <si>
    <t>P0261</t>
  </si>
  <si>
    <t>P0041</t>
  </si>
  <si>
    <t>P0175</t>
  </si>
  <si>
    <t>P0040</t>
  </si>
  <si>
    <t>P0162</t>
  </si>
  <si>
    <t>P0042</t>
  </si>
  <si>
    <t>P0211</t>
  </si>
  <si>
    <t>P0212</t>
  </si>
  <si>
    <t>P0176</t>
  </si>
  <si>
    <t>P0229</t>
  </si>
  <si>
    <t>P0370</t>
  </si>
  <si>
    <t>P0043</t>
  </si>
  <si>
    <t>P0318</t>
  </si>
  <si>
    <t>P0328</t>
  </si>
  <si>
    <t>P0330</t>
  </si>
  <si>
    <t>P0385</t>
  </si>
  <si>
    <t>P0391</t>
  </si>
  <si>
    <t>P0244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</si>
  <si>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</si>
  <si>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</si>
  <si>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</si>
  <si>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</si>
  <si>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</si>
  <si>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</si>
  <si>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</si>
  <si>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</si>
  <si>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P0165</t>
  </si>
  <si>
    <t>P0173</t>
  </si>
  <si>
    <t>P0284</t>
  </si>
  <si>
    <t>P0052</t>
  </si>
  <si>
    <t>P0053</t>
  </si>
  <si>
    <t>P0238</t>
  </si>
  <si>
    <t>P0183</t>
  </si>
  <si>
    <t>P0055</t>
  </si>
  <si>
    <t>P0056</t>
  </si>
  <si>
    <t>P0140</t>
  </si>
  <si>
    <t>P0294</t>
  </si>
  <si>
    <t>P0298</t>
  </si>
  <si>
    <t>P0388</t>
  </si>
  <si>
    <t>P0179</t>
  </si>
  <si>
    <t>P0309</t>
  </si>
  <si>
    <t>P0057</t>
  </si>
  <si>
    <t>P0058</t>
  </si>
  <si>
    <t>P0072</t>
  </si>
  <si>
    <t>P0059</t>
  </si>
  <si>
    <t>P0060</t>
  </si>
  <si>
    <t>P0066</t>
  </si>
  <si>
    <t>P0061</t>
  </si>
  <si>
    <t>P0062</t>
  </si>
  <si>
    <t>P0063</t>
  </si>
  <si>
    <t>P0064</t>
  </si>
  <si>
    <t>P0065</t>
  </si>
  <si>
    <t>P0069</t>
  </si>
  <si>
    <t>P0067</t>
  </si>
  <si>
    <t>P0068</t>
  </si>
  <si>
    <t>P0070</t>
  </si>
  <si>
    <t>P0071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</si>
  <si>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</si>
  <si>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</si>
  <si>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</si>
  <si>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</si>
  <si>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</si>
  <si>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</si>
  <si>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</si>
  <si>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</si>
  <si>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</si>
  <si>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P0178</t>
  </si>
  <si>
    <t>P0082</t>
  </si>
  <si>
    <t>P0409</t>
  </si>
  <si>
    <t>P0083</t>
  </si>
  <si>
    <t>P0174</t>
  </si>
  <si>
    <t>P0084</t>
  </si>
  <si>
    <t>P0085</t>
  </si>
  <si>
    <t>P0086</t>
  </si>
  <si>
    <t>P0087</t>
  </si>
  <si>
    <t>P0088</t>
  </si>
  <si>
    <t>P0097</t>
  </si>
  <si>
    <t>P0089</t>
  </si>
  <si>
    <t>P0090</t>
  </si>
  <si>
    <t>P0091</t>
  </si>
  <si>
    <t>P0092</t>
  </si>
  <si>
    <t>P0093</t>
  </si>
  <si>
    <t>P0094</t>
  </si>
  <si>
    <t>P0208</t>
  </si>
  <si>
    <t>P0311</t>
  </si>
  <si>
    <t>P0095</t>
  </si>
  <si>
    <t>P0096</t>
  </si>
  <si>
    <t>P0122</t>
  </si>
  <si>
    <t>P0098</t>
  </si>
  <si>
    <t>P0100</t>
  </si>
  <si>
    <t>P0099</t>
  </si>
  <si>
    <t>P0103</t>
  </si>
  <si>
    <t>P0104</t>
  </si>
  <si>
    <t>P0105</t>
  </si>
  <si>
    <t>P0303</t>
  </si>
  <si>
    <t>P0329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</si>
  <si>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</si>
  <si>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</si>
  <si>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</si>
  <si>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</si>
  <si>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</si>
  <si>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</si>
  <si>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</si>
  <si>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</si>
  <si>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</si>
  <si>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P0396</t>
  </si>
  <si>
    <t>P0115</t>
  </si>
  <si>
    <t>P0207</t>
  </si>
  <si>
    <t>P0116</t>
  </si>
  <si>
    <t>P0395</t>
  </si>
  <si>
    <t>P0177</t>
  </si>
  <si>
    <t>P0117</t>
  </si>
  <si>
    <t>P0118</t>
  </si>
  <si>
    <t>P0119</t>
  </si>
  <si>
    <t>P0159</t>
  </si>
  <si>
    <t>P0121</t>
  </si>
  <si>
    <t>P0123</t>
  </si>
  <si>
    <t>P0124</t>
  </si>
  <si>
    <t>P0307</t>
  </si>
  <si>
    <t>P0384</t>
  </si>
  <si>
    <t>P0125</t>
  </si>
  <si>
    <t>P0126</t>
  </si>
  <si>
    <t>P0127</t>
  </si>
  <si>
    <t>P0128</t>
  </si>
  <si>
    <t>P0129</t>
  </si>
  <si>
    <t>P0130</t>
  </si>
  <si>
    <t>P0209</t>
  </si>
  <si>
    <t>P0273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</si>
  <si>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</si>
  <si>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</si>
  <si>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</si>
  <si>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</si>
  <si>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</si>
  <si>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</si>
  <si>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</si>
  <si>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</si>
  <si>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</si>
  <si>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P0141</t>
  </si>
  <si>
    <t>P0142</t>
  </si>
  <si>
    <t>P0143</t>
  </si>
  <si>
    <t>P0144</t>
  </si>
  <si>
    <t>P0145</t>
  </si>
  <si>
    <t>P0147</t>
  </si>
  <si>
    <t>P0148</t>
  </si>
  <si>
    <t>P0149</t>
  </si>
  <si>
    <t>P0180</t>
  </si>
  <si>
    <t>P0150</t>
  </si>
  <si>
    <t>P0151</t>
  </si>
  <si>
    <t>P0295</t>
  </si>
  <si>
    <t>P0152</t>
  </si>
  <si>
    <t>P0153</t>
  </si>
  <si>
    <t>P0154</t>
  </si>
  <si>
    <t>P0234</t>
  </si>
  <si>
    <t>P0242</t>
  </si>
  <si>
    <t>P0339</t>
  </si>
  <si>
    <t>P0220</t>
  </si>
  <si>
    <t>P0243</t>
  </si>
  <si>
    <t>P0155</t>
  </si>
  <si>
    <t>P0322</t>
  </si>
  <si>
    <t>P0324</t>
  </si>
  <si>
    <t>P0156</t>
  </si>
  <si>
    <t>P0157</t>
  </si>
  <si>
    <t>P0304</t>
  </si>
  <si>
    <t>P0323</t>
  </si>
  <si>
    <t>P0158</t>
  </si>
  <si>
    <t>P0160</t>
  </si>
  <si>
    <t>P0161</t>
  </si>
  <si>
    <t>P0163</t>
  </si>
  <si>
    <t>P0164</t>
  </si>
  <si>
    <t>P0181</t>
  </si>
  <si>
    <t>P0166</t>
  </si>
  <si>
    <t>P0167</t>
  </si>
  <si>
    <t>P0168</t>
  </si>
  <si>
    <t>P0169</t>
  </si>
  <si>
    <t>P0170</t>
  </si>
  <si>
    <t>P0171</t>
  </si>
  <si>
    <t>P0248</t>
  </si>
  <si>
    <t>P0326</t>
  </si>
  <si>
    <t>P0334</t>
  </si>
  <si>
    <t>P0182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</si>
  <si>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</si>
  <si>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</si>
  <si>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</si>
  <si>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</si>
  <si>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</si>
  <si>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</si>
  <si>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</si>
  <si>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</si>
  <si>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</si>
  <si>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P0194</t>
  </si>
  <si>
    <t>P0266</t>
  </si>
  <si>
    <t>P0193</t>
  </si>
  <si>
    <t>P0195</t>
  </si>
  <si>
    <t>P0198</t>
  </si>
  <si>
    <t>P0196</t>
  </si>
  <si>
    <t>P0201</t>
  </si>
  <si>
    <t>P0202</t>
  </si>
  <si>
    <t>P0253</t>
  </si>
  <si>
    <t>P0197</t>
  </si>
  <si>
    <t>P0199</t>
  </si>
  <si>
    <t>P0200</t>
  </si>
  <si>
    <t>P0204</t>
  </si>
  <si>
    <t>P0205</t>
  </si>
  <si>
    <t>P0203</t>
  </si>
  <si>
    <t>P0206</t>
  </si>
  <si>
    <t>P0390</t>
  </si>
  <si>
    <t>P0210</t>
  </si>
  <si>
    <t>P0213</t>
  </si>
  <si>
    <t>P0214</t>
  </si>
  <si>
    <t>P0215</t>
  </si>
  <si>
    <t>P0216</t>
  </si>
  <si>
    <t>P0218</t>
  </si>
  <si>
    <t>P0219</t>
  </si>
  <si>
    <t>P0239</t>
  </si>
  <si>
    <t>P0240</t>
  </si>
  <si>
    <t>P0241</t>
  </si>
  <si>
    <t>P0217</t>
  </si>
  <si>
    <t>P0287</t>
  </si>
  <si>
    <t>P0361</t>
  </si>
  <si>
    <t>P0362</t>
  </si>
  <si>
    <t>P0363</t>
  </si>
  <si>
    <t>P0387</t>
  </si>
  <si>
    <t>P0222</t>
  </si>
  <si>
    <t>P0282</t>
  </si>
  <si>
    <t>P0223</t>
  </si>
  <si>
    <t>P0224</t>
  </si>
  <si>
    <t>P0226</t>
  </si>
  <si>
    <t>P0225</t>
  </si>
  <si>
    <t>P0289</t>
  </si>
  <si>
    <t>P0249</t>
  </si>
  <si>
    <t>P0227</t>
  </si>
  <si>
    <t>P0263</t>
  </si>
  <si>
    <t>P0228</t>
  </si>
  <si>
    <t>P0269</t>
  </si>
  <si>
    <t>P0230</t>
  </si>
  <si>
    <t>P0247</t>
  </si>
  <si>
    <t>P0254</t>
  </si>
  <si>
    <t>P0255</t>
  </si>
  <si>
    <t>P0290</t>
  </si>
  <si>
    <t>P0280</t>
  </si>
  <si>
    <t>P0231</t>
  </si>
  <si>
    <t>P0232</t>
  </si>
  <si>
    <t>P0233</t>
  </si>
  <si>
    <t>P0348</t>
  </si>
  <si>
    <t>P0393</t>
  </si>
  <si>
    <t>P0380</t>
  </si>
  <si>
    <t>P0235</t>
  </si>
  <si>
    <t>P0236</t>
  </si>
  <si>
    <t>P0237</t>
  </si>
  <si>
    <t>P0331</t>
  </si>
  <si>
    <t>P0343</t>
  </si>
  <si>
    <t>P0245</t>
  </si>
  <si>
    <t>P0246</t>
  </si>
  <si>
    <t>P0368</t>
  </si>
  <si>
    <t>P0264</t>
  </si>
  <si>
    <t>P0369</t>
  </si>
  <si>
    <t>P0250</t>
  </si>
  <si>
    <t>P0251</t>
  </si>
  <si>
    <t>P0252</t>
  </si>
  <si>
    <t>P0256</t>
  </si>
  <si>
    <t>P0257</t>
  </si>
  <si>
    <t>P0258</t>
  </si>
  <si>
    <t>P0259</t>
  </si>
  <si>
    <t>P0260</t>
  </si>
  <si>
    <t>P0281</t>
  </si>
  <si>
    <t>P0265</t>
  </si>
  <si>
    <t>P0267</t>
  </si>
  <si>
    <t>P0268</t>
  </si>
  <si>
    <t>P0270</t>
  </si>
  <si>
    <t>P0336</t>
  </si>
  <si>
    <t>P0271</t>
  </si>
  <si>
    <t>P0272</t>
  </si>
  <si>
    <t>P0274</t>
  </si>
  <si>
    <t>P0275</t>
  </si>
  <si>
    <t>P0313</t>
  </si>
  <si>
    <t>P0276</t>
  </si>
  <si>
    <t>P0277</t>
  </si>
  <si>
    <t>P0278</t>
  </si>
  <si>
    <t>P0279</t>
  </si>
  <si>
    <t>P0283</t>
  </si>
  <si>
    <t>P0285</t>
  </si>
  <si>
    <t>P0286</t>
  </si>
  <si>
    <t>P0288</t>
  </si>
  <si>
    <t>P0291</t>
  </si>
  <si>
    <t>P0292</t>
  </si>
  <si>
    <t>P0293</t>
  </si>
  <si>
    <t>P0296</t>
  </si>
  <si>
    <t>P0297</t>
  </si>
  <si>
    <t>P0299</t>
  </si>
  <si>
    <t>P0300</t>
  </si>
  <si>
    <t>P0301</t>
  </si>
  <si>
    <t>P0302</t>
  </si>
  <si>
    <t>P0305</t>
  </si>
  <si>
    <t>P0306</t>
  </si>
  <si>
    <t>P0308</t>
  </si>
  <si>
    <t>P0373</t>
  </si>
  <si>
    <t>P0310</t>
  </si>
  <si>
    <t>P0312</t>
  </si>
  <si>
    <t>P0314</t>
  </si>
  <si>
    <t>P0315</t>
  </si>
  <si>
    <t>P0316</t>
  </si>
  <si>
    <t>P0317</t>
  </si>
  <si>
    <t>P0319</t>
  </si>
  <si>
    <t>P0320</t>
  </si>
  <si>
    <t>P0321</t>
  </si>
  <si>
    <t>P0325</t>
  </si>
  <si>
    <t>P0327</t>
  </si>
  <si>
    <t>P0357</t>
  </si>
  <si>
    <t>P0332</t>
  </si>
  <si>
    <t>P0333</t>
  </si>
  <si>
    <t>P0335</t>
  </si>
  <si>
    <t>P0337</t>
  </si>
  <si>
    <t>P0338</t>
  </si>
  <si>
    <t>P0340</t>
  </si>
  <si>
    <t>P0341</t>
  </si>
  <si>
    <t>P0342</t>
  </si>
  <si>
    <t>P0344</t>
  </si>
  <si>
    <t>P0345</t>
  </si>
  <si>
    <t>P0346</t>
  </si>
  <si>
    <t>P0371</t>
  </si>
  <si>
    <t>P0379</t>
  </si>
  <si>
    <t>P0347</t>
  </si>
  <si>
    <t>P0349</t>
  </si>
  <si>
    <t>P0350</t>
  </si>
  <si>
    <t>P0351</t>
  </si>
  <si>
    <t>P0352</t>
  </si>
  <si>
    <t>P0353</t>
  </si>
  <si>
    <t>P0354</t>
  </si>
  <si>
    <t>P0355</t>
  </si>
  <si>
    <t>P0360</t>
  </si>
  <si>
    <t>P0398</t>
  </si>
  <si>
    <t>P0356</t>
  </si>
  <si>
    <t>P0358</t>
  </si>
  <si>
    <t>P0359</t>
  </si>
  <si>
    <t>P0364</t>
  </si>
  <si>
    <t>P0365</t>
  </si>
  <si>
    <t>P0367</t>
  </si>
  <si>
    <t>P0374</t>
  </si>
  <si>
    <t>P0375</t>
  </si>
  <si>
    <t>P0376</t>
  </si>
  <si>
    <t>P0377</t>
  </si>
  <si>
    <t>P0378</t>
  </si>
  <si>
    <t>P0381</t>
  </si>
  <si>
    <t>P0382</t>
  </si>
  <si>
    <t>P0383</t>
  </si>
  <si>
    <t>P0386</t>
  </si>
  <si>
    <t>P0389</t>
  </si>
  <si>
    <t>P0392</t>
  </si>
  <si>
    <t>P0394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</si>
  <si>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</si>
  <si>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</si>
  <si>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</si>
  <si>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</si>
  <si>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</si>
  <si>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</si>
  <si>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</si>
  <si>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</si>
  <si>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</si>
  <si>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</si>
  <si>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P0410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</si>
  <si>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</si>
  <si>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</si>
  <si>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</si>
  <si>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</si>
  <si>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</si>
  <si>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</si>
  <si>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</si>
  <si>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</si>
  <si>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</si>
  <si>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</si>
  <si>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</si>
  <si>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</si>
  <si>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</si>
  <si>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</si>
  <si>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</si>
  <si>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</si>
  <si>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</si>
  <si>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</si>
  <si>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</si>
  <si>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</si>
  <si>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</si>
  <si>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</si>
  <si>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</si>
  <si>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</si>
  <si>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</si>
  <si>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</si>
  <si>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</si>
  <si>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</si>
  <si>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</si>
  <si>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</si>
  <si>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</si>
  <si>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</si>
  <si>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</si>
  <si>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</si>
  <si>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</si>
  <si>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</si>
  <si>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</si>
  <si>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</si>
  <si>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</si>
  <si>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</si>
  <si>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</si>
  <si>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</si>
  <si>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</si>
  <si>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</si>
  <si>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</si>
  <si>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</si>
  <si>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</si>
  <si>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</si>
  <si>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</si>
  <si>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</si>
  <si>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</si>
  <si>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</si>
  <si>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</si>
  <si>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</si>
  <si>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</si>
  <si>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</si>
  <si>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</si>
  <si>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</si>
  <si>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</si>
  <si>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</si>
  <si>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</si>
  <si>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</si>
  <si>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</si>
  <si>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</si>
  <si>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</si>
  <si>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</si>
  <si>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</si>
  <si>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</si>
  <si>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</si>
  <si>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</si>
  <si>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</si>
  <si>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</si>
  <si>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</si>
  <si>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</si>
  <si>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</si>
  <si>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</si>
  <si>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</si>
  <si>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</si>
  <si>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</si>
  <si>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</si>
  <si>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</si>
  <si>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</si>
  <si>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</si>
  <si>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</si>
  <si>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</si>
  <si>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</si>
  <si>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</si>
  <si>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</si>
  <si>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</si>
  <si>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</si>
  <si>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</si>
  <si>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</si>
  <si>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</si>
  <si>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</si>
  <si>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</si>
  <si>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</si>
  <si>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</si>
  <si>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</si>
  <si>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</si>
  <si>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</si>
  <si>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</si>
  <si>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</si>
  <si>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</si>
  <si>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</si>
  <si>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</si>
  <si>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</si>
  <si>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</si>
  <si>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</si>
  <si>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</si>
  <si>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</si>
  <si>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</si>
  <si>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</si>
  <si>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</si>
  <si>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</si>
  <si>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</si>
  <si>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</si>
  <si>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</si>
  <si>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</si>
  <si>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</si>
  <si>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</si>
  <si>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</si>
  <si>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</si>
  <si>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</si>
  <si>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</si>
  <si>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</si>
  <si>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</si>
  <si>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</si>
  <si>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</si>
  <si>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</si>
  <si>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</si>
  <si>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</si>
  <si>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</si>
  <si>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</si>
  <si>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</si>
  <si>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</si>
  <si>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</si>
  <si>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</si>
  <si>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</si>
  <si>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</si>
  <si>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</si>
  <si>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</si>
  <si>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</si>
  <si>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</si>
  <si>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</si>
  <si>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</si>
  <si>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</si>
  <si>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</si>
  <si>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</si>
  <si>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</si>
  <si>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</si>
  <si>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</si>
  <si>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</si>
  <si>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</si>
  <si>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</si>
  <si>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</si>
  <si>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</si>
  <si>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</si>
  <si>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</si>
  <si>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</si>
  <si>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</si>
  <si>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</si>
  <si>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</si>
  <si>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</si>
  <si>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</si>
  <si>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</si>
  <si>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</si>
  <si>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</si>
  <si>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</si>
  <si>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</si>
  <si>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</si>
  <si>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</si>
  <si>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</si>
  <si>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</si>
  <si>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</si>
  <si>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</si>
  <si>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</si>
  <si>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</si>
  <si>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</si>
  <si>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</si>
  <si>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</si>
  <si>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</si>
  <si>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</si>
  <si>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</si>
  <si>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</si>
  <si>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</si>
  <si>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</si>
  <si>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</si>
  <si>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</si>
  <si>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</si>
  <si>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</si>
  <si>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</si>
  <si>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</si>
  <si>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</si>
  <si>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</si>
  <si>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</si>
  <si>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</si>
  <si>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</si>
  <si>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</si>
  <si>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</si>
  <si>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</si>
  <si>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</si>
  <si>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</si>
  <si>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</si>
  <si>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</si>
  <si>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</si>
  <si>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</si>
  <si>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</si>
  <si>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</si>
  <si>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</si>
  <si>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</si>
  <si>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</si>
  <si>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</si>
  <si>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</si>
  <si>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</si>
  <si>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</si>
  <si>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</si>
  <si>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</si>
  <si>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</si>
  <si>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</si>
  <si>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</si>
  <si>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</si>
  <si>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</si>
  <si>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</si>
  <si>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</si>
  <si>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</si>
  <si>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</si>
  <si>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</si>
  <si>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</si>
  <si>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</si>
  <si>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</si>
  <si>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</si>
  <si>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</si>
  <si>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</si>
  <si>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</si>
  <si>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</si>
  <si>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</si>
  <si>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</si>
  <si>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</si>
  <si>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</si>
  <si>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</si>
  <si>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</si>
  <si>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</si>
  <si>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</si>
  <si>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</si>
  <si>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</si>
  <si>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</si>
  <si>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</si>
  <si>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</si>
  <si>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</si>
  <si>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</si>
  <si>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</si>
  <si>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</si>
  <si>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</si>
  <si>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</si>
  <si>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</si>
  <si>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</si>
  <si>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</si>
  <si>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</si>
  <si>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</si>
  <si>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</si>
  <si>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</si>
  <si>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</si>
  <si>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</si>
  <si>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</si>
  <si>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</si>
  <si>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</si>
  <si>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</si>
  <si>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</si>
  <si>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</si>
  <si>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</si>
  <si>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</si>
  <si>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</si>
  <si>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</si>
  <si>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</si>
  <si>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</si>
  <si>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</si>
  <si>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</si>
  <si>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</si>
  <si>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</si>
  <si>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</si>
  <si>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</si>
  <si>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</si>
  <si>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</si>
  <si>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</si>
  <si>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</si>
  <si>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</si>
  <si>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</si>
  <si>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</si>
  <si>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</si>
  <si>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</si>
  <si>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</si>
  <si>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</si>
  <si>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</si>
  <si>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</si>
  <si>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</si>
  <si>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</si>
  <si>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</si>
  <si>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</si>
  <si>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</si>
  <si>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</si>
  <si>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</si>
  <si>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</si>
  <si>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</si>
  <si>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</si>
  <si>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</si>
  <si>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</si>
  <si>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</si>
  <si>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</si>
  <si>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</si>
  <si>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</si>
  <si>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</si>
  <si>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</si>
  <si>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</si>
  <si>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</si>
  <si>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</si>
  <si>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</si>
  <si>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</si>
  <si>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</si>
  <si>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</si>
  <si>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</si>
  <si>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</si>
  <si>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</si>
  <si>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</si>
  <si>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</si>
  <si>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</si>
  <si>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</si>
  <si>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</si>
  <si>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</si>
  <si>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</si>
  <si>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</si>
  <si>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</si>
  <si>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</si>
  <si>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</si>
  <si>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</si>
  <si>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</si>
  <si>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</si>
  <si>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</si>
  <si>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</si>
  <si>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</si>
  <si>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</si>
  <si>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</si>
  <si>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</si>
  <si>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</si>
  <si>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</si>
  <si>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</si>
  <si>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</si>
  <si>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</si>
  <si>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</si>
  <si>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</si>
  <si>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</si>
  <si>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</si>
  <si>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</si>
  <si>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</si>
  <si>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</si>
  <si>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</si>
  <si>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</si>
  <si>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</si>
  <si>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</si>
  <si>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</si>
  <si>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</si>
  <si>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</si>
  <si>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</si>
  <si>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</si>
  <si>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</si>
  <si>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</si>
  <si>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</si>
  <si>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</si>
  <si>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</si>
  <si>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</si>
  <si>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</si>
  <si>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</si>
  <si>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</si>
  <si>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</si>
  <si>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</si>
  <si>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</si>
  <si>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</si>
  <si>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</si>
  <si>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</si>
  <si>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</si>
  <si>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</si>
  <si>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</si>
  <si>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</si>
  <si>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</si>
  <si>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</si>
  <si>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</si>
  <si>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</si>
  <si>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</si>
  <si>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</si>
  <si>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</si>
  <si>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</si>
  <si>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</si>
  <si>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</si>
  <si>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</si>
  <si>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</si>
  <si>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</si>
  <si>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</si>
  <si>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</si>
  <si>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</si>
  <si>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</si>
  <si>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</si>
  <si>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</si>
  <si>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</si>
  <si>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</si>
  <si>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</si>
  <si>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</si>
  <si>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</si>
  <si>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</si>
  <si>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</si>
  <si>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</si>
  <si>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</si>
  <si>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</si>
  <si>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</si>
  <si>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</si>
  <si>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</si>
  <si>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</si>
  <si>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</si>
  <si>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</si>
  <si>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</si>
  <si>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</si>
  <si>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</si>
  <si>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</si>
  <si>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</si>
  <si>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</si>
  <si>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</si>
  <si>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</si>
  <si>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</si>
  <si>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</si>
  <si>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</si>
  <si>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</si>
  <si>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</si>
  <si>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</si>
  <si>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</si>
  <si>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</si>
  <si>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</si>
  <si>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</si>
  <si>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</si>
  <si>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</si>
  <si>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</si>
  <si>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</si>
  <si>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</si>
  <si>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</si>
  <si>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</si>
  <si>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</si>
  <si>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</si>
  <si>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</si>
  <si>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</si>
  <si>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</si>
  <si>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</si>
  <si>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</si>
  <si>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</si>
  <si>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</si>
  <si>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</si>
  <si>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</si>
  <si>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</si>
  <si>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</si>
  <si>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</si>
  <si>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</si>
  <si>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</si>
  <si>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</si>
  <si>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</si>
  <si>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</si>
  <si>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</si>
  <si>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</si>
  <si>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</si>
  <si>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</si>
  <si>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</si>
  <si>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</si>
  <si>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</si>
  <si>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</si>
  <si>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</si>
  <si>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</si>
  <si>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</si>
  <si>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</si>
  <si>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</si>
  <si>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</si>
  <si>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</si>
  <si>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</si>
  <si>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</si>
  <si>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</si>
  <si>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</si>
  <si>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</si>
  <si>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</si>
  <si>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</si>
  <si>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</si>
  <si>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</si>
  <si>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</si>
  <si>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</si>
  <si>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</si>
  <si>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</si>
  <si>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</si>
  <si>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</si>
  <si>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</si>
  <si>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</si>
  <si>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</si>
  <si>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</si>
  <si>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</si>
  <si>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</si>
  <si>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</si>
  <si>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</si>
  <si>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</si>
  <si>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</si>
  <si>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</si>
  <si>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</si>
  <si>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</si>
  <si>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</si>
  <si>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</si>
  <si>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</si>
  <si>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</si>
  <si>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</si>
  <si>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</si>
  <si>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</si>
  <si>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</si>
  <si>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</si>
  <si>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</si>
  <si>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</si>
  <si>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</si>
  <si>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</si>
  <si>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</si>
  <si>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</si>
  <si>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</si>
  <si>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</si>
  <si>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</si>
  <si>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</si>
  <si>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</si>
  <si>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</si>
  <si>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</si>
  <si>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</si>
  <si>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</si>
  <si>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</si>
  <si>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</si>
  <si>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</si>
  <si>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</si>
  <si>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</si>
  <si>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</si>
  <si>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</si>
  <si>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</si>
  <si>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</si>
  <si>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</si>
  <si>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</si>
  <si>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</si>
  <si>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</si>
  <si>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</si>
  <si>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</si>
  <si>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</si>
  <si>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</si>
  <si>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</si>
  <si>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</si>
  <si>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</si>
  <si>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</si>
  <si>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</si>
  <si>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</si>
  <si>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</si>
  <si>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</si>
  <si>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</si>
  <si>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</si>
  <si>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</si>
  <si>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</si>
  <si>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</si>
  <si>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</si>
  <si>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</si>
  <si>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</si>
  <si>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</si>
  <si>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</si>
  <si>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</si>
  <si>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</si>
  <si>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</si>
  <si>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</si>
  <si>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</si>
  <si>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</si>
  <si>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</si>
  <si>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</si>
  <si>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</si>
  <si>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</si>
  <si>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</si>
  <si>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</si>
  <si>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</si>
  <si>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</si>
  <si>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</si>
  <si>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</si>
  <si>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</si>
  <si>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</si>
  <si>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</si>
  <si>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</si>
  <si>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</si>
  <si>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</si>
  <si>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</si>
  <si>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</si>
  <si>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</si>
  <si>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</si>
  <si>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</si>
  <si>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</si>
  <si>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</si>
  <si>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</si>
  <si>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</si>
  <si>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</si>
  <si>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</si>
  <si>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</si>
  <si>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</si>
  <si>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</si>
  <si>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</si>
  <si>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</si>
  <si>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</si>
  <si>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</si>
  <si>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</si>
  <si>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</si>
  <si>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</si>
  <si>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</si>
  <si>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</si>
  <si>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</si>
  <si>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</si>
  <si>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</si>
  <si>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</si>
  <si>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</si>
  <si>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</si>
  <si>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</si>
  <si>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</si>
  <si>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</si>
  <si>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</si>
  <si>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</si>
  <si>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</si>
  <si>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</si>
  <si>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</si>
  <si>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</si>
  <si>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</si>
  <si>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</si>
  <si>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</si>
  <si>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</si>
  <si>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</si>
  <si>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</si>
  <si>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</si>
  <si>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</si>
  <si>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</si>
  <si>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</si>
  <si>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</si>
  <si>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</si>
  <si>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</si>
  <si>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</si>
  <si>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</si>
  <si>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</si>
  <si>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</si>
  <si>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</si>
  <si>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</si>
  <si>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</si>
  <si>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</si>
  <si>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</si>
  <si>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</si>
  <si>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</si>
  <si>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</si>
  <si>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</si>
  <si>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</si>
  <si>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</si>
  <si>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</si>
  <si>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</si>
  <si>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</si>
  <si>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</si>
  <si>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</si>
  <si>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</si>
  <si>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</si>
  <si>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</si>
  <si>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</si>
  <si>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</si>
  <si>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</si>
  <si>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</si>
  <si>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</si>
  <si>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</si>
  <si>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</si>
  <si>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</si>
  <si>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</si>
  <si>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</si>
  <si>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</si>
  <si>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</si>
  <si>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</si>
  <si>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</si>
  <si>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</si>
  <si>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</si>
  <si>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</si>
  <si>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</si>
  <si>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</si>
  <si>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</si>
  <si>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</si>
  <si>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</si>
  <si>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</si>
  <si>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</si>
  <si>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</si>
  <si>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</si>
  <si>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</si>
  <si>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</si>
  <si>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</si>
  <si>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</si>
  <si>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</si>
  <si>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</si>
  <si>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</si>
  <si>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</si>
  <si>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</si>
  <si>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</si>
  <si>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</si>
  <si>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</si>
  <si>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</si>
  <si>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</si>
  <si>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</si>
  <si>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</si>
  <si>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</si>
  <si>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</si>
  <si>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</si>
  <si>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</si>
  <si>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</si>
  <si>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</si>
  <si>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</si>
  <si>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</si>
  <si>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</si>
  <si>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</si>
  <si>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</si>
  <si>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</si>
  <si>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</si>
  <si>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</si>
  <si>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</si>
  <si>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</si>
  <si>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</si>
  <si>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</si>
  <si>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</si>
  <si>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</si>
  <si>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</si>
  <si>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</si>
  <si>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</si>
  <si>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</si>
  <si>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</si>
  <si>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</si>
  <si>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</si>
  <si>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</si>
  <si>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</si>
  <si>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</si>
  <si>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</si>
  <si>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</si>
  <si>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</si>
  <si>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</si>
  <si>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</si>
  <si>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</si>
  <si>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</si>
  <si>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</si>
  <si>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</si>
  <si>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</si>
  <si>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</si>
  <si>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</si>
  <si>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</si>
  <si>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</si>
  <si>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</si>
  <si>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</si>
  <si>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</si>
  <si>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</si>
  <si>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</si>
  <si>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</si>
  <si>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</si>
  <si>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</si>
  <si>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</si>
  <si>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</si>
  <si>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</si>
  <si>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</si>
  <si>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</si>
  <si>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</si>
  <si>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</si>
  <si>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</si>
  <si>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</si>
  <si>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</si>
  <si>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</si>
  <si>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</si>
  <si>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</si>
  <si>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</si>
  <si>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</si>
  <si>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</si>
  <si>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</si>
  <si>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</si>
  <si>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</si>
  <si>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</si>
  <si>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</si>
  <si>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</si>
  <si>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</si>
  <si>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</si>
  <si>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</si>
  <si>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</si>
  <si>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</si>
  <si>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</si>
  <si>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</si>
  <si>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</si>
  <si>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</si>
  <si>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</si>
  <si>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</si>
  <si>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</si>
  <si>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</si>
  <si>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</si>
  <si>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</si>
  <si>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</si>
  <si>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</si>
  <si>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</si>
  <si>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</si>
  <si>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</si>
  <si>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</si>
  <si>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</si>
  <si>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</si>
  <si>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</si>
  <si>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</si>
  <si>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</si>
  <si>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</si>
  <si>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</si>
  <si>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</si>
  <si>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</si>
  <si>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</si>
  <si>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</si>
  <si>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</si>
  <si>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</si>
  <si>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</si>
  <si>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</si>
  <si>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</si>
  <si>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</si>
  <si>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</si>
  <si>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</si>
  <si>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</si>
  <si>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</si>
  <si>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</si>
  <si>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</si>
  <si>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</si>
  <si>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</si>
  <si>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</si>
  <si>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</si>
  <si>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</si>
  <si>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</si>
  <si>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</si>
  <si>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</si>
  <si>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</si>
  <si>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</si>
  <si>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</si>
  <si>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</si>
  <si>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</si>
  <si>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</si>
  <si>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</si>
  <si>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</si>
  <si>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</si>
  <si>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</si>
  <si>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</si>
  <si>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</si>
  <si>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</si>
  <si>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</si>
  <si>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</si>
  <si>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</si>
  <si>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</si>
  <si>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</si>
  <si>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</si>
  <si>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</si>
  <si>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</si>
  <si>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</si>
  <si>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</si>
  <si>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</si>
  <si>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</si>
  <si>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</si>
  <si>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</si>
  <si>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</si>
  <si>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</si>
  <si>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</si>
  <si>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</si>
  <si>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</si>
  <si>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</si>
  <si>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</si>
  <si>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</si>
  <si>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</si>
  <si>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</si>
  <si>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</si>
  <si>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</si>
  <si>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</si>
  <si>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</si>
  <si>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</si>
  <si>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</si>
  <si>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</si>
  <si>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</si>
  <si>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</si>
  <si>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</si>
  <si>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</si>
  <si>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</si>
  <si>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</si>
  <si>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</si>
  <si>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</si>
  <si>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</si>
  <si>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</si>
  <si>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</si>
  <si>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</si>
  <si>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</si>
  <si>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</si>
  <si>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</si>
  <si>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</si>
  <si>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</si>
  <si>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</si>
  <si>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</si>
  <si>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</si>
  <si>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</si>
  <si>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</si>
  <si>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</si>
  <si>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</si>
  <si>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</si>
  <si>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</si>
  <si>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</si>
  <si>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</si>
  <si>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</si>
  <si>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</si>
  <si>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</si>
  <si>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</si>
  <si>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</si>
  <si>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</si>
  <si>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</si>
  <si>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</si>
  <si>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</si>
  <si>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</si>
  <si>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</si>
  <si>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</si>
  <si>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</si>
  <si>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</si>
  <si>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</si>
  <si>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</si>
  <si>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</si>
  <si>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</si>
  <si>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</si>
  <si>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</si>
  <si>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</si>
  <si>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</si>
  <si>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</si>
  <si>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</si>
  <si>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</si>
  <si>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</si>
  <si>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</si>
  <si>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</si>
  <si>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</si>
  <si>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</si>
  <si>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</si>
  <si>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</si>
  <si>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</si>
  <si>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</si>
  <si>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</si>
  <si>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</si>
  <si>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</si>
  <si>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</si>
  <si>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</si>
  <si>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</si>
  <si>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</si>
  <si>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</si>
  <si>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</si>
  <si>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</si>
  <si>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</si>
  <si>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</si>
  <si>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</si>
  <si>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</si>
  <si>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</si>
  <si>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</si>
  <si>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</si>
  <si>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</si>
  <si>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</si>
  <si>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</si>
  <si>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</si>
  <si>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</si>
  <si>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</si>
  <si>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</si>
  <si>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</si>
  <si>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</si>
  <si>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</si>
  <si>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</si>
  <si>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</si>
  <si>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</si>
  <si>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</si>
  <si>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</si>
  <si>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</si>
  <si>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</si>
  <si>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</si>
  <si>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</si>
  <si>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</si>
  <si>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</si>
  <si>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</si>
  <si>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</si>
  <si>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</si>
  <si>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</si>
  <si>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</si>
  <si>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</si>
  <si>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</si>
  <si>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</si>
  <si>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</si>
  <si>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</si>
  <si>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</si>
  <si>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</si>
  <si>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</si>
  <si>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</si>
  <si>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</si>
  <si>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</si>
  <si>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</si>
  <si>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</si>
  <si>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</si>
  <si>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</si>
  <si>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</si>
  <si>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</si>
  <si>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</si>
  <si>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</si>
  <si>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</si>
  <si>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</si>
  <si>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</si>
  <si>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</si>
  <si>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</si>
  <si>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</si>
  <si>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</si>
  <si>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</si>
  <si>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</si>
  <si>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</si>
  <si>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</si>
  <si>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</si>
  <si>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</si>
  <si>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</si>
  <si>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</si>
  <si>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</si>
  <si>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</si>
  <si>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</si>
  <si>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</si>
  <si>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</si>
  <si>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</si>
  <si>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</si>
  <si>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</si>
  <si>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</si>
  <si>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</si>
  <si>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</si>
  <si>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</si>
  <si>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</si>
  <si>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</si>
  <si>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</si>
  <si>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</si>
  <si>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</si>
  <si>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</si>
  <si>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</si>
  <si>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</si>
  <si>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</si>
  <si>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</si>
  <si>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</si>
  <si>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</si>
  <si>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</si>
  <si>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</si>
  <si>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</si>
  <si>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</si>
  <si>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</si>
  <si>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</si>
  <si>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</si>
  <si>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</si>
  <si>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</si>
  <si>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</si>
  <si>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</si>
  <si>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</si>
  <si>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</si>
  <si>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</si>
  <si>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</si>
  <si>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</si>
  <si>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</si>
  <si>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</si>
  <si>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</si>
  <si>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</si>
  <si>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</si>
  <si>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</si>
  <si>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</si>
  <si>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</si>
  <si>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</si>
  <si>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</si>
  <si>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</si>
  <si>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</si>
  <si>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</si>
  <si>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</si>
  <si>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</si>
  <si>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</si>
  <si>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</si>
  <si>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</si>
  <si>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</si>
  <si>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</si>
  <si>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</si>
  <si>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</si>
  <si>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</si>
  <si>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</si>
  <si>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</si>
  <si>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</si>
  <si>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</si>
  <si>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</si>
  <si>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</si>
  <si>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</si>
  <si>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</si>
  <si>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</si>
  <si>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</si>
  <si>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</si>
  <si>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</si>
  <si>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</si>
  <si>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</si>
  <si>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</si>
  <si>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</si>
  <si>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</si>
  <si>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</si>
  <si>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</si>
  <si>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</si>
  <si>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</si>
  <si>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</si>
  <si>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</si>
  <si>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</si>
  <si>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P1509</t>
  </si>
  <si>
    <t>P1510</t>
  </si>
  <si>
    <t>P1511</t>
  </si>
  <si>
    <t>P1512</t>
  </si>
  <si>
    <t>P1513</t>
  </si>
  <si>
    <t>P1514</t>
  </si>
  <si>
    <t>P1515</t>
  </si>
  <si>
    <t>P1516</t>
  </si>
  <si>
    <t>P1517</t>
  </si>
  <si>
    <t>P1518</t>
  </si>
  <si>
    <t>P1519</t>
  </si>
  <si>
    <t>P1520</t>
  </si>
  <si>
    <t>P1521</t>
  </si>
  <si>
    <t>P1522</t>
  </si>
  <si>
    <t>P1523</t>
  </si>
  <si>
    <t>P1524</t>
  </si>
  <si>
    <t>P1525</t>
  </si>
  <si>
    <t>P1526</t>
  </si>
  <si>
    <t>P1527</t>
  </si>
  <si>
    <t>P1528</t>
  </si>
  <si>
    <t>P1529</t>
  </si>
  <si>
    <t>P1530</t>
  </si>
  <si>
    <t>P1531</t>
  </si>
  <si>
    <t>P1532</t>
  </si>
  <si>
    <t>P1533</t>
  </si>
  <si>
    <t>P1534</t>
  </si>
  <si>
    <t>P1535</t>
  </si>
  <si>
    <t>P1536</t>
  </si>
  <si>
    <t>P1537</t>
  </si>
  <si>
    <t>P1538</t>
  </si>
  <si>
    <t>P1539</t>
  </si>
  <si>
    <t>P1540</t>
  </si>
  <si>
    <t>P1541</t>
  </si>
  <si>
    <t>P1542</t>
  </si>
  <si>
    <t>P1543</t>
  </si>
  <si>
    <t>P1544</t>
  </si>
  <si>
    <t>P1545</t>
  </si>
  <si>
    <t>P1546</t>
  </si>
  <si>
    <t>P1547</t>
  </si>
  <si>
    <t>P1548</t>
  </si>
  <si>
    <t>P1549</t>
  </si>
  <si>
    <t>P1550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</si>
  <si>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</si>
  <si>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</si>
  <si>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</si>
  <si>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</si>
  <si>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</si>
  <si>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</si>
  <si>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</si>
  <si>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</si>
  <si>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P1559</t>
  </si>
  <si>
    <t>P1560</t>
  </si>
  <si>
    <t>P1561</t>
  </si>
  <si>
    <t>P1562</t>
  </si>
  <si>
    <t>P1563</t>
  </si>
  <si>
    <t>P1564</t>
  </si>
  <si>
    <t>P1565</t>
  </si>
  <si>
    <t>P1566</t>
  </si>
  <si>
    <t>P1567</t>
  </si>
  <si>
    <t>P1568</t>
  </si>
  <si>
    <t>P1569</t>
  </si>
  <si>
    <t>P1570</t>
  </si>
  <si>
    <t>P1571</t>
  </si>
  <si>
    <t>P1572</t>
  </si>
  <si>
    <t>P1573</t>
  </si>
  <si>
    <t>P1574</t>
  </si>
  <si>
    <t>P1575</t>
  </si>
  <si>
    <t>P1576</t>
  </si>
  <si>
    <t>P1577</t>
  </si>
  <si>
    <t>P1578</t>
  </si>
  <si>
    <t>P1579</t>
  </si>
  <si>
    <t>P1580</t>
  </si>
  <si>
    <t>P1581</t>
  </si>
  <si>
    <t>P1582</t>
  </si>
  <si>
    <t>P1583</t>
  </si>
  <si>
    <t>P1584</t>
  </si>
  <si>
    <t>P1585</t>
  </si>
  <si>
    <t>P1586</t>
  </si>
  <si>
    <t>P1587</t>
  </si>
  <si>
    <t>P1588</t>
  </si>
  <si>
    <t>P1589</t>
  </si>
  <si>
    <t>P1590</t>
  </si>
  <si>
    <t>P1591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</si>
  <si>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</si>
  <si>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</si>
  <si>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</si>
  <si>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</si>
  <si>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</si>
  <si>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</si>
  <si>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</si>
  <si>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</si>
  <si>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</si>
  <si>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</si>
  <si>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</si>
  <si>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</si>
  <si>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P1604</t>
  </si>
  <si>
    <t>P1605</t>
  </si>
  <si>
    <t>P1606</t>
  </si>
  <si>
    <t>P1607</t>
  </si>
  <si>
    <t>P1608</t>
  </si>
  <si>
    <t>P1609</t>
  </si>
  <si>
    <t>P1610</t>
  </si>
  <si>
    <t>P1611</t>
  </si>
  <si>
    <t>P1612</t>
  </si>
  <si>
    <t>P1613</t>
  </si>
  <si>
    <t>P1614</t>
  </si>
  <si>
    <t>P1615</t>
  </si>
  <si>
    <t>P1616</t>
  </si>
  <si>
    <t>P1617</t>
  </si>
  <si>
    <t>P1618</t>
  </si>
  <si>
    <t>P1619</t>
  </si>
  <si>
    <t>P1620</t>
  </si>
  <si>
    <t>P1621</t>
  </si>
  <si>
    <t>P1622</t>
  </si>
  <si>
    <t>metadata_property_type</t>
  </si>
  <si>
    <t>metadata_variable_note</t>
  </si>
  <si>
    <t>metadata_property_value_id</t>
  </si>
  <si>
    <t>metadata_property_value</t>
  </si>
  <si>
    <t>resource_id</t>
  </si>
  <si>
    <t>Resource ID from the Resources sheet in the Sources table.</t>
  </si>
  <si>
    <t>resource_type</t>
  </si>
  <si>
    <t>Type of resource</t>
  </si>
  <si>
    <t>text_id</t>
  </si>
  <si>
    <t>ID of text(s) to which this Resource is relevant.</t>
  </si>
  <si>
    <t>entry_main_editor</t>
  </si>
  <si>
    <t>Main (default) editor of the Resource.</t>
  </si>
  <si>
    <t>editing_start_date</t>
  </si>
  <si>
    <t>Start date of editing in DISSINET format (e.g. "~V~2020" or "~V~2020_05_20")</t>
  </si>
  <si>
    <t>editing_end_date</t>
  </si>
  <si>
    <t>End date of main works on the editing in DISSINET format.</t>
  </si>
  <si>
    <t>entity_type</t>
  </si>
  <si>
    <t>spreadSheetKey</t>
  </si>
  <si>
    <t>sheetName</t>
  </si>
  <si>
    <t>sheetRange</t>
  </si>
  <si>
    <r>
      <rPr>
        <b/>
        <sz val="10"/>
        <rFont val="Arial"/>
      </rPr>
      <t xml:space="preserve">columnSearchIn </t>
    </r>
    <r>
      <rPr>
        <sz val="10"/>
        <rFont val="Arial"/>
      </rPr>
      <t>[from_range] (num)</t>
    </r>
  </si>
  <si>
    <r>
      <rPr>
        <b/>
        <sz val="10"/>
        <rFont val="Arial"/>
      </rPr>
      <t>columnReturn</t>
    </r>
    <r>
      <rPr>
        <sz val="10"/>
        <rFont val="Arial"/>
      </rPr>
      <t xml:space="preserve"> [from_range] (num, e.g. id)</t>
    </r>
  </si>
  <si>
    <r>
      <rPr>
        <b/>
        <sz val="10"/>
        <rFont val="Arial"/>
      </rPr>
      <t xml:space="preserve">columnReturnOther </t>
    </r>
    <r>
      <rPr>
        <sz val="10"/>
        <rFont val="Arial"/>
      </rPr>
      <t>(label 2)</t>
    </r>
  </si>
  <si>
    <t>C</t>
  </si>
  <si>
    <t>1nSqnN6cjtdWK-y6iKZlJv4iGdhgtqkRPus8StVgExP4</t>
  </si>
  <si>
    <t>WithoutDiscouraged</t>
  </si>
  <si>
    <t>B:F</t>
  </si>
  <si>
    <t>P</t>
  </si>
  <si>
    <t>1Tyi4DYnHDeTs8tuz9rxN3wyq1LqLWWp_ZPgOimQoxf8</t>
  </si>
  <si>
    <t>Persons</t>
  </si>
  <si>
    <t>A:C</t>
  </si>
  <si>
    <t>G</t>
  </si>
  <si>
    <t>1IqislE4C0GM45Wvlg9JW2QmzqvR7LgjA5TZTkM143U4</t>
  </si>
  <si>
    <t>Groups</t>
  </si>
  <si>
    <t>L</t>
  </si>
  <si>
    <t>1VwUDnAMJ8mWvL-54K-OnZmguB-rALnJjtGG2IGNBqIU</t>
  </si>
  <si>
    <t>Locations</t>
  </si>
  <si>
    <t>pages</t>
  </si>
  <si>
    <t>cumulative_unq_p</t>
  </si>
  <si>
    <t>unique_P</t>
  </si>
  <si>
    <t>cumulative_P</t>
  </si>
  <si>
    <t>pages_t</t>
  </si>
  <si>
    <t>non_unique_P</t>
  </si>
  <si>
    <t>unique_P_p</t>
  </si>
  <si>
    <t>t (s)</t>
  </si>
  <si>
    <t>t (h)</t>
  </si>
  <si>
    <t>t_(s)_cumulative</t>
  </si>
  <si>
    <t>t_(h)_cumulative</t>
  </si>
  <si>
    <t>n_of_depositions</t>
  </si>
  <si>
    <t>P_per_deposition</t>
  </si>
  <si>
    <t>accused_P</t>
  </si>
  <si>
    <t>cumulative_accused</t>
  </si>
  <si>
    <t>t (s)_accused</t>
  </si>
  <si>
    <t>t (h)_accused</t>
  </si>
  <si>
    <t>t (h)_cum_accused</t>
  </si>
  <si>
    <t>ŷ = 0.0005258x + 7.9195</t>
  </si>
  <si>
    <t>R = .89</t>
  </si>
  <si>
    <t>Rsq = .79</t>
  </si>
  <si>
    <t>p = 0.003</t>
  </si>
  <si>
    <t>50 pp = 19.75 h</t>
  </si>
  <si>
    <t>100 pp = 31.5 h</t>
  </si>
  <si>
    <t>Ten-page increase of 2.3 h</t>
  </si>
  <si>
    <t>Incriminations estimate</t>
  </si>
  <si>
    <t>ŷ = 0.0003928x + 5.193</t>
  </si>
  <si>
    <t>Rsq = .78</t>
  </si>
  <si>
    <t>50 pp = 14.03 h</t>
  </si>
  <si>
    <t>100 pp = 22.87 h</t>
  </si>
  <si>
    <t>Ten-page increase of 1.76 h</t>
  </si>
  <si>
    <t>male</t>
  </si>
  <si>
    <t>female</t>
  </si>
  <si>
    <t>#VALUE!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</si>
</sst>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name val="Arial"/>
    </font>
    <font>
      <sz val="10"/>
      <color rgb="FF0B5394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1"/>
      <color rgb="FF000000"/>
      <name val="Inconsolat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5EFF8"/>
        <bgColor rgb="FFE5EFF8"/>
      </patternFill>
    </fill>
    <fill>
      <patternFill patternType="solid">
        <fgColor rgb="FFE2EFDA"/>
        <bgColor rgb="FFE2EFDA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  <xf numFmtId="49" fontId="5" fillId="0" borderId="0" xfId="0" applyNumberFormat="1" applyFont="1"/>
    <xf numFmtId="0" fontId="6" fillId="0" borderId="0" xfId="0" applyFont="1"/>
    <xf numFmtId="0" fontId="6" fillId="0" borderId="1" xfId="0" applyFont="1" applyBorder="1"/>
    <xf numFmtId="0" fontId="4" fillId="0" borderId="0" xfId="0" applyFont="1" applyAlignment="1">
      <alignment horizontal="right"/>
    </xf>
    <xf numFmtId="0" fontId="5" fillId="0" borderId="0" xfId="0" applyFont="1"/>
    <xf numFmtId="0" fontId="7" fillId="3" borderId="0" xfId="0" applyFont="1" applyFill="1"/>
    <xf numFmtId="0" fontId="7" fillId="0" borderId="0" xfId="0" applyFont="1"/>
    <xf numFmtId="0" fontId="7" fillId="6" borderId="0" xfId="0" applyFont="1" applyFill="1" applyAlignment="1">
      <alignment horizontal="center"/>
    </xf>
    <xf numFmtId="0" fontId="5" fillId="4" borderId="0" xfId="0" applyFont="1" applyFill="1"/>
    <xf numFmtId="0" fontId="7" fillId="6" borderId="0" xfId="0" applyFont="1" applyFill="1"/>
    <xf numFmtId="0" fontId="4" fillId="3" borderId="0" xfId="0" applyFont="1" applyFill="1" applyAlignment="1">
      <alignment horizontal="right"/>
    </xf>
    <xf numFmtId="0" fontId="5" fillId="6" borderId="0" xfId="0" applyFont="1" applyFill="1"/>
    <xf numFmtId="0" fontId="8" fillId="2" borderId="0" xfId="0" applyFont="1" applyFill="1"/>
    <xf numFmtId="0" fontId="3" fillId="3" borderId="2" xfId="0" applyFont="1" applyFill="1" applyBorder="1"/>
    <xf numFmtId="0" fontId="5" fillId="3" borderId="3" xfId="0" applyFont="1" applyFill="1" applyBorder="1"/>
    <xf numFmtId="0" fontId="3" fillId="3" borderId="4" xfId="0" applyFont="1" applyFill="1" applyBorder="1"/>
    <xf numFmtId="0" fontId="5" fillId="3" borderId="5" xfId="0" applyFont="1" applyFill="1" applyBorder="1"/>
    <xf numFmtId="0" fontId="3" fillId="3" borderId="6" xfId="0" applyFont="1" applyFill="1" applyBorder="1"/>
    <xf numFmtId="0" fontId="5" fillId="3" borderId="7" xfId="0" applyFont="1" applyFill="1" applyBorder="1"/>
    <xf numFmtId="0" fontId="7" fillId="3" borderId="8" xfId="0" applyFont="1" applyFill="1" applyBorder="1"/>
    <xf numFmtId="0" fontId="5" fillId="3" borderId="9" xfId="0" applyFont="1" applyFill="1" applyBorder="1"/>
    <xf numFmtId="0" fontId="7" fillId="3" borderId="6" xfId="0" applyFont="1" applyFill="1" applyBorder="1"/>
    <xf numFmtId="0" fontId="7" fillId="7" borderId="2" xfId="0" applyFont="1" applyFill="1" applyBorder="1"/>
    <xf numFmtId="0" fontId="5" fillId="7" borderId="3" xfId="0" applyFont="1" applyFill="1" applyBorder="1"/>
    <xf numFmtId="0" fontId="5" fillId="3" borderId="4" xfId="0" applyFont="1" applyFill="1" applyBorder="1"/>
    <xf numFmtId="0" fontId="5" fillId="3" borderId="6" xfId="0" applyFont="1" applyFill="1" applyBorder="1"/>
    <xf numFmtId="0" fontId="7" fillId="3" borderId="2" xfId="0" applyFont="1" applyFill="1" applyBorder="1"/>
    <xf numFmtId="0" fontId="7" fillId="3" borderId="1" xfId="0" applyFont="1" applyFill="1" applyBorder="1"/>
    <xf numFmtId="0" fontId="5" fillId="3" borderId="1" xfId="0" applyFont="1" applyFill="1" applyBorder="1"/>
    <xf numFmtId="0" fontId="5" fillId="3" borderId="0" xfId="0" applyFont="1" applyFill="1"/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unique_P vs pages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stats!$E$1</c:f>
              <c:strCache>
                <c:ptCount val="1"/>
                <c:pt idx="0">
                  <c:v>unique_P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stats!$D$2:$D$65</c:f>
              <c:numCache>
                <c:formatCode>General</c:formatCode>
                <c:ptCount val="64"/>
                <c:pt idx="0">
                  <c:v>163</c:v>
                </c:pt>
                <c:pt idx="1">
                  <c:v>164</c:v>
                </c:pt>
                <c:pt idx="2">
                  <c:v>165</c:v>
                </c:pt>
                <c:pt idx="3">
                  <c:v>166</c:v>
                </c:pt>
                <c:pt idx="4">
                  <c:v>167</c:v>
                </c:pt>
                <c:pt idx="5">
                  <c:v>168</c:v>
                </c:pt>
                <c:pt idx="6">
                  <c:v>169</c:v>
                </c:pt>
                <c:pt idx="7">
                  <c:v>170</c:v>
                </c:pt>
                <c:pt idx="8">
                  <c:v>171</c:v>
                </c:pt>
                <c:pt idx="9">
                  <c:v>172</c:v>
                </c:pt>
                <c:pt idx="10">
                  <c:v>173</c:v>
                </c:pt>
                <c:pt idx="11">
                  <c:v>174</c:v>
                </c:pt>
                <c:pt idx="12">
                  <c:v>175</c:v>
                </c:pt>
                <c:pt idx="13">
                  <c:v>176</c:v>
                </c:pt>
                <c:pt idx="14">
                  <c:v>177</c:v>
                </c:pt>
                <c:pt idx="15">
                  <c:v>178</c:v>
                </c:pt>
                <c:pt idx="16">
                  <c:v>179</c:v>
                </c:pt>
                <c:pt idx="17">
                  <c:v>180</c:v>
                </c:pt>
                <c:pt idx="18">
                  <c:v>181</c:v>
                </c:pt>
                <c:pt idx="19">
                  <c:v>184</c:v>
                </c:pt>
                <c:pt idx="20">
                  <c:v>185</c:v>
                </c:pt>
                <c:pt idx="21">
                  <c:v>186</c:v>
                </c:pt>
                <c:pt idx="22">
                  <c:v>187</c:v>
                </c:pt>
                <c:pt idx="23">
                  <c:v>188</c:v>
                </c:pt>
                <c:pt idx="24">
                  <c:v>189</c:v>
                </c:pt>
                <c:pt idx="25">
                  <c:v>190</c:v>
                </c:pt>
                <c:pt idx="26">
                  <c:v>191</c:v>
                </c:pt>
                <c:pt idx="27">
                  <c:v>192</c:v>
                </c:pt>
                <c:pt idx="28">
                  <c:v>193</c:v>
                </c:pt>
                <c:pt idx="29">
                  <c:v>194</c:v>
                </c:pt>
                <c:pt idx="30">
                  <c:v>195</c:v>
                </c:pt>
                <c:pt idx="31">
                  <c:v>196</c:v>
                </c:pt>
                <c:pt idx="32">
                  <c:v>197</c:v>
                </c:pt>
                <c:pt idx="33">
                  <c:v>198</c:v>
                </c:pt>
                <c:pt idx="34">
                  <c:v>199</c:v>
                </c:pt>
                <c:pt idx="35">
                  <c:v>201</c:v>
                </c:pt>
                <c:pt idx="36">
                  <c:v>202</c:v>
                </c:pt>
                <c:pt idx="37">
                  <c:v>204</c:v>
                </c:pt>
                <c:pt idx="38">
                  <c:v>205</c:v>
                </c:pt>
                <c:pt idx="39">
                  <c:v>206</c:v>
                </c:pt>
                <c:pt idx="40">
                  <c:v>208</c:v>
                </c:pt>
                <c:pt idx="41">
                  <c:v>210</c:v>
                </c:pt>
                <c:pt idx="42">
                  <c:v>213</c:v>
                </c:pt>
                <c:pt idx="43">
                  <c:v>214</c:v>
                </c:pt>
                <c:pt idx="44">
                  <c:v>216</c:v>
                </c:pt>
                <c:pt idx="45">
                  <c:v>217</c:v>
                </c:pt>
                <c:pt idx="46">
                  <c:v>218</c:v>
                </c:pt>
                <c:pt idx="47">
                  <c:v>219</c:v>
                </c:pt>
                <c:pt idx="48">
                  <c:v>220</c:v>
                </c:pt>
                <c:pt idx="49">
                  <c:v>222</c:v>
                </c:pt>
                <c:pt idx="50">
                  <c:v>223</c:v>
                </c:pt>
                <c:pt idx="51">
                  <c:v>224</c:v>
                </c:pt>
                <c:pt idx="52">
                  <c:v>229</c:v>
                </c:pt>
                <c:pt idx="53">
                  <c:v>230</c:v>
                </c:pt>
                <c:pt idx="54">
                  <c:v>231</c:v>
                </c:pt>
                <c:pt idx="55">
                  <c:v>232</c:v>
                </c:pt>
                <c:pt idx="56">
                  <c:v>233</c:v>
                </c:pt>
                <c:pt idx="57">
                  <c:v>234</c:v>
                </c:pt>
                <c:pt idx="58">
                  <c:v>236</c:v>
                </c:pt>
                <c:pt idx="59">
                  <c:v>237</c:v>
                </c:pt>
                <c:pt idx="60">
                  <c:v>238</c:v>
                </c:pt>
                <c:pt idx="61">
                  <c:v>240</c:v>
                </c:pt>
                <c:pt idx="62">
                  <c:v>251</c:v>
                </c:pt>
              </c:numCache>
            </c:numRef>
          </c:cat>
          <c:val>
            <c:numRef>
              <c:f>stats!$E$2:$E$65</c:f>
              <c:numCache>
                <c:formatCode>General</c:formatCode>
                <c:ptCount val="64"/>
                <c:pt idx="0">
                  <c:v>29</c:v>
                </c:pt>
                <c:pt idx="1">
                  <c:v>27</c:v>
                </c:pt>
                <c:pt idx="2">
                  <c:v>18</c:v>
                </c:pt>
                <c:pt idx="3">
                  <c:v>12</c:v>
                </c:pt>
                <c:pt idx="4">
                  <c:v>24</c:v>
                </c:pt>
                <c:pt idx="5">
                  <c:v>19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11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13</c:v>
                </c:pt>
                <c:pt idx="14">
                  <c:v>29</c:v>
                </c:pt>
                <c:pt idx="15">
                  <c:v>13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7</c:v>
                </c:pt>
                <c:pt idx="20">
                  <c:v>9</c:v>
                </c:pt>
                <c:pt idx="21">
                  <c:v>1</c:v>
                </c:pt>
                <c:pt idx="22">
                  <c:v>7</c:v>
                </c:pt>
                <c:pt idx="23">
                  <c:v>9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7</c:v>
                </c:pt>
                <c:pt idx="28">
                  <c:v>14</c:v>
                </c:pt>
                <c:pt idx="29">
                  <c:v>4</c:v>
                </c:pt>
                <c:pt idx="30">
                  <c:v>4</c:v>
                </c:pt>
                <c:pt idx="31">
                  <c:v>7</c:v>
                </c:pt>
                <c:pt idx="32">
                  <c:v>2</c:v>
                </c:pt>
                <c:pt idx="33">
                  <c:v>8</c:v>
                </c:pt>
                <c:pt idx="34">
                  <c:v>2</c:v>
                </c:pt>
                <c:pt idx="35">
                  <c:v>1</c:v>
                </c:pt>
                <c:pt idx="36">
                  <c:v>6</c:v>
                </c:pt>
                <c:pt idx="37">
                  <c:v>2</c:v>
                </c:pt>
                <c:pt idx="38">
                  <c:v>2</c:v>
                </c:pt>
                <c:pt idx="39">
                  <c:v>9</c:v>
                </c:pt>
                <c:pt idx="40">
                  <c:v>7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3E0-4579-A861-D4D1CD6F0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7205123"/>
        <c:axId val="495388123"/>
      </c:barChart>
      <c:catAx>
        <c:axId val="937205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nl-BE"/>
          </a:p>
        </c:txPr>
        <c:crossAx val="495388123"/>
        <c:crosses val="autoZero"/>
        <c:auto val="1"/>
        <c:lblAlgn val="ctr"/>
        <c:lblOffset val="100"/>
        <c:noMultiLvlLbl val="1"/>
      </c:catAx>
      <c:valAx>
        <c:axId val="495388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unique_P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nl-BE"/>
          </a:p>
        </c:txPr>
        <c:crossAx val="9372051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nl-B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unique P cumulative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stats!$D$2:$D$64</c:f>
              <c:numCache>
                <c:formatCode>General</c:formatCode>
                <c:ptCount val="63"/>
                <c:pt idx="0">
                  <c:v>163</c:v>
                </c:pt>
                <c:pt idx="1">
                  <c:v>164</c:v>
                </c:pt>
                <c:pt idx="2">
                  <c:v>165</c:v>
                </c:pt>
                <c:pt idx="3">
                  <c:v>166</c:v>
                </c:pt>
                <c:pt idx="4">
                  <c:v>167</c:v>
                </c:pt>
                <c:pt idx="5">
                  <c:v>168</c:v>
                </c:pt>
                <c:pt idx="6">
                  <c:v>169</c:v>
                </c:pt>
                <c:pt idx="7">
                  <c:v>170</c:v>
                </c:pt>
                <c:pt idx="8">
                  <c:v>171</c:v>
                </c:pt>
                <c:pt idx="9">
                  <c:v>172</c:v>
                </c:pt>
                <c:pt idx="10">
                  <c:v>173</c:v>
                </c:pt>
                <c:pt idx="11">
                  <c:v>174</c:v>
                </c:pt>
                <c:pt idx="12">
                  <c:v>175</c:v>
                </c:pt>
                <c:pt idx="13">
                  <c:v>176</c:v>
                </c:pt>
                <c:pt idx="14">
                  <c:v>177</c:v>
                </c:pt>
                <c:pt idx="15">
                  <c:v>178</c:v>
                </c:pt>
                <c:pt idx="16">
                  <c:v>179</c:v>
                </c:pt>
                <c:pt idx="17">
                  <c:v>180</c:v>
                </c:pt>
                <c:pt idx="18">
                  <c:v>181</c:v>
                </c:pt>
                <c:pt idx="19">
                  <c:v>184</c:v>
                </c:pt>
                <c:pt idx="20">
                  <c:v>185</c:v>
                </c:pt>
                <c:pt idx="21">
                  <c:v>186</c:v>
                </c:pt>
                <c:pt idx="22">
                  <c:v>187</c:v>
                </c:pt>
                <c:pt idx="23">
                  <c:v>188</c:v>
                </c:pt>
                <c:pt idx="24">
                  <c:v>189</c:v>
                </c:pt>
                <c:pt idx="25">
                  <c:v>190</c:v>
                </c:pt>
                <c:pt idx="26">
                  <c:v>191</c:v>
                </c:pt>
                <c:pt idx="27">
                  <c:v>192</c:v>
                </c:pt>
                <c:pt idx="28">
                  <c:v>193</c:v>
                </c:pt>
                <c:pt idx="29">
                  <c:v>194</c:v>
                </c:pt>
                <c:pt idx="30">
                  <c:v>195</c:v>
                </c:pt>
                <c:pt idx="31">
                  <c:v>196</c:v>
                </c:pt>
                <c:pt idx="32">
                  <c:v>197</c:v>
                </c:pt>
                <c:pt idx="33">
                  <c:v>198</c:v>
                </c:pt>
                <c:pt idx="34">
                  <c:v>199</c:v>
                </c:pt>
                <c:pt idx="35">
                  <c:v>201</c:v>
                </c:pt>
                <c:pt idx="36">
                  <c:v>202</c:v>
                </c:pt>
                <c:pt idx="37">
                  <c:v>204</c:v>
                </c:pt>
                <c:pt idx="38">
                  <c:v>205</c:v>
                </c:pt>
                <c:pt idx="39">
                  <c:v>206</c:v>
                </c:pt>
                <c:pt idx="40">
                  <c:v>208</c:v>
                </c:pt>
                <c:pt idx="41">
                  <c:v>210</c:v>
                </c:pt>
                <c:pt idx="42">
                  <c:v>213</c:v>
                </c:pt>
                <c:pt idx="43">
                  <c:v>214</c:v>
                </c:pt>
                <c:pt idx="44">
                  <c:v>216</c:v>
                </c:pt>
                <c:pt idx="45">
                  <c:v>217</c:v>
                </c:pt>
                <c:pt idx="46">
                  <c:v>218</c:v>
                </c:pt>
                <c:pt idx="47">
                  <c:v>219</c:v>
                </c:pt>
                <c:pt idx="48">
                  <c:v>220</c:v>
                </c:pt>
                <c:pt idx="49">
                  <c:v>222</c:v>
                </c:pt>
                <c:pt idx="50">
                  <c:v>223</c:v>
                </c:pt>
                <c:pt idx="51">
                  <c:v>224</c:v>
                </c:pt>
                <c:pt idx="52">
                  <c:v>229</c:v>
                </c:pt>
                <c:pt idx="53">
                  <c:v>230</c:v>
                </c:pt>
                <c:pt idx="54">
                  <c:v>231</c:v>
                </c:pt>
                <c:pt idx="55">
                  <c:v>232</c:v>
                </c:pt>
                <c:pt idx="56">
                  <c:v>233</c:v>
                </c:pt>
                <c:pt idx="57">
                  <c:v>234</c:v>
                </c:pt>
                <c:pt idx="58">
                  <c:v>236</c:v>
                </c:pt>
                <c:pt idx="59">
                  <c:v>237</c:v>
                </c:pt>
                <c:pt idx="60">
                  <c:v>238</c:v>
                </c:pt>
                <c:pt idx="61">
                  <c:v>240</c:v>
                </c:pt>
                <c:pt idx="62">
                  <c:v>251</c:v>
                </c:pt>
              </c:numCache>
            </c:numRef>
          </c:cat>
          <c:val>
            <c:numRef>
              <c:f>stats!$C$2:$C$64</c:f>
              <c:numCache>
                <c:formatCode>General</c:formatCode>
                <c:ptCount val="63"/>
                <c:pt idx="0">
                  <c:v>29</c:v>
                </c:pt>
                <c:pt idx="1">
                  <c:v>56</c:v>
                </c:pt>
                <c:pt idx="2">
                  <c:v>74</c:v>
                </c:pt>
                <c:pt idx="3">
                  <c:v>86</c:v>
                </c:pt>
                <c:pt idx="4">
                  <c:v>110</c:v>
                </c:pt>
                <c:pt idx="5">
                  <c:v>129</c:v>
                </c:pt>
                <c:pt idx="6">
                  <c:v>139</c:v>
                </c:pt>
                <c:pt idx="7">
                  <c:v>149</c:v>
                </c:pt>
                <c:pt idx="8">
                  <c:v>158</c:v>
                </c:pt>
                <c:pt idx="9">
                  <c:v>169</c:v>
                </c:pt>
                <c:pt idx="10">
                  <c:v>173</c:v>
                </c:pt>
                <c:pt idx="11">
                  <c:v>177</c:v>
                </c:pt>
                <c:pt idx="12">
                  <c:v>180</c:v>
                </c:pt>
                <c:pt idx="13">
                  <c:v>193</c:v>
                </c:pt>
                <c:pt idx="14">
                  <c:v>222</c:v>
                </c:pt>
                <c:pt idx="15">
                  <c:v>235</c:v>
                </c:pt>
                <c:pt idx="16">
                  <c:v>237</c:v>
                </c:pt>
                <c:pt idx="17">
                  <c:v>240</c:v>
                </c:pt>
                <c:pt idx="18">
                  <c:v>244</c:v>
                </c:pt>
                <c:pt idx="19">
                  <c:v>251</c:v>
                </c:pt>
                <c:pt idx="20">
                  <c:v>260</c:v>
                </c:pt>
                <c:pt idx="21">
                  <c:v>261</c:v>
                </c:pt>
                <c:pt idx="22">
                  <c:v>268</c:v>
                </c:pt>
                <c:pt idx="23">
                  <c:v>277</c:v>
                </c:pt>
                <c:pt idx="24">
                  <c:v>279</c:v>
                </c:pt>
                <c:pt idx="25">
                  <c:v>281</c:v>
                </c:pt>
                <c:pt idx="26">
                  <c:v>285</c:v>
                </c:pt>
                <c:pt idx="27">
                  <c:v>292</c:v>
                </c:pt>
                <c:pt idx="28">
                  <c:v>306</c:v>
                </c:pt>
                <c:pt idx="29">
                  <c:v>310</c:v>
                </c:pt>
                <c:pt idx="30">
                  <c:v>314</c:v>
                </c:pt>
                <c:pt idx="31">
                  <c:v>321</c:v>
                </c:pt>
                <c:pt idx="32">
                  <c:v>323</c:v>
                </c:pt>
                <c:pt idx="33">
                  <c:v>331</c:v>
                </c:pt>
                <c:pt idx="34">
                  <c:v>333</c:v>
                </c:pt>
                <c:pt idx="35">
                  <c:v>334</c:v>
                </c:pt>
                <c:pt idx="36">
                  <c:v>340</c:v>
                </c:pt>
                <c:pt idx="37">
                  <c:v>342</c:v>
                </c:pt>
                <c:pt idx="38">
                  <c:v>344</c:v>
                </c:pt>
                <c:pt idx="39">
                  <c:v>353</c:v>
                </c:pt>
                <c:pt idx="40">
                  <c:v>360</c:v>
                </c:pt>
                <c:pt idx="41">
                  <c:v>362</c:v>
                </c:pt>
                <c:pt idx="42">
                  <c:v>364</c:v>
                </c:pt>
                <c:pt idx="43">
                  <c:v>366</c:v>
                </c:pt>
                <c:pt idx="44">
                  <c:v>368</c:v>
                </c:pt>
                <c:pt idx="45">
                  <c:v>371</c:v>
                </c:pt>
                <c:pt idx="46">
                  <c:v>373</c:v>
                </c:pt>
                <c:pt idx="47">
                  <c:v>375</c:v>
                </c:pt>
                <c:pt idx="48">
                  <c:v>376</c:v>
                </c:pt>
                <c:pt idx="49">
                  <c:v>380</c:v>
                </c:pt>
                <c:pt idx="50">
                  <c:v>381</c:v>
                </c:pt>
                <c:pt idx="51">
                  <c:v>384</c:v>
                </c:pt>
                <c:pt idx="52">
                  <c:v>387</c:v>
                </c:pt>
                <c:pt idx="53">
                  <c:v>389</c:v>
                </c:pt>
                <c:pt idx="54">
                  <c:v>390</c:v>
                </c:pt>
                <c:pt idx="55">
                  <c:v>391</c:v>
                </c:pt>
                <c:pt idx="56">
                  <c:v>393</c:v>
                </c:pt>
                <c:pt idx="57">
                  <c:v>395</c:v>
                </c:pt>
                <c:pt idx="58">
                  <c:v>397</c:v>
                </c:pt>
                <c:pt idx="59">
                  <c:v>398</c:v>
                </c:pt>
                <c:pt idx="60">
                  <c:v>399</c:v>
                </c:pt>
                <c:pt idx="61">
                  <c:v>400</c:v>
                </c:pt>
                <c:pt idx="62">
                  <c:v>401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0D9-4FE3-A123-38A711E3C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96470"/>
        <c:axId val="1403966297"/>
      </c:lineChart>
      <c:catAx>
        <c:axId val="197696470"/>
        <c:scaling>
          <c:orientation val="minMax"/>
          <c:max val="255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nl-BE"/>
          </a:p>
        </c:txPr>
        <c:crossAx val="1403966297"/>
        <c:crosses val="autoZero"/>
        <c:auto val="1"/>
        <c:lblAlgn val="ctr"/>
        <c:lblOffset val="100"/>
        <c:noMultiLvlLbl val="1"/>
      </c:catAx>
      <c:valAx>
        <c:axId val="14039662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unique 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nl-BE"/>
          </a:p>
        </c:txPr>
        <c:crossAx val="1976964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nl-B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 vs pages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stats!$A$2:$A$94</c:f>
              <c:numCache>
                <c:formatCode>General</c:formatCode>
                <c:ptCount val="93"/>
                <c:pt idx="0">
                  <c:v>163</c:v>
                </c:pt>
                <c:pt idx="1">
                  <c:v>164</c:v>
                </c:pt>
                <c:pt idx="2">
                  <c:v>165</c:v>
                </c:pt>
                <c:pt idx="3">
                  <c:v>166</c:v>
                </c:pt>
                <c:pt idx="4">
                  <c:v>167</c:v>
                </c:pt>
                <c:pt idx="5">
                  <c:v>168</c:v>
                </c:pt>
                <c:pt idx="6">
                  <c:v>169</c:v>
                </c:pt>
                <c:pt idx="7">
                  <c:v>170</c:v>
                </c:pt>
                <c:pt idx="8">
                  <c:v>171</c:v>
                </c:pt>
                <c:pt idx="9">
                  <c:v>172</c:v>
                </c:pt>
                <c:pt idx="10">
                  <c:v>173</c:v>
                </c:pt>
                <c:pt idx="11">
                  <c:v>174</c:v>
                </c:pt>
                <c:pt idx="12">
                  <c:v>175</c:v>
                </c:pt>
                <c:pt idx="13">
                  <c:v>176</c:v>
                </c:pt>
                <c:pt idx="14">
                  <c:v>177</c:v>
                </c:pt>
                <c:pt idx="15">
                  <c:v>178</c:v>
                </c:pt>
                <c:pt idx="16">
                  <c:v>179</c:v>
                </c:pt>
                <c:pt idx="17">
                  <c:v>180</c:v>
                </c:pt>
                <c:pt idx="18">
                  <c:v>181</c:v>
                </c:pt>
                <c:pt idx="19">
                  <c:v>182</c:v>
                </c:pt>
                <c:pt idx="20">
                  <c:v>183</c:v>
                </c:pt>
                <c:pt idx="21">
                  <c:v>184</c:v>
                </c:pt>
                <c:pt idx="22">
                  <c:v>185</c:v>
                </c:pt>
                <c:pt idx="23">
                  <c:v>186</c:v>
                </c:pt>
                <c:pt idx="24">
                  <c:v>187</c:v>
                </c:pt>
                <c:pt idx="25">
                  <c:v>188</c:v>
                </c:pt>
                <c:pt idx="26">
                  <c:v>189</c:v>
                </c:pt>
                <c:pt idx="27">
                  <c:v>190</c:v>
                </c:pt>
                <c:pt idx="28">
                  <c:v>191</c:v>
                </c:pt>
                <c:pt idx="29">
                  <c:v>192</c:v>
                </c:pt>
                <c:pt idx="30">
                  <c:v>193</c:v>
                </c:pt>
                <c:pt idx="31">
                  <c:v>194</c:v>
                </c:pt>
                <c:pt idx="32">
                  <c:v>195</c:v>
                </c:pt>
                <c:pt idx="33">
                  <c:v>196</c:v>
                </c:pt>
                <c:pt idx="34">
                  <c:v>197</c:v>
                </c:pt>
                <c:pt idx="35">
                  <c:v>198</c:v>
                </c:pt>
                <c:pt idx="36">
                  <c:v>199</c:v>
                </c:pt>
                <c:pt idx="37">
                  <c:v>200</c:v>
                </c:pt>
                <c:pt idx="38">
                  <c:v>201</c:v>
                </c:pt>
                <c:pt idx="39">
                  <c:v>202</c:v>
                </c:pt>
                <c:pt idx="40">
                  <c:v>203</c:v>
                </c:pt>
                <c:pt idx="41">
                  <c:v>204</c:v>
                </c:pt>
                <c:pt idx="42">
                  <c:v>205</c:v>
                </c:pt>
                <c:pt idx="43">
                  <c:v>206</c:v>
                </c:pt>
                <c:pt idx="44">
                  <c:v>207</c:v>
                </c:pt>
                <c:pt idx="45">
                  <c:v>208</c:v>
                </c:pt>
                <c:pt idx="46">
                  <c:v>209</c:v>
                </c:pt>
                <c:pt idx="47">
                  <c:v>210</c:v>
                </c:pt>
                <c:pt idx="48">
                  <c:v>211</c:v>
                </c:pt>
                <c:pt idx="49">
                  <c:v>212</c:v>
                </c:pt>
                <c:pt idx="50">
                  <c:v>213</c:v>
                </c:pt>
                <c:pt idx="51">
                  <c:v>214</c:v>
                </c:pt>
                <c:pt idx="52">
                  <c:v>215</c:v>
                </c:pt>
                <c:pt idx="53">
                  <c:v>216</c:v>
                </c:pt>
                <c:pt idx="54">
                  <c:v>217</c:v>
                </c:pt>
                <c:pt idx="55">
                  <c:v>218</c:v>
                </c:pt>
                <c:pt idx="56">
                  <c:v>219</c:v>
                </c:pt>
                <c:pt idx="57">
                  <c:v>220</c:v>
                </c:pt>
                <c:pt idx="58">
                  <c:v>221</c:v>
                </c:pt>
                <c:pt idx="59">
                  <c:v>222</c:v>
                </c:pt>
                <c:pt idx="60">
                  <c:v>223</c:v>
                </c:pt>
                <c:pt idx="61">
                  <c:v>224</c:v>
                </c:pt>
                <c:pt idx="62">
                  <c:v>225</c:v>
                </c:pt>
                <c:pt idx="63">
                  <c:v>226</c:v>
                </c:pt>
                <c:pt idx="64">
                  <c:v>227</c:v>
                </c:pt>
                <c:pt idx="65">
                  <c:v>228</c:v>
                </c:pt>
                <c:pt idx="66">
                  <c:v>229</c:v>
                </c:pt>
                <c:pt idx="67">
                  <c:v>230</c:v>
                </c:pt>
                <c:pt idx="68">
                  <c:v>231</c:v>
                </c:pt>
                <c:pt idx="69">
                  <c:v>232</c:v>
                </c:pt>
                <c:pt idx="70">
                  <c:v>233</c:v>
                </c:pt>
                <c:pt idx="71">
                  <c:v>234</c:v>
                </c:pt>
                <c:pt idx="72">
                  <c:v>235</c:v>
                </c:pt>
                <c:pt idx="73">
                  <c:v>236</c:v>
                </c:pt>
                <c:pt idx="74">
                  <c:v>237</c:v>
                </c:pt>
                <c:pt idx="75">
                  <c:v>238</c:v>
                </c:pt>
                <c:pt idx="76">
                  <c:v>239</c:v>
                </c:pt>
                <c:pt idx="77">
                  <c:v>240</c:v>
                </c:pt>
                <c:pt idx="78">
                  <c:v>241</c:v>
                </c:pt>
                <c:pt idx="79">
                  <c:v>242</c:v>
                </c:pt>
                <c:pt idx="80">
                  <c:v>243</c:v>
                </c:pt>
                <c:pt idx="81">
                  <c:v>244</c:v>
                </c:pt>
                <c:pt idx="82">
                  <c:v>245</c:v>
                </c:pt>
                <c:pt idx="83">
                  <c:v>246</c:v>
                </c:pt>
                <c:pt idx="84">
                  <c:v>247</c:v>
                </c:pt>
                <c:pt idx="85">
                  <c:v>248</c:v>
                </c:pt>
                <c:pt idx="86">
                  <c:v>249</c:v>
                </c:pt>
                <c:pt idx="87">
                  <c:v>250</c:v>
                </c:pt>
                <c:pt idx="88">
                  <c:v>251</c:v>
                </c:pt>
                <c:pt idx="89">
                  <c:v>252</c:v>
                </c:pt>
                <c:pt idx="90">
                  <c:v>253</c:v>
                </c:pt>
                <c:pt idx="91">
                  <c:v>254</c:v>
                </c:pt>
                <c:pt idx="92">
                  <c:v>255</c:v>
                </c:pt>
              </c:numCache>
            </c:numRef>
          </c:cat>
          <c:val>
            <c:numRef>
              <c:f>stats!$B$2:$B$94</c:f>
              <c:numCache>
                <c:formatCode>General</c:formatCode>
                <c:ptCount val="93"/>
                <c:pt idx="0">
                  <c:v>29</c:v>
                </c:pt>
                <c:pt idx="1">
                  <c:v>27</c:v>
                </c:pt>
                <c:pt idx="2">
                  <c:v>18</c:v>
                </c:pt>
                <c:pt idx="3">
                  <c:v>13</c:v>
                </c:pt>
                <c:pt idx="4">
                  <c:v>24</c:v>
                </c:pt>
                <c:pt idx="5">
                  <c:v>30</c:v>
                </c:pt>
                <c:pt idx="6">
                  <c:v>21</c:v>
                </c:pt>
                <c:pt idx="7">
                  <c:v>19</c:v>
                </c:pt>
                <c:pt idx="8">
                  <c:v>21</c:v>
                </c:pt>
                <c:pt idx="9">
                  <c:v>29</c:v>
                </c:pt>
                <c:pt idx="10">
                  <c:v>12</c:v>
                </c:pt>
                <c:pt idx="11">
                  <c:v>11</c:v>
                </c:pt>
                <c:pt idx="12">
                  <c:v>14</c:v>
                </c:pt>
                <c:pt idx="13">
                  <c:v>20</c:v>
                </c:pt>
                <c:pt idx="14">
                  <c:v>41</c:v>
                </c:pt>
                <c:pt idx="15">
                  <c:v>32</c:v>
                </c:pt>
                <c:pt idx="16">
                  <c:v>25</c:v>
                </c:pt>
                <c:pt idx="17">
                  <c:v>8</c:v>
                </c:pt>
                <c:pt idx="18">
                  <c:v>13</c:v>
                </c:pt>
                <c:pt idx="19">
                  <c:v>11</c:v>
                </c:pt>
                <c:pt idx="20">
                  <c:v>11</c:v>
                </c:pt>
                <c:pt idx="21">
                  <c:v>28</c:v>
                </c:pt>
                <c:pt idx="22">
                  <c:v>19</c:v>
                </c:pt>
                <c:pt idx="23">
                  <c:v>13</c:v>
                </c:pt>
                <c:pt idx="24">
                  <c:v>24</c:v>
                </c:pt>
                <c:pt idx="25">
                  <c:v>24</c:v>
                </c:pt>
                <c:pt idx="26">
                  <c:v>19</c:v>
                </c:pt>
                <c:pt idx="27">
                  <c:v>19</c:v>
                </c:pt>
                <c:pt idx="28">
                  <c:v>24</c:v>
                </c:pt>
                <c:pt idx="29">
                  <c:v>22</c:v>
                </c:pt>
                <c:pt idx="30">
                  <c:v>39</c:v>
                </c:pt>
                <c:pt idx="31">
                  <c:v>21</c:v>
                </c:pt>
                <c:pt idx="32">
                  <c:v>14</c:v>
                </c:pt>
                <c:pt idx="33">
                  <c:v>32</c:v>
                </c:pt>
                <c:pt idx="34">
                  <c:v>26</c:v>
                </c:pt>
                <c:pt idx="35">
                  <c:v>31</c:v>
                </c:pt>
                <c:pt idx="36">
                  <c:v>16</c:v>
                </c:pt>
                <c:pt idx="37">
                  <c:v>21</c:v>
                </c:pt>
                <c:pt idx="38">
                  <c:v>22</c:v>
                </c:pt>
                <c:pt idx="39">
                  <c:v>27</c:v>
                </c:pt>
                <c:pt idx="40">
                  <c:v>16</c:v>
                </c:pt>
                <c:pt idx="41">
                  <c:v>20</c:v>
                </c:pt>
                <c:pt idx="42">
                  <c:v>18</c:v>
                </c:pt>
                <c:pt idx="43">
                  <c:v>29</c:v>
                </c:pt>
                <c:pt idx="44">
                  <c:v>17</c:v>
                </c:pt>
                <c:pt idx="45">
                  <c:v>25</c:v>
                </c:pt>
                <c:pt idx="46">
                  <c:v>17</c:v>
                </c:pt>
                <c:pt idx="47">
                  <c:v>12</c:v>
                </c:pt>
                <c:pt idx="48">
                  <c:v>15</c:v>
                </c:pt>
                <c:pt idx="49">
                  <c:v>16</c:v>
                </c:pt>
                <c:pt idx="50">
                  <c:v>14</c:v>
                </c:pt>
                <c:pt idx="51">
                  <c:v>12</c:v>
                </c:pt>
                <c:pt idx="52">
                  <c:v>27</c:v>
                </c:pt>
                <c:pt idx="53">
                  <c:v>32</c:v>
                </c:pt>
                <c:pt idx="54">
                  <c:v>13</c:v>
                </c:pt>
                <c:pt idx="55">
                  <c:v>22</c:v>
                </c:pt>
                <c:pt idx="56">
                  <c:v>23</c:v>
                </c:pt>
                <c:pt idx="57">
                  <c:v>16</c:v>
                </c:pt>
                <c:pt idx="58">
                  <c:v>17</c:v>
                </c:pt>
                <c:pt idx="59">
                  <c:v>20</c:v>
                </c:pt>
                <c:pt idx="60">
                  <c:v>30</c:v>
                </c:pt>
                <c:pt idx="61">
                  <c:v>13</c:v>
                </c:pt>
                <c:pt idx="62">
                  <c:v>11</c:v>
                </c:pt>
                <c:pt idx="63">
                  <c:v>17</c:v>
                </c:pt>
                <c:pt idx="64">
                  <c:v>23</c:v>
                </c:pt>
                <c:pt idx="65">
                  <c:v>23</c:v>
                </c:pt>
                <c:pt idx="66">
                  <c:v>21</c:v>
                </c:pt>
                <c:pt idx="67">
                  <c:v>20</c:v>
                </c:pt>
                <c:pt idx="68">
                  <c:v>13</c:v>
                </c:pt>
                <c:pt idx="69">
                  <c:v>16</c:v>
                </c:pt>
                <c:pt idx="70">
                  <c:v>23</c:v>
                </c:pt>
                <c:pt idx="71">
                  <c:v>20</c:v>
                </c:pt>
                <c:pt idx="72">
                  <c:v>18</c:v>
                </c:pt>
                <c:pt idx="73">
                  <c:v>16</c:v>
                </c:pt>
                <c:pt idx="74">
                  <c:v>24</c:v>
                </c:pt>
                <c:pt idx="75">
                  <c:v>17</c:v>
                </c:pt>
                <c:pt idx="76">
                  <c:v>12</c:v>
                </c:pt>
                <c:pt idx="77">
                  <c:v>11</c:v>
                </c:pt>
                <c:pt idx="78">
                  <c:v>13</c:v>
                </c:pt>
                <c:pt idx="79">
                  <c:v>11</c:v>
                </c:pt>
                <c:pt idx="80">
                  <c:v>13</c:v>
                </c:pt>
                <c:pt idx="81">
                  <c:v>12</c:v>
                </c:pt>
                <c:pt idx="82">
                  <c:v>10</c:v>
                </c:pt>
                <c:pt idx="83">
                  <c:v>10</c:v>
                </c:pt>
                <c:pt idx="84">
                  <c:v>12</c:v>
                </c:pt>
                <c:pt idx="85">
                  <c:v>11</c:v>
                </c:pt>
                <c:pt idx="86">
                  <c:v>14</c:v>
                </c:pt>
                <c:pt idx="87">
                  <c:v>18</c:v>
                </c:pt>
                <c:pt idx="88">
                  <c:v>7</c:v>
                </c:pt>
                <c:pt idx="89">
                  <c:v>5</c:v>
                </c:pt>
                <c:pt idx="90">
                  <c:v>6</c:v>
                </c:pt>
                <c:pt idx="91">
                  <c:v>4</c:v>
                </c:pt>
                <c:pt idx="92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319-44CB-8790-E671E16ED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7157935"/>
        <c:axId val="416523094"/>
      </c:barChart>
      <c:catAx>
        <c:axId val="747157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nl-BE"/>
          </a:p>
        </c:txPr>
        <c:crossAx val="416523094"/>
        <c:crosses val="autoZero"/>
        <c:auto val="1"/>
        <c:lblAlgn val="ctr"/>
        <c:lblOffset val="100"/>
        <c:noMultiLvlLbl val="1"/>
      </c:catAx>
      <c:valAx>
        <c:axId val="416523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nl-BE"/>
          </a:p>
        </c:txPr>
        <c:crossAx val="7471579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nl-B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stats!$A$2:$A$94</c:f>
              <c:numCache>
                <c:formatCode>General</c:formatCode>
                <c:ptCount val="93"/>
                <c:pt idx="0">
                  <c:v>163</c:v>
                </c:pt>
                <c:pt idx="1">
                  <c:v>164</c:v>
                </c:pt>
                <c:pt idx="2">
                  <c:v>165</c:v>
                </c:pt>
                <c:pt idx="3">
                  <c:v>166</c:v>
                </c:pt>
                <c:pt idx="4">
                  <c:v>167</c:v>
                </c:pt>
                <c:pt idx="5">
                  <c:v>168</c:v>
                </c:pt>
                <c:pt idx="6">
                  <c:v>169</c:v>
                </c:pt>
                <c:pt idx="7">
                  <c:v>170</c:v>
                </c:pt>
                <c:pt idx="8">
                  <c:v>171</c:v>
                </c:pt>
                <c:pt idx="9">
                  <c:v>172</c:v>
                </c:pt>
                <c:pt idx="10">
                  <c:v>173</c:v>
                </c:pt>
                <c:pt idx="11">
                  <c:v>174</c:v>
                </c:pt>
                <c:pt idx="12">
                  <c:v>175</c:v>
                </c:pt>
                <c:pt idx="13">
                  <c:v>176</c:v>
                </c:pt>
                <c:pt idx="14">
                  <c:v>177</c:v>
                </c:pt>
                <c:pt idx="15">
                  <c:v>178</c:v>
                </c:pt>
                <c:pt idx="16">
                  <c:v>179</c:v>
                </c:pt>
                <c:pt idx="17">
                  <c:v>180</c:v>
                </c:pt>
                <c:pt idx="18">
                  <c:v>181</c:v>
                </c:pt>
                <c:pt idx="19">
                  <c:v>182</c:v>
                </c:pt>
                <c:pt idx="20">
                  <c:v>183</c:v>
                </c:pt>
                <c:pt idx="21">
                  <c:v>184</c:v>
                </c:pt>
                <c:pt idx="22">
                  <c:v>185</c:v>
                </c:pt>
                <c:pt idx="23">
                  <c:v>186</c:v>
                </c:pt>
                <c:pt idx="24">
                  <c:v>187</c:v>
                </c:pt>
                <c:pt idx="25">
                  <c:v>188</c:v>
                </c:pt>
                <c:pt idx="26">
                  <c:v>189</c:v>
                </c:pt>
                <c:pt idx="27">
                  <c:v>190</c:v>
                </c:pt>
                <c:pt idx="28">
                  <c:v>191</c:v>
                </c:pt>
                <c:pt idx="29">
                  <c:v>192</c:v>
                </c:pt>
                <c:pt idx="30">
                  <c:v>193</c:v>
                </c:pt>
                <c:pt idx="31">
                  <c:v>194</c:v>
                </c:pt>
                <c:pt idx="32">
                  <c:v>195</c:v>
                </c:pt>
                <c:pt idx="33">
                  <c:v>196</c:v>
                </c:pt>
                <c:pt idx="34">
                  <c:v>197</c:v>
                </c:pt>
                <c:pt idx="35">
                  <c:v>198</c:v>
                </c:pt>
                <c:pt idx="36">
                  <c:v>199</c:v>
                </c:pt>
                <c:pt idx="37">
                  <c:v>200</c:v>
                </c:pt>
                <c:pt idx="38">
                  <c:v>201</c:v>
                </c:pt>
                <c:pt idx="39">
                  <c:v>202</c:v>
                </c:pt>
                <c:pt idx="40">
                  <c:v>203</c:v>
                </c:pt>
                <c:pt idx="41">
                  <c:v>204</c:v>
                </c:pt>
                <c:pt idx="42">
                  <c:v>205</c:v>
                </c:pt>
                <c:pt idx="43">
                  <c:v>206</c:v>
                </c:pt>
                <c:pt idx="44">
                  <c:v>207</c:v>
                </c:pt>
                <c:pt idx="45">
                  <c:v>208</c:v>
                </c:pt>
                <c:pt idx="46">
                  <c:v>209</c:v>
                </c:pt>
                <c:pt idx="47">
                  <c:v>210</c:v>
                </c:pt>
                <c:pt idx="48">
                  <c:v>211</c:v>
                </c:pt>
                <c:pt idx="49">
                  <c:v>212</c:v>
                </c:pt>
                <c:pt idx="50">
                  <c:v>213</c:v>
                </c:pt>
                <c:pt idx="51">
                  <c:v>214</c:v>
                </c:pt>
                <c:pt idx="52">
                  <c:v>215</c:v>
                </c:pt>
                <c:pt idx="53">
                  <c:v>216</c:v>
                </c:pt>
                <c:pt idx="54">
                  <c:v>217</c:v>
                </c:pt>
                <c:pt idx="55">
                  <c:v>218</c:v>
                </c:pt>
                <c:pt idx="56">
                  <c:v>219</c:v>
                </c:pt>
                <c:pt idx="57">
                  <c:v>220</c:v>
                </c:pt>
                <c:pt idx="58">
                  <c:v>221</c:v>
                </c:pt>
                <c:pt idx="59">
                  <c:v>222</c:v>
                </c:pt>
                <c:pt idx="60">
                  <c:v>223</c:v>
                </c:pt>
                <c:pt idx="61">
                  <c:v>224</c:v>
                </c:pt>
                <c:pt idx="62">
                  <c:v>225</c:v>
                </c:pt>
                <c:pt idx="63">
                  <c:v>226</c:v>
                </c:pt>
                <c:pt idx="64">
                  <c:v>227</c:v>
                </c:pt>
                <c:pt idx="65">
                  <c:v>228</c:v>
                </c:pt>
                <c:pt idx="66">
                  <c:v>229</c:v>
                </c:pt>
                <c:pt idx="67">
                  <c:v>230</c:v>
                </c:pt>
                <c:pt idx="68">
                  <c:v>231</c:v>
                </c:pt>
                <c:pt idx="69">
                  <c:v>232</c:v>
                </c:pt>
                <c:pt idx="70">
                  <c:v>233</c:v>
                </c:pt>
                <c:pt idx="71">
                  <c:v>234</c:v>
                </c:pt>
                <c:pt idx="72">
                  <c:v>235</c:v>
                </c:pt>
                <c:pt idx="73">
                  <c:v>236</c:v>
                </c:pt>
                <c:pt idx="74">
                  <c:v>237</c:v>
                </c:pt>
                <c:pt idx="75">
                  <c:v>238</c:v>
                </c:pt>
                <c:pt idx="76">
                  <c:v>239</c:v>
                </c:pt>
                <c:pt idx="77">
                  <c:v>240</c:v>
                </c:pt>
                <c:pt idx="78">
                  <c:v>241</c:v>
                </c:pt>
                <c:pt idx="79">
                  <c:v>242</c:v>
                </c:pt>
                <c:pt idx="80">
                  <c:v>243</c:v>
                </c:pt>
                <c:pt idx="81">
                  <c:v>244</c:v>
                </c:pt>
                <c:pt idx="82">
                  <c:v>245</c:v>
                </c:pt>
                <c:pt idx="83">
                  <c:v>246</c:v>
                </c:pt>
                <c:pt idx="84">
                  <c:v>247</c:v>
                </c:pt>
                <c:pt idx="85">
                  <c:v>248</c:v>
                </c:pt>
                <c:pt idx="86">
                  <c:v>249</c:v>
                </c:pt>
                <c:pt idx="87">
                  <c:v>250</c:v>
                </c:pt>
                <c:pt idx="88">
                  <c:v>251</c:v>
                </c:pt>
                <c:pt idx="89">
                  <c:v>252</c:v>
                </c:pt>
                <c:pt idx="90">
                  <c:v>253</c:v>
                </c:pt>
                <c:pt idx="91">
                  <c:v>254</c:v>
                </c:pt>
                <c:pt idx="92">
                  <c:v>255</c:v>
                </c:pt>
              </c:numCache>
            </c:numRef>
          </c:cat>
          <c:val>
            <c:numRef>
              <c:f>stats!$F$2:$F$94</c:f>
              <c:numCache>
                <c:formatCode>General</c:formatCode>
                <c:ptCount val="93"/>
                <c:pt idx="0">
                  <c:v>29</c:v>
                </c:pt>
                <c:pt idx="1">
                  <c:v>56</c:v>
                </c:pt>
                <c:pt idx="2">
                  <c:v>74</c:v>
                </c:pt>
                <c:pt idx="3">
                  <c:v>87</c:v>
                </c:pt>
                <c:pt idx="4">
                  <c:v>111</c:v>
                </c:pt>
                <c:pt idx="5">
                  <c:v>141</c:v>
                </c:pt>
                <c:pt idx="6">
                  <c:v>162</c:v>
                </c:pt>
                <c:pt idx="7">
                  <c:v>181</c:v>
                </c:pt>
                <c:pt idx="8">
                  <c:v>202</c:v>
                </c:pt>
                <c:pt idx="9">
                  <c:v>231</c:v>
                </c:pt>
                <c:pt idx="10">
                  <c:v>243</c:v>
                </c:pt>
                <c:pt idx="11">
                  <c:v>254</c:v>
                </c:pt>
                <c:pt idx="12">
                  <c:v>268</c:v>
                </c:pt>
                <c:pt idx="13">
                  <c:v>288</c:v>
                </c:pt>
                <c:pt idx="14">
                  <c:v>329</c:v>
                </c:pt>
                <c:pt idx="15">
                  <c:v>361</c:v>
                </c:pt>
                <c:pt idx="16">
                  <c:v>386</c:v>
                </c:pt>
                <c:pt idx="17">
                  <c:v>394</c:v>
                </c:pt>
                <c:pt idx="18">
                  <c:v>407</c:v>
                </c:pt>
                <c:pt idx="19">
                  <c:v>418</c:v>
                </c:pt>
                <c:pt idx="20">
                  <c:v>429</c:v>
                </c:pt>
                <c:pt idx="21">
                  <c:v>457</c:v>
                </c:pt>
                <c:pt idx="22">
                  <c:v>476</c:v>
                </c:pt>
                <c:pt idx="23">
                  <c:v>489</c:v>
                </c:pt>
                <c:pt idx="24">
                  <c:v>513</c:v>
                </c:pt>
                <c:pt idx="25">
                  <c:v>537</c:v>
                </c:pt>
                <c:pt idx="26">
                  <c:v>556</c:v>
                </c:pt>
                <c:pt idx="27">
                  <c:v>575</c:v>
                </c:pt>
                <c:pt idx="28">
                  <c:v>599</c:v>
                </c:pt>
                <c:pt idx="29">
                  <c:v>621</c:v>
                </c:pt>
                <c:pt idx="30">
                  <c:v>660</c:v>
                </c:pt>
                <c:pt idx="31">
                  <c:v>681</c:v>
                </c:pt>
                <c:pt idx="32">
                  <c:v>695</c:v>
                </c:pt>
                <c:pt idx="33">
                  <c:v>727</c:v>
                </c:pt>
                <c:pt idx="34">
                  <c:v>753</c:v>
                </c:pt>
                <c:pt idx="35">
                  <c:v>784</c:v>
                </c:pt>
                <c:pt idx="36">
                  <c:v>800</c:v>
                </c:pt>
                <c:pt idx="37">
                  <c:v>821</c:v>
                </c:pt>
                <c:pt idx="38">
                  <c:v>843</c:v>
                </c:pt>
                <c:pt idx="39">
                  <c:v>870</c:v>
                </c:pt>
                <c:pt idx="40">
                  <c:v>886</c:v>
                </c:pt>
                <c:pt idx="41">
                  <c:v>906</c:v>
                </c:pt>
                <c:pt idx="42">
                  <c:v>924</c:v>
                </c:pt>
                <c:pt idx="43">
                  <c:v>953</c:v>
                </c:pt>
                <c:pt idx="44">
                  <c:v>970</c:v>
                </c:pt>
                <c:pt idx="45">
                  <c:v>995</c:v>
                </c:pt>
                <c:pt idx="46">
                  <c:v>1012</c:v>
                </c:pt>
                <c:pt idx="47">
                  <c:v>1024</c:v>
                </c:pt>
                <c:pt idx="48">
                  <c:v>1039</c:v>
                </c:pt>
                <c:pt idx="49">
                  <c:v>1055</c:v>
                </c:pt>
                <c:pt idx="50">
                  <c:v>1069</c:v>
                </c:pt>
                <c:pt idx="51">
                  <c:v>1081</c:v>
                </c:pt>
                <c:pt idx="52">
                  <c:v>1108</c:v>
                </c:pt>
                <c:pt idx="53">
                  <c:v>1140</c:v>
                </c:pt>
                <c:pt idx="54">
                  <c:v>1153</c:v>
                </c:pt>
                <c:pt idx="55">
                  <c:v>1175</c:v>
                </c:pt>
                <c:pt idx="56">
                  <c:v>1198</c:v>
                </c:pt>
                <c:pt idx="57">
                  <c:v>1214</c:v>
                </c:pt>
                <c:pt idx="58">
                  <c:v>1231</c:v>
                </c:pt>
                <c:pt idx="59">
                  <c:v>1251</c:v>
                </c:pt>
                <c:pt idx="60">
                  <c:v>1281</c:v>
                </c:pt>
                <c:pt idx="61">
                  <c:v>1294</c:v>
                </c:pt>
                <c:pt idx="62">
                  <c:v>1305</c:v>
                </c:pt>
                <c:pt idx="63">
                  <c:v>1322</c:v>
                </c:pt>
                <c:pt idx="64">
                  <c:v>1345</c:v>
                </c:pt>
                <c:pt idx="65">
                  <c:v>1368</c:v>
                </c:pt>
                <c:pt idx="66">
                  <c:v>1389</c:v>
                </c:pt>
                <c:pt idx="67">
                  <c:v>1409</c:v>
                </c:pt>
                <c:pt idx="68">
                  <c:v>1422</c:v>
                </c:pt>
                <c:pt idx="69">
                  <c:v>1438</c:v>
                </c:pt>
                <c:pt idx="70">
                  <c:v>1461</c:v>
                </c:pt>
                <c:pt idx="71">
                  <c:v>1481</c:v>
                </c:pt>
                <c:pt idx="72">
                  <c:v>1499</c:v>
                </c:pt>
                <c:pt idx="73">
                  <c:v>1515</c:v>
                </c:pt>
                <c:pt idx="74">
                  <c:v>1539</c:v>
                </c:pt>
                <c:pt idx="75">
                  <c:v>1556</c:v>
                </c:pt>
                <c:pt idx="76">
                  <c:v>1568</c:v>
                </c:pt>
                <c:pt idx="77">
                  <c:v>1579</c:v>
                </c:pt>
                <c:pt idx="78">
                  <c:v>1592</c:v>
                </c:pt>
                <c:pt idx="79">
                  <c:v>1603</c:v>
                </c:pt>
                <c:pt idx="80">
                  <c:v>1616</c:v>
                </c:pt>
                <c:pt idx="81">
                  <c:v>1628</c:v>
                </c:pt>
                <c:pt idx="82">
                  <c:v>1638</c:v>
                </c:pt>
                <c:pt idx="83">
                  <c:v>1648</c:v>
                </c:pt>
                <c:pt idx="84">
                  <c:v>1660</c:v>
                </c:pt>
                <c:pt idx="85">
                  <c:v>1671</c:v>
                </c:pt>
                <c:pt idx="86">
                  <c:v>1685</c:v>
                </c:pt>
                <c:pt idx="87">
                  <c:v>1703</c:v>
                </c:pt>
                <c:pt idx="88">
                  <c:v>1710</c:v>
                </c:pt>
                <c:pt idx="89">
                  <c:v>1715</c:v>
                </c:pt>
                <c:pt idx="90">
                  <c:v>1721</c:v>
                </c:pt>
                <c:pt idx="91">
                  <c:v>1725</c:v>
                </c:pt>
                <c:pt idx="92">
                  <c:v>1733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F7-47B6-9858-16CD9B50F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387313"/>
        <c:axId val="1552857711"/>
      </c:lineChart>
      <c:catAx>
        <c:axId val="819387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nl-BE"/>
          </a:p>
        </c:txPr>
        <c:crossAx val="1552857711"/>
        <c:crosses val="autoZero"/>
        <c:auto val="1"/>
        <c:lblAlgn val="ctr"/>
        <c:lblOffset val="100"/>
        <c:noMultiLvlLbl val="1"/>
      </c:catAx>
      <c:valAx>
        <c:axId val="1552857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nl-BE"/>
          </a:p>
        </c:txPr>
        <c:crossAx val="8193873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nl-B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 (h) vs pages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stats!$K$2</c:f>
              <c:strCache>
                <c:ptCount val="1"/>
                <c:pt idx="0">
                  <c:v>0,483333333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stats!$G$3:$G$94</c:f>
              <c:numCache>
                <c:formatCode>General</c:formatCode>
                <c:ptCount val="92"/>
                <c:pt idx="0">
                  <c:v>164</c:v>
                </c:pt>
                <c:pt idx="1">
                  <c:v>165</c:v>
                </c:pt>
                <c:pt idx="2">
                  <c:v>166</c:v>
                </c:pt>
                <c:pt idx="3">
                  <c:v>167</c:v>
                </c:pt>
                <c:pt idx="4">
                  <c:v>168</c:v>
                </c:pt>
                <c:pt idx="5">
                  <c:v>169</c:v>
                </c:pt>
                <c:pt idx="6">
                  <c:v>170</c:v>
                </c:pt>
                <c:pt idx="7">
                  <c:v>171</c:v>
                </c:pt>
                <c:pt idx="8">
                  <c:v>172</c:v>
                </c:pt>
                <c:pt idx="9">
                  <c:v>173</c:v>
                </c:pt>
                <c:pt idx="10">
                  <c:v>174</c:v>
                </c:pt>
                <c:pt idx="11">
                  <c:v>175</c:v>
                </c:pt>
                <c:pt idx="12">
                  <c:v>176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181</c:v>
                </c:pt>
                <c:pt idx="18">
                  <c:v>182</c:v>
                </c:pt>
                <c:pt idx="19">
                  <c:v>183</c:v>
                </c:pt>
                <c:pt idx="20">
                  <c:v>184</c:v>
                </c:pt>
                <c:pt idx="21">
                  <c:v>185</c:v>
                </c:pt>
                <c:pt idx="22">
                  <c:v>186</c:v>
                </c:pt>
                <c:pt idx="23">
                  <c:v>187</c:v>
                </c:pt>
                <c:pt idx="24">
                  <c:v>188</c:v>
                </c:pt>
                <c:pt idx="25">
                  <c:v>189</c:v>
                </c:pt>
                <c:pt idx="26">
                  <c:v>190</c:v>
                </c:pt>
                <c:pt idx="27">
                  <c:v>191</c:v>
                </c:pt>
                <c:pt idx="28">
                  <c:v>192</c:v>
                </c:pt>
                <c:pt idx="29">
                  <c:v>193</c:v>
                </c:pt>
                <c:pt idx="30">
                  <c:v>194</c:v>
                </c:pt>
                <c:pt idx="31">
                  <c:v>195</c:v>
                </c:pt>
                <c:pt idx="32">
                  <c:v>196</c:v>
                </c:pt>
                <c:pt idx="33">
                  <c:v>197</c:v>
                </c:pt>
                <c:pt idx="34">
                  <c:v>198</c:v>
                </c:pt>
                <c:pt idx="35">
                  <c:v>199</c:v>
                </c:pt>
                <c:pt idx="36">
                  <c:v>200</c:v>
                </c:pt>
                <c:pt idx="37">
                  <c:v>201</c:v>
                </c:pt>
                <c:pt idx="38">
                  <c:v>202</c:v>
                </c:pt>
                <c:pt idx="39">
                  <c:v>203</c:v>
                </c:pt>
                <c:pt idx="40">
                  <c:v>204</c:v>
                </c:pt>
                <c:pt idx="41">
                  <c:v>205</c:v>
                </c:pt>
                <c:pt idx="42">
                  <c:v>206</c:v>
                </c:pt>
                <c:pt idx="43">
                  <c:v>207</c:v>
                </c:pt>
                <c:pt idx="44">
                  <c:v>208</c:v>
                </c:pt>
                <c:pt idx="45">
                  <c:v>209</c:v>
                </c:pt>
                <c:pt idx="46">
                  <c:v>210</c:v>
                </c:pt>
                <c:pt idx="47">
                  <c:v>211</c:v>
                </c:pt>
                <c:pt idx="48">
                  <c:v>212</c:v>
                </c:pt>
                <c:pt idx="49">
                  <c:v>213</c:v>
                </c:pt>
                <c:pt idx="50">
                  <c:v>214</c:v>
                </c:pt>
                <c:pt idx="51">
                  <c:v>215</c:v>
                </c:pt>
                <c:pt idx="52">
                  <c:v>216</c:v>
                </c:pt>
                <c:pt idx="53">
                  <c:v>217</c:v>
                </c:pt>
                <c:pt idx="54">
                  <c:v>218</c:v>
                </c:pt>
                <c:pt idx="55">
                  <c:v>219</c:v>
                </c:pt>
                <c:pt idx="56">
                  <c:v>220</c:v>
                </c:pt>
                <c:pt idx="57">
                  <c:v>221</c:v>
                </c:pt>
                <c:pt idx="58">
                  <c:v>222</c:v>
                </c:pt>
                <c:pt idx="59">
                  <c:v>223</c:v>
                </c:pt>
                <c:pt idx="60">
                  <c:v>224</c:v>
                </c:pt>
                <c:pt idx="61">
                  <c:v>225</c:v>
                </c:pt>
                <c:pt idx="62">
                  <c:v>226</c:v>
                </c:pt>
                <c:pt idx="63">
                  <c:v>227</c:v>
                </c:pt>
                <c:pt idx="64">
                  <c:v>228</c:v>
                </c:pt>
                <c:pt idx="65">
                  <c:v>229</c:v>
                </c:pt>
                <c:pt idx="66">
                  <c:v>230</c:v>
                </c:pt>
                <c:pt idx="67">
                  <c:v>231</c:v>
                </c:pt>
                <c:pt idx="68">
                  <c:v>232</c:v>
                </c:pt>
                <c:pt idx="69">
                  <c:v>233</c:v>
                </c:pt>
                <c:pt idx="70">
                  <c:v>234</c:v>
                </c:pt>
                <c:pt idx="71">
                  <c:v>235</c:v>
                </c:pt>
                <c:pt idx="72">
                  <c:v>236</c:v>
                </c:pt>
                <c:pt idx="73">
                  <c:v>237</c:v>
                </c:pt>
                <c:pt idx="74">
                  <c:v>238</c:v>
                </c:pt>
                <c:pt idx="75">
                  <c:v>239</c:v>
                </c:pt>
                <c:pt idx="76">
                  <c:v>240</c:v>
                </c:pt>
                <c:pt idx="77">
                  <c:v>241</c:v>
                </c:pt>
                <c:pt idx="78">
                  <c:v>242</c:v>
                </c:pt>
                <c:pt idx="79">
                  <c:v>243</c:v>
                </c:pt>
                <c:pt idx="80">
                  <c:v>244</c:v>
                </c:pt>
                <c:pt idx="81">
                  <c:v>245</c:v>
                </c:pt>
                <c:pt idx="82">
                  <c:v>246</c:v>
                </c:pt>
                <c:pt idx="83">
                  <c:v>247</c:v>
                </c:pt>
                <c:pt idx="84">
                  <c:v>248</c:v>
                </c:pt>
                <c:pt idx="85">
                  <c:v>249</c:v>
                </c:pt>
                <c:pt idx="86">
                  <c:v>250</c:v>
                </c:pt>
                <c:pt idx="87">
                  <c:v>251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255</c:v>
                </c:pt>
              </c:numCache>
            </c:numRef>
          </c:cat>
          <c:val>
            <c:numRef>
              <c:f>stats!$K$3:$K$94</c:f>
              <c:numCache>
                <c:formatCode>General</c:formatCode>
                <c:ptCount val="92"/>
                <c:pt idx="0">
                  <c:v>0.45</c:v>
                </c:pt>
                <c:pt idx="1">
                  <c:v>0.3</c:v>
                </c:pt>
                <c:pt idx="2">
                  <c:v>0.21388888888888888</c:v>
                </c:pt>
                <c:pt idx="3">
                  <c:v>0.4</c:v>
                </c:pt>
                <c:pt idx="4">
                  <c:v>0.46944444444444444</c:v>
                </c:pt>
                <c:pt idx="5">
                  <c:v>0.31944444444444442</c:v>
                </c:pt>
                <c:pt idx="6">
                  <c:v>0.29166666666666669</c:v>
                </c:pt>
                <c:pt idx="7">
                  <c:v>0.31666666666666665</c:v>
                </c:pt>
                <c:pt idx="8">
                  <c:v>0.43333333333333335</c:v>
                </c:pt>
                <c:pt idx="9">
                  <c:v>0.17777777777777778</c:v>
                </c:pt>
                <c:pt idx="10">
                  <c:v>0.16388888888888889</c:v>
                </c:pt>
                <c:pt idx="11">
                  <c:v>0.20277777777777778</c:v>
                </c:pt>
                <c:pt idx="12">
                  <c:v>0.31388888888888888</c:v>
                </c:pt>
                <c:pt idx="13">
                  <c:v>0.65</c:v>
                </c:pt>
                <c:pt idx="14">
                  <c:v>0.48055555555555557</c:v>
                </c:pt>
                <c:pt idx="15">
                  <c:v>0.3527777777777778</c:v>
                </c:pt>
                <c:pt idx="16">
                  <c:v>0.11944444444444445</c:v>
                </c:pt>
                <c:pt idx="17">
                  <c:v>0.19166666666666668</c:v>
                </c:pt>
                <c:pt idx="18">
                  <c:v>0.15277777777777779</c:v>
                </c:pt>
                <c:pt idx="19">
                  <c:v>0.15277777777777779</c:v>
                </c:pt>
                <c:pt idx="20">
                  <c:v>0.40833333333333333</c:v>
                </c:pt>
                <c:pt idx="21">
                  <c:v>0.28888888888888886</c:v>
                </c:pt>
                <c:pt idx="22">
                  <c:v>0.18333333333333332</c:v>
                </c:pt>
                <c:pt idx="23">
                  <c:v>0.3527777777777778</c:v>
                </c:pt>
                <c:pt idx="24">
                  <c:v>0.35833333333333334</c:v>
                </c:pt>
                <c:pt idx="25">
                  <c:v>0.26944444444444443</c:v>
                </c:pt>
                <c:pt idx="26">
                  <c:v>0.26944444444444443</c:v>
                </c:pt>
                <c:pt idx="27">
                  <c:v>0.34444444444444444</c:v>
                </c:pt>
                <c:pt idx="28">
                  <c:v>0.32500000000000001</c:v>
                </c:pt>
                <c:pt idx="29">
                  <c:v>0.5805555555555556</c:v>
                </c:pt>
                <c:pt idx="30">
                  <c:v>0.30277777777777776</c:v>
                </c:pt>
                <c:pt idx="31">
                  <c:v>0.20555555555555555</c:v>
                </c:pt>
                <c:pt idx="32">
                  <c:v>0.46388888888888891</c:v>
                </c:pt>
                <c:pt idx="33">
                  <c:v>0.36666666666666664</c:v>
                </c:pt>
                <c:pt idx="34">
                  <c:v>0.45277777777777778</c:v>
                </c:pt>
                <c:pt idx="35">
                  <c:v>0.22777777777777777</c:v>
                </c:pt>
                <c:pt idx="36">
                  <c:v>0.29166666666666669</c:v>
                </c:pt>
                <c:pt idx="37">
                  <c:v>0.30833333333333335</c:v>
                </c:pt>
                <c:pt idx="38">
                  <c:v>0.39166666666666666</c:v>
                </c:pt>
                <c:pt idx="39">
                  <c:v>0.22222222222222221</c:v>
                </c:pt>
                <c:pt idx="40">
                  <c:v>0.28333333333333333</c:v>
                </c:pt>
                <c:pt idx="41">
                  <c:v>0.25555555555555554</c:v>
                </c:pt>
                <c:pt idx="42">
                  <c:v>0.42777777777777776</c:v>
                </c:pt>
                <c:pt idx="43">
                  <c:v>0.2361111111111111</c:v>
                </c:pt>
                <c:pt idx="44">
                  <c:v>0.35555555555555557</c:v>
                </c:pt>
                <c:pt idx="45">
                  <c:v>0.2361111111111111</c:v>
                </c:pt>
                <c:pt idx="46">
                  <c:v>0.17222222222222222</c:v>
                </c:pt>
                <c:pt idx="47">
                  <c:v>0.20833333333333334</c:v>
                </c:pt>
                <c:pt idx="48">
                  <c:v>0.22222222222222221</c:v>
                </c:pt>
                <c:pt idx="49">
                  <c:v>0.2</c:v>
                </c:pt>
                <c:pt idx="50">
                  <c:v>0.17222222222222222</c:v>
                </c:pt>
                <c:pt idx="51">
                  <c:v>0.375</c:v>
                </c:pt>
                <c:pt idx="52">
                  <c:v>0.45</c:v>
                </c:pt>
                <c:pt idx="53">
                  <c:v>0.18888888888888888</c:v>
                </c:pt>
                <c:pt idx="54">
                  <c:v>0.31111111111111112</c:v>
                </c:pt>
                <c:pt idx="55">
                  <c:v>0.32500000000000001</c:v>
                </c:pt>
                <c:pt idx="56">
                  <c:v>0.22500000000000001</c:v>
                </c:pt>
                <c:pt idx="57">
                  <c:v>0.2361111111111111</c:v>
                </c:pt>
                <c:pt idx="58">
                  <c:v>0.28888888888888886</c:v>
                </c:pt>
                <c:pt idx="59">
                  <c:v>0.41944444444444445</c:v>
                </c:pt>
                <c:pt idx="60">
                  <c:v>0.18888888888888888</c:v>
                </c:pt>
                <c:pt idx="61">
                  <c:v>0.15277777777777779</c:v>
                </c:pt>
                <c:pt idx="62">
                  <c:v>0.2361111111111111</c:v>
                </c:pt>
                <c:pt idx="63">
                  <c:v>0.31944444444444442</c:v>
                </c:pt>
                <c:pt idx="64">
                  <c:v>0.31944444444444442</c:v>
                </c:pt>
                <c:pt idx="65">
                  <c:v>0.3</c:v>
                </c:pt>
                <c:pt idx="66">
                  <c:v>0.28333333333333333</c:v>
                </c:pt>
                <c:pt idx="67">
                  <c:v>0.18333333333333332</c:v>
                </c:pt>
                <c:pt idx="68">
                  <c:v>0.22500000000000001</c:v>
                </c:pt>
                <c:pt idx="69">
                  <c:v>0.32500000000000001</c:v>
                </c:pt>
                <c:pt idx="70">
                  <c:v>0.28333333333333333</c:v>
                </c:pt>
                <c:pt idx="71">
                  <c:v>0.25</c:v>
                </c:pt>
                <c:pt idx="72">
                  <c:v>0.22777777777777777</c:v>
                </c:pt>
                <c:pt idx="73">
                  <c:v>0.33611111111111114</c:v>
                </c:pt>
                <c:pt idx="74">
                  <c:v>0.2388888888888889</c:v>
                </c:pt>
                <c:pt idx="75">
                  <c:v>0.16666666666666666</c:v>
                </c:pt>
                <c:pt idx="76">
                  <c:v>0.15555555555555556</c:v>
                </c:pt>
                <c:pt idx="77">
                  <c:v>0.18055555555555555</c:v>
                </c:pt>
                <c:pt idx="78">
                  <c:v>0.15277777777777779</c:v>
                </c:pt>
                <c:pt idx="79">
                  <c:v>0.18055555555555555</c:v>
                </c:pt>
                <c:pt idx="80">
                  <c:v>0.16666666666666666</c:v>
                </c:pt>
                <c:pt idx="81">
                  <c:v>0.1388888888888889</c:v>
                </c:pt>
                <c:pt idx="82">
                  <c:v>0.1388888888888889</c:v>
                </c:pt>
                <c:pt idx="83">
                  <c:v>0.16666666666666666</c:v>
                </c:pt>
                <c:pt idx="84">
                  <c:v>0.15277777777777779</c:v>
                </c:pt>
                <c:pt idx="85">
                  <c:v>0.19444444444444445</c:v>
                </c:pt>
                <c:pt idx="86">
                  <c:v>0.25</c:v>
                </c:pt>
                <c:pt idx="87">
                  <c:v>0.1</c:v>
                </c:pt>
                <c:pt idx="88">
                  <c:v>6.9444444444444448E-2</c:v>
                </c:pt>
                <c:pt idx="89">
                  <c:v>8.3333333333333329E-2</c:v>
                </c:pt>
                <c:pt idx="90">
                  <c:v>5.5555555555555552E-2</c:v>
                </c:pt>
                <c:pt idx="91">
                  <c:v>0.1111111111111111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0E6-4BCE-9132-12889C41B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291797"/>
        <c:axId val="1779452068"/>
      </c:barChart>
      <c:catAx>
        <c:axId val="1900291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nl-BE"/>
          </a:p>
        </c:txPr>
        <c:crossAx val="1779452068"/>
        <c:crosses val="autoZero"/>
        <c:auto val="1"/>
        <c:lblAlgn val="ctr"/>
        <c:lblOffset val="100"/>
        <c:noMultiLvlLbl val="1"/>
      </c:catAx>
      <c:valAx>
        <c:axId val="1779452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nl-BE"/>
          </a:p>
        </c:txPr>
        <c:crossAx val="19002917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nl-B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 (h) cumulative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stats!$G$2:$G$94</c:f>
              <c:numCache>
                <c:formatCode>General</c:formatCode>
                <c:ptCount val="93"/>
                <c:pt idx="0">
                  <c:v>163</c:v>
                </c:pt>
                <c:pt idx="1">
                  <c:v>164</c:v>
                </c:pt>
                <c:pt idx="2">
                  <c:v>165</c:v>
                </c:pt>
                <c:pt idx="3">
                  <c:v>166</c:v>
                </c:pt>
                <c:pt idx="4">
                  <c:v>167</c:v>
                </c:pt>
                <c:pt idx="5">
                  <c:v>168</c:v>
                </c:pt>
                <c:pt idx="6">
                  <c:v>169</c:v>
                </c:pt>
                <c:pt idx="7">
                  <c:v>170</c:v>
                </c:pt>
                <c:pt idx="8">
                  <c:v>171</c:v>
                </c:pt>
                <c:pt idx="9">
                  <c:v>172</c:v>
                </c:pt>
                <c:pt idx="10">
                  <c:v>173</c:v>
                </c:pt>
                <c:pt idx="11">
                  <c:v>174</c:v>
                </c:pt>
                <c:pt idx="12">
                  <c:v>175</c:v>
                </c:pt>
                <c:pt idx="13">
                  <c:v>176</c:v>
                </c:pt>
                <c:pt idx="14">
                  <c:v>177</c:v>
                </c:pt>
                <c:pt idx="15">
                  <c:v>178</c:v>
                </c:pt>
                <c:pt idx="16">
                  <c:v>179</c:v>
                </c:pt>
                <c:pt idx="17">
                  <c:v>180</c:v>
                </c:pt>
                <c:pt idx="18">
                  <c:v>181</c:v>
                </c:pt>
                <c:pt idx="19">
                  <c:v>182</c:v>
                </c:pt>
                <c:pt idx="20">
                  <c:v>183</c:v>
                </c:pt>
                <c:pt idx="21">
                  <c:v>184</c:v>
                </c:pt>
                <c:pt idx="22">
                  <c:v>185</c:v>
                </c:pt>
                <c:pt idx="23">
                  <c:v>186</c:v>
                </c:pt>
                <c:pt idx="24">
                  <c:v>187</c:v>
                </c:pt>
                <c:pt idx="25">
                  <c:v>188</c:v>
                </c:pt>
                <c:pt idx="26">
                  <c:v>189</c:v>
                </c:pt>
                <c:pt idx="27">
                  <c:v>190</c:v>
                </c:pt>
                <c:pt idx="28">
                  <c:v>191</c:v>
                </c:pt>
                <c:pt idx="29">
                  <c:v>192</c:v>
                </c:pt>
                <c:pt idx="30">
                  <c:v>193</c:v>
                </c:pt>
                <c:pt idx="31">
                  <c:v>194</c:v>
                </c:pt>
                <c:pt idx="32">
                  <c:v>195</c:v>
                </c:pt>
                <c:pt idx="33">
                  <c:v>196</c:v>
                </c:pt>
                <c:pt idx="34">
                  <c:v>197</c:v>
                </c:pt>
                <c:pt idx="35">
                  <c:v>198</c:v>
                </c:pt>
                <c:pt idx="36">
                  <c:v>199</c:v>
                </c:pt>
                <c:pt idx="37">
                  <c:v>200</c:v>
                </c:pt>
                <c:pt idx="38">
                  <c:v>201</c:v>
                </c:pt>
                <c:pt idx="39">
                  <c:v>202</c:v>
                </c:pt>
                <c:pt idx="40">
                  <c:v>203</c:v>
                </c:pt>
                <c:pt idx="41">
                  <c:v>204</c:v>
                </c:pt>
                <c:pt idx="42">
                  <c:v>205</c:v>
                </c:pt>
                <c:pt idx="43">
                  <c:v>206</c:v>
                </c:pt>
                <c:pt idx="44">
                  <c:v>207</c:v>
                </c:pt>
                <c:pt idx="45">
                  <c:v>208</c:v>
                </c:pt>
                <c:pt idx="46">
                  <c:v>209</c:v>
                </c:pt>
                <c:pt idx="47">
                  <c:v>210</c:v>
                </c:pt>
                <c:pt idx="48">
                  <c:v>211</c:v>
                </c:pt>
                <c:pt idx="49">
                  <c:v>212</c:v>
                </c:pt>
                <c:pt idx="50">
                  <c:v>213</c:v>
                </c:pt>
                <c:pt idx="51">
                  <c:v>214</c:v>
                </c:pt>
                <c:pt idx="52">
                  <c:v>215</c:v>
                </c:pt>
                <c:pt idx="53">
                  <c:v>216</c:v>
                </c:pt>
                <c:pt idx="54">
                  <c:v>217</c:v>
                </c:pt>
                <c:pt idx="55">
                  <c:v>218</c:v>
                </c:pt>
                <c:pt idx="56">
                  <c:v>219</c:v>
                </c:pt>
                <c:pt idx="57">
                  <c:v>220</c:v>
                </c:pt>
                <c:pt idx="58">
                  <c:v>221</c:v>
                </c:pt>
                <c:pt idx="59">
                  <c:v>222</c:v>
                </c:pt>
                <c:pt idx="60">
                  <c:v>223</c:v>
                </c:pt>
                <c:pt idx="61">
                  <c:v>224</c:v>
                </c:pt>
                <c:pt idx="62">
                  <c:v>225</c:v>
                </c:pt>
                <c:pt idx="63">
                  <c:v>226</c:v>
                </c:pt>
                <c:pt idx="64">
                  <c:v>227</c:v>
                </c:pt>
                <c:pt idx="65">
                  <c:v>228</c:v>
                </c:pt>
                <c:pt idx="66">
                  <c:v>229</c:v>
                </c:pt>
                <c:pt idx="67">
                  <c:v>230</c:v>
                </c:pt>
                <c:pt idx="68">
                  <c:v>231</c:v>
                </c:pt>
                <c:pt idx="69">
                  <c:v>232</c:v>
                </c:pt>
                <c:pt idx="70">
                  <c:v>233</c:v>
                </c:pt>
                <c:pt idx="71">
                  <c:v>234</c:v>
                </c:pt>
                <c:pt idx="72">
                  <c:v>235</c:v>
                </c:pt>
                <c:pt idx="73">
                  <c:v>236</c:v>
                </c:pt>
                <c:pt idx="74">
                  <c:v>237</c:v>
                </c:pt>
                <c:pt idx="75">
                  <c:v>238</c:v>
                </c:pt>
                <c:pt idx="76">
                  <c:v>239</c:v>
                </c:pt>
                <c:pt idx="77">
                  <c:v>240</c:v>
                </c:pt>
                <c:pt idx="78">
                  <c:v>241</c:v>
                </c:pt>
                <c:pt idx="79">
                  <c:v>242</c:v>
                </c:pt>
                <c:pt idx="80">
                  <c:v>243</c:v>
                </c:pt>
                <c:pt idx="81">
                  <c:v>244</c:v>
                </c:pt>
                <c:pt idx="82">
                  <c:v>245</c:v>
                </c:pt>
                <c:pt idx="83">
                  <c:v>246</c:v>
                </c:pt>
                <c:pt idx="84">
                  <c:v>247</c:v>
                </c:pt>
                <c:pt idx="85">
                  <c:v>248</c:v>
                </c:pt>
                <c:pt idx="86">
                  <c:v>249</c:v>
                </c:pt>
                <c:pt idx="87">
                  <c:v>250</c:v>
                </c:pt>
                <c:pt idx="88">
                  <c:v>251</c:v>
                </c:pt>
                <c:pt idx="89">
                  <c:v>252</c:v>
                </c:pt>
                <c:pt idx="90">
                  <c:v>253</c:v>
                </c:pt>
                <c:pt idx="91">
                  <c:v>254</c:v>
                </c:pt>
                <c:pt idx="92">
                  <c:v>255</c:v>
                </c:pt>
              </c:numCache>
            </c:numRef>
          </c:cat>
          <c:val>
            <c:numRef>
              <c:f>stats!$M$2:$M$94</c:f>
              <c:numCache>
                <c:formatCode>General</c:formatCode>
                <c:ptCount val="93"/>
                <c:pt idx="0">
                  <c:v>0.48333333333333334</c:v>
                </c:pt>
                <c:pt idx="1">
                  <c:v>0.93333333333333335</c:v>
                </c:pt>
                <c:pt idx="2">
                  <c:v>1.2333333333333334</c:v>
                </c:pt>
                <c:pt idx="3">
                  <c:v>1.4472222222222222</c:v>
                </c:pt>
                <c:pt idx="4">
                  <c:v>1.8472222222222223</c:v>
                </c:pt>
                <c:pt idx="5">
                  <c:v>2.3166666666666669</c:v>
                </c:pt>
                <c:pt idx="6">
                  <c:v>2.6361111111111111</c:v>
                </c:pt>
                <c:pt idx="7">
                  <c:v>2.9277777777777776</c:v>
                </c:pt>
                <c:pt idx="8">
                  <c:v>3.2444444444444445</c:v>
                </c:pt>
                <c:pt idx="9">
                  <c:v>3.677777777777778</c:v>
                </c:pt>
                <c:pt idx="10">
                  <c:v>3.8555555555555556</c:v>
                </c:pt>
                <c:pt idx="11">
                  <c:v>4.0194444444444448</c:v>
                </c:pt>
                <c:pt idx="12">
                  <c:v>4.2222222222222223</c:v>
                </c:pt>
                <c:pt idx="13">
                  <c:v>4.5361111111111114</c:v>
                </c:pt>
                <c:pt idx="14">
                  <c:v>5.1861111111111118</c:v>
                </c:pt>
                <c:pt idx="15">
                  <c:v>5.666666666666667</c:v>
                </c:pt>
                <c:pt idx="16">
                  <c:v>6.0194444444444448</c:v>
                </c:pt>
                <c:pt idx="17">
                  <c:v>6.1388888888888893</c:v>
                </c:pt>
                <c:pt idx="18">
                  <c:v>6.3305555555555557</c:v>
                </c:pt>
                <c:pt idx="19">
                  <c:v>6.4833333333333334</c:v>
                </c:pt>
                <c:pt idx="20">
                  <c:v>6.6361111111111111</c:v>
                </c:pt>
                <c:pt idx="21">
                  <c:v>7.0444444444444443</c:v>
                </c:pt>
                <c:pt idx="22">
                  <c:v>7.333333333333333</c:v>
                </c:pt>
                <c:pt idx="23">
                  <c:v>7.5166666666666666</c:v>
                </c:pt>
                <c:pt idx="24">
                  <c:v>7.8694444444444445</c:v>
                </c:pt>
                <c:pt idx="25">
                  <c:v>8.2277777777777779</c:v>
                </c:pt>
                <c:pt idx="26">
                  <c:v>8.4972222222222218</c:v>
                </c:pt>
                <c:pt idx="27">
                  <c:v>8.7666666666666657</c:v>
                </c:pt>
                <c:pt idx="28">
                  <c:v>9.1111111111111107</c:v>
                </c:pt>
                <c:pt idx="29">
                  <c:v>9.43611111111111</c:v>
                </c:pt>
                <c:pt idx="30">
                  <c:v>10.016666666666666</c:v>
                </c:pt>
                <c:pt idx="31">
                  <c:v>10.319444444444443</c:v>
                </c:pt>
                <c:pt idx="32">
                  <c:v>10.524999999999999</c:v>
                </c:pt>
                <c:pt idx="33">
                  <c:v>10.988888888888887</c:v>
                </c:pt>
                <c:pt idx="34">
                  <c:v>11.355555555555554</c:v>
                </c:pt>
                <c:pt idx="35">
                  <c:v>11.808333333333332</c:v>
                </c:pt>
                <c:pt idx="36">
                  <c:v>12.03611111111111</c:v>
                </c:pt>
                <c:pt idx="37">
                  <c:v>12.327777777777776</c:v>
                </c:pt>
                <c:pt idx="38">
                  <c:v>12.636111111111109</c:v>
                </c:pt>
                <c:pt idx="39">
                  <c:v>13.027777777777777</c:v>
                </c:pt>
                <c:pt idx="40">
                  <c:v>13.249999999999998</c:v>
                </c:pt>
                <c:pt idx="41">
                  <c:v>13.533333333333331</c:v>
                </c:pt>
                <c:pt idx="42">
                  <c:v>13.788888888888888</c:v>
                </c:pt>
                <c:pt idx="43">
                  <c:v>14.216666666666665</c:v>
                </c:pt>
                <c:pt idx="44">
                  <c:v>14.452777777777776</c:v>
                </c:pt>
                <c:pt idx="45">
                  <c:v>14.808333333333332</c:v>
                </c:pt>
                <c:pt idx="46">
                  <c:v>15.044444444444443</c:v>
                </c:pt>
                <c:pt idx="47">
                  <c:v>15.216666666666665</c:v>
                </c:pt>
                <c:pt idx="48">
                  <c:v>15.424999999999999</c:v>
                </c:pt>
                <c:pt idx="49">
                  <c:v>15.64722222222222</c:v>
                </c:pt>
                <c:pt idx="50">
                  <c:v>15.84722222222222</c:v>
                </c:pt>
                <c:pt idx="51">
                  <c:v>16.019444444444442</c:v>
                </c:pt>
                <c:pt idx="52">
                  <c:v>16.394444444444442</c:v>
                </c:pt>
                <c:pt idx="53">
                  <c:v>16.844444444444441</c:v>
                </c:pt>
                <c:pt idx="54">
                  <c:v>17.033333333333331</c:v>
                </c:pt>
                <c:pt idx="55">
                  <c:v>17.344444444444441</c:v>
                </c:pt>
                <c:pt idx="56">
                  <c:v>17.669444444444441</c:v>
                </c:pt>
                <c:pt idx="57">
                  <c:v>17.894444444444442</c:v>
                </c:pt>
                <c:pt idx="58">
                  <c:v>18.130555555555553</c:v>
                </c:pt>
                <c:pt idx="59">
                  <c:v>18.419444444444441</c:v>
                </c:pt>
                <c:pt idx="60">
                  <c:v>18.838888888888885</c:v>
                </c:pt>
                <c:pt idx="61">
                  <c:v>19.027777777777775</c:v>
                </c:pt>
                <c:pt idx="62">
                  <c:v>19.180555555555554</c:v>
                </c:pt>
                <c:pt idx="63">
                  <c:v>19.416666666666664</c:v>
                </c:pt>
                <c:pt idx="64">
                  <c:v>19.736111111111107</c:v>
                </c:pt>
                <c:pt idx="65">
                  <c:v>20.05555555555555</c:v>
                </c:pt>
                <c:pt idx="66">
                  <c:v>20.355555555555551</c:v>
                </c:pt>
                <c:pt idx="67">
                  <c:v>20.638888888888886</c:v>
                </c:pt>
                <c:pt idx="68">
                  <c:v>20.822222222222219</c:v>
                </c:pt>
                <c:pt idx="69">
                  <c:v>21.047222222222221</c:v>
                </c:pt>
                <c:pt idx="70">
                  <c:v>21.37222222222222</c:v>
                </c:pt>
                <c:pt idx="71">
                  <c:v>21.655555555555555</c:v>
                </c:pt>
                <c:pt idx="72">
                  <c:v>21.905555555555555</c:v>
                </c:pt>
                <c:pt idx="73">
                  <c:v>22.133333333333333</c:v>
                </c:pt>
                <c:pt idx="74">
                  <c:v>22.469444444444445</c:v>
                </c:pt>
                <c:pt idx="75">
                  <c:v>22.708333333333332</c:v>
                </c:pt>
                <c:pt idx="76">
                  <c:v>22.875</c:v>
                </c:pt>
                <c:pt idx="77">
                  <c:v>23.030555555555555</c:v>
                </c:pt>
                <c:pt idx="78">
                  <c:v>23.211111111111112</c:v>
                </c:pt>
                <c:pt idx="79">
                  <c:v>23.363888888888891</c:v>
                </c:pt>
                <c:pt idx="80">
                  <c:v>23.544444444444448</c:v>
                </c:pt>
                <c:pt idx="81">
                  <c:v>23.711111111111116</c:v>
                </c:pt>
                <c:pt idx="82">
                  <c:v>23.850000000000005</c:v>
                </c:pt>
                <c:pt idx="83">
                  <c:v>23.988888888888894</c:v>
                </c:pt>
                <c:pt idx="84">
                  <c:v>24.155555555555562</c:v>
                </c:pt>
                <c:pt idx="85">
                  <c:v>24.308333333333341</c:v>
                </c:pt>
                <c:pt idx="86">
                  <c:v>24.502777777777784</c:v>
                </c:pt>
                <c:pt idx="87">
                  <c:v>24.752777777777784</c:v>
                </c:pt>
                <c:pt idx="88">
                  <c:v>24.852777777777785</c:v>
                </c:pt>
                <c:pt idx="89">
                  <c:v>24.922222222222228</c:v>
                </c:pt>
                <c:pt idx="90">
                  <c:v>25.00555555555556</c:v>
                </c:pt>
                <c:pt idx="91">
                  <c:v>25.061111111111117</c:v>
                </c:pt>
                <c:pt idx="92">
                  <c:v>25.172222222222228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53D-41F4-A8F5-6BBEA6B37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531812"/>
        <c:axId val="1944643092"/>
      </c:lineChart>
      <c:catAx>
        <c:axId val="1788531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nl-BE"/>
          </a:p>
        </c:txPr>
        <c:crossAx val="1944643092"/>
        <c:crosses val="autoZero"/>
        <c:auto val="1"/>
        <c:lblAlgn val="ctr"/>
        <c:lblOffset val="100"/>
        <c:noMultiLvlLbl val="1"/>
      </c:catAx>
      <c:valAx>
        <c:axId val="1944643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nl-BE"/>
          </a:p>
        </c:txPr>
        <c:crossAx val="17885318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nl-B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time (h) vs pages (accused)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stats!$S$2</c:f>
              <c:strCache>
                <c:ptCount val="1"/>
                <c:pt idx="0">
                  <c:v>0,310555556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stats!$A$3:$A$76</c:f>
              <c:numCache>
                <c:formatCode>General</c:formatCode>
                <c:ptCount val="74"/>
                <c:pt idx="0">
                  <c:v>164</c:v>
                </c:pt>
                <c:pt idx="1">
                  <c:v>165</c:v>
                </c:pt>
                <c:pt idx="2">
                  <c:v>166</c:v>
                </c:pt>
                <c:pt idx="3">
                  <c:v>167</c:v>
                </c:pt>
                <c:pt idx="4">
                  <c:v>168</c:v>
                </c:pt>
                <c:pt idx="5">
                  <c:v>169</c:v>
                </c:pt>
                <c:pt idx="6">
                  <c:v>170</c:v>
                </c:pt>
                <c:pt idx="7">
                  <c:v>171</c:v>
                </c:pt>
                <c:pt idx="8">
                  <c:v>172</c:v>
                </c:pt>
                <c:pt idx="9">
                  <c:v>173</c:v>
                </c:pt>
                <c:pt idx="10">
                  <c:v>174</c:v>
                </c:pt>
                <c:pt idx="11">
                  <c:v>175</c:v>
                </c:pt>
                <c:pt idx="12">
                  <c:v>176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181</c:v>
                </c:pt>
                <c:pt idx="18">
                  <c:v>182</c:v>
                </c:pt>
                <c:pt idx="19">
                  <c:v>183</c:v>
                </c:pt>
                <c:pt idx="20">
                  <c:v>184</c:v>
                </c:pt>
                <c:pt idx="21">
                  <c:v>185</c:v>
                </c:pt>
                <c:pt idx="22">
                  <c:v>186</c:v>
                </c:pt>
                <c:pt idx="23">
                  <c:v>187</c:v>
                </c:pt>
                <c:pt idx="24">
                  <c:v>188</c:v>
                </c:pt>
                <c:pt idx="25">
                  <c:v>189</c:v>
                </c:pt>
                <c:pt idx="26">
                  <c:v>190</c:v>
                </c:pt>
                <c:pt idx="27">
                  <c:v>191</c:v>
                </c:pt>
                <c:pt idx="28">
                  <c:v>192</c:v>
                </c:pt>
                <c:pt idx="29">
                  <c:v>193</c:v>
                </c:pt>
                <c:pt idx="30">
                  <c:v>194</c:v>
                </c:pt>
                <c:pt idx="31">
                  <c:v>195</c:v>
                </c:pt>
                <c:pt idx="32">
                  <c:v>196</c:v>
                </c:pt>
                <c:pt idx="33">
                  <c:v>197</c:v>
                </c:pt>
                <c:pt idx="34">
                  <c:v>198</c:v>
                </c:pt>
                <c:pt idx="35">
                  <c:v>199</c:v>
                </c:pt>
                <c:pt idx="36">
                  <c:v>200</c:v>
                </c:pt>
                <c:pt idx="37">
                  <c:v>201</c:v>
                </c:pt>
                <c:pt idx="38">
                  <c:v>202</c:v>
                </c:pt>
                <c:pt idx="39">
                  <c:v>203</c:v>
                </c:pt>
                <c:pt idx="40">
                  <c:v>204</c:v>
                </c:pt>
                <c:pt idx="41">
                  <c:v>205</c:v>
                </c:pt>
                <c:pt idx="42">
                  <c:v>206</c:v>
                </c:pt>
                <c:pt idx="43">
                  <c:v>207</c:v>
                </c:pt>
                <c:pt idx="44">
                  <c:v>208</c:v>
                </c:pt>
                <c:pt idx="45">
                  <c:v>209</c:v>
                </c:pt>
                <c:pt idx="46">
                  <c:v>210</c:v>
                </c:pt>
                <c:pt idx="47">
                  <c:v>211</c:v>
                </c:pt>
                <c:pt idx="48">
                  <c:v>212</c:v>
                </c:pt>
                <c:pt idx="49">
                  <c:v>213</c:v>
                </c:pt>
                <c:pt idx="50">
                  <c:v>214</c:v>
                </c:pt>
                <c:pt idx="51">
                  <c:v>215</c:v>
                </c:pt>
                <c:pt idx="52">
                  <c:v>216</c:v>
                </c:pt>
                <c:pt idx="53">
                  <c:v>217</c:v>
                </c:pt>
                <c:pt idx="54">
                  <c:v>218</c:v>
                </c:pt>
                <c:pt idx="55">
                  <c:v>219</c:v>
                </c:pt>
                <c:pt idx="56">
                  <c:v>220</c:v>
                </c:pt>
                <c:pt idx="57">
                  <c:v>221</c:v>
                </c:pt>
                <c:pt idx="58">
                  <c:v>222</c:v>
                </c:pt>
                <c:pt idx="59">
                  <c:v>223</c:v>
                </c:pt>
                <c:pt idx="60">
                  <c:v>224</c:v>
                </c:pt>
                <c:pt idx="61">
                  <c:v>225</c:v>
                </c:pt>
                <c:pt idx="62">
                  <c:v>226</c:v>
                </c:pt>
                <c:pt idx="63">
                  <c:v>227</c:v>
                </c:pt>
                <c:pt idx="64">
                  <c:v>228</c:v>
                </c:pt>
                <c:pt idx="65">
                  <c:v>229</c:v>
                </c:pt>
                <c:pt idx="66">
                  <c:v>230</c:v>
                </c:pt>
                <c:pt idx="67">
                  <c:v>231</c:v>
                </c:pt>
                <c:pt idx="68">
                  <c:v>232</c:v>
                </c:pt>
                <c:pt idx="69">
                  <c:v>233</c:v>
                </c:pt>
                <c:pt idx="70">
                  <c:v>234</c:v>
                </c:pt>
                <c:pt idx="71">
                  <c:v>235</c:v>
                </c:pt>
                <c:pt idx="72">
                  <c:v>236</c:v>
                </c:pt>
                <c:pt idx="73">
                  <c:v>237</c:v>
                </c:pt>
              </c:numCache>
            </c:numRef>
          </c:cat>
          <c:val>
            <c:numRef>
              <c:f>stats!$S$3:$S$76</c:f>
              <c:numCache>
                <c:formatCode>General</c:formatCode>
                <c:ptCount val="74"/>
                <c:pt idx="0">
                  <c:v>0.22</c:v>
                </c:pt>
                <c:pt idx="1">
                  <c:v>0.13750000000000001</c:v>
                </c:pt>
                <c:pt idx="2">
                  <c:v>9.166666666666666E-2</c:v>
                </c:pt>
                <c:pt idx="3">
                  <c:v>0.1925</c:v>
                </c:pt>
                <c:pt idx="4">
                  <c:v>0.22916666666666666</c:v>
                </c:pt>
                <c:pt idx="5">
                  <c:v>0.15583333333333332</c:v>
                </c:pt>
                <c:pt idx="6">
                  <c:v>0.15583333333333332</c:v>
                </c:pt>
                <c:pt idx="7">
                  <c:v>0.14666666666666667</c:v>
                </c:pt>
                <c:pt idx="8">
                  <c:v>0.25666666666666665</c:v>
                </c:pt>
                <c:pt idx="9">
                  <c:v>9.166666666666666E-2</c:v>
                </c:pt>
                <c:pt idx="10">
                  <c:v>7.3333333333333334E-2</c:v>
                </c:pt>
                <c:pt idx="11">
                  <c:v>9.166666666666666E-2</c:v>
                </c:pt>
                <c:pt idx="12">
                  <c:v>0.16500000000000001</c:v>
                </c:pt>
                <c:pt idx="13">
                  <c:v>0.36666666666666664</c:v>
                </c:pt>
                <c:pt idx="14">
                  <c:v>0.28416666666666668</c:v>
                </c:pt>
                <c:pt idx="15">
                  <c:v>0.22</c:v>
                </c:pt>
                <c:pt idx="16">
                  <c:v>4.583333333333333E-2</c:v>
                </c:pt>
                <c:pt idx="17">
                  <c:v>8.2500000000000004E-2</c:v>
                </c:pt>
                <c:pt idx="18">
                  <c:v>6.4166666666666664E-2</c:v>
                </c:pt>
                <c:pt idx="19">
                  <c:v>7.3333333333333334E-2</c:v>
                </c:pt>
                <c:pt idx="20">
                  <c:v>0.23833333333333334</c:v>
                </c:pt>
                <c:pt idx="21">
                  <c:v>0.16500000000000001</c:v>
                </c:pt>
                <c:pt idx="22">
                  <c:v>0.10083333333333333</c:v>
                </c:pt>
                <c:pt idx="23">
                  <c:v>0.20166666666666666</c:v>
                </c:pt>
                <c:pt idx="24">
                  <c:v>0.21083333333333334</c:v>
                </c:pt>
                <c:pt idx="25">
                  <c:v>0.15583333333333332</c:v>
                </c:pt>
                <c:pt idx="26">
                  <c:v>0.16500000000000001</c:v>
                </c:pt>
                <c:pt idx="27">
                  <c:v>0.20166666666666666</c:v>
                </c:pt>
                <c:pt idx="28">
                  <c:v>0.1925</c:v>
                </c:pt>
                <c:pt idx="29">
                  <c:v>0.34833333333333333</c:v>
                </c:pt>
                <c:pt idx="30">
                  <c:v>0.17416666666666666</c:v>
                </c:pt>
                <c:pt idx="31">
                  <c:v>0.11916666666666667</c:v>
                </c:pt>
                <c:pt idx="32">
                  <c:v>0.28416666666666668</c:v>
                </c:pt>
                <c:pt idx="33">
                  <c:v>0.22</c:v>
                </c:pt>
                <c:pt idx="34">
                  <c:v>0.27500000000000002</c:v>
                </c:pt>
                <c:pt idx="35">
                  <c:v>0.13750000000000001</c:v>
                </c:pt>
                <c:pt idx="36">
                  <c:v>0.18333333333333332</c:v>
                </c:pt>
                <c:pt idx="37">
                  <c:v>0.1925</c:v>
                </c:pt>
                <c:pt idx="38">
                  <c:v>0.23833333333333334</c:v>
                </c:pt>
                <c:pt idx="39">
                  <c:v>0.13750000000000001</c:v>
                </c:pt>
                <c:pt idx="40">
                  <c:v>0.17416666666666666</c:v>
                </c:pt>
                <c:pt idx="41">
                  <c:v>0.15583333333333332</c:v>
                </c:pt>
                <c:pt idx="42">
                  <c:v>0.25666666666666665</c:v>
                </c:pt>
                <c:pt idx="43">
                  <c:v>0.14666666666666667</c:v>
                </c:pt>
                <c:pt idx="44">
                  <c:v>0.22</c:v>
                </c:pt>
                <c:pt idx="45">
                  <c:v>0.14666666666666667</c:v>
                </c:pt>
                <c:pt idx="46">
                  <c:v>9.166666666666666E-2</c:v>
                </c:pt>
                <c:pt idx="47">
                  <c:v>0.12833333333333333</c:v>
                </c:pt>
                <c:pt idx="48">
                  <c:v>0.13750000000000001</c:v>
                </c:pt>
                <c:pt idx="49">
                  <c:v>0.11</c:v>
                </c:pt>
                <c:pt idx="50">
                  <c:v>0.10083333333333333</c:v>
                </c:pt>
                <c:pt idx="51">
                  <c:v>0.23833333333333334</c:v>
                </c:pt>
                <c:pt idx="52">
                  <c:v>0.28416666666666668</c:v>
                </c:pt>
                <c:pt idx="53">
                  <c:v>0.10083333333333333</c:v>
                </c:pt>
                <c:pt idx="54">
                  <c:v>0.1925</c:v>
                </c:pt>
                <c:pt idx="55">
                  <c:v>0.1925</c:v>
                </c:pt>
                <c:pt idx="56">
                  <c:v>0.13750000000000001</c:v>
                </c:pt>
                <c:pt idx="57">
                  <c:v>0.13750000000000001</c:v>
                </c:pt>
                <c:pt idx="58">
                  <c:v>0.15583333333333332</c:v>
                </c:pt>
                <c:pt idx="59">
                  <c:v>0.26583333333333331</c:v>
                </c:pt>
                <c:pt idx="60">
                  <c:v>0.10083333333333333</c:v>
                </c:pt>
                <c:pt idx="61">
                  <c:v>9.166666666666666E-2</c:v>
                </c:pt>
                <c:pt idx="62">
                  <c:v>0.12833333333333333</c:v>
                </c:pt>
                <c:pt idx="63">
                  <c:v>0.17416666666666666</c:v>
                </c:pt>
                <c:pt idx="64">
                  <c:v>0.20166666666666666</c:v>
                </c:pt>
                <c:pt idx="65">
                  <c:v>0.16500000000000001</c:v>
                </c:pt>
                <c:pt idx="66">
                  <c:v>0.16500000000000001</c:v>
                </c:pt>
                <c:pt idx="67">
                  <c:v>9.166666666666666E-2</c:v>
                </c:pt>
                <c:pt idx="68">
                  <c:v>0.12833333333333333</c:v>
                </c:pt>
                <c:pt idx="69">
                  <c:v>0.1925</c:v>
                </c:pt>
                <c:pt idx="70">
                  <c:v>0.17416666666666666</c:v>
                </c:pt>
                <c:pt idx="71">
                  <c:v>0.14666666666666667</c:v>
                </c:pt>
                <c:pt idx="72">
                  <c:v>0.12833333333333333</c:v>
                </c:pt>
                <c:pt idx="73">
                  <c:v>0.20166666666666666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E0C-48C4-B0CF-451829BA9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0128729"/>
        <c:axId val="225224156"/>
      </c:barChart>
      <c:catAx>
        <c:axId val="1480128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nl-BE"/>
          </a:p>
        </c:txPr>
        <c:crossAx val="225224156"/>
        <c:crosses val="autoZero"/>
        <c:auto val="1"/>
        <c:lblAlgn val="ctr"/>
        <c:lblOffset val="100"/>
        <c:noMultiLvlLbl val="1"/>
      </c:catAx>
      <c:valAx>
        <c:axId val="225224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 (h)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nl-BE"/>
          </a:p>
        </c:txPr>
        <c:crossAx val="14801287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nl-B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time (h) cumulative vs pages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stats!$A$2:$A$94</c:f>
              <c:numCache>
                <c:formatCode>General</c:formatCode>
                <c:ptCount val="93"/>
                <c:pt idx="0">
                  <c:v>163</c:v>
                </c:pt>
                <c:pt idx="1">
                  <c:v>164</c:v>
                </c:pt>
                <c:pt idx="2">
                  <c:v>165</c:v>
                </c:pt>
                <c:pt idx="3">
                  <c:v>166</c:v>
                </c:pt>
                <c:pt idx="4">
                  <c:v>167</c:v>
                </c:pt>
                <c:pt idx="5">
                  <c:v>168</c:v>
                </c:pt>
                <c:pt idx="6">
                  <c:v>169</c:v>
                </c:pt>
                <c:pt idx="7">
                  <c:v>170</c:v>
                </c:pt>
                <c:pt idx="8">
                  <c:v>171</c:v>
                </c:pt>
                <c:pt idx="9">
                  <c:v>172</c:v>
                </c:pt>
                <c:pt idx="10">
                  <c:v>173</c:v>
                </c:pt>
                <c:pt idx="11">
                  <c:v>174</c:v>
                </c:pt>
                <c:pt idx="12">
                  <c:v>175</c:v>
                </c:pt>
                <c:pt idx="13">
                  <c:v>176</c:v>
                </c:pt>
                <c:pt idx="14">
                  <c:v>177</c:v>
                </c:pt>
                <c:pt idx="15">
                  <c:v>178</c:v>
                </c:pt>
                <c:pt idx="16">
                  <c:v>179</c:v>
                </c:pt>
                <c:pt idx="17">
                  <c:v>180</c:v>
                </c:pt>
                <c:pt idx="18">
                  <c:v>181</c:v>
                </c:pt>
                <c:pt idx="19">
                  <c:v>182</c:v>
                </c:pt>
                <c:pt idx="20">
                  <c:v>183</c:v>
                </c:pt>
                <c:pt idx="21">
                  <c:v>184</c:v>
                </c:pt>
                <c:pt idx="22">
                  <c:v>185</c:v>
                </c:pt>
                <c:pt idx="23">
                  <c:v>186</c:v>
                </c:pt>
                <c:pt idx="24">
                  <c:v>187</c:v>
                </c:pt>
                <c:pt idx="25">
                  <c:v>188</c:v>
                </c:pt>
                <c:pt idx="26">
                  <c:v>189</c:v>
                </c:pt>
                <c:pt idx="27">
                  <c:v>190</c:v>
                </c:pt>
                <c:pt idx="28">
                  <c:v>191</c:v>
                </c:pt>
                <c:pt idx="29">
                  <c:v>192</c:v>
                </c:pt>
                <c:pt idx="30">
                  <c:v>193</c:v>
                </c:pt>
                <c:pt idx="31">
                  <c:v>194</c:v>
                </c:pt>
                <c:pt idx="32">
                  <c:v>195</c:v>
                </c:pt>
                <c:pt idx="33">
                  <c:v>196</c:v>
                </c:pt>
                <c:pt idx="34">
                  <c:v>197</c:v>
                </c:pt>
                <c:pt idx="35">
                  <c:v>198</c:v>
                </c:pt>
                <c:pt idx="36">
                  <c:v>199</c:v>
                </c:pt>
                <c:pt idx="37">
                  <c:v>200</c:v>
                </c:pt>
                <c:pt idx="38">
                  <c:v>201</c:v>
                </c:pt>
                <c:pt idx="39">
                  <c:v>202</c:v>
                </c:pt>
                <c:pt idx="40">
                  <c:v>203</c:v>
                </c:pt>
                <c:pt idx="41">
                  <c:v>204</c:v>
                </c:pt>
                <c:pt idx="42">
                  <c:v>205</c:v>
                </c:pt>
                <c:pt idx="43">
                  <c:v>206</c:v>
                </c:pt>
                <c:pt idx="44">
                  <c:v>207</c:v>
                </c:pt>
                <c:pt idx="45">
                  <c:v>208</c:v>
                </c:pt>
                <c:pt idx="46">
                  <c:v>209</c:v>
                </c:pt>
                <c:pt idx="47">
                  <c:v>210</c:v>
                </c:pt>
                <c:pt idx="48">
                  <c:v>211</c:v>
                </c:pt>
                <c:pt idx="49">
                  <c:v>212</c:v>
                </c:pt>
                <c:pt idx="50">
                  <c:v>213</c:v>
                </c:pt>
                <c:pt idx="51">
                  <c:v>214</c:v>
                </c:pt>
                <c:pt idx="52">
                  <c:v>215</c:v>
                </c:pt>
                <c:pt idx="53">
                  <c:v>216</c:v>
                </c:pt>
                <c:pt idx="54">
                  <c:v>217</c:v>
                </c:pt>
                <c:pt idx="55">
                  <c:v>218</c:v>
                </c:pt>
                <c:pt idx="56">
                  <c:v>219</c:v>
                </c:pt>
                <c:pt idx="57">
                  <c:v>220</c:v>
                </c:pt>
                <c:pt idx="58">
                  <c:v>221</c:v>
                </c:pt>
                <c:pt idx="59">
                  <c:v>222</c:v>
                </c:pt>
                <c:pt idx="60">
                  <c:v>223</c:v>
                </c:pt>
                <c:pt idx="61">
                  <c:v>224</c:v>
                </c:pt>
                <c:pt idx="62">
                  <c:v>225</c:v>
                </c:pt>
                <c:pt idx="63">
                  <c:v>226</c:v>
                </c:pt>
                <c:pt idx="64">
                  <c:v>227</c:v>
                </c:pt>
                <c:pt idx="65">
                  <c:v>228</c:v>
                </c:pt>
                <c:pt idx="66">
                  <c:v>229</c:v>
                </c:pt>
                <c:pt idx="67">
                  <c:v>230</c:v>
                </c:pt>
                <c:pt idx="68">
                  <c:v>231</c:v>
                </c:pt>
                <c:pt idx="69">
                  <c:v>232</c:v>
                </c:pt>
                <c:pt idx="70">
                  <c:v>233</c:v>
                </c:pt>
                <c:pt idx="71">
                  <c:v>234</c:v>
                </c:pt>
                <c:pt idx="72">
                  <c:v>235</c:v>
                </c:pt>
                <c:pt idx="73">
                  <c:v>236</c:v>
                </c:pt>
                <c:pt idx="74">
                  <c:v>237</c:v>
                </c:pt>
                <c:pt idx="75">
                  <c:v>238</c:v>
                </c:pt>
                <c:pt idx="76">
                  <c:v>239</c:v>
                </c:pt>
                <c:pt idx="77">
                  <c:v>240</c:v>
                </c:pt>
                <c:pt idx="78">
                  <c:v>241</c:v>
                </c:pt>
                <c:pt idx="79">
                  <c:v>242</c:v>
                </c:pt>
                <c:pt idx="80">
                  <c:v>243</c:v>
                </c:pt>
                <c:pt idx="81">
                  <c:v>244</c:v>
                </c:pt>
                <c:pt idx="82">
                  <c:v>245</c:v>
                </c:pt>
                <c:pt idx="83">
                  <c:v>246</c:v>
                </c:pt>
                <c:pt idx="84">
                  <c:v>247</c:v>
                </c:pt>
                <c:pt idx="85">
                  <c:v>248</c:v>
                </c:pt>
                <c:pt idx="86">
                  <c:v>249</c:v>
                </c:pt>
                <c:pt idx="87">
                  <c:v>250</c:v>
                </c:pt>
                <c:pt idx="88">
                  <c:v>251</c:v>
                </c:pt>
                <c:pt idx="89">
                  <c:v>252</c:v>
                </c:pt>
                <c:pt idx="90">
                  <c:v>253</c:v>
                </c:pt>
                <c:pt idx="91">
                  <c:v>254</c:v>
                </c:pt>
                <c:pt idx="92">
                  <c:v>255</c:v>
                </c:pt>
              </c:numCache>
            </c:numRef>
          </c:cat>
          <c:val>
            <c:numRef>
              <c:f>stats!$T$2:$T$94</c:f>
              <c:numCache>
                <c:formatCode>General</c:formatCode>
                <c:ptCount val="93"/>
                <c:pt idx="0">
                  <c:v>0.31055555555555553</c:v>
                </c:pt>
                <c:pt idx="1">
                  <c:v>0.53055555555555556</c:v>
                </c:pt>
                <c:pt idx="2">
                  <c:v>0.66805555555555562</c:v>
                </c:pt>
                <c:pt idx="3">
                  <c:v>0.7597222222222223</c:v>
                </c:pt>
                <c:pt idx="4">
                  <c:v>0.9522222222222223</c:v>
                </c:pt>
                <c:pt idx="5">
                  <c:v>1.181388888888889</c:v>
                </c:pt>
                <c:pt idx="6">
                  <c:v>1.3372222222222223</c:v>
                </c:pt>
                <c:pt idx="7">
                  <c:v>1.4930555555555556</c:v>
                </c:pt>
                <c:pt idx="8">
                  <c:v>1.6397222222222223</c:v>
                </c:pt>
                <c:pt idx="9">
                  <c:v>1.8963888888888889</c:v>
                </c:pt>
                <c:pt idx="10">
                  <c:v>1.9880555555555555</c:v>
                </c:pt>
                <c:pt idx="11">
                  <c:v>2.0613888888888887</c:v>
                </c:pt>
                <c:pt idx="12">
                  <c:v>2.1530555555555555</c:v>
                </c:pt>
                <c:pt idx="13">
                  <c:v>2.3180555555555555</c:v>
                </c:pt>
                <c:pt idx="14">
                  <c:v>2.6847222222222222</c:v>
                </c:pt>
                <c:pt idx="15">
                  <c:v>2.9688888888888889</c:v>
                </c:pt>
                <c:pt idx="16">
                  <c:v>3.1888888888888891</c:v>
                </c:pt>
                <c:pt idx="17">
                  <c:v>3.2347222222222225</c:v>
                </c:pt>
                <c:pt idx="18">
                  <c:v>3.3172222222222225</c:v>
                </c:pt>
                <c:pt idx="19">
                  <c:v>3.381388888888889</c:v>
                </c:pt>
                <c:pt idx="20">
                  <c:v>3.4547222222222222</c:v>
                </c:pt>
                <c:pt idx="21">
                  <c:v>3.6930555555555555</c:v>
                </c:pt>
                <c:pt idx="22">
                  <c:v>3.8580555555555556</c:v>
                </c:pt>
                <c:pt idx="23">
                  <c:v>3.9588888888888887</c:v>
                </c:pt>
                <c:pt idx="24">
                  <c:v>4.1605555555555558</c:v>
                </c:pt>
                <c:pt idx="25">
                  <c:v>4.3713888888888892</c:v>
                </c:pt>
                <c:pt idx="26">
                  <c:v>4.5272222222222229</c:v>
                </c:pt>
                <c:pt idx="27">
                  <c:v>4.692222222222223</c:v>
                </c:pt>
                <c:pt idx="28">
                  <c:v>4.8938888888888901</c:v>
                </c:pt>
                <c:pt idx="29">
                  <c:v>5.08638888888889</c:v>
                </c:pt>
                <c:pt idx="30">
                  <c:v>5.4347222222222236</c:v>
                </c:pt>
                <c:pt idx="31">
                  <c:v>5.6088888888888899</c:v>
                </c:pt>
                <c:pt idx="32">
                  <c:v>5.7280555555555566</c:v>
                </c:pt>
                <c:pt idx="33">
                  <c:v>6.0122222222222232</c:v>
                </c:pt>
                <c:pt idx="34">
                  <c:v>6.232222222222223</c:v>
                </c:pt>
                <c:pt idx="35">
                  <c:v>6.5072222222222234</c:v>
                </c:pt>
                <c:pt idx="36">
                  <c:v>6.6447222222222235</c:v>
                </c:pt>
                <c:pt idx="37">
                  <c:v>6.8280555555555571</c:v>
                </c:pt>
                <c:pt idx="38">
                  <c:v>7.020555555555557</c:v>
                </c:pt>
                <c:pt idx="39">
                  <c:v>7.2588888888888903</c:v>
                </c:pt>
                <c:pt idx="40">
                  <c:v>7.3963888888888905</c:v>
                </c:pt>
                <c:pt idx="41">
                  <c:v>7.5705555555555568</c:v>
                </c:pt>
                <c:pt idx="42">
                  <c:v>7.7263888888888905</c:v>
                </c:pt>
                <c:pt idx="43">
                  <c:v>7.9830555555555573</c:v>
                </c:pt>
                <c:pt idx="44">
                  <c:v>8.1297222222222238</c:v>
                </c:pt>
                <c:pt idx="45">
                  <c:v>8.3497222222222245</c:v>
                </c:pt>
                <c:pt idx="46">
                  <c:v>8.496388888888891</c:v>
                </c:pt>
                <c:pt idx="47">
                  <c:v>8.5880555555555578</c:v>
                </c:pt>
                <c:pt idx="48">
                  <c:v>8.7163888888888916</c:v>
                </c:pt>
                <c:pt idx="49">
                  <c:v>8.8538888888888909</c:v>
                </c:pt>
                <c:pt idx="50">
                  <c:v>8.9638888888888903</c:v>
                </c:pt>
                <c:pt idx="51">
                  <c:v>9.0647222222222243</c:v>
                </c:pt>
                <c:pt idx="52">
                  <c:v>9.3030555555555576</c:v>
                </c:pt>
                <c:pt idx="53">
                  <c:v>9.5872222222222234</c:v>
                </c:pt>
                <c:pt idx="54">
                  <c:v>9.6880555555555574</c:v>
                </c:pt>
                <c:pt idx="55">
                  <c:v>9.8805555555555582</c:v>
                </c:pt>
                <c:pt idx="56">
                  <c:v>10.073055555555559</c:v>
                </c:pt>
                <c:pt idx="57">
                  <c:v>10.210555555555558</c:v>
                </c:pt>
                <c:pt idx="58">
                  <c:v>10.348055555555558</c:v>
                </c:pt>
                <c:pt idx="59">
                  <c:v>10.503888888888891</c:v>
                </c:pt>
                <c:pt idx="60">
                  <c:v>10.769722222222224</c:v>
                </c:pt>
                <c:pt idx="61">
                  <c:v>10.870555555555558</c:v>
                </c:pt>
                <c:pt idx="62">
                  <c:v>10.962222222222225</c:v>
                </c:pt>
                <c:pt idx="63">
                  <c:v>11.090555555555559</c:v>
                </c:pt>
                <c:pt idx="64">
                  <c:v>11.264722222222225</c:v>
                </c:pt>
                <c:pt idx="65">
                  <c:v>11.466388888888892</c:v>
                </c:pt>
                <c:pt idx="66">
                  <c:v>11.631388888888891</c:v>
                </c:pt>
                <c:pt idx="67">
                  <c:v>11.79638888888889</c:v>
                </c:pt>
                <c:pt idx="68">
                  <c:v>11.888055555555557</c:v>
                </c:pt>
                <c:pt idx="69">
                  <c:v>12.016388888888891</c:v>
                </c:pt>
                <c:pt idx="70">
                  <c:v>12.208888888888891</c:v>
                </c:pt>
                <c:pt idx="71">
                  <c:v>12.383055555555558</c:v>
                </c:pt>
                <c:pt idx="72">
                  <c:v>12.529722222222224</c:v>
                </c:pt>
                <c:pt idx="73">
                  <c:v>12.658055555555558</c:v>
                </c:pt>
                <c:pt idx="74">
                  <c:v>12.859722222222224</c:v>
                </c:pt>
                <c:pt idx="75">
                  <c:v>12.859722222222224</c:v>
                </c:pt>
                <c:pt idx="76">
                  <c:v>12.859722222222224</c:v>
                </c:pt>
                <c:pt idx="77">
                  <c:v>12.859722222222224</c:v>
                </c:pt>
                <c:pt idx="78">
                  <c:v>12.859722222222224</c:v>
                </c:pt>
                <c:pt idx="79">
                  <c:v>12.859722222222224</c:v>
                </c:pt>
                <c:pt idx="80">
                  <c:v>12.859722222222224</c:v>
                </c:pt>
                <c:pt idx="81">
                  <c:v>12.859722222222224</c:v>
                </c:pt>
                <c:pt idx="82">
                  <c:v>12.859722222222224</c:v>
                </c:pt>
                <c:pt idx="83">
                  <c:v>12.859722222222224</c:v>
                </c:pt>
                <c:pt idx="84">
                  <c:v>12.859722222222224</c:v>
                </c:pt>
                <c:pt idx="85">
                  <c:v>12.859722222222224</c:v>
                </c:pt>
                <c:pt idx="86">
                  <c:v>12.859722222222224</c:v>
                </c:pt>
                <c:pt idx="87">
                  <c:v>12.859722222222224</c:v>
                </c:pt>
                <c:pt idx="88">
                  <c:v>12.859722222222224</c:v>
                </c:pt>
                <c:pt idx="89">
                  <c:v>12.859722222222224</c:v>
                </c:pt>
                <c:pt idx="90">
                  <c:v>12.859722222222224</c:v>
                </c:pt>
                <c:pt idx="91">
                  <c:v>12.859722222222224</c:v>
                </c:pt>
                <c:pt idx="92">
                  <c:v>12.859722222222224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586-4D63-AE9B-3433EBEEE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836521"/>
        <c:axId val="1511557902"/>
      </c:lineChart>
      <c:catAx>
        <c:axId val="396836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nl-BE"/>
          </a:p>
        </c:txPr>
        <c:crossAx val="1511557902"/>
        <c:crosses val="autoZero"/>
        <c:auto val="1"/>
        <c:lblAlgn val="ctr"/>
        <c:lblOffset val="100"/>
        <c:noMultiLvlLbl val="1"/>
      </c:catAx>
      <c:valAx>
        <c:axId val="15115579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 (h)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nl-BE"/>
          </a:p>
        </c:txPr>
        <c:crossAx val="3968365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nl-B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66675</xdr:colOff>
      <xdr:row>1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26</xdr:col>
      <xdr:colOff>66675</xdr:colOff>
      <xdr:row>17</xdr:row>
      <xdr:rowOff>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32</xdr:col>
      <xdr:colOff>28575</xdr:colOff>
      <xdr:row>1</xdr:row>
      <xdr:rowOff>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32</xdr:col>
      <xdr:colOff>28575</xdr:colOff>
      <xdr:row>16</xdr:row>
      <xdr:rowOff>219075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20</xdr:col>
      <xdr:colOff>104775</xdr:colOff>
      <xdr:row>33</xdr:row>
      <xdr:rowOff>9525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26</xdr:col>
      <xdr:colOff>66675</xdr:colOff>
      <xdr:row>33</xdr:row>
      <xdr:rowOff>9525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20</xdr:col>
      <xdr:colOff>104775</xdr:colOff>
      <xdr:row>49</xdr:row>
      <xdr:rowOff>76200</xdr:rowOff>
    </xdr:from>
    <xdr:ext cx="5715000" cy="3533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26</xdr:col>
      <xdr:colOff>76200</xdr:colOff>
      <xdr:row>49</xdr:row>
      <xdr:rowOff>76200</xdr:rowOff>
    </xdr:from>
    <xdr:ext cx="5715000" cy="353377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614"/>
  <sheetViews>
    <sheetView tabSelected="1" workbookViewId="0">
      <pane xSplit="1" ySplit="1" topLeftCell="B2" activePane="bottomRight" state="frozen"/>
      <selection pane="topRight" activeCell="C1" sqref="C1"/>
      <selection pane="bottomLeft" activeCell="A6" sqref="A6"/>
      <selection pane="bottomRight" activeCell="D10" sqref="D10"/>
    </sheetView>
  </sheetViews>
  <sheetFormatPr defaultColWidth="12.6640625" defaultRowHeight="15.75" customHeight="1" x14ac:dyDescent="0.25"/>
  <cols>
    <col min="1" max="1" width="6.6640625" customWidth="1"/>
    <col min="2" max="2" width="8.21875" customWidth="1"/>
  </cols>
  <sheetData>
    <row r="1" spans="1:2" ht="17.25" customHeight="1" x14ac:dyDescent="0.25">
      <c r="A1" s="2" t="s">
        <v>0</v>
      </c>
      <c r="B1" s="2" t="s">
        <v>1</v>
      </c>
    </row>
    <row r="2" spans="1:2" ht="19.5" customHeight="1" x14ac:dyDescent="0.25">
      <c r="A2" s="3" t="s">
        <v>2</v>
      </c>
      <c r="B2" s="4" t="s">
        <v>1682</v>
      </c>
    </row>
    <row r="3" spans="1:2" ht="13.2" x14ac:dyDescent="0.25">
      <c r="A3" s="3" t="s">
        <v>3</v>
      </c>
      <c r="B3" s="4" t="s">
        <v>1682</v>
      </c>
    </row>
    <row r="4" spans="1:2" ht="13.2" x14ac:dyDescent="0.25">
      <c r="A4" s="3" t="s">
        <v>4</v>
      </c>
      <c r="B4" s="4" t="s">
        <v>1682</v>
      </c>
    </row>
    <row r="5" spans="1:2" ht="13.2" x14ac:dyDescent="0.25">
      <c r="A5" s="3" t="s">
        <v>5</v>
      </c>
      <c r="B5" s="4" t="s">
        <v>1682</v>
      </c>
    </row>
    <row r="6" spans="1:2" ht="13.2" x14ac:dyDescent="0.25">
      <c r="A6" s="3" t="s">
        <v>6</v>
      </c>
      <c r="B6" s="4" t="s">
        <v>1683</v>
      </c>
    </row>
    <row r="7" spans="1:2" ht="13.2" x14ac:dyDescent="0.25">
      <c r="A7" s="3" t="s">
        <v>7</v>
      </c>
      <c r="B7" s="4" t="s">
        <v>1682</v>
      </c>
    </row>
    <row r="8" spans="1:2" ht="13.2" x14ac:dyDescent="0.25">
      <c r="A8" s="3" t="s">
        <v>8</v>
      </c>
      <c r="B8" s="4" t="s">
        <v>1682</v>
      </c>
    </row>
    <row r="9" spans="1:2" ht="13.2" x14ac:dyDescent="0.25">
      <c r="A9" s="3" t="s">
        <v>9</v>
      </c>
      <c r="B9" s="4" t="s">
        <v>1682</v>
      </c>
    </row>
    <row r="10" spans="1:2" ht="13.2" x14ac:dyDescent="0.25">
      <c r="A10" s="3" t="s">
        <v>10</v>
      </c>
      <c r="B10" s="4" t="s">
        <v>1682</v>
      </c>
    </row>
    <row r="11" spans="1:2" ht="13.2" x14ac:dyDescent="0.25">
      <c r="A11" s="3" t="s">
        <v>11</v>
      </c>
      <c r="B11" s="4" t="s">
        <v>1682</v>
      </c>
    </row>
    <row r="12" spans="1:2" ht="13.2" x14ac:dyDescent="0.25">
      <c r="A12" s="3" t="s">
        <v>12</v>
      </c>
      <c r="B12" s="4" t="s">
        <v>1682</v>
      </c>
    </row>
    <row r="13" spans="1:2" ht="13.2" x14ac:dyDescent="0.25">
      <c r="A13" s="3" t="s">
        <v>13</v>
      </c>
      <c r="B13" s="4" t="s">
        <v>1682</v>
      </c>
    </row>
    <row r="14" spans="1:2" ht="13.2" x14ac:dyDescent="0.25">
      <c r="A14" s="3" t="s">
        <v>14</v>
      </c>
      <c r="B14" s="4" t="s">
        <v>1682</v>
      </c>
    </row>
    <row r="15" spans="1:2" ht="13.2" x14ac:dyDescent="0.25">
      <c r="A15" s="3" t="s">
        <v>15</v>
      </c>
      <c r="B15" s="4" t="s">
        <v>1682</v>
      </c>
    </row>
    <row r="16" spans="1:2" ht="13.2" x14ac:dyDescent="0.25">
      <c r="A16" s="3" t="s">
        <v>16</v>
      </c>
      <c r="B16" s="4" t="s">
        <v>1683</v>
      </c>
    </row>
    <row r="17" spans="1:2" ht="13.2" x14ac:dyDescent="0.25">
      <c r="A17" s="3" t="s">
        <v>17</v>
      </c>
      <c r="B17" s="4" t="s">
        <v>1682</v>
      </c>
    </row>
    <row r="18" spans="1:2" ht="13.2" x14ac:dyDescent="0.25">
      <c r="A18" s="3" t="s">
        <v>18</v>
      </c>
      <c r="B18" s="4" t="s">
        <v>1683</v>
      </c>
    </row>
    <row r="19" spans="1:2" ht="13.2" x14ac:dyDescent="0.25">
      <c r="A19" s="3" t="s">
        <v>19</v>
      </c>
      <c r="B19" s="4" t="s">
        <v>1682</v>
      </c>
    </row>
    <row r="20" spans="1:2" ht="13.2" x14ac:dyDescent="0.25">
      <c r="A20" s="3" t="s">
        <v>20</v>
      </c>
      <c r="B20" s="4" t="s">
        <v>1683</v>
      </c>
    </row>
    <row r="21" spans="1:2" ht="13.2" x14ac:dyDescent="0.25">
      <c r="A21" s="3" t="s">
        <v>21</v>
      </c>
      <c r="B21" s="4" t="s">
        <v>1683</v>
      </c>
    </row>
    <row r="22" spans="1:2" ht="13.2" x14ac:dyDescent="0.25">
      <c r="A22" s="3" t="s">
        <v>23</v>
      </c>
      <c r="B22" s="4" t="s">
        <v>1682</v>
      </c>
    </row>
    <row r="23" spans="1:2" ht="13.2" x14ac:dyDescent="0.25">
      <c r="A23" s="3" t="s">
        <v>24</v>
      </c>
      <c r="B23" s="4" t="s">
        <v>1682</v>
      </c>
    </row>
    <row r="24" spans="1:2" ht="13.2" x14ac:dyDescent="0.25">
      <c r="A24" s="3" t="s">
        <v>25</v>
      </c>
      <c r="B24" s="4" t="s">
        <v>1683</v>
      </c>
    </row>
    <row r="25" spans="1:2" ht="13.2" x14ac:dyDescent="0.25">
      <c r="A25" s="3" t="s">
        <v>26</v>
      </c>
      <c r="B25" s="4" t="s">
        <v>1682</v>
      </c>
    </row>
    <row r="26" spans="1:2" ht="18" customHeight="1" x14ac:dyDescent="0.25">
      <c r="A26" s="3" t="s">
        <v>27</v>
      </c>
      <c r="B26" s="4" t="s">
        <v>1682</v>
      </c>
    </row>
    <row r="27" spans="1:2" ht="13.2" x14ac:dyDescent="0.25">
      <c r="A27" s="3" t="s">
        <v>28</v>
      </c>
      <c r="B27" s="4" t="s">
        <v>1683</v>
      </c>
    </row>
    <row r="28" spans="1:2" ht="13.2" x14ac:dyDescent="0.25">
      <c r="A28" s="3" t="s">
        <v>29</v>
      </c>
      <c r="B28" s="4" t="s">
        <v>1682</v>
      </c>
    </row>
    <row r="29" spans="1:2" ht="13.2" x14ac:dyDescent="0.25">
      <c r="A29" s="3" t="s">
        <v>30</v>
      </c>
      <c r="B29" s="4" t="s">
        <v>1682</v>
      </c>
    </row>
    <row r="30" spans="1:2" ht="13.2" x14ac:dyDescent="0.25">
      <c r="A30" s="3" t="s">
        <v>31</v>
      </c>
      <c r="B30" s="4" t="s">
        <v>1682</v>
      </c>
    </row>
    <row r="31" spans="1:2" ht="13.2" x14ac:dyDescent="0.25">
      <c r="A31" s="3" t="s">
        <v>32</v>
      </c>
      <c r="B31" s="4" t="s">
        <v>1682</v>
      </c>
    </row>
    <row r="32" spans="1:2" ht="13.2" x14ac:dyDescent="0.25">
      <c r="A32" s="3" t="s">
        <v>33</v>
      </c>
      <c r="B32" s="4" t="s">
        <v>1682</v>
      </c>
    </row>
    <row r="33" spans="1:2" ht="13.2" x14ac:dyDescent="0.25">
      <c r="A33" s="3" t="s">
        <v>34</v>
      </c>
      <c r="B33" s="4" t="s">
        <v>1682</v>
      </c>
    </row>
    <row r="34" spans="1:2" ht="13.2" x14ac:dyDescent="0.25">
      <c r="A34" s="3" t="s">
        <v>36</v>
      </c>
      <c r="B34" s="4" t="s">
        <v>1683</v>
      </c>
    </row>
    <row r="35" spans="1:2" ht="13.2" x14ac:dyDescent="0.25">
      <c r="A35" s="3" t="s">
        <v>37</v>
      </c>
      <c r="B35" s="4" t="s">
        <v>1683</v>
      </c>
    </row>
    <row r="36" spans="1:2" ht="13.2" x14ac:dyDescent="0.25">
      <c r="A36" s="3" t="s">
        <v>38</v>
      </c>
      <c r="B36" s="4" t="s">
        <v>1682</v>
      </c>
    </row>
    <row r="37" spans="1:2" ht="13.2" x14ac:dyDescent="0.25">
      <c r="A37" s="3" t="s">
        <v>39</v>
      </c>
      <c r="B37" s="4" t="s">
        <v>1683</v>
      </c>
    </row>
    <row r="38" spans="1:2" ht="13.2" x14ac:dyDescent="0.25">
      <c r="A38" s="3" t="s">
        <v>40</v>
      </c>
      <c r="B38" s="4" t="s">
        <v>1682</v>
      </c>
    </row>
    <row r="39" spans="1:2" ht="13.2" x14ac:dyDescent="0.25">
      <c r="A39" s="3" t="s">
        <v>41</v>
      </c>
      <c r="B39" s="4" t="s">
        <v>1682</v>
      </c>
    </row>
    <row r="40" spans="1:2" ht="13.2" x14ac:dyDescent="0.25">
      <c r="A40" s="3" t="s">
        <v>42</v>
      </c>
      <c r="B40" s="4" t="s">
        <v>1682</v>
      </c>
    </row>
    <row r="41" spans="1:2" ht="13.2" x14ac:dyDescent="0.25">
      <c r="A41" s="3" t="s">
        <v>46</v>
      </c>
      <c r="B41" s="4" t="s">
        <v>1682</v>
      </c>
    </row>
    <row r="42" spans="1:2" ht="13.2" x14ac:dyDescent="0.25">
      <c r="A42" s="3" t="s">
        <v>44</v>
      </c>
      <c r="B42" s="4" t="s">
        <v>1682</v>
      </c>
    </row>
    <row r="43" spans="1:2" ht="13.2" x14ac:dyDescent="0.25">
      <c r="A43" s="3" t="s">
        <v>48</v>
      </c>
      <c r="B43" s="4" t="s">
        <v>1683</v>
      </c>
    </row>
    <row r="44" spans="1:2" ht="13.2" x14ac:dyDescent="0.25">
      <c r="A44" s="3" t="s">
        <v>54</v>
      </c>
      <c r="B44" s="4" t="s">
        <v>1682</v>
      </c>
    </row>
    <row r="45" spans="1:2" ht="13.2" x14ac:dyDescent="0.25">
      <c r="A45" s="3" t="s">
        <v>61</v>
      </c>
      <c r="B45" s="4" t="s">
        <v>1683</v>
      </c>
    </row>
    <row r="46" spans="1:2" ht="13.2" x14ac:dyDescent="0.25">
      <c r="A46" s="3" t="s">
        <v>62</v>
      </c>
      <c r="B46" s="4" t="s">
        <v>1682</v>
      </c>
    </row>
    <row r="47" spans="1:2" ht="13.2" x14ac:dyDescent="0.25">
      <c r="A47" s="3" t="s">
        <v>63</v>
      </c>
      <c r="B47" s="4" t="s">
        <v>1682</v>
      </c>
    </row>
    <row r="48" spans="1:2" ht="13.2" x14ac:dyDescent="0.25">
      <c r="A48" s="3" t="s">
        <v>64</v>
      </c>
      <c r="B48" s="4" t="s">
        <v>1683</v>
      </c>
    </row>
    <row r="49" spans="1:2" ht="13.2" x14ac:dyDescent="0.25">
      <c r="A49" s="3" t="s">
        <v>65</v>
      </c>
      <c r="B49" s="4" t="s">
        <v>1682</v>
      </c>
    </row>
    <row r="50" spans="1:2" ht="13.2" x14ac:dyDescent="0.25">
      <c r="A50" s="3" t="s">
        <v>66</v>
      </c>
      <c r="B50" s="4" t="s">
        <v>1682</v>
      </c>
    </row>
    <row r="51" spans="1:2" ht="13.2" x14ac:dyDescent="0.25">
      <c r="A51" s="3" t="s">
        <v>67</v>
      </c>
      <c r="B51" s="4" t="s">
        <v>1682</v>
      </c>
    </row>
    <row r="52" spans="1:2" ht="13.2" x14ac:dyDescent="0.25">
      <c r="A52" s="3" t="s">
        <v>68</v>
      </c>
      <c r="B52" s="4" t="s">
        <v>1682</v>
      </c>
    </row>
    <row r="53" spans="1:2" ht="13.2" x14ac:dyDescent="0.25">
      <c r="A53" s="3" t="s">
        <v>72</v>
      </c>
      <c r="B53" s="4" t="s">
        <v>1682</v>
      </c>
    </row>
    <row r="54" spans="1:2" ht="13.2" x14ac:dyDescent="0.25">
      <c r="A54" s="3" t="s">
        <v>73</v>
      </c>
      <c r="B54" s="4" t="s">
        <v>1682</v>
      </c>
    </row>
    <row r="55" spans="1:2" ht="13.2" x14ac:dyDescent="0.25">
      <c r="A55" s="3" t="s">
        <v>22</v>
      </c>
      <c r="B55" s="4" t="s">
        <v>1683</v>
      </c>
    </row>
    <row r="56" spans="1:2" ht="13.2" x14ac:dyDescent="0.25">
      <c r="A56" s="3" t="s">
        <v>76</v>
      </c>
      <c r="B56" s="4" t="s">
        <v>1682</v>
      </c>
    </row>
    <row r="57" spans="1:2" ht="13.2" x14ac:dyDescent="0.25">
      <c r="A57" s="3" t="s">
        <v>77</v>
      </c>
      <c r="B57" s="4" t="s">
        <v>1683</v>
      </c>
    </row>
    <row r="58" spans="1:2" ht="13.2" x14ac:dyDescent="0.25">
      <c r="A58" s="3" t="s">
        <v>84</v>
      </c>
      <c r="B58" s="4" t="s">
        <v>1682</v>
      </c>
    </row>
    <row r="59" spans="1:2" ht="13.2" x14ac:dyDescent="0.25">
      <c r="A59" s="3" t="s">
        <v>85</v>
      </c>
      <c r="B59" s="4" t="s">
        <v>1683</v>
      </c>
    </row>
    <row r="60" spans="1:2" ht="13.2" x14ac:dyDescent="0.25">
      <c r="A60" s="3" t="s">
        <v>87</v>
      </c>
      <c r="B60" s="4" t="s">
        <v>1682</v>
      </c>
    </row>
    <row r="61" spans="1:2" ht="13.2" x14ac:dyDescent="0.25">
      <c r="A61" s="3" t="s">
        <v>88</v>
      </c>
      <c r="B61" s="4" t="s">
        <v>1682</v>
      </c>
    </row>
    <row r="62" spans="1:2" ht="13.2" x14ac:dyDescent="0.25">
      <c r="A62" s="3" t="s">
        <v>90</v>
      </c>
      <c r="B62" s="4" t="s">
        <v>1683</v>
      </c>
    </row>
    <row r="63" spans="1:2" ht="13.2" x14ac:dyDescent="0.25">
      <c r="A63" s="3" t="s">
        <v>91</v>
      </c>
      <c r="B63" s="4" t="s">
        <v>1682</v>
      </c>
    </row>
    <row r="64" spans="1:2" ht="13.2" x14ac:dyDescent="0.25">
      <c r="A64" s="3" t="s">
        <v>92</v>
      </c>
      <c r="B64" s="4" t="s">
        <v>1682</v>
      </c>
    </row>
    <row r="65" spans="1:2" ht="13.2" x14ac:dyDescent="0.25">
      <c r="A65" s="3" t="s">
        <v>93</v>
      </c>
      <c r="B65" s="4" t="s">
        <v>1682</v>
      </c>
    </row>
    <row r="66" spans="1:2" ht="13.2" x14ac:dyDescent="0.25">
      <c r="A66" s="3" t="s">
        <v>94</v>
      </c>
      <c r="B66" s="4" t="s">
        <v>1682</v>
      </c>
    </row>
    <row r="67" spans="1:2" ht="13.2" x14ac:dyDescent="0.25">
      <c r="A67" s="3" t="s">
        <v>89</v>
      </c>
      <c r="B67" s="4" t="s">
        <v>1682</v>
      </c>
    </row>
    <row r="68" spans="1:2" ht="13.2" x14ac:dyDescent="0.25">
      <c r="A68" s="3" t="s">
        <v>96</v>
      </c>
      <c r="B68" s="4" t="s">
        <v>1682</v>
      </c>
    </row>
    <row r="69" spans="1:2" ht="13.2" x14ac:dyDescent="0.25">
      <c r="A69" s="3" t="s">
        <v>97</v>
      </c>
      <c r="B69" s="4" t="s">
        <v>1682</v>
      </c>
    </row>
    <row r="70" spans="1:2" ht="13.2" x14ac:dyDescent="0.25">
      <c r="A70" s="3" t="s">
        <v>95</v>
      </c>
      <c r="B70" s="4" t="s">
        <v>1683</v>
      </c>
    </row>
    <row r="71" spans="1:2" ht="13.2" x14ac:dyDescent="0.25">
      <c r="A71" s="3" t="s">
        <v>98</v>
      </c>
      <c r="B71" s="4" t="s">
        <v>1683</v>
      </c>
    </row>
    <row r="72" spans="1:2" ht="13.2" x14ac:dyDescent="0.25">
      <c r="A72" s="3" t="s">
        <v>99</v>
      </c>
      <c r="B72" s="4" t="s">
        <v>1682</v>
      </c>
    </row>
    <row r="73" spans="1:2" ht="13.2" x14ac:dyDescent="0.25">
      <c r="A73" s="3" t="s">
        <v>86</v>
      </c>
      <c r="B73" s="4" t="s">
        <v>1683</v>
      </c>
    </row>
    <row r="74" spans="1:2" ht="13.2" x14ac:dyDescent="0.25">
      <c r="A74" s="3" t="s">
        <v>100</v>
      </c>
      <c r="B74" s="4" t="s">
        <v>1682</v>
      </c>
    </row>
    <row r="75" spans="1:2" ht="13.2" x14ac:dyDescent="0.25">
      <c r="A75" s="3" t="s">
        <v>101</v>
      </c>
      <c r="B75" s="4" t="s">
        <v>1682</v>
      </c>
    </row>
    <row r="76" spans="1:2" ht="13.2" x14ac:dyDescent="0.25">
      <c r="A76" s="3" t="s">
        <v>102</v>
      </c>
      <c r="B76" s="4" t="s">
        <v>1682</v>
      </c>
    </row>
    <row r="77" spans="1:2" ht="13.2" x14ac:dyDescent="0.25">
      <c r="A77" s="3" t="s">
        <v>103</v>
      </c>
      <c r="B77" s="4" t="s">
        <v>1682</v>
      </c>
    </row>
    <row r="78" spans="1:2" ht="13.2" x14ac:dyDescent="0.25">
      <c r="A78" s="3" t="s">
        <v>104</v>
      </c>
      <c r="B78" s="4" t="s">
        <v>1682</v>
      </c>
    </row>
    <row r="79" spans="1:2" ht="13.2" x14ac:dyDescent="0.25">
      <c r="A79" s="3" t="s">
        <v>105</v>
      </c>
      <c r="B79" s="4" t="s">
        <v>1682</v>
      </c>
    </row>
    <row r="80" spans="1:2" ht="13.2" x14ac:dyDescent="0.25">
      <c r="A80" s="3" t="s">
        <v>106</v>
      </c>
      <c r="B80" s="4" t="s">
        <v>1682</v>
      </c>
    </row>
    <row r="81" spans="1:2" ht="13.2" x14ac:dyDescent="0.25">
      <c r="A81" s="3" t="s">
        <v>107</v>
      </c>
      <c r="B81" s="4" t="s">
        <v>1682</v>
      </c>
    </row>
    <row r="82" spans="1:2" ht="13.2" x14ac:dyDescent="0.25">
      <c r="A82" s="3" t="s">
        <v>108</v>
      </c>
      <c r="B82" s="4" t="s">
        <v>1682</v>
      </c>
    </row>
    <row r="83" spans="1:2" ht="13.2" x14ac:dyDescent="0.25">
      <c r="A83" s="3" t="s">
        <v>110</v>
      </c>
      <c r="B83" s="4" t="s">
        <v>1682</v>
      </c>
    </row>
    <row r="84" spans="1:2" ht="13.2" x14ac:dyDescent="0.25">
      <c r="A84" s="3" t="s">
        <v>112</v>
      </c>
      <c r="B84" s="4" t="s">
        <v>1682</v>
      </c>
    </row>
    <row r="85" spans="1:2" ht="13.2" x14ac:dyDescent="0.25">
      <c r="A85" s="3" t="s">
        <v>114</v>
      </c>
      <c r="B85" s="4" t="s">
        <v>1682</v>
      </c>
    </row>
    <row r="86" spans="1:2" ht="13.2" x14ac:dyDescent="0.25">
      <c r="A86" s="3" t="s">
        <v>115</v>
      </c>
      <c r="B86" s="4" t="s">
        <v>1682</v>
      </c>
    </row>
    <row r="87" spans="1:2" ht="13.2" x14ac:dyDescent="0.25">
      <c r="A87" s="3" t="s">
        <v>116</v>
      </c>
      <c r="B87" s="4" t="s">
        <v>1682</v>
      </c>
    </row>
    <row r="88" spans="1:2" ht="13.2" x14ac:dyDescent="0.25">
      <c r="A88" s="3" t="s">
        <v>117</v>
      </c>
      <c r="B88" s="4" t="s">
        <v>1682</v>
      </c>
    </row>
    <row r="89" spans="1:2" ht="13.2" x14ac:dyDescent="0.25">
      <c r="A89" s="3" t="s">
        <v>118</v>
      </c>
      <c r="B89" s="4" t="s">
        <v>1682</v>
      </c>
    </row>
    <row r="90" spans="1:2" ht="13.2" x14ac:dyDescent="0.25">
      <c r="A90" s="3" t="s">
        <v>120</v>
      </c>
      <c r="B90" s="4" t="s">
        <v>1682</v>
      </c>
    </row>
    <row r="91" spans="1:2" ht="13.2" x14ac:dyDescent="0.25">
      <c r="A91" s="3" t="s">
        <v>121</v>
      </c>
      <c r="B91" s="4" t="s">
        <v>1682</v>
      </c>
    </row>
    <row r="92" spans="1:2" ht="13.2" x14ac:dyDescent="0.25">
      <c r="A92" s="3" t="s">
        <v>122</v>
      </c>
      <c r="B92" s="4" t="s">
        <v>1683</v>
      </c>
    </row>
    <row r="93" spans="1:2" ht="13.2" x14ac:dyDescent="0.25">
      <c r="A93" s="3" t="s">
        <v>123</v>
      </c>
      <c r="B93" s="4" t="s">
        <v>1682</v>
      </c>
    </row>
    <row r="94" spans="1:2" ht="13.2" x14ac:dyDescent="0.25">
      <c r="A94" s="3" t="s">
        <v>124</v>
      </c>
      <c r="B94" s="4" t="s">
        <v>1682</v>
      </c>
    </row>
    <row r="95" spans="1:2" ht="13.2" x14ac:dyDescent="0.25">
      <c r="A95" s="3" t="s">
        <v>125</v>
      </c>
      <c r="B95" s="4" t="s">
        <v>1682</v>
      </c>
    </row>
    <row r="96" spans="1:2" ht="13.2" x14ac:dyDescent="0.25">
      <c r="A96" s="3" t="s">
        <v>128</v>
      </c>
      <c r="B96" s="4" t="s">
        <v>1682</v>
      </c>
    </row>
    <row r="97" spans="1:2" ht="13.2" x14ac:dyDescent="0.25">
      <c r="A97" s="3" t="s">
        <v>129</v>
      </c>
      <c r="B97" s="4" t="s">
        <v>1682</v>
      </c>
    </row>
    <row r="98" spans="1:2" ht="13.2" x14ac:dyDescent="0.25">
      <c r="A98" s="3" t="s">
        <v>119</v>
      </c>
      <c r="B98" s="4" t="s">
        <v>1683</v>
      </c>
    </row>
    <row r="99" spans="1:2" ht="13.2" x14ac:dyDescent="0.25">
      <c r="A99" s="3" t="s">
        <v>131</v>
      </c>
      <c r="B99" s="4" t="s">
        <v>1683</v>
      </c>
    </row>
    <row r="100" spans="1:2" ht="13.2" x14ac:dyDescent="0.25">
      <c r="A100" s="3" t="s">
        <v>133</v>
      </c>
      <c r="B100" s="4" t="s">
        <v>1682</v>
      </c>
    </row>
    <row r="101" spans="1:2" ht="13.2" x14ac:dyDescent="0.25">
      <c r="A101" s="3" t="s">
        <v>132</v>
      </c>
      <c r="B101" s="4" t="s">
        <v>1682</v>
      </c>
    </row>
    <row r="102" spans="1:2" ht="13.2" x14ac:dyDescent="0.25">
      <c r="A102" s="3" t="s">
        <v>134</v>
      </c>
      <c r="B102" s="4" t="s">
        <v>1682</v>
      </c>
    </row>
    <row r="103" spans="1:2" ht="13.2" x14ac:dyDescent="0.25">
      <c r="A103" s="3" t="s">
        <v>135</v>
      </c>
      <c r="B103" s="4" t="s">
        <v>1683</v>
      </c>
    </row>
    <row r="104" spans="1:2" ht="13.2" x14ac:dyDescent="0.25">
      <c r="A104" s="3" t="s">
        <v>136</v>
      </c>
      <c r="B104" s="4" t="s">
        <v>1682</v>
      </c>
    </row>
    <row r="105" spans="1:2" ht="13.2" x14ac:dyDescent="0.25">
      <c r="A105" s="3" t="s">
        <v>139</v>
      </c>
      <c r="B105" s="4" t="s">
        <v>1683</v>
      </c>
    </row>
    <row r="106" spans="1:2" ht="13.2" x14ac:dyDescent="0.25">
      <c r="A106" s="3" t="s">
        <v>140</v>
      </c>
      <c r="B106" s="4" t="s">
        <v>1682</v>
      </c>
    </row>
    <row r="107" spans="1:2" ht="13.2" x14ac:dyDescent="0.25">
      <c r="A107" s="3" t="s">
        <v>141</v>
      </c>
      <c r="B107" s="4" t="s">
        <v>1682</v>
      </c>
    </row>
    <row r="108" spans="1:2" ht="13.2" x14ac:dyDescent="0.25">
      <c r="A108" s="3" t="s">
        <v>142</v>
      </c>
      <c r="B108" s="4" t="s">
        <v>1682</v>
      </c>
    </row>
    <row r="109" spans="1:2" ht="13.2" x14ac:dyDescent="0.25">
      <c r="A109" s="3" t="s">
        <v>143</v>
      </c>
      <c r="B109" s="4" t="s">
        <v>1682</v>
      </c>
    </row>
    <row r="110" spans="1:2" ht="13.2" x14ac:dyDescent="0.25">
      <c r="A110" s="3" t="s">
        <v>144</v>
      </c>
      <c r="B110" s="4" t="s">
        <v>1682</v>
      </c>
    </row>
    <row r="111" spans="1:2" ht="13.2" x14ac:dyDescent="0.25">
      <c r="A111" s="3" t="s">
        <v>145</v>
      </c>
      <c r="B111" s="4" t="s">
        <v>1683</v>
      </c>
    </row>
    <row r="112" spans="1:2" ht="13.2" x14ac:dyDescent="0.25">
      <c r="A112" s="3" t="s">
        <v>146</v>
      </c>
      <c r="B112" s="4" t="s">
        <v>1682</v>
      </c>
    </row>
    <row r="113" spans="1:2" ht="13.2" x14ac:dyDescent="0.25">
      <c r="A113" s="3" t="s">
        <v>147</v>
      </c>
      <c r="B113" s="4" t="s">
        <v>1683</v>
      </c>
    </row>
    <row r="114" spans="1:2" ht="13.2" x14ac:dyDescent="0.25">
      <c r="A114" s="3" t="s">
        <v>149</v>
      </c>
      <c r="B114" s="4" t="s">
        <v>1683</v>
      </c>
    </row>
    <row r="115" spans="1:2" ht="13.2" x14ac:dyDescent="0.25">
      <c r="A115" s="3" t="s">
        <v>151</v>
      </c>
      <c r="B115" s="4" t="s">
        <v>1682</v>
      </c>
    </row>
    <row r="116" spans="1:2" ht="13.2" x14ac:dyDescent="0.25">
      <c r="A116" s="3" t="s">
        <v>154</v>
      </c>
      <c r="B116" s="4" t="s">
        <v>1682</v>
      </c>
    </row>
    <row r="117" spans="1:2" ht="13.2" x14ac:dyDescent="0.25">
      <c r="A117" s="3" t="s">
        <v>155</v>
      </c>
      <c r="B117" s="4" t="s">
        <v>1682</v>
      </c>
    </row>
    <row r="118" spans="1:2" ht="13.2" x14ac:dyDescent="0.25">
      <c r="A118" s="3" t="s">
        <v>156</v>
      </c>
      <c r="B118" s="4" t="s">
        <v>1682</v>
      </c>
    </row>
    <row r="119" spans="1:2" ht="13.2" x14ac:dyDescent="0.25">
      <c r="A119" s="3" t="s">
        <v>158</v>
      </c>
      <c r="B119" s="4" t="s">
        <v>1682</v>
      </c>
    </row>
    <row r="120" spans="1:2" ht="13.2" x14ac:dyDescent="0.25">
      <c r="A120" s="3" t="s">
        <v>130</v>
      </c>
      <c r="B120" s="4" t="s">
        <v>1683</v>
      </c>
    </row>
    <row r="121" spans="1:2" ht="13.2" x14ac:dyDescent="0.25">
      <c r="A121" s="3" t="s">
        <v>159</v>
      </c>
      <c r="B121" s="4" t="s">
        <v>1682</v>
      </c>
    </row>
    <row r="122" spans="1:2" ht="13.2" x14ac:dyDescent="0.25">
      <c r="A122" s="3" t="s">
        <v>160</v>
      </c>
      <c r="B122" s="4" t="s">
        <v>1682</v>
      </c>
    </row>
    <row r="123" spans="1:2" ht="13.2" x14ac:dyDescent="0.25">
      <c r="A123" s="3" t="s">
        <v>163</v>
      </c>
      <c r="B123" s="4" t="s">
        <v>1682</v>
      </c>
    </row>
    <row r="124" spans="1:2" ht="13.2" x14ac:dyDescent="0.25">
      <c r="A124" s="3" t="s">
        <v>164</v>
      </c>
      <c r="B124" s="4" t="s">
        <v>1682</v>
      </c>
    </row>
    <row r="125" spans="1:2" ht="13.2" x14ac:dyDescent="0.25">
      <c r="A125" s="3" t="s">
        <v>165</v>
      </c>
      <c r="B125" s="4" t="s">
        <v>1683</v>
      </c>
    </row>
    <row r="126" spans="1:2" ht="13.2" x14ac:dyDescent="0.25">
      <c r="A126" s="3" t="s">
        <v>166</v>
      </c>
      <c r="B126" s="4" t="s">
        <v>1682</v>
      </c>
    </row>
    <row r="127" spans="1:2" ht="13.2" x14ac:dyDescent="0.25">
      <c r="A127" s="3" t="s">
        <v>167</v>
      </c>
      <c r="B127" s="4" t="s">
        <v>1682</v>
      </c>
    </row>
    <row r="128" spans="1:2" ht="13.2" x14ac:dyDescent="0.25">
      <c r="A128" s="3" t="s">
        <v>168</v>
      </c>
      <c r="B128" s="4" t="s">
        <v>1682</v>
      </c>
    </row>
    <row r="129" spans="1:2" ht="13.2" x14ac:dyDescent="0.25">
      <c r="A129" s="3" t="s">
        <v>171</v>
      </c>
      <c r="B129" s="4" t="s">
        <v>1682</v>
      </c>
    </row>
    <row r="130" spans="1:2" ht="13.2" x14ac:dyDescent="0.25">
      <c r="A130" s="3" t="s">
        <v>172</v>
      </c>
      <c r="B130" s="4" t="s">
        <v>1682</v>
      </c>
    </row>
    <row r="131" spans="1:2" ht="13.2" x14ac:dyDescent="0.25">
      <c r="A131" s="3" t="s">
        <v>173</v>
      </c>
      <c r="B131" s="4" t="s">
        <v>1682</v>
      </c>
    </row>
    <row r="132" spans="1:2" ht="13.2" x14ac:dyDescent="0.25">
      <c r="A132" s="3" t="s">
        <v>174</v>
      </c>
      <c r="B132" s="4" t="s">
        <v>1683</v>
      </c>
    </row>
    <row r="133" spans="1:2" ht="13.2" x14ac:dyDescent="0.25">
      <c r="A133" s="3" t="s">
        <v>175</v>
      </c>
      <c r="B133" s="4" t="s">
        <v>1683</v>
      </c>
    </row>
    <row r="134" spans="1:2" ht="13.2" x14ac:dyDescent="0.25">
      <c r="A134" s="3" t="s">
        <v>176</v>
      </c>
      <c r="B134" s="4" t="s">
        <v>1683</v>
      </c>
    </row>
    <row r="135" spans="1:2" ht="13.2" x14ac:dyDescent="0.25">
      <c r="A135" s="3" t="s">
        <v>177</v>
      </c>
      <c r="B135" s="4" t="s">
        <v>1682</v>
      </c>
    </row>
    <row r="136" spans="1:2" ht="13.2" x14ac:dyDescent="0.25">
      <c r="A136" s="3" t="s">
        <v>178</v>
      </c>
      <c r="B136" s="4" t="s">
        <v>1683</v>
      </c>
    </row>
    <row r="137" spans="1:2" ht="13.2" x14ac:dyDescent="0.25">
      <c r="A137" s="3" t="s">
        <v>179</v>
      </c>
      <c r="B137" s="4" t="s">
        <v>1682</v>
      </c>
    </row>
    <row r="138" spans="1:2" ht="13.2" x14ac:dyDescent="0.25">
      <c r="A138" s="3" t="s">
        <v>78</v>
      </c>
      <c r="B138" s="4" t="s">
        <v>1683</v>
      </c>
    </row>
    <row r="139" spans="1:2" ht="13.2" x14ac:dyDescent="0.25">
      <c r="A139" s="3" t="s">
        <v>180</v>
      </c>
      <c r="B139" s="4" t="s">
        <v>1682</v>
      </c>
    </row>
    <row r="140" spans="1:2" ht="13.2" x14ac:dyDescent="0.25">
      <c r="A140" s="3" t="s">
        <v>181</v>
      </c>
      <c r="B140" s="4" t="s">
        <v>1683</v>
      </c>
    </row>
    <row r="141" spans="1:2" ht="13.2" x14ac:dyDescent="0.25">
      <c r="A141" s="3" t="s">
        <v>182</v>
      </c>
      <c r="B141" s="4" t="s">
        <v>1682</v>
      </c>
    </row>
    <row r="142" spans="1:2" ht="13.2" x14ac:dyDescent="0.25">
      <c r="A142" s="3" t="s">
        <v>183</v>
      </c>
      <c r="B142" s="4" t="s">
        <v>1683</v>
      </c>
    </row>
    <row r="143" spans="1:2" ht="13.2" x14ac:dyDescent="0.25">
      <c r="A143" s="3" t="s">
        <v>184</v>
      </c>
      <c r="B143" s="4" t="s">
        <v>1682</v>
      </c>
    </row>
    <row r="144" spans="1:2" ht="13.2" x14ac:dyDescent="0.25">
      <c r="A144" s="3" t="s">
        <v>185</v>
      </c>
      <c r="B144" s="4" t="s">
        <v>1682</v>
      </c>
    </row>
    <row r="145" spans="1:2" ht="13.2" x14ac:dyDescent="0.25">
      <c r="A145" s="3" t="s">
        <v>186</v>
      </c>
      <c r="B145" s="4" t="s">
        <v>1682</v>
      </c>
    </row>
    <row r="146" spans="1:2" ht="13.2" x14ac:dyDescent="0.25">
      <c r="A146" s="3" t="s">
        <v>187</v>
      </c>
      <c r="B146" s="4" t="s">
        <v>1682</v>
      </c>
    </row>
    <row r="147" spans="1:2" ht="13.2" x14ac:dyDescent="0.25">
      <c r="A147" s="3" t="s">
        <v>189</v>
      </c>
      <c r="B147" s="4" t="s">
        <v>1683</v>
      </c>
    </row>
    <row r="148" spans="1:2" ht="13.2" x14ac:dyDescent="0.25">
      <c r="A148" s="3" t="s">
        <v>190</v>
      </c>
      <c r="B148" s="4" t="s">
        <v>1682</v>
      </c>
    </row>
    <row r="149" spans="1:2" ht="13.2" x14ac:dyDescent="0.25">
      <c r="A149" s="3" t="s">
        <v>192</v>
      </c>
      <c r="B149" s="4" t="s">
        <v>1682</v>
      </c>
    </row>
    <row r="150" spans="1:2" ht="13.2" x14ac:dyDescent="0.25">
      <c r="A150" s="3" t="s">
        <v>193</v>
      </c>
      <c r="B150" s="4" t="s">
        <v>1682</v>
      </c>
    </row>
    <row r="151" spans="1:2" ht="13.2" x14ac:dyDescent="0.25">
      <c r="A151" s="3" t="s">
        <v>194</v>
      </c>
      <c r="B151" s="4" t="s">
        <v>1682</v>
      </c>
    </row>
    <row r="152" spans="1:2" ht="13.2" x14ac:dyDescent="0.25">
      <c r="A152" s="3" t="s">
        <v>200</v>
      </c>
      <c r="B152" s="4" t="s">
        <v>1682</v>
      </c>
    </row>
    <row r="153" spans="1:2" ht="13.2" x14ac:dyDescent="0.25">
      <c r="A153" s="3" t="s">
        <v>203</v>
      </c>
      <c r="B153" s="4" t="s">
        <v>1682</v>
      </c>
    </row>
    <row r="154" spans="1:2" ht="13.2" x14ac:dyDescent="0.25">
      <c r="A154" s="3" t="s">
        <v>204</v>
      </c>
      <c r="B154" s="4" t="s">
        <v>1682</v>
      </c>
    </row>
    <row r="155" spans="1:2" ht="13.2" x14ac:dyDescent="0.25">
      <c r="A155" s="3" t="s">
        <v>207</v>
      </c>
      <c r="B155" s="4" t="s">
        <v>1682</v>
      </c>
    </row>
    <row r="156" spans="1:2" ht="13.2" x14ac:dyDescent="0.25">
      <c r="A156" s="3" t="s">
        <v>157</v>
      </c>
      <c r="B156" s="4" t="s">
        <v>1683</v>
      </c>
    </row>
    <row r="157" spans="1:2" ht="13.2" x14ac:dyDescent="0.25">
      <c r="A157" s="3" t="s">
        <v>208</v>
      </c>
      <c r="B157" s="4" t="s">
        <v>1682</v>
      </c>
    </row>
    <row r="158" spans="1:2" ht="13.2" x14ac:dyDescent="0.25">
      <c r="A158" s="3" t="s">
        <v>209</v>
      </c>
      <c r="B158" s="4" t="s">
        <v>1682</v>
      </c>
    </row>
    <row r="159" spans="1:2" ht="13.2" x14ac:dyDescent="0.25">
      <c r="A159" s="3" t="s">
        <v>47</v>
      </c>
      <c r="B159" s="4" t="s">
        <v>1683</v>
      </c>
    </row>
    <row r="160" spans="1:2" ht="13.2" x14ac:dyDescent="0.25">
      <c r="A160" s="3" t="s">
        <v>210</v>
      </c>
      <c r="B160" s="4" t="s">
        <v>1682</v>
      </c>
    </row>
    <row r="161" spans="1:2" ht="13.2" x14ac:dyDescent="0.25">
      <c r="A161" s="3" t="s">
        <v>211</v>
      </c>
      <c r="B161" s="4" t="s">
        <v>1683</v>
      </c>
    </row>
    <row r="162" spans="1:2" ht="13.2" x14ac:dyDescent="0.25">
      <c r="A162" s="3" t="s">
        <v>69</v>
      </c>
      <c r="B162" s="4" t="s">
        <v>1683</v>
      </c>
    </row>
    <row r="163" spans="1:2" ht="13.2" x14ac:dyDescent="0.25">
      <c r="A163" s="3" t="s">
        <v>213</v>
      </c>
      <c r="B163" s="4" t="s">
        <v>1683</v>
      </c>
    </row>
    <row r="164" spans="1:2" ht="13.2" x14ac:dyDescent="0.25">
      <c r="A164" s="3" t="s">
        <v>214</v>
      </c>
      <c r="B164" s="4" t="s">
        <v>1682</v>
      </c>
    </row>
    <row r="165" spans="1:2" ht="13.2" x14ac:dyDescent="0.25">
      <c r="A165" s="3" t="s">
        <v>215</v>
      </c>
      <c r="B165" s="4" t="s">
        <v>1683</v>
      </c>
    </row>
    <row r="166" spans="1:2" ht="13.2" x14ac:dyDescent="0.25">
      <c r="A166" s="3" t="s">
        <v>216</v>
      </c>
      <c r="B166" s="4" t="s">
        <v>1682</v>
      </c>
    </row>
    <row r="167" spans="1:2" ht="13.2" x14ac:dyDescent="0.25">
      <c r="A167" s="3" t="s">
        <v>217</v>
      </c>
      <c r="B167" s="4" t="s">
        <v>1682</v>
      </c>
    </row>
    <row r="168" spans="1:2" ht="13.2" x14ac:dyDescent="0.25">
      <c r="A168" s="3" t="s">
        <v>218</v>
      </c>
      <c r="B168" s="4" t="s">
        <v>1682</v>
      </c>
    </row>
    <row r="169" spans="1:2" ht="13.2" x14ac:dyDescent="0.25">
      <c r="A169" s="3" t="s">
        <v>70</v>
      </c>
      <c r="B169" s="4" t="s">
        <v>1682</v>
      </c>
    </row>
    <row r="170" spans="1:2" ht="13.2" x14ac:dyDescent="0.25">
      <c r="A170" s="3" t="s">
        <v>113</v>
      </c>
      <c r="B170" s="4" t="s">
        <v>1682</v>
      </c>
    </row>
    <row r="171" spans="1:2" ht="13.2" x14ac:dyDescent="0.25">
      <c r="A171" s="3" t="s">
        <v>45</v>
      </c>
      <c r="B171" s="4" t="s">
        <v>1682</v>
      </c>
    </row>
    <row r="172" spans="1:2" ht="13.2" x14ac:dyDescent="0.25">
      <c r="A172" s="3" t="s">
        <v>51</v>
      </c>
      <c r="B172" s="4" t="s">
        <v>1682</v>
      </c>
    </row>
    <row r="173" spans="1:2" ht="13.2" x14ac:dyDescent="0.25">
      <c r="A173" s="3" t="s">
        <v>153</v>
      </c>
      <c r="B173" s="4" t="s">
        <v>1682</v>
      </c>
    </row>
    <row r="174" spans="1:2" ht="13.2" x14ac:dyDescent="0.25">
      <c r="A174" s="3" t="s">
        <v>109</v>
      </c>
      <c r="B174" s="4" t="s">
        <v>1682</v>
      </c>
    </row>
    <row r="175" spans="1:2" ht="13.2" x14ac:dyDescent="0.25">
      <c r="A175" s="3" t="s">
        <v>82</v>
      </c>
      <c r="B175" s="4" t="s">
        <v>1682</v>
      </c>
    </row>
    <row r="176" spans="1:2" ht="13.2" x14ac:dyDescent="0.25">
      <c r="A176" s="3" t="s">
        <v>188</v>
      </c>
      <c r="B176" s="4" t="s">
        <v>1683</v>
      </c>
    </row>
    <row r="177" spans="1:2" ht="13.2" x14ac:dyDescent="0.25">
      <c r="A177" s="3" t="s">
        <v>212</v>
      </c>
      <c r="B177" s="4" t="s">
        <v>1682</v>
      </c>
    </row>
    <row r="178" spans="1:2" ht="13.2" x14ac:dyDescent="0.25">
      <c r="A178" s="3" t="s">
        <v>222</v>
      </c>
      <c r="B178" s="4" t="s">
        <v>1682</v>
      </c>
    </row>
    <row r="179" spans="1:2" ht="13.2" x14ac:dyDescent="0.25">
      <c r="A179" s="3" t="s">
        <v>75</v>
      </c>
      <c r="B179" s="4" t="s">
        <v>1682</v>
      </c>
    </row>
    <row r="180" spans="1:2" ht="13.2" x14ac:dyDescent="0.25">
      <c r="A180" s="3" t="s">
        <v>223</v>
      </c>
      <c r="B180" s="4" t="s">
        <v>1683</v>
      </c>
    </row>
    <row r="181" spans="1:2" ht="13.2" x14ac:dyDescent="0.25">
      <c r="A181" s="3" t="s">
        <v>224</v>
      </c>
      <c r="B181" s="4" t="s">
        <v>1683</v>
      </c>
    </row>
    <row r="182" spans="1:2" ht="13.2" x14ac:dyDescent="0.25">
      <c r="A182" s="3" t="s">
        <v>225</v>
      </c>
      <c r="B182" s="4" t="s">
        <v>1682</v>
      </c>
    </row>
    <row r="183" spans="1:2" ht="13.2" x14ac:dyDescent="0.25">
      <c r="A183" s="3" t="s">
        <v>226</v>
      </c>
      <c r="B183" s="4" t="s">
        <v>1682</v>
      </c>
    </row>
    <row r="184" spans="1:2" ht="13.2" x14ac:dyDescent="0.25">
      <c r="A184" s="3" t="s">
        <v>227</v>
      </c>
      <c r="B184" s="4" t="s">
        <v>1682</v>
      </c>
    </row>
    <row r="185" spans="1:2" ht="13.2" x14ac:dyDescent="0.25">
      <c r="A185" s="3" t="s">
        <v>228</v>
      </c>
      <c r="B185" s="4" t="s">
        <v>1683</v>
      </c>
    </row>
    <row r="186" spans="1:2" ht="13.2" x14ac:dyDescent="0.25">
      <c r="A186" s="3" t="s">
        <v>229</v>
      </c>
      <c r="B186" s="4" t="s">
        <v>1682</v>
      </c>
    </row>
    <row r="187" spans="1:2" ht="13.2" x14ac:dyDescent="0.25">
      <c r="A187" s="3" t="s">
        <v>230</v>
      </c>
      <c r="B187" s="4" t="s">
        <v>1682</v>
      </c>
    </row>
    <row r="188" spans="1:2" ht="13.2" x14ac:dyDescent="0.25">
      <c r="A188" s="3" t="s">
        <v>231</v>
      </c>
      <c r="B188" s="4" t="s">
        <v>1683</v>
      </c>
    </row>
    <row r="189" spans="1:2" ht="13.2" x14ac:dyDescent="0.25">
      <c r="A189" s="3" t="s">
        <v>234</v>
      </c>
      <c r="B189" s="4" t="s">
        <v>1683</v>
      </c>
    </row>
    <row r="190" spans="1:2" ht="13.2" x14ac:dyDescent="0.25">
      <c r="A190" s="3" t="s">
        <v>232</v>
      </c>
      <c r="B190" s="4" t="s">
        <v>1683</v>
      </c>
    </row>
    <row r="191" spans="1:2" ht="13.2" x14ac:dyDescent="0.25">
      <c r="A191" s="3" t="s">
        <v>235</v>
      </c>
      <c r="B191" s="4" t="s">
        <v>1682</v>
      </c>
    </row>
    <row r="192" spans="1:2" ht="13.2" x14ac:dyDescent="0.25">
      <c r="A192" s="3" t="s">
        <v>237</v>
      </c>
      <c r="B192" s="4" t="s">
        <v>1682</v>
      </c>
    </row>
    <row r="193" spans="1:2" ht="13.2" x14ac:dyDescent="0.25">
      <c r="A193" s="3" t="s">
        <v>241</v>
      </c>
      <c r="B193" s="4" t="s">
        <v>1682</v>
      </c>
    </row>
    <row r="194" spans="1:2" ht="13.2" x14ac:dyDescent="0.25">
      <c r="A194" s="3" t="s">
        <v>236</v>
      </c>
      <c r="B194" s="4" t="s">
        <v>1682</v>
      </c>
    </row>
    <row r="195" spans="1:2" ht="13.2" x14ac:dyDescent="0.25">
      <c r="A195" s="3" t="s">
        <v>242</v>
      </c>
      <c r="B195" s="4" t="s">
        <v>1683</v>
      </c>
    </row>
    <row r="196" spans="1:2" ht="13.2" x14ac:dyDescent="0.25">
      <c r="A196" s="3" t="s">
        <v>243</v>
      </c>
      <c r="B196" s="4" t="s">
        <v>1683</v>
      </c>
    </row>
    <row r="197" spans="1:2" ht="13.2" x14ac:dyDescent="0.25">
      <c r="A197" s="3" t="s">
        <v>238</v>
      </c>
      <c r="B197" s="4" t="s">
        <v>1682</v>
      </c>
    </row>
    <row r="198" spans="1:2" ht="13.2" x14ac:dyDescent="0.25">
      <c r="A198" s="3" t="s">
        <v>239</v>
      </c>
      <c r="B198" s="4" t="s">
        <v>1682</v>
      </c>
    </row>
    <row r="199" spans="1:2" ht="13.2" x14ac:dyDescent="0.25">
      <c r="A199" s="3" t="s">
        <v>246</v>
      </c>
      <c r="B199" s="4" t="s">
        <v>1683</v>
      </c>
    </row>
    <row r="200" spans="1:2" ht="13.2" x14ac:dyDescent="0.25">
      <c r="A200" s="3" t="s">
        <v>244</v>
      </c>
      <c r="B200" s="4" t="s">
        <v>1683</v>
      </c>
    </row>
    <row r="201" spans="1:2" ht="13.2" x14ac:dyDescent="0.25">
      <c r="A201" s="3" t="s">
        <v>245</v>
      </c>
      <c r="B201" s="4" t="s">
        <v>1683</v>
      </c>
    </row>
    <row r="202" spans="1:2" ht="13.2" x14ac:dyDescent="0.25">
      <c r="A202" s="3" t="s">
        <v>247</v>
      </c>
      <c r="B202" s="4" t="s">
        <v>1682</v>
      </c>
    </row>
    <row r="203" spans="1:2" ht="13.2" x14ac:dyDescent="0.25">
      <c r="A203" s="3" t="s">
        <v>150</v>
      </c>
      <c r="B203" s="4" t="s">
        <v>1682</v>
      </c>
    </row>
    <row r="204" spans="1:2" ht="13.2" x14ac:dyDescent="0.25">
      <c r="A204" s="3" t="s">
        <v>126</v>
      </c>
      <c r="B204" s="4" t="s">
        <v>1682</v>
      </c>
    </row>
    <row r="205" spans="1:2" ht="13.2" x14ac:dyDescent="0.25">
      <c r="A205" s="3" t="s">
        <v>169</v>
      </c>
      <c r="B205" s="4" t="s">
        <v>1682</v>
      </c>
    </row>
    <row r="206" spans="1:2" ht="13.2" x14ac:dyDescent="0.25">
      <c r="A206" s="3" t="s">
        <v>249</v>
      </c>
      <c r="B206" s="4" t="s">
        <v>1682</v>
      </c>
    </row>
    <row r="207" spans="1:2" ht="13.2" x14ac:dyDescent="0.25">
      <c r="A207" s="3" t="s">
        <v>49</v>
      </c>
      <c r="B207" s="4" t="s">
        <v>1683</v>
      </c>
    </row>
    <row r="208" spans="1:2" ht="13.2" x14ac:dyDescent="0.25">
      <c r="A208" s="3" t="s">
        <v>50</v>
      </c>
      <c r="B208" s="4" t="s">
        <v>1683</v>
      </c>
    </row>
    <row r="209" spans="1:2" ht="13.2" x14ac:dyDescent="0.25">
      <c r="A209" s="3" t="s">
        <v>250</v>
      </c>
      <c r="B209" s="4" t="s">
        <v>1682</v>
      </c>
    </row>
    <row r="210" spans="1:2" ht="13.2" x14ac:dyDescent="0.25">
      <c r="A210" s="3" t="s">
        <v>251</v>
      </c>
      <c r="B210" s="4" t="s">
        <v>1682</v>
      </c>
    </row>
    <row r="211" spans="1:2" ht="13.2" x14ac:dyDescent="0.25">
      <c r="A211" s="3" t="s">
        <v>252</v>
      </c>
      <c r="B211" s="4" t="s">
        <v>1682</v>
      </c>
    </row>
    <row r="212" spans="1:2" ht="13.2" x14ac:dyDescent="0.25">
      <c r="A212" s="3" t="s">
        <v>253</v>
      </c>
      <c r="B212" s="4" t="s">
        <v>1683</v>
      </c>
    </row>
    <row r="213" spans="1:2" ht="13.2" x14ac:dyDescent="0.25">
      <c r="A213" s="3" t="s">
        <v>259</v>
      </c>
      <c r="B213" s="4" t="s">
        <v>1683</v>
      </c>
    </row>
    <row r="214" spans="1:2" ht="13.2" x14ac:dyDescent="0.25">
      <c r="A214" s="3" t="s">
        <v>254</v>
      </c>
      <c r="B214" s="4" t="s">
        <v>1683</v>
      </c>
    </row>
    <row r="215" spans="1:2" ht="13.2" x14ac:dyDescent="0.25">
      <c r="A215" s="3" t="s">
        <v>255</v>
      </c>
      <c r="B215" s="4" t="s">
        <v>1683</v>
      </c>
    </row>
    <row r="216" spans="1:2" ht="17.25" customHeight="1" x14ac:dyDescent="0.25">
      <c r="A216" s="3" t="s">
        <v>198</v>
      </c>
      <c r="B216" s="4" t="s">
        <v>1682</v>
      </c>
    </row>
    <row r="217" spans="1:2" ht="13.2" x14ac:dyDescent="0.25">
      <c r="A217" s="3" t="s">
        <v>265</v>
      </c>
      <c r="B217" s="4" t="s">
        <v>1682</v>
      </c>
    </row>
    <row r="218" spans="1:2" ht="13.2" x14ac:dyDescent="0.25">
      <c r="A218" s="3" t="s">
        <v>267</v>
      </c>
      <c r="B218" s="4" t="s">
        <v>1682</v>
      </c>
    </row>
    <row r="219" spans="1:2" ht="13.2" x14ac:dyDescent="0.25">
      <c r="A219" s="3" t="s">
        <v>268</v>
      </c>
      <c r="B219" s="4" t="s">
        <v>1682</v>
      </c>
    </row>
    <row r="220" spans="1:2" ht="13.2" x14ac:dyDescent="0.25">
      <c r="A220" s="3" t="s">
        <v>270</v>
      </c>
      <c r="B220" s="4" t="s">
        <v>1683</v>
      </c>
    </row>
    <row r="221" spans="1:2" ht="13.2" x14ac:dyDescent="0.25">
      <c r="A221" s="3" t="s">
        <v>269</v>
      </c>
      <c r="B221" s="4" t="s">
        <v>1682</v>
      </c>
    </row>
    <row r="222" spans="1:2" ht="13.2" x14ac:dyDescent="0.25">
      <c r="A222" s="3" t="s">
        <v>273</v>
      </c>
      <c r="B222" s="4" t="s">
        <v>1683</v>
      </c>
    </row>
    <row r="223" spans="1:2" ht="13.2" x14ac:dyDescent="0.25">
      <c r="A223" s="3" t="s">
        <v>275</v>
      </c>
      <c r="B223" s="4" t="s">
        <v>1683</v>
      </c>
    </row>
    <row r="224" spans="1:2" ht="13.2" x14ac:dyDescent="0.25">
      <c r="A224" s="3" t="s">
        <v>52</v>
      </c>
      <c r="B224" s="4" t="s">
        <v>1683</v>
      </c>
    </row>
    <row r="225" spans="1:2" ht="13.2" x14ac:dyDescent="0.25">
      <c r="A225" s="3" t="s">
        <v>277</v>
      </c>
      <c r="B225" s="4" t="s">
        <v>1682</v>
      </c>
    </row>
    <row r="226" spans="1:2" ht="13.2" x14ac:dyDescent="0.25">
      <c r="A226" s="3" t="s">
        <v>283</v>
      </c>
      <c r="B226" s="4" t="s">
        <v>1682</v>
      </c>
    </row>
    <row r="227" spans="1:2" ht="13.2" x14ac:dyDescent="0.25">
      <c r="A227" s="3" t="s">
        <v>284</v>
      </c>
      <c r="B227" s="4" t="s">
        <v>1683</v>
      </c>
    </row>
    <row r="228" spans="1:2" ht="13.2" x14ac:dyDescent="0.25">
      <c r="A228" s="3" t="s">
        <v>285</v>
      </c>
      <c r="B228" s="4" t="s">
        <v>1682</v>
      </c>
    </row>
    <row r="229" spans="1:2" ht="13.2" x14ac:dyDescent="0.25">
      <c r="A229" s="3" t="s">
        <v>195</v>
      </c>
      <c r="B229" s="4" t="s">
        <v>1683</v>
      </c>
    </row>
    <row r="230" spans="1:2" ht="13.2" x14ac:dyDescent="0.25">
      <c r="A230" s="3" t="s">
        <v>289</v>
      </c>
      <c r="B230" s="4" t="s">
        <v>1682</v>
      </c>
    </row>
    <row r="231" spans="1:2" ht="13.2" x14ac:dyDescent="0.25">
      <c r="A231" s="3" t="s">
        <v>290</v>
      </c>
      <c r="B231" s="4" t="s">
        <v>1682</v>
      </c>
    </row>
    <row r="232" spans="1:2" ht="13.2" x14ac:dyDescent="0.25">
      <c r="A232" s="3" t="s">
        <v>291</v>
      </c>
      <c r="B232" s="4" t="s">
        <v>1682</v>
      </c>
    </row>
    <row r="233" spans="1:2" ht="13.2" x14ac:dyDescent="0.25">
      <c r="A233" s="3" t="s">
        <v>74</v>
      </c>
      <c r="B233" s="4" t="s">
        <v>1682</v>
      </c>
    </row>
    <row r="234" spans="1:2" ht="13.2" x14ac:dyDescent="0.25">
      <c r="A234" s="3" t="s">
        <v>256</v>
      </c>
      <c r="B234" s="4" t="s">
        <v>1682</v>
      </c>
    </row>
    <row r="235" spans="1:2" ht="13.2" x14ac:dyDescent="0.25">
      <c r="A235" s="3" t="s">
        <v>257</v>
      </c>
      <c r="B235" s="4" t="s">
        <v>1682</v>
      </c>
    </row>
    <row r="236" spans="1:2" ht="13.2" x14ac:dyDescent="0.25">
      <c r="A236" s="3" t="s">
        <v>258</v>
      </c>
      <c r="B236" s="4" t="s">
        <v>1682</v>
      </c>
    </row>
    <row r="237" spans="1:2" ht="13.2" x14ac:dyDescent="0.25">
      <c r="A237" s="3" t="s">
        <v>196</v>
      </c>
      <c r="B237" s="4" t="s">
        <v>1683</v>
      </c>
    </row>
    <row r="238" spans="1:2" ht="13.2" x14ac:dyDescent="0.25">
      <c r="A238" s="3" t="s">
        <v>199</v>
      </c>
      <c r="B238" s="4" t="s">
        <v>1682</v>
      </c>
    </row>
    <row r="239" spans="1:2" ht="13.2" x14ac:dyDescent="0.25">
      <c r="A239" s="3" t="s">
        <v>60</v>
      </c>
      <c r="B239" s="4" t="s">
        <v>1682</v>
      </c>
    </row>
    <row r="240" spans="1:2" ht="13.2" x14ac:dyDescent="0.25">
      <c r="A240" s="3" t="s">
        <v>294</v>
      </c>
      <c r="B240" s="4" t="s">
        <v>1682</v>
      </c>
    </row>
    <row r="241" spans="1:2" ht="13.2" x14ac:dyDescent="0.25">
      <c r="A241" s="3" t="s">
        <v>295</v>
      </c>
      <c r="B241" s="4" t="s">
        <v>1682</v>
      </c>
    </row>
    <row r="242" spans="1:2" ht="13.2" x14ac:dyDescent="0.25">
      <c r="A242" s="3" t="s">
        <v>278</v>
      </c>
      <c r="B242" s="4" t="s">
        <v>1683</v>
      </c>
    </row>
    <row r="243" spans="1:2" ht="13.2" x14ac:dyDescent="0.25">
      <c r="A243" s="3" t="s">
        <v>219</v>
      </c>
      <c r="B243" s="4" t="s">
        <v>1682</v>
      </c>
    </row>
    <row r="244" spans="1:2" ht="13.2" x14ac:dyDescent="0.25">
      <c r="A244" s="3" t="s">
        <v>272</v>
      </c>
      <c r="B244" s="4" t="s">
        <v>1682</v>
      </c>
    </row>
    <row r="245" spans="1:2" ht="13.2" x14ac:dyDescent="0.25">
      <c r="A245" s="3" t="s">
        <v>299</v>
      </c>
      <c r="B245" s="4" t="s">
        <v>1682</v>
      </c>
    </row>
    <row r="246" spans="1:2" ht="13.2" x14ac:dyDescent="0.25">
      <c r="A246" s="3" t="s">
        <v>300</v>
      </c>
      <c r="B246" s="4" t="s">
        <v>1682</v>
      </c>
    </row>
    <row r="247" spans="1:2" ht="13.2" x14ac:dyDescent="0.25">
      <c r="A247" s="3" t="s">
        <v>301</v>
      </c>
      <c r="B247" s="4" t="s">
        <v>1682</v>
      </c>
    </row>
    <row r="248" spans="1:2" ht="13.2" x14ac:dyDescent="0.25">
      <c r="A248" s="3" t="s">
        <v>240</v>
      </c>
      <c r="B248" s="4" t="s">
        <v>1682</v>
      </c>
    </row>
    <row r="249" spans="1:2" ht="13.2" x14ac:dyDescent="0.25">
      <c r="A249" s="3" t="s">
        <v>279</v>
      </c>
      <c r="B249" s="4" t="s">
        <v>1683</v>
      </c>
    </row>
    <row r="250" spans="1:2" ht="13.2" x14ac:dyDescent="0.25">
      <c r="A250" s="3" t="s">
        <v>280</v>
      </c>
      <c r="B250" s="4" t="s">
        <v>1683</v>
      </c>
    </row>
    <row r="251" spans="1:2" ht="13.2" x14ac:dyDescent="0.25">
      <c r="A251" s="3" t="s">
        <v>302</v>
      </c>
      <c r="B251" s="4" t="s">
        <v>1682</v>
      </c>
    </row>
    <row r="252" spans="1:2" ht="13.2" x14ac:dyDescent="0.25">
      <c r="A252" s="3" t="s">
        <v>303</v>
      </c>
      <c r="B252" s="4" t="s">
        <v>1682</v>
      </c>
    </row>
    <row r="253" spans="1:2" ht="13.2" x14ac:dyDescent="0.25">
      <c r="A253" s="3" t="s">
        <v>304</v>
      </c>
      <c r="B253" s="4" t="s">
        <v>1682</v>
      </c>
    </row>
    <row r="254" spans="1:2" ht="13.2" x14ac:dyDescent="0.25">
      <c r="A254" s="3" t="s">
        <v>305</v>
      </c>
      <c r="B254" s="4" t="s">
        <v>1682</v>
      </c>
    </row>
    <row r="255" spans="1:2" ht="13.2" x14ac:dyDescent="0.25">
      <c r="A255" s="3" t="s">
        <v>306</v>
      </c>
      <c r="B255" s="4" t="s">
        <v>1682</v>
      </c>
    </row>
    <row r="256" spans="1:2" ht="13.2" x14ac:dyDescent="0.25">
      <c r="A256" s="3" t="s">
        <v>43</v>
      </c>
      <c r="B256" s="4" t="s">
        <v>1683</v>
      </c>
    </row>
    <row r="257" spans="1:2" ht="13.2" x14ac:dyDescent="0.25">
      <c r="A257" s="3" t="s">
        <v>274</v>
      </c>
      <c r="B257" s="4" t="s">
        <v>1682</v>
      </c>
    </row>
    <row r="258" spans="1:2" ht="13.2" x14ac:dyDescent="0.25">
      <c r="A258" s="3" t="s">
        <v>297</v>
      </c>
      <c r="B258" s="4" t="s">
        <v>1682</v>
      </c>
    </row>
    <row r="259" spans="1:2" ht="13.2" x14ac:dyDescent="0.25">
      <c r="A259" s="3" t="s">
        <v>308</v>
      </c>
      <c r="B259" s="4" t="s">
        <v>1682</v>
      </c>
    </row>
    <row r="260" spans="1:2" ht="13.2" x14ac:dyDescent="0.25">
      <c r="A260" s="3" t="s">
        <v>233</v>
      </c>
      <c r="B260" s="4" t="s">
        <v>1683</v>
      </c>
    </row>
    <row r="261" spans="1:2" ht="13.2" x14ac:dyDescent="0.25">
      <c r="A261" s="3" t="s">
        <v>309</v>
      </c>
      <c r="B261" s="4" t="s">
        <v>1682</v>
      </c>
    </row>
    <row r="262" spans="1:2" ht="13.2" x14ac:dyDescent="0.25">
      <c r="A262" s="3" t="s">
        <v>310</v>
      </c>
      <c r="B262" s="4" t="s">
        <v>1683</v>
      </c>
    </row>
    <row r="263" spans="1:2" ht="13.2" x14ac:dyDescent="0.25">
      <c r="A263" s="3" t="s">
        <v>276</v>
      </c>
      <c r="B263" s="4" t="s">
        <v>1683</v>
      </c>
    </row>
    <row r="264" spans="1:2" ht="13.2" x14ac:dyDescent="0.25">
      <c r="A264" s="3" t="s">
        <v>311</v>
      </c>
      <c r="B264" s="4" t="s">
        <v>1682</v>
      </c>
    </row>
    <row r="265" spans="1:2" ht="13.2" x14ac:dyDescent="0.25">
      <c r="A265" s="3" t="s">
        <v>313</v>
      </c>
      <c r="B265" s="4" t="s">
        <v>1682</v>
      </c>
    </row>
    <row r="266" spans="1:2" ht="13.2" x14ac:dyDescent="0.25">
      <c r="A266" s="3" t="s">
        <v>314</v>
      </c>
      <c r="B266" s="4" t="s">
        <v>1682</v>
      </c>
    </row>
    <row r="267" spans="1:2" ht="13.2" x14ac:dyDescent="0.25">
      <c r="A267" s="3" t="s">
        <v>170</v>
      </c>
      <c r="B267" s="4" t="s">
        <v>1683</v>
      </c>
    </row>
    <row r="268" spans="1:2" ht="13.2" x14ac:dyDescent="0.25">
      <c r="A268" s="3" t="s">
        <v>315</v>
      </c>
      <c r="B268" s="4" t="s">
        <v>1682</v>
      </c>
    </row>
    <row r="269" spans="1:2" ht="13.2" x14ac:dyDescent="0.25">
      <c r="A269" s="3" t="s">
        <v>316</v>
      </c>
      <c r="B269" s="4" t="s">
        <v>1683</v>
      </c>
    </row>
    <row r="270" spans="1:2" ht="13.2" x14ac:dyDescent="0.25">
      <c r="A270" s="3" t="s">
        <v>318</v>
      </c>
      <c r="B270" s="4" t="s">
        <v>1682</v>
      </c>
    </row>
    <row r="271" spans="1:2" ht="13.2" x14ac:dyDescent="0.25">
      <c r="A271" s="3" t="s">
        <v>319</v>
      </c>
      <c r="B271" s="4" t="s">
        <v>1683</v>
      </c>
    </row>
    <row r="272" spans="1:2" ht="13.2" x14ac:dyDescent="0.25">
      <c r="A272" s="3" t="s">
        <v>320</v>
      </c>
      <c r="B272" s="4" t="s">
        <v>1682</v>
      </c>
    </row>
    <row r="273" spans="1:2" ht="13.2" x14ac:dyDescent="0.25">
      <c r="A273" s="3" t="s">
        <v>321</v>
      </c>
      <c r="B273" s="4" t="s">
        <v>1682</v>
      </c>
    </row>
    <row r="274" spans="1:2" ht="13.2" x14ac:dyDescent="0.25">
      <c r="A274" s="3" t="s">
        <v>282</v>
      </c>
      <c r="B274" s="4" t="s">
        <v>1683</v>
      </c>
    </row>
    <row r="275" spans="1:2" ht="13.2" x14ac:dyDescent="0.25">
      <c r="A275" s="3" t="s">
        <v>307</v>
      </c>
      <c r="B275" s="4" t="s">
        <v>1683</v>
      </c>
    </row>
    <row r="276" spans="1:2" ht="13.2" x14ac:dyDescent="0.25">
      <c r="A276" s="3" t="s">
        <v>266</v>
      </c>
      <c r="B276" s="4" t="s">
        <v>1682</v>
      </c>
    </row>
    <row r="277" spans="1:2" ht="13.2" x14ac:dyDescent="0.25">
      <c r="A277" s="3" t="s">
        <v>322</v>
      </c>
      <c r="B277" s="4" t="s">
        <v>1682</v>
      </c>
    </row>
    <row r="278" spans="1:2" ht="13.2" x14ac:dyDescent="0.25">
      <c r="A278" s="3" t="s">
        <v>71</v>
      </c>
      <c r="B278" s="4" t="s">
        <v>1682</v>
      </c>
    </row>
    <row r="279" spans="1:2" ht="13.2" x14ac:dyDescent="0.25">
      <c r="A279" s="3" t="s">
        <v>323</v>
      </c>
      <c r="B279" s="4" t="s">
        <v>1683</v>
      </c>
    </row>
    <row r="280" spans="1:2" ht="13.2" x14ac:dyDescent="0.25">
      <c r="A280" s="3" t="s">
        <v>324</v>
      </c>
      <c r="B280" s="4" t="s">
        <v>1682</v>
      </c>
    </row>
    <row r="281" spans="1:2" ht="13.2" x14ac:dyDescent="0.25">
      <c r="A281" s="3" t="s">
        <v>260</v>
      </c>
      <c r="B281" s="4" t="s">
        <v>1682</v>
      </c>
    </row>
    <row r="282" spans="1:2" ht="13.2" x14ac:dyDescent="0.25">
      <c r="A282" s="3" t="s">
        <v>325</v>
      </c>
      <c r="B282" s="4" t="s">
        <v>1682</v>
      </c>
    </row>
    <row r="283" spans="1:2" ht="13.2" x14ac:dyDescent="0.25">
      <c r="A283" s="3" t="s">
        <v>271</v>
      </c>
      <c r="B283" s="4" t="s">
        <v>1682</v>
      </c>
    </row>
    <row r="284" spans="1:2" ht="13.2" x14ac:dyDescent="0.25">
      <c r="A284" s="3" t="s">
        <v>281</v>
      </c>
      <c r="B284" s="4" t="s">
        <v>1683</v>
      </c>
    </row>
    <row r="285" spans="1:2" ht="13.2" x14ac:dyDescent="0.25">
      <c r="A285" s="3" t="s">
        <v>326</v>
      </c>
      <c r="B285" s="4" t="s">
        <v>1683</v>
      </c>
    </row>
    <row r="286" spans="1:2" ht="13.2" x14ac:dyDescent="0.25">
      <c r="A286" s="3" t="s">
        <v>327</v>
      </c>
      <c r="B286" s="4" t="s">
        <v>1682</v>
      </c>
    </row>
    <row r="287" spans="1:2" ht="13.2" x14ac:dyDescent="0.25">
      <c r="A287" s="3" t="s">
        <v>328</v>
      </c>
      <c r="B287" s="4" t="s">
        <v>1682</v>
      </c>
    </row>
    <row r="288" spans="1:2" ht="13.2" x14ac:dyDescent="0.25">
      <c r="A288" s="3" t="s">
        <v>79</v>
      </c>
      <c r="B288" s="4" t="s">
        <v>1683</v>
      </c>
    </row>
    <row r="289" spans="1:2" ht="13.2" x14ac:dyDescent="0.25">
      <c r="A289" s="3" t="s">
        <v>191</v>
      </c>
      <c r="B289" s="4" t="s">
        <v>1682</v>
      </c>
    </row>
    <row r="290" spans="1:2" ht="13.2" x14ac:dyDescent="0.25">
      <c r="A290" s="3" t="s">
        <v>329</v>
      </c>
      <c r="B290" s="4" t="s">
        <v>1682</v>
      </c>
    </row>
    <row r="291" spans="1:2" ht="13.2" x14ac:dyDescent="0.25">
      <c r="A291" s="3" t="s">
        <v>330</v>
      </c>
      <c r="B291" s="4" t="s">
        <v>1682</v>
      </c>
    </row>
    <row r="292" spans="1:2" ht="13.2" x14ac:dyDescent="0.25">
      <c r="A292" s="3" t="s">
        <v>80</v>
      </c>
      <c r="B292" s="4" t="s">
        <v>1683</v>
      </c>
    </row>
    <row r="293" spans="1:2" ht="13.2" x14ac:dyDescent="0.25">
      <c r="A293" s="3" t="s">
        <v>331</v>
      </c>
      <c r="B293" s="4" t="s">
        <v>1682</v>
      </c>
    </row>
    <row r="294" spans="1:2" ht="13.2" x14ac:dyDescent="0.25">
      <c r="A294" s="3" t="s">
        <v>332</v>
      </c>
      <c r="B294" s="4" t="s">
        <v>1682</v>
      </c>
    </row>
    <row r="295" spans="1:2" ht="13.2" x14ac:dyDescent="0.25">
      <c r="A295" s="3" t="s">
        <v>333</v>
      </c>
      <c r="B295" s="4" t="s">
        <v>1682</v>
      </c>
    </row>
    <row r="296" spans="1:2" ht="13.2" x14ac:dyDescent="0.25">
      <c r="A296" s="3" t="s">
        <v>334</v>
      </c>
      <c r="B296" s="4" t="s">
        <v>1682</v>
      </c>
    </row>
    <row r="297" spans="1:2" ht="13.2" x14ac:dyDescent="0.25">
      <c r="A297" s="3" t="s">
        <v>137</v>
      </c>
      <c r="B297" s="4" t="s">
        <v>1683</v>
      </c>
    </row>
    <row r="298" spans="1:2" ht="13.2" x14ac:dyDescent="0.25">
      <c r="A298" s="3" t="s">
        <v>205</v>
      </c>
      <c r="B298" s="4" t="s">
        <v>1683</v>
      </c>
    </row>
    <row r="299" spans="1:2" ht="13.2" x14ac:dyDescent="0.25">
      <c r="A299" s="3" t="s">
        <v>335</v>
      </c>
      <c r="B299" s="4" t="s">
        <v>1682</v>
      </c>
    </row>
    <row r="300" spans="1:2" ht="13.2" x14ac:dyDescent="0.25">
      <c r="A300" s="3" t="s">
        <v>336</v>
      </c>
      <c r="B300" s="4" t="s">
        <v>1682</v>
      </c>
    </row>
    <row r="301" spans="1:2" ht="13.2" x14ac:dyDescent="0.25">
      <c r="A301" s="3" t="s">
        <v>161</v>
      </c>
      <c r="B301" s="4" t="s">
        <v>1683</v>
      </c>
    </row>
    <row r="302" spans="1:2" ht="13.2" x14ac:dyDescent="0.25">
      <c r="A302" s="3" t="s">
        <v>337</v>
      </c>
      <c r="B302" s="4" t="s">
        <v>1683</v>
      </c>
    </row>
    <row r="303" spans="1:2" ht="13.2" x14ac:dyDescent="0.25">
      <c r="A303" s="3" t="s">
        <v>83</v>
      </c>
      <c r="B303" s="4" t="s">
        <v>1682</v>
      </c>
    </row>
    <row r="304" spans="1:2" ht="13.2" x14ac:dyDescent="0.25">
      <c r="A304" s="3" t="s">
        <v>339</v>
      </c>
      <c r="B304" s="4" t="s">
        <v>1683</v>
      </c>
    </row>
    <row r="305" spans="1:2" ht="13.2" x14ac:dyDescent="0.25">
      <c r="A305" s="3" t="s">
        <v>127</v>
      </c>
      <c r="B305" s="4" t="s">
        <v>1682</v>
      </c>
    </row>
    <row r="306" spans="1:2" ht="13.2" x14ac:dyDescent="0.25">
      <c r="A306" s="3" t="s">
        <v>340</v>
      </c>
      <c r="B306" s="4" t="s">
        <v>1682</v>
      </c>
    </row>
    <row r="307" spans="1:2" ht="13.2" x14ac:dyDescent="0.25">
      <c r="A307" s="3" t="s">
        <v>317</v>
      </c>
      <c r="B307" s="4" t="s">
        <v>1682</v>
      </c>
    </row>
    <row r="308" spans="1:2" ht="13.2" x14ac:dyDescent="0.25">
      <c r="A308" s="3" t="s">
        <v>341</v>
      </c>
      <c r="B308" s="4" t="s">
        <v>1682</v>
      </c>
    </row>
    <row r="309" spans="1:2" ht="13.2" x14ac:dyDescent="0.25">
      <c r="A309" s="3" t="s">
        <v>342</v>
      </c>
      <c r="B309" s="4" t="s">
        <v>1682</v>
      </c>
    </row>
    <row r="310" spans="1:2" ht="13.2" x14ac:dyDescent="0.25">
      <c r="A310" s="3" t="s">
        <v>343</v>
      </c>
      <c r="B310" s="4" t="s">
        <v>1682</v>
      </c>
    </row>
    <row r="311" spans="1:2" ht="13.2" x14ac:dyDescent="0.25">
      <c r="A311" s="3" t="s">
        <v>344</v>
      </c>
      <c r="B311" s="4" t="s">
        <v>1682</v>
      </c>
    </row>
    <row r="312" spans="1:2" ht="13.2" x14ac:dyDescent="0.25">
      <c r="A312" s="3" t="s">
        <v>55</v>
      </c>
      <c r="B312" s="4" t="s">
        <v>1682</v>
      </c>
    </row>
    <row r="313" spans="1:2" ht="13.2" x14ac:dyDescent="0.25">
      <c r="A313" s="3" t="s">
        <v>345</v>
      </c>
      <c r="B313" s="4" t="s">
        <v>1682</v>
      </c>
    </row>
    <row r="314" spans="1:2" ht="13.2" x14ac:dyDescent="0.25">
      <c r="A314" s="3" t="s">
        <v>346</v>
      </c>
      <c r="B314" s="4" t="s">
        <v>1682</v>
      </c>
    </row>
    <row r="315" spans="1:2" ht="13.2" x14ac:dyDescent="0.25">
      <c r="A315" s="3" t="s">
        <v>347</v>
      </c>
      <c r="B315" s="4" t="s">
        <v>1683</v>
      </c>
    </row>
    <row r="316" spans="1:2" ht="13.2" x14ac:dyDescent="0.25">
      <c r="A316" s="3" t="s">
        <v>201</v>
      </c>
      <c r="B316" s="4" t="s">
        <v>1683</v>
      </c>
    </row>
    <row r="317" spans="1:2" ht="13.2" x14ac:dyDescent="0.25">
      <c r="A317" s="3" t="s">
        <v>206</v>
      </c>
      <c r="B317" s="4" t="s">
        <v>1683</v>
      </c>
    </row>
    <row r="318" spans="1:2" ht="13.2" x14ac:dyDescent="0.25">
      <c r="A318" s="3" t="s">
        <v>202</v>
      </c>
      <c r="B318" s="4" t="s">
        <v>1682</v>
      </c>
    </row>
    <row r="319" spans="1:2" ht="13.2" x14ac:dyDescent="0.25">
      <c r="A319" s="3" t="s">
        <v>348</v>
      </c>
      <c r="B319" s="4" t="s">
        <v>1682</v>
      </c>
    </row>
    <row r="320" spans="1:2" ht="13.2" x14ac:dyDescent="0.25">
      <c r="A320" s="3" t="s">
        <v>220</v>
      </c>
      <c r="B320" s="4" t="s">
        <v>1683</v>
      </c>
    </row>
    <row r="321" spans="1:2" ht="13.2" x14ac:dyDescent="0.25">
      <c r="A321" s="3" t="s">
        <v>349</v>
      </c>
      <c r="B321" s="4" t="s">
        <v>1682</v>
      </c>
    </row>
    <row r="322" spans="1:2" ht="13.2" x14ac:dyDescent="0.25">
      <c r="A322" s="3" t="s">
        <v>56</v>
      </c>
      <c r="B322" s="4" t="s">
        <v>1683</v>
      </c>
    </row>
    <row r="323" spans="1:2" ht="13.2" x14ac:dyDescent="0.25">
      <c r="A323" s="3" t="s">
        <v>138</v>
      </c>
      <c r="B323" s="4" t="s">
        <v>1682</v>
      </c>
    </row>
    <row r="324" spans="1:2" ht="13.2" x14ac:dyDescent="0.25">
      <c r="A324" s="3" t="s">
        <v>57</v>
      </c>
      <c r="B324" s="4" t="s">
        <v>1682</v>
      </c>
    </row>
    <row r="325" spans="1:2" ht="13.2" x14ac:dyDescent="0.25">
      <c r="A325" s="3" t="s">
        <v>292</v>
      </c>
      <c r="B325" s="4" t="s">
        <v>1683</v>
      </c>
    </row>
    <row r="326" spans="1:2" ht="13.2" x14ac:dyDescent="0.25">
      <c r="A326" s="3" t="s">
        <v>351</v>
      </c>
      <c r="B326" s="4" t="s">
        <v>1682</v>
      </c>
    </row>
    <row r="327" spans="1:2" ht="13.2" x14ac:dyDescent="0.25">
      <c r="A327" s="3" t="s">
        <v>352</v>
      </c>
      <c r="B327" s="4" t="s">
        <v>1682</v>
      </c>
    </row>
    <row r="328" spans="1:2" ht="13.2" x14ac:dyDescent="0.25">
      <c r="A328" s="3" t="s">
        <v>221</v>
      </c>
      <c r="B328" s="4" t="s">
        <v>1682</v>
      </c>
    </row>
    <row r="329" spans="1:2" ht="13.2" x14ac:dyDescent="0.25">
      <c r="A329" s="3" t="s">
        <v>353</v>
      </c>
      <c r="B329" s="4" t="s">
        <v>1682</v>
      </c>
    </row>
    <row r="330" spans="1:2" ht="13.2" x14ac:dyDescent="0.25">
      <c r="A330" s="3" t="s">
        <v>312</v>
      </c>
      <c r="B330" s="4" t="s">
        <v>1682</v>
      </c>
    </row>
    <row r="331" spans="1:2" ht="13.2" x14ac:dyDescent="0.25">
      <c r="A331" s="3" t="s">
        <v>354</v>
      </c>
      <c r="B331" s="4" t="s">
        <v>1682</v>
      </c>
    </row>
    <row r="332" spans="1:2" ht="13.2" x14ac:dyDescent="0.25">
      <c r="A332" s="3" t="s">
        <v>355</v>
      </c>
      <c r="B332" s="4" t="s">
        <v>1682</v>
      </c>
    </row>
    <row r="333" spans="1:2" ht="13.2" x14ac:dyDescent="0.25">
      <c r="A333" s="3" t="s">
        <v>197</v>
      </c>
      <c r="B333" s="4" t="s">
        <v>1683</v>
      </c>
    </row>
    <row r="334" spans="1:2" ht="13.2" x14ac:dyDescent="0.25">
      <c r="A334" s="3" t="s">
        <v>356</v>
      </c>
      <c r="B334" s="4" t="s">
        <v>1682</v>
      </c>
    </row>
    <row r="335" spans="1:2" ht="13.2" x14ac:dyDescent="0.25">
      <c r="A335" s="3" t="s">
        <v>357</v>
      </c>
      <c r="B335" s="4" t="s">
        <v>1682</v>
      </c>
    </row>
    <row r="336" spans="1:2" ht="13.2" x14ac:dyDescent="0.25">
      <c r="A336" s="3" t="s">
        <v>358</v>
      </c>
      <c r="B336" s="4" t="s">
        <v>1683</v>
      </c>
    </row>
    <row r="337" spans="1:2" ht="13.2" x14ac:dyDescent="0.25">
      <c r="A337" s="3" t="s">
        <v>293</v>
      </c>
      <c r="B337" s="4" t="s">
        <v>1683</v>
      </c>
    </row>
    <row r="338" spans="1:2" ht="13.2" x14ac:dyDescent="0.25">
      <c r="A338" s="3" t="s">
        <v>359</v>
      </c>
      <c r="B338" s="4" t="s">
        <v>1683</v>
      </c>
    </row>
    <row r="339" spans="1:2" ht="13.2" x14ac:dyDescent="0.25">
      <c r="A339" s="3" t="s">
        <v>360</v>
      </c>
      <c r="B339" s="4" t="s">
        <v>1683</v>
      </c>
    </row>
    <row r="340" spans="1:2" ht="13.2" x14ac:dyDescent="0.25">
      <c r="A340" s="3" t="s">
        <v>361</v>
      </c>
      <c r="B340" s="4" t="s">
        <v>1682</v>
      </c>
    </row>
    <row r="341" spans="1:2" ht="13.2" x14ac:dyDescent="0.25">
      <c r="A341" s="3" t="s">
        <v>364</v>
      </c>
      <c r="B341" s="4" t="s">
        <v>1683</v>
      </c>
    </row>
    <row r="342" spans="1:2" ht="13.2" x14ac:dyDescent="0.25">
      <c r="A342" s="3" t="s">
        <v>286</v>
      </c>
      <c r="B342" s="4" t="s">
        <v>1683</v>
      </c>
    </row>
    <row r="343" spans="1:2" ht="13.2" x14ac:dyDescent="0.25">
      <c r="A343" s="3" t="s">
        <v>365</v>
      </c>
      <c r="B343" s="4" t="s">
        <v>1682</v>
      </c>
    </row>
    <row r="344" spans="1:2" ht="13.2" x14ac:dyDescent="0.25">
      <c r="A344" s="3" t="s">
        <v>366</v>
      </c>
      <c r="B344" s="4" t="s">
        <v>1682</v>
      </c>
    </row>
    <row r="345" spans="1:2" ht="13.2" x14ac:dyDescent="0.25">
      <c r="A345" s="3" t="s">
        <v>367</v>
      </c>
      <c r="B345" s="4" t="s">
        <v>1682</v>
      </c>
    </row>
    <row r="346" spans="1:2" ht="13.2" x14ac:dyDescent="0.25">
      <c r="A346" s="3" t="s">
        <v>368</v>
      </c>
      <c r="B346" s="4" t="s">
        <v>1682</v>
      </c>
    </row>
    <row r="347" spans="1:2" ht="13.2" x14ac:dyDescent="0.25">
      <c r="A347" s="3" t="s">
        <v>369</v>
      </c>
      <c r="B347" s="4" t="s">
        <v>1682</v>
      </c>
    </row>
    <row r="348" spans="1:2" ht="13.2" x14ac:dyDescent="0.25">
      <c r="A348" s="3" t="s">
        <v>370</v>
      </c>
      <c r="B348" s="4" t="s">
        <v>1682</v>
      </c>
    </row>
    <row r="349" spans="1:2" ht="13.2" x14ac:dyDescent="0.25">
      <c r="A349" s="3" t="s">
        <v>371</v>
      </c>
      <c r="B349" s="4" t="s">
        <v>1682</v>
      </c>
    </row>
    <row r="350" spans="1:2" ht="13.2" x14ac:dyDescent="0.25">
      <c r="A350" s="3" t="s">
        <v>374</v>
      </c>
      <c r="B350" s="4" t="s">
        <v>1682</v>
      </c>
    </row>
    <row r="351" spans="1:2" ht="13.2" x14ac:dyDescent="0.25">
      <c r="A351" s="3" t="s">
        <v>350</v>
      </c>
      <c r="B351" s="4" t="s">
        <v>1682</v>
      </c>
    </row>
    <row r="352" spans="1:2" ht="13.2" x14ac:dyDescent="0.25">
      <c r="A352" s="3" t="s">
        <v>375</v>
      </c>
      <c r="B352" s="4" t="s">
        <v>1682</v>
      </c>
    </row>
    <row r="353" spans="1:2" ht="13.2" x14ac:dyDescent="0.25">
      <c r="A353" s="3" t="s">
        <v>376</v>
      </c>
      <c r="B353" s="4" t="s">
        <v>1682</v>
      </c>
    </row>
    <row r="354" spans="1:2" ht="13.2" x14ac:dyDescent="0.25">
      <c r="A354" s="3" t="s">
        <v>372</v>
      </c>
      <c r="B354" s="4" t="s">
        <v>1682</v>
      </c>
    </row>
    <row r="355" spans="1:2" ht="13.2" x14ac:dyDescent="0.25">
      <c r="A355" s="3" t="s">
        <v>261</v>
      </c>
      <c r="B355" s="4" t="s">
        <v>1683</v>
      </c>
    </row>
    <row r="356" spans="1:2" ht="13.2" x14ac:dyDescent="0.25">
      <c r="A356" s="3" t="s">
        <v>262</v>
      </c>
      <c r="B356" s="4" t="s">
        <v>1683</v>
      </c>
    </row>
    <row r="357" spans="1:2" ht="13.2" x14ac:dyDescent="0.25">
      <c r="A357" s="3" t="s">
        <v>263</v>
      </c>
      <c r="B357" s="4" t="s">
        <v>1683</v>
      </c>
    </row>
    <row r="358" spans="1:2" ht="13.2" x14ac:dyDescent="0.25">
      <c r="A358" s="3" t="s">
        <v>377</v>
      </c>
      <c r="B358" s="4" t="s">
        <v>1682</v>
      </c>
    </row>
    <row r="359" spans="1:2" ht="13.2" x14ac:dyDescent="0.25">
      <c r="A359" s="3" t="s">
        <v>378</v>
      </c>
      <c r="B359" s="4" t="s">
        <v>1682</v>
      </c>
    </row>
    <row r="360" spans="1:2" ht="13.2" x14ac:dyDescent="0.25">
      <c r="A360" s="3" t="s">
        <v>379</v>
      </c>
      <c r="B360" s="4" t="s">
        <v>1682</v>
      </c>
    </row>
    <row r="361" spans="1:2" ht="13.2" x14ac:dyDescent="0.25">
      <c r="A361" s="3" t="s">
        <v>296</v>
      </c>
      <c r="B361" s="4" t="s">
        <v>1683</v>
      </c>
    </row>
    <row r="362" spans="1:2" ht="13.2" x14ac:dyDescent="0.25">
      <c r="A362" s="3" t="s">
        <v>298</v>
      </c>
      <c r="B362" s="4" t="s">
        <v>1682</v>
      </c>
    </row>
    <row r="363" spans="1:2" ht="13.2" x14ac:dyDescent="0.25">
      <c r="A363" s="3" t="s">
        <v>53</v>
      </c>
      <c r="B363" s="4" t="s">
        <v>1682</v>
      </c>
    </row>
    <row r="364" spans="1:2" ht="13.2" x14ac:dyDescent="0.25">
      <c r="A364" s="3" t="s">
        <v>362</v>
      </c>
      <c r="B364" s="4" t="s">
        <v>1682</v>
      </c>
    </row>
    <row r="365" spans="1:2" ht="13.2" x14ac:dyDescent="0.25">
      <c r="A365" s="3" t="s">
        <v>35</v>
      </c>
      <c r="B365" s="4" t="s">
        <v>1682</v>
      </c>
    </row>
    <row r="366" spans="1:2" ht="13.2" x14ac:dyDescent="0.25">
      <c r="A366" s="3" t="s">
        <v>338</v>
      </c>
      <c r="B366" s="4" t="s">
        <v>1683</v>
      </c>
    </row>
    <row r="367" spans="1:2" ht="13.2" x14ac:dyDescent="0.25">
      <c r="A367" s="3" t="s">
        <v>380</v>
      </c>
      <c r="B367" s="4" t="s">
        <v>1683</v>
      </c>
    </row>
    <row r="368" spans="1:2" ht="13.2" x14ac:dyDescent="0.25">
      <c r="A368" s="3" t="s">
        <v>381</v>
      </c>
      <c r="B368" s="4" t="s">
        <v>1683</v>
      </c>
    </row>
    <row r="369" spans="1:2" ht="13.2" x14ac:dyDescent="0.25">
      <c r="A369" s="3" t="s">
        <v>382</v>
      </c>
      <c r="B369" s="4" t="s">
        <v>1682</v>
      </c>
    </row>
    <row r="370" spans="1:2" ht="13.2" x14ac:dyDescent="0.25">
      <c r="A370" s="3" t="s">
        <v>383</v>
      </c>
      <c r="B370" s="4" t="s">
        <v>1682</v>
      </c>
    </row>
    <row r="371" spans="1:2" ht="13.2" x14ac:dyDescent="0.25">
      <c r="A371" s="3" t="s">
        <v>384</v>
      </c>
      <c r="B371" s="4" t="s">
        <v>1683</v>
      </c>
    </row>
    <row r="372" spans="1:2" ht="13.2" x14ac:dyDescent="0.25">
      <c r="A372" s="3" t="s">
        <v>363</v>
      </c>
      <c r="B372" s="4" t="s">
        <v>1683</v>
      </c>
    </row>
    <row r="373" spans="1:2" ht="13.2" x14ac:dyDescent="0.25">
      <c r="A373" s="3" t="s">
        <v>288</v>
      </c>
      <c r="B373" s="4" t="s">
        <v>1682</v>
      </c>
    </row>
    <row r="374" spans="1:2" ht="13.2" x14ac:dyDescent="0.25">
      <c r="A374" s="3" t="s">
        <v>385</v>
      </c>
      <c r="B374" s="4" t="s">
        <v>1682</v>
      </c>
    </row>
    <row r="375" spans="1:2" ht="13.2" x14ac:dyDescent="0.25">
      <c r="A375" s="3" t="s">
        <v>386</v>
      </c>
      <c r="B375" s="4" t="s">
        <v>1682</v>
      </c>
    </row>
    <row r="376" spans="1:2" ht="13.2" x14ac:dyDescent="0.25">
      <c r="A376" s="3" t="s">
        <v>387</v>
      </c>
      <c r="B376" s="4" t="s">
        <v>1683</v>
      </c>
    </row>
    <row r="377" spans="1:2" ht="13.2" x14ac:dyDescent="0.25">
      <c r="A377" s="3" t="s">
        <v>162</v>
      </c>
      <c r="B377" s="4" t="s">
        <v>1683</v>
      </c>
    </row>
    <row r="378" spans="1:2" ht="13.2" x14ac:dyDescent="0.25">
      <c r="A378" s="3" t="s">
        <v>58</v>
      </c>
      <c r="B378" s="4" t="s">
        <v>1683</v>
      </c>
    </row>
    <row r="379" spans="1:2" ht="13.2" x14ac:dyDescent="0.25">
      <c r="A379" s="3" t="s">
        <v>388</v>
      </c>
      <c r="B379" s="4" t="s">
        <v>1682</v>
      </c>
    </row>
    <row r="380" spans="1:2" ht="13.2" x14ac:dyDescent="0.25">
      <c r="A380" s="3" t="s">
        <v>264</v>
      </c>
      <c r="B380" s="4" t="s">
        <v>1683</v>
      </c>
    </row>
    <row r="381" spans="1:2" ht="13.2" x14ac:dyDescent="0.25">
      <c r="A381" s="3" t="s">
        <v>81</v>
      </c>
      <c r="B381" s="4" t="s">
        <v>1683</v>
      </c>
    </row>
    <row r="382" spans="1:2" ht="13.2" x14ac:dyDescent="0.25">
      <c r="A382" s="3" t="s">
        <v>389</v>
      </c>
      <c r="B382" s="4" t="s">
        <v>1683</v>
      </c>
    </row>
    <row r="383" spans="1:2" ht="13.2" x14ac:dyDescent="0.25">
      <c r="A383" s="3" t="s">
        <v>248</v>
      </c>
      <c r="B383" s="4" t="s">
        <v>1683</v>
      </c>
    </row>
    <row r="384" spans="1:2" ht="13.2" x14ac:dyDescent="0.25">
      <c r="A384" s="3" t="s">
        <v>59</v>
      </c>
      <c r="B384" s="4" t="s">
        <v>1683</v>
      </c>
    </row>
    <row r="385" spans="1:2" ht="13.2" x14ac:dyDescent="0.25">
      <c r="A385" s="3" t="s">
        <v>390</v>
      </c>
      <c r="B385" s="4" t="s">
        <v>1682</v>
      </c>
    </row>
    <row r="386" spans="1:2" ht="13.2" x14ac:dyDescent="0.25">
      <c r="A386" s="3" t="s">
        <v>287</v>
      </c>
      <c r="B386" s="4" t="s">
        <v>1683</v>
      </c>
    </row>
    <row r="387" spans="1:2" ht="13.2" x14ac:dyDescent="0.25">
      <c r="A387" s="3" t="s">
        <v>391</v>
      </c>
      <c r="B387" s="4" t="s">
        <v>1682</v>
      </c>
    </row>
    <row r="388" spans="1:2" ht="13.2" x14ac:dyDescent="0.25">
      <c r="A388" s="3" t="s">
        <v>152</v>
      </c>
      <c r="B388" s="4" t="s">
        <v>1683</v>
      </c>
    </row>
    <row r="389" spans="1:2" ht="13.2" x14ac:dyDescent="0.25">
      <c r="A389" s="3" t="s">
        <v>148</v>
      </c>
      <c r="B389" s="4" t="s">
        <v>1682</v>
      </c>
    </row>
    <row r="390" spans="1:2" ht="13.2" x14ac:dyDescent="0.25">
      <c r="A390" s="3" t="s">
        <v>373</v>
      </c>
      <c r="B390" s="4" t="s">
        <v>1683</v>
      </c>
    </row>
    <row r="391" spans="1:2" ht="13.2" x14ac:dyDescent="0.25">
      <c r="A391" s="3" t="s">
        <v>392</v>
      </c>
      <c r="B391" s="4" t="s">
        <v>1682</v>
      </c>
    </row>
    <row r="392" spans="1:2" ht="13.2" x14ac:dyDescent="0.25">
      <c r="A392" s="3" t="s">
        <v>393</v>
      </c>
      <c r="B392" s="4" t="s">
        <v>1683</v>
      </c>
    </row>
    <row r="393" spans="1:2" ht="13.2" x14ac:dyDescent="0.25">
      <c r="A393" s="3" t="s">
        <v>394</v>
      </c>
      <c r="B393" s="4" t="s">
        <v>1682</v>
      </c>
    </row>
    <row r="394" spans="1:2" ht="13.2" x14ac:dyDescent="0.25">
      <c r="A394" s="3" t="s">
        <v>395</v>
      </c>
      <c r="B394" s="4" t="s">
        <v>1682</v>
      </c>
    </row>
    <row r="395" spans="1:2" ht="13.2" x14ac:dyDescent="0.25">
      <c r="A395" s="3" t="s">
        <v>396</v>
      </c>
      <c r="B395" s="4" t="s">
        <v>1682</v>
      </c>
    </row>
    <row r="396" spans="1:2" ht="26.4" x14ac:dyDescent="0.25">
      <c r="A396" s="3" t="s">
        <v>397</v>
      </c>
      <c r="B396" s="4" t="s">
        <v>1684</v>
      </c>
    </row>
    <row r="397" spans="1:2" ht="13.2" x14ac:dyDescent="0.25">
      <c r="A397" s="3" t="s">
        <v>398</v>
      </c>
      <c r="B397" s="4" t="s">
        <v>1682</v>
      </c>
    </row>
    <row r="398" spans="1:2" ht="13.2" x14ac:dyDescent="0.25">
      <c r="A398" s="3" t="s">
        <v>399</v>
      </c>
      <c r="B398" s="4" t="s">
        <v>1682</v>
      </c>
    </row>
    <row r="399" spans="1:2" ht="13.2" x14ac:dyDescent="0.25">
      <c r="A399" s="3" t="s">
        <v>400</v>
      </c>
      <c r="B399" s="4" t="s">
        <v>1682</v>
      </c>
    </row>
    <row r="400" spans="1:2" ht="13.2" x14ac:dyDescent="0.25">
      <c r="A400" s="3" t="s">
        <v>401</v>
      </c>
      <c r="B400" s="4" t="s">
        <v>1682</v>
      </c>
    </row>
    <row r="401" spans="1:2" ht="13.2" x14ac:dyDescent="0.25">
      <c r="A401" s="3" t="s">
        <v>111</v>
      </c>
      <c r="B401" s="4" t="s">
        <v>1682</v>
      </c>
    </row>
    <row r="402" spans="1:2" ht="13.2" x14ac:dyDescent="0.25">
      <c r="A402" s="3" t="s">
        <v>402</v>
      </c>
      <c r="B402" s="4" t="s">
        <v>1682</v>
      </c>
    </row>
    <row r="403" spans="1:2" ht="13.2" x14ac:dyDescent="0.25">
      <c r="A403" s="3" t="s">
        <v>403</v>
      </c>
      <c r="B403" s="1"/>
    </row>
    <row r="404" spans="1:2" ht="13.2" x14ac:dyDescent="0.25">
      <c r="A404" s="3" t="s">
        <v>404</v>
      </c>
      <c r="B404" s="1"/>
    </row>
    <row r="405" spans="1:2" ht="13.2" x14ac:dyDescent="0.25">
      <c r="A405" s="3" t="s">
        <v>405</v>
      </c>
      <c r="B405" s="1"/>
    </row>
    <row r="406" spans="1:2" ht="13.2" x14ac:dyDescent="0.25">
      <c r="A406" s="3" t="s">
        <v>406</v>
      </c>
      <c r="B406" s="1"/>
    </row>
    <row r="407" spans="1:2" ht="13.2" x14ac:dyDescent="0.25">
      <c r="A407" s="3" t="s">
        <v>407</v>
      </c>
      <c r="B407" s="1"/>
    </row>
    <row r="408" spans="1:2" ht="13.2" x14ac:dyDescent="0.25">
      <c r="A408" s="3" t="s">
        <v>408</v>
      </c>
      <c r="B408" s="1"/>
    </row>
    <row r="409" spans="1:2" ht="13.2" x14ac:dyDescent="0.25">
      <c r="A409" s="3" t="s">
        <v>409</v>
      </c>
      <c r="B409" s="1"/>
    </row>
    <row r="410" spans="1:2" ht="13.2" x14ac:dyDescent="0.25">
      <c r="A410" s="3" t="s">
        <v>410</v>
      </c>
      <c r="B410" s="1"/>
    </row>
    <row r="411" spans="1:2" ht="13.2" x14ac:dyDescent="0.25">
      <c r="A411" s="3" t="s">
        <v>411</v>
      </c>
      <c r="B411" s="1"/>
    </row>
    <row r="412" spans="1:2" ht="13.2" x14ac:dyDescent="0.25">
      <c r="A412" s="3" t="s">
        <v>412</v>
      </c>
      <c r="B412" s="1"/>
    </row>
    <row r="413" spans="1:2" ht="13.2" x14ac:dyDescent="0.25">
      <c r="A413" s="3" t="s">
        <v>413</v>
      </c>
      <c r="B413" s="1"/>
    </row>
    <row r="414" spans="1:2" ht="13.2" x14ac:dyDescent="0.25">
      <c r="A414" s="3" t="s">
        <v>414</v>
      </c>
      <c r="B414" s="1"/>
    </row>
    <row r="415" spans="1:2" ht="13.2" x14ac:dyDescent="0.25">
      <c r="A415" s="3" t="s">
        <v>415</v>
      </c>
      <c r="B415" s="1"/>
    </row>
    <row r="416" spans="1:2" ht="13.2" x14ac:dyDescent="0.25">
      <c r="A416" s="3" t="s">
        <v>416</v>
      </c>
      <c r="B416" s="1"/>
    </row>
    <row r="417" spans="1:2" ht="13.2" x14ac:dyDescent="0.25">
      <c r="A417" s="3" t="s">
        <v>417</v>
      </c>
      <c r="B417" s="1"/>
    </row>
    <row r="418" spans="1:2" ht="13.2" x14ac:dyDescent="0.25">
      <c r="A418" s="3" t="s">
        <v>418</v>
      </c>
      <c r="B418" s="1"/>
    </row>
    <row r="419" spans="1:2" ht="13.2" x14ac:dyDescent="0.25">
      <c r="A419" s="3" t="s">
        <v>419</v>
      </c>
      <c r="B419" s="1"/>
    </row>
    <row r="420" spans="1:2" ht="13.2" x14ac:dyDescent="0.25">
      <c r="A420" s="3" t="s">
        <v>420</v>
      </c>
      <c r="B420" s="1"/>
    </row>
    <row r="421" spans="1:2" ht="13.2" x14ac:dyDescent="0.25">
      <c r="A421" s="3" t="s">
        <v>421</v>
      </c>
      <c r="B421" s="1"/>
    </row>
    <row r="422" spans="1:2" ht="13.2" x14ac:dyDescent="0.25">
      <c r="A422" s="3" t="s">
        <v>422</v>
      </c>
      <c r="B422" s="1"/>
    </row>
    <row r="423" spans="1:2" ht="13.2" x14ac:dyDescent="0.25">
      <c r="A423" s="3" t="s">
        <v>423</v>
      </c>
      <c r="B423" s="1"/>
    </row>
    <row r="424" spans="1:2" ht="13.2" x14ac:dyDescent="0.25">
      <c r="A424" s="3" t="s">
        <v>424</v>
      </c>
      <c r="B424" s="1"/>
    </row>
    <row r="425" spans="1:2" ht="13.2" x14ac:dyDescent="0.25">
      <c r="A425" s="3" t="s">
        <v>425</v>
      </c>
      <c r="B425" s="1"/>
    </row>
    <row r="426" spans="1:2" ht="13.2" x14ac:dyDescent="0.25">
      <c r="A426" s="3" t="s">
        <v>426</v>
      </c>
      <c r="B426" s="1"/>
    </row>
    <row r="427" spans="1:2" ht="13.2" x14ac:dyDescent="0.25">
      <c r="A427" s="3" t="s">
        <v>427</v>
      </c>
      <c r="B427" s="1"/>
    </row>
    <row r="428" spans="1:2" ht="13.2" x14ac:dyDescent="0.25">
      <c r="A428" s="3" t="s">
        <v>428</v>
      </c>
      <c r="B428" s="1"/>
    </row>
    <row r="429" spans="1:2" ht="13.2" x14ac:dyDescent="0.25">
      <c r="A429" s="3" t="s">
        <v>429</v>
      </c>
      <c r="B429" s="1"/>
    </row>
    <row r="430" spans="1:2" ht="13.2" x14ac:dyDescent="0.25">
      <c r="A430" s="3" t="s">
        <v>430</v>
      </c>
      <c r="B430" s="1"/>
    </row>
    <row r="431" spans="1:2" ht="13.2" x14ac:dyDescent="0.25">
      <c r="A431" s="3" t="s">
        <v>431</v>
      </c>
      <c r="B431" s="1"/>
    </row>
    <row r="432" spans="1:2" ht="13.2" x14ac:dyDescent="0.25">
      <c r="A432" s="3" t="s">
        <v>432</v>
      </c>
      <c r="B432" s="1"/>
    </row>
    <row r="433" spans="1:2" ht="13.2" x14ac:dyDescent="0.25">
      <c r="A433" s="3" t="s">
        <v>433</v>
      </c>
      <c r="B433" s="1"/>
    </row>
    <row r="434" spans="1:2" ht="13.2" x14ac:dyDescent="0.25">
      <c r="A434" s="3" t="s">
        <v>434</v>
      </c>
      <c r="B434" s="1"/>
    </row>
    <row r="435" spans="1:2" ht="13.2" x14ac:dyDescent="0.25">
      <c r="A435" s="3" t="s">
        <v>435</v>
      </c>
      <c r="B435" s="1"/>
    </row>
    <row r="436" spans="1:2" ht="13.2" x14ac:dyDescent="0.25">
      <c r="A436" s="3" t="s">
        <v>436</v>
      </c>
      <c r="B436" s="1"/>
    </row>
    <row r="437" spans="1:2" ht="13.2" x14ac:dyDescent="0.25">
      <c r="A437" s="3" t="s">
        <v>437</v>
      </c>
      <c r="B437" s="1"/>
    </row>
    <row r="438" spans="1:2" ht="13.2" x14ac:dyDescent="0.25">
      <c r="A438" s="3" t="s">
        <v>438</v>
      </c>
      <c r="B438" s="1"/>
    </row>
    <row r="439" spans="1:2" ht="13.2" x14ac:dyDescent="0.25">
      <c r="A439" s="3" t="s">
        <v>439</v>
      </c>
      <c r="B439" s="1"/>
    </row>
    <row r="440" spans="1:2" ht="13.2" x14ac:dyDescent="0.25">
      <c r="A440" s="3" t="s">
        <v>440</v>
      </c>
      <c r="B440" s="1"/>
    </row>
    <row r="441" spans="1:2" ht="13.2" x14ac:dyDescent="0.25">
      <c r="A441" s="3" t="s">
        <v>441</v>
      </c>
      <c r="B441" s="1"/>
    </row>
    <row r="442" spans="1:2" ht="13.2" x14ac:dyDescent="0.25">
      <c r="A442" s="3" t="s">
        <v>442</v>
      </c>
      <c r="B442" s="1"/>
    </row>
    <row r="443" spans="1:2" ht="13.2" x14ac:dyDescent="0.25">
      <c r="A443" s="3" t="s">
        <v>443</v>
      </c>
      <c r="B443" s="1"/>
    </row>
    <row r="444" spans="1:2" ht="13.2" x14ac:dyDescent="0.25">
      <c r="A444" s="3" t="s">
        <v>444</v>
      </c>
      <c r="B444" s="1"/>
    </row>
    <row r="445" spans="1:2" ht="13.2" x14ac:dyDescent="0.25">
      <c r="A445" s="3" t="s">
        <v>445</v>
      </c>
      <c r="B445" s="1"/>
    </row>
    <row r="446" spans="1:2" ht="13.2" x14ac:dyDescent="0.25">
      <c r="A446" s="3" t="s">
        <v>446</v>
      </c>
      <c r="B446" s="1"/>
    </row>
    <row r="447" spans="1:2" ht="13.2" x14ac:dyDescent="0.25">
      <c r="A447" s="3" t="s">
        <v>447</v>
      </c>
      <c r="B447" s="1"/>
    </row>
    <row r="448" spans="1:2" ht="13.2" x14ac:dyDescent="0.25">
      <c r="A448" s="3" t="s">
        <v>448</v>
      </c>
      <c r="B448" s="1"/>
    </row>
    <row r="449" spans="1:2" ht="13.2" x14ac:dyDescent="0.25">
      <c r="A449" s="3" t="s">
        <v>449</v>
      </c>
      <c r="B449" s="1"/>
    </row>
    <row r="450" spans="1:2" ht="13.2" x14ac:dyDescent="0.25">
      <c r="A450" s="3" t="s">
        <v>450</v>
      </c>
      <c r="B450" s="1"/>
    </row>
    <row r="451" spans="1:2" ht="13.2" x14ac:dyDescent="0.25">
      <c r="A451" s="3" t="s">
        <v>451</v>
      </c>
      <c r="B451" s="1"/>
    </row>
    <row r="452" spans="1:2" ht="13.2" x14ac:dyDescent="0.25">
      <c r="A452" s="3" t="s">
        <v>452</v>
      </c>
      <c r="B452" s="1"/>
    </row>
    <row r="453" spans="1:2" ht="13.2" x14ac:dyDescent="0.25">
      <c r="A453" s="3" t="s">
        <v>453</v>
      </c>
      <c r="B453" s="1"/>
    </row>
    <row r="454" spans="1:2" ht="13.2" x14ac:dyDescent="0.25">
      <c r="A454" s="3" t="s">
        <v>454</v>
      </c>
      <c r="B454" s="1"/>
    </row>
    <row r="455" spans="1:2" ht="13.2" x14ac:dyDescent="0.25">
      <c r="A455" s="3" t="s">
        <v>455</v>
      </c>
      <c r="B455" s="1"/>
    </row>
    <row r="456" spans="1:2" ht="13.2" x14ac:dyDescent="0.25">
      <c r="A456" s="3" t="s">
        <v>456</v>
      </c>
      <c r="B456" s="1"/>
    </row>
    <row r="457" spans="1:2" ht="13.2" x14ac:dyDescent="0.25">
      <c r="A457" s="3" t="s">
        <v>457</v>
      </c>
      <c r="B457" s="1"/>
    </row>
    <row r="458" spans="1:2" ht="13.2" x14ac:dyDescent="0.25">
      <c r="A458" s="3" t="s">
        <v>458</v>
      </c>
      <c r="B458" s="1"/>
    </row>
    <row r="459" spans="1:2" ht="13.2" x14ac:dyDescent="0.25">
      <c r="A459" s="3" t="s">
        <v>459</v>
      </c>
      <c r="B459" s="1"/>
    </row>
    <row r="460" spans="1:2" ht="13.2" x14ac:dyDescent="0.25">
      <c r="A460" s="3" t="s">
        <v>460</v>
      </c>
      <c r="B460" s="1"/>
    </row>
    <row r="461" spans="1:2" ht="13.2" x14ac:dyDescent="0.25">
      <c r="A461" s="3" t="s">
        <v>461</v>
      </c>
      <c r="B461" s="1"/>
    </row>
    <row r="462" spans="1:2" ht="13.2" x14ac:dyDescent="0.25">
      <c r="A462" s="3" t="s">
        <v>462</v>
      </c>
      <c r="B462" s="1"/>
    </row>
    <row r="463" spans="1:2" ht="13.2" x14ac:dyDescent="0.25">
      <c r="A463" s="3" t="s">
        <v>463</v>
      </c>
      <c r="B463" s="1"/>
    </row>
    <row r="464" spans="1:2" ht="13.2" x14ac:dyDescent="0.25">
      <c r="A464" s="3" t="s">
        <v>464</v>
      </c>
      <c r="B464" s="1"/>
    </row>
    <row r="465" spans="1:2" ht="13.2" x14ac:dyDescent="0.25">
      <c r="A465" s="3" t="s">
        <v>465</v>
      </c>
      <c r="B465" s="1"/>
    </row>
    <row r="466" spans="1:2" ht="13.2" x14ac:dyDescent="0.25">
      <c r="A466" s="3" t="s">
        <v>466</v>
      </c>
      <c r="B466" s="1"/>
    </row>
    <row r="467" spans="1:2" ht="13.2" x14ac:dyDescent="0.25">
      <c r="A467" s="3" t="s">
        <v>467</v>
      </c>
      <c r="B467" s="1"/>
    </row>
    <row r="468" spans="1:2" ht="13.2" x14ac:dyDescent="0.25">
      <c r="A468" s="3" t="s">
        <v>468</v>
      </c>
      <c r="B468" s="1"/>
    </row>
    <row r="469" spans="1:2" ht="13.2" x14ac:dyDescent="0.25">
      <c r="A469" s="3" t="s">
        <v>469</v>
      </c>
      <c r="B469" s="1"/>
    </row>
    <row r="470" spans="1:2" ht="13.2" x14ac:dyDescent="0.25">
      <c r="A470" s="3" t="s">
        <v>470</v>
      </c>
      <c r="B470" s="1"/>
    </row>
    <row r="471" spans="1:2" ht="13.2" x14ac:dyDescent="0.25">
      <c r="A471" s="3" t="s">
        <v>471</v>
      </c>
      <c r="B471" s="1"/>
    </row>
    <row r="472" spans="1:2" ht="13.2" x14ac:dyDescent="0.25">
      <c r="A472" s="3" t="s">
        <v>472</v>
      </c>
      <c r="B472" s="1"/>
    </row>
    <row r="473" spans="1:2" ht="13.2" x14ac:dyDescent="0.25">
      <c r="A473" s="3" t="s">
        <v>473</v>
      </c>
      <c r="B473" s="1"/>
    </row>
    <row r="474" spans="1:2" ht="13.2" x14ac:dyDescent="0.25">
      <c r="A474" s="3" t="s">
        <v>474</v>
      </c>
      <c r="B474" s="1"/>
    </row>
    <row r="475" spans="1:2" ht="13.2" x14ac:dyDescent="0.25">
      <c r="A475" s="3" t="s">
        <v>475</v>
      </c>
      <c r="B475" s="1"/>
    </row>
    <row r="476" spans="1:2" ht="13.2" x14ac:dyDescent="0.25">
      <c r="A476" s="3" t="s">
        <v>476</v>
      </c>
      <c r="B476" s="1"/>
    </row>
    <row r="477" spans="1:2" ht="13.2" x14ac:dyDescent="0.25">
      <c r="A477" s="3" t="s">
        <v>477</v>
      </c>
      <c r="B477" s="1"/>
    </row>
    <row r="478" spans="1:2" ht="13.2" x14ac:dyDescent="0.25">
      <c r="A478" s="3" t="s">
        <v>478</v>
      </c>
      <c r="B478" s="1"/>
    </row>
    <row r="479" spans="1:2" ht="13.2" x14ac:dyDescent="0.25">
      <c r="A479" s="3" t="s">
        <v>479</v>
      </c>
      <c r="B479" s="1"/>
    </row>
    <row r="480" spans="1:2" ht="13.2" x14ac:dyDescent="0.25">
      <c r="A480" s="3" t="s">
        <v>480</v>
      </c>
      <c r="B480" s="1"/>
    </row>
    <row r="481" spans="1:2" ht="13.2" x14ac:dyDescent="0.25">
      <c r="A481" s="3" t="s">
        <v>481</v>
      </c>
      <c r="B481" s="1"/>
    </row>
    <row r="482" spans="1:2" ht="13.2" x14ac:dyDescent="0.25">
      <c r="A482" s="3" t="s">
        <v>482</v>
      </c>
      <c r="B482" s="1"/>
    </row>
    <row r="483" spans="1:2" ht="13.2" x14ac:dyDescent="0.25">
      <c r="A483" s="3" t="s">
        <v>483</v>
      </c>
      <c r="B483" s="1"/>
    </row>
    <row r="484" spans="1:2" ht="13.2" x14ac:dyDescent="0.25">
      <c r="A484" s="3" t="s">
        <v>484</v>
      </c>
      <c r="B484" s="1"/>
    </row>
    <row r="485" spans="1:2" ht="13.2" x14ac:dyDescent="0.25">
      <c r="A485" s="3" t="s">
        <v>485</v>
      </c>
      <c r="B485" s="1"/>
    </row>
    <row r="486" spans="1:2" ht="13.2" x14ac:dyDescent="0.25">
      <c r="A486" s="3" t="s">
        <v>486</v>
      </c>
      <c r="B486" s="1"/>
    </row>
    <row r="487" spans="1:2" ht="13.2" x14ac:dyDescent="0.25">
      <c r="A487" s="3" t="s">
        <v>487</v>
      </c>
      <c r="B487" s="1"/>
    </row>
    <row r="488" spans="1:2" ht="13.2" x14ac:dyDescent="0.25">
      <c r="A488" s="3" t="s">
        <v>488</v>
      </c>
      <c r="B488" s="1"/>
    </row>
    <row r="489" spans="1:2" ht="13.2" x14ac:dyDescent="0.25">
      <c r="A489" s="3" t="s">
        <v>489</v>
      </c>
      <c r="B489" s="1"/>
    </row>
    <row r="490" spans="1:2" ht="13.2" x14ac:dyDescent="0.25">
      <c r="A490" s="3" t="s">
        <v>490</v>
      </c>
      <c r="B490" s="1"/>
    </row>
    <row r="491" spans="1:2" ht="13.2" x14ac:dyDescent="0.25">
      <c r="A491" s="3" t="s">
        <v>491</v>
      </c>
      <c r="B491" s="1"/>
    </row>
    <row r="492" spans="1:2" ht="13.2" x14ac:dyDescent="0.25">
      <c r="A492" s="3" t="s">
        <v>492</v>
      </c>
      <c r="B492" s="1"/>
    </row>
    <row r="493" spans="1:2" ht="13.2" x14ac:dyDescent="0.25">
      <c r="A493" s="3" t="s">
        <v>493</v>
      </c>
      <c r="B493" s="1"/>
    </row>
    <row r="494" spans="1:2" ht="13.2" x14ac:dyDescent="0.25">
      <c r="A494" s="3" t="s">
        <v>494</v>
      </c>
      <c r="B494" s="1"/>
    </row>
    <row r="495" spans="1:2" ht="13.2" x14ac:dyDescent="0.25">
      <c r="A495" s="3" t="s">
        <v>495</v>
      </c>
      <c r="B495" s="1"/>
    </row>
    <row r="496" spans="1:2" ht="13.2" x14ac:dyDescent="0.25">
      <c r="A496" s="3" t="s">
        <v>496</v>
      </c>
      <c r="B496" s="1"/>
    </row>
    <row r="497" spans="1:2" ht="13.2" x14ac:dyDescent="0.25">
      <c r="A497" s="3" t="s">
        <v>497</v>
      </c>
      <c r="B497" s="1"/>
    </row>
    <row r="498" spans="1:2" ht="13.2" x14ac:dyDescent="0.25">
      <c r="A498" s="3" t="s">
        <v>498</v>
      </c>
      <c r="B498" s="1"/>
    </row>
    <row r="499" spans="1:2" ht="13.2" x14ac:dyDescent="0.25">
      <c r="A499" s="3" t="s">
        <v>499</v>
      </c>
      <c r="B499" s="1"/>
    </row>
    <row r="500" spans="1:2" ht="13.2" x14ac:dyDescent="0.25">
      <c r="A500" s="3" t="s">
        <v>500</v>
      </c>
      <c r="B500" s="1"/>
    </row>
    <row r="501" spans="1:2" ht="13.2" x14ac:dyDescent="0.25">
      <c r="A501" s="3" t="s">
        <v>501</v>
      </c>
      <c r="B501" s="1"/>
    </row>
    <row r="502" spans="1:2" ht="13.2" x14ac:dyDescent="0.25">
      <c r="A502" s="3" t="s">
        <v>502</v>
      </c>
      <c r="B502" s="1"/>
    </row>
    <row r="503" spans="1:2" ht="13.2" x14ac:dyDescent="0.25">
      <c r="A503" s="3" t="s">
        <v>503</v>
      </c>
      <c r="B503" s="1"/>
    </row>
    <row r="504" spans="1:2" ht="13.2" x14ac:dyDescent="0.25">
      <c r="A504" s="3" t="s">
        <v>504</v>
      </c>
      <c r="B504" s="1"/>
    </row>
    <row r="505" spans="1:2" ht="13.2" x14ac:dyDescent="0.25">
      <c r="A505" s="3" t="s">
        <v>505</v>
      </c>
      <c r="B505" s="1"/>
    </row>
    <row r="506" spans="1:2" ht="13.2" x14ac:dyDescent="0.25">
      <c r="A506" s="3" t="s">
        <v>506</v>
      </c>
      <c r="B506" s="1"/>
    </row>
    <row r="507" spans="1:2" ht="13.2" x14ac:dyDescent="0.25">
      <c r="A507" s="3" t="s">
        <v>507</v>
      </c>
      <c r="B507" s="1"/>
    </row>
    <row r="508" spans="1:2" ht="13.2" x14ac:dyDescent="0.25">
      <c r="A508" s="3" t="s">
        <v>508</v>
      </c>
      <c r="B508" s="1"/>
    </row>
    <row r="509" spans="1:2" ht="13.2" x14ac:dyDescent="0.25">
      <c r="A509" s="3" t="s">
        <v>509</v>
      </c>
      <c r="B509" s="1"/>
    </row>
    <row r="510" spans="1:2" ht="13.2" x14ac:dyDescent="0.25">
      <c r="A510" s="3" t="s">
        <v>510</v>
      </c>
      <c r="B510" s="1"/>
    </row>
    <row r="511" spans="1:2" ht="13.2" x14ac:dyDescent="0.25">
      <c r="A511" s="3" t="s">
        <v>511</v>
      </c>
      <c r="B511" s="1"/>
    </row>
    <row r="512" spans="1:2" ht="13.2" x14ac:dyDescent="0.25">
      <c r="A512" s="3" t="s">
        <v>512</v>
      </c>
      <c r="B512" s="1"/>
    </row>
    <row r="513" spans="1:2" ht="13.2" x14ac:dyDescent="0.25">
      <c r="A513" s="3" t="s">
        <v>513</v>
      </c>
      <c r="B513" s="1"/>
    </row>
    <row r="514" spans="1:2" ht="13.2" x14ac:dyDescent="0.25">
      <c r="A514" s="3" t="s">
        <v>514</v>
      </c>
      <c r="B514" s="1"/>
    </row>
    <row r="515" spans="1:2" ht="13.2" x14ac:dyDescent="0.25">
      <c r="A515" s="3" t="s">
        <v>515</v>
      </c>
      <c r="B515" s="1"/>
    </row>
    <row r="516" spans="1:2" ht="13.2" x14ac:dyDescent="0.25">
      <c r="A516" s="3" t="s">
        <v>516</v>
      </c>
      <c r="B516" s="1"/>
    </row>
    <row r="517" spans="1:2" ht="13.2" x14ac:dyDescent="0.25">
      <c r="A517" s="3" t="s">
        <v>517</v>
      </c>
      <c r="B517" s="1"/>
    </row>
    <row r="518" spans="1:2" ht="13.2" x14ac:dyDescent="0.25">
      <c r="A518" s="3" t="s">
        <v>518</v>
      </c>
      <c r="B518" s="1"/>
    </row>
    <row r="519" spans="1:2" ht="13.2" x14ac:dyDescent="0.25">
      <c r="A519" s="3" t="s">
        <v>519</v>
      </c>
      <c r="B519" s="1"/>
    </row>
    <row r="520" spans="1:2" ht="13.2" x14ac:dyDescent="0.25">
      <c r="A520" s="3" t="s">
        <v>520</v>
      </c>
      <c r="B520" s="1"/>
    </row>
    <row r="521" spans="1:2" ht="13.2" x14ac:dyDescent="0.25">
      <c r="A521" s="3" t="s">
        <v>521</v>
      </c>
      <c r="B521" s="1"/>
    </row>
    <row r="522" spans="1:2" ht="13.2" x14ac:dyDescent="0.25">
      <c r="A522" s="3" t="s">
        <v>522</v>
      </c>
      <c r="B522" s="1"/>
    </row>
    <row r="523" spans="1:2" ht="13.2" x14ac:dyDescent="0.25">
      <c r="A523" s="3" t="s">
        <v>523</v>
      </c>
      <c r="B523" s="1"/>
    </row>
    <row r="524" spans="1:2" ht="13.2" x14ac:dyDescent="0.25">
      <c r="A524" s="3" t="s">
        <v>524</v>
      </c>
      <c r="B524" s="1"/>
    </row>
    <row r="525" spans="1:2" ht="13.2" x14ac:dyDescent="0.25">
      <c r="A525" s="3" t="s">
        <v>525</v>
      </c>
      <c r="B525" s="1"/>
    </row>
    <row r="526" spans="1:2" ht="13.2" x14ac:dyDescent="0.25">
      <c r="A526" s="3" t="s">
        <v>526</v>
      </c>
      <c r="B526" s="1"/>
    </row>
    <row r="527" spans="1:2" ht="13.2" x14ac:dyDescent="0.25">
      <c r="A527" s="3" t="s">
        <v>527</v>
      </c>
      <c r="B527" s="1"/>
    </row>
    <row r="528" spans="1:2" ht="13.2" x14ac:dyDescent="0.25">
      <c r="A528" s="3" t="s">
        <v>528</v>
      </c>
      <c r="B528" s="1"/>
    </row>
    <row r="529" spans="1:2" ht="13.2" x14ac:dyDescent="0.25">
      <c r="A529" s="3" t="s">
        <v>529</v>
      </c>
      <c r="B529" s="1"/>
    </row>
    <row r="530" spans="1:2" ht="13.2" x14ac:dyDescent="0.25">
      <c r="A530" s="3" t="s">
        <v>530</v>
      </c>
      <c r="B530" s="1"/>
    </row>
    <row r="531" spans="1:2" ht="13.2" x14ac:dyDescent="0.25">
      <c r="A531" s="3" t="s">
        <v>531</v>
      </c>
      <c r="B531" s="1"/>
    </row>
    <row r="532" spans="1:2" ht="13.2" x14ac:dyDescent="0.25">
      <c r="A532" s="3" t="s">
        <v>532</v>
      </c>
      <c r="B532" s="1"/>
    </row>
    <row r="533" spans="1:2" ht="13.2" x14ac:dyDescent="0.25">
      <c r="A533" s="3" t="s">
        <v>533</v>
      </c>
      <c r="B533" s="1"/>
    </row>
    <row r="534" spans="1:2" ht="13.2" x14ac:dyDescent="0.25">
      <c r="A534" s="3" t="s">
        <v>534</v>
      </c>
      <c r="B534" s="1"/>
    </row>
    <row r="535" spans="1:2" ht="13.2" x14ac:dyDescent="0.25">
      <c r="A535" s="3" t="s">
        <v>535</v>
      </c>
      <c r="B535" s="1"/>
    </row>
    <row r="536" spans="1:2" ht="13.2" x14ac:dyDescent="0.25">
      <c r="A536" s="3" t="s">
        <v>536</v>
      </c>
      <c r="B536" s="1"/>
    </row>
    <row r="537" spans="1:2" ht="13.2" x14ac:dyDescent="0.25">
      <c r="A537" s="3" t="s">
        <v>537</v>
      </c>
      <c r="B537" s="1"/>
    </row>
    <row r="538" spans="1:2" ht="13.2" x14ac:dyDescent="0.25">
      <c r="A538" s="3" t="s">
        <v>538</v>
      </c>
      <c r="B538" s="1"/>
    </row>
    <row r="539" spans="1:2" ht="13.2" x14ac:dyDescent="0.25">
      <c r="A539" s="3" t="s">
        <v>539</v>
      </c>
      <c r="B539" s="1"/>
    </row>
    <row r="540" spans="1:2" ht="13.2" x14ac:dyDescent="0.25">
      <c r="A540" s="3" t="s">
        <v>540</v>
      </c>
      <c r="B540" s="1"/>
    </row>
    <row r="541" spans="1:2" ht="13.2" x14ac:dyDescent="0.25">
      <c r="A541" s="3" t="s">
        <v>541</v>
      </c>
      <c r="B541" s="1"/>
    </row>
    <row r="542" spans="1:2" ht="13.2" x14ac:dyDescent="0.25">
      <c r="A542" s="3" t="s">
        <v>542</v>
      </c>
      <c r="B542" s="1"/>
    </row>
    <row r="543" spans="1:2" ht="13.2" x14ac:dyDescent="0.25">
      <c r="A543" s="3" t="s">
        <v>543</v>
      </c>
      <c r="B543" s="1"/>
    </row>
    <row r="544" spans="1:2" ht="13.2" x14ac:dyDescent="0.25">
      <c r="A544" s="3" t="s">
        <v>544</v>
      </c>
      <c r="B544" s="1"/>
    </row>
    <row r="545" spans="1:2" ht="13.2" x14ac:dyDescent="0.25">
      <c r="A545" s="3" t="s">
        <v>545</v>
      </c>
      <c r="B545" s="1"/>
    </row>
    <row r="546" spans="1:2" ht="13.2" x14ac:dyDescent="0.25">
      <c r="A546" s="3" t="s">
        <v>546</v>
      </c>
      <c r="B546" s="1"/>
    </row>
    <row r="547" spans="1:2" ht="13.2" x14ac:dyDescent="0.25">
      <c r="A547" s="3" t="s">
        <v>547</v>
      </c>
      <c r="B547" s="1"/>
    </row>
    <row r="548" spans="1:2" ht="13.2" x14ac:dyDescent="0.25">
      <c r="A548" s="3" t="s">
        <v>548</v>
      </c>
      <c r="B548" s="1"/>
    </row>
    <row r="549" spans="1:2" ht="13.2" x14ac:dyDescent="0.25">
      <c r="A549" s="3" t="s">
        <v>549</v>
      </c>
      <c r="B549" s="1"/>
    </row>
    <row r="550" spans="1:2" ht="13.2" x14ac:dyDescent="0.25">
      <c r="A550" s="3" t="s">
        <v>550</v>
      </c>
      <c r="B550" s="1"/>
    </row>
    <row r="551" spans="1:2" ht="13.2" x14ac:dyDescent="0.25">
      <c r="A551" s="3" t="s">
        <v>551</v>
      </c>
      <c r="B551" s="1"/>
    </row>
    <row r="552" spans="1:2" ht="13.2" x14ac:dyDescent="0.25">
      <c r="A552" s="3" t="s">
        <v>552</v>
      </c>
      <c r="B552" s="1"/>
    </row>
    <row r="553" spans="1:2" ht="13.2" x14ac:dyDescent="0.25">
      <c r="A553" s="3" t="s">
        <v>553</v>
      </c>
      <c r="B553" s="1"/>
    </row>
    <row r="554" spans="1:2" ht="13.2" x14ac:dyDescent="0.25">
      <c r="A554" s="3" t="s">
        <v>554</v>
      </c>
      <c r="B554" s="1"/>
    </row>
    <row r="555" spans="1:2" ht="13.2" x14ac:dyDescent="0.25">
      <c r="A555" s="3" t="s">
        <v>555</v>
      </c>
      <c r="B555" s="1"/>
    </row>
    <row r="556" spans="1:2" ht="13.2" x14ac:dyDescent="0.25">
      <c r="A556" s="3" t="s">
        <v>556</v>
      </c>
      <c r="B556" s="1"/>
    </row>
    <row r="557" spans="1:2" ht="13.2" x14ac:dyDescent="0.25">
      <c r="A557" s="3" t="s">
        <v>557</v>
      </c>
      <c r="B557" s="1"/>
    </row>
    <row r="558" spans="1:2" ht="13.2" x14ac:dyDescent="0.25">
      <c r="A558" s="3" t="s">
        <v>558</v>
      </c>
      <c r="B558" s="1"/>
    </row>
    <row r="559" spans="1:2" ht="13.2" x14ac:dyDescent="0.25">
      <c r="A559" s="3" t="s">
        <v>559</v>
      </c>
      <c r="B559" s="1"/>
    </row>
    <row r="560" spans="1:2" ht="13.2" x14ac:dyDescent="0.25">
      <c r="A560" s="3" t="s">
        <v>560</v>
      </c>
      <c r="B560" s="1"/>
    </row>
    <row r="561" spans="1:2" ht="13.2" x14ac:dyDescent="0.25">
      <c r="A561" s="3" t="s">
        <v>561</v>
      </c>
      <c r="B561" s="1"/>
    </row>
    <row r="562" spans="1:2" ht="13.2" x14ac:dyDescent="0.25">
      <c r="A562" s="3" t="s">
        <v>562</v>
      </c>
      <c r="B562" s="1"/>
    </row>
    <row r="563" spans="1:2" ht="13.2" x14ac:dyDescent="0.25">
      <c r="A563" s="3" t="s">
        <v>563</v>
      </c>
      <c r="B563" s="1"/>
    </row>
    <row r="564" spans="1:2" ht="13.2" x14ac:dyDescent="0.25">
      <c r="A564" s="3" t="s">
        <v>564</v>
      </c>
      <c r="B564" s="1"/>
    </row>
    <row r="565" spans="1:2" ht="13.2" x14ac:dyDescent="0.25">
      <c r="A565" s="3" t="s">
        <v>565</v>
      </c>
      <c r="B565" s="1"/>
    </row>
    <row r="566" spans="1:2" ht="13.2" x14ac:dyDescent="0.25">
      <c r="A566" s="3" t="s">
        <v>566</v>
      </c>
      <c r="B566" s="1"/>
    </row>
    <row r="567" spans="1:2" ht="13.2" x14ac:dyDescent="0.25">
      <c r="A567" s="3" t="s">
        <v>567</v>
      </c>
      <c r="B567" s="1"/>
    </row>
    <row r="568" spans="1:2" ht="13.2" x14ac:dyDescent="0.25">
      <c r="A568" s="3" t="s">
        <v>568</v>
      </c>
      <c r="B568" s="1"/>
    </row>
    <row r="569" spans="1:2" ht="13.2" x14ac:dyDescent="0.25">
      <c r="A569" s="3" t="s">
        <v>569</v>
      </c>
      <c r="B569" s="1"/>
    </row>
    <row r="570" spans="1:2" ht="13.2" x14ac:dyDescent="0.25">
      <c r="A570" s="3" t="s">
        <v>570</v>
      </c>
      <c r="B570" s="1"/>
    </row>
    <row r="571" spans="1:2" ht="13.2" x14ac:dyDescent="0.25">
      <c r="A571" s="3" t="s">
        <v>571</v>
      </c>
      <c r="B571" s="1"/>
    </row>
    <row r="572" spans="1:2" ht="13.2" x14ac:dyDescent="0.25">
      <c r="A572" s="3" t="s">
        <v>572</v>
      </c>
      <c r="B572" s="1"/>
    </row>
    <row r="573" spans="1:2" ht="13.2" x14ac:dyDescent="0.25">
      <c r="A573" s="3" t="s">
        <v>573</v>
      </c>
      <c r="B573" s="1"/>
    </row>
    <row r="574" spans="1:2" ht="13.2" x14ac:dyDescent="0.25">
      <c r="A574" s="3" t="s">
        <v>574</v>
      </c>
      <c r="B574" s="1"/>
    </row>
    <row r="575" spans="1:2" ht="13.2" x14ac:dyDescent="0.25">
      <c r="A575" s="3" t="s">
        <v>575</v>
      </c>
      <c r="B575" s="1"/>
    </row>
    <row r="576" spans="1:2" ht="13.2" x14ac:dyDescent="0.25">
      <c r="A576" s="3" t="s">
        <v>576</v>
      </c>
      <c r="B576" s="1"/>
    </row>
    <row r="577" spans="1:2" ht="13.2" x14ac:dyDescent="0.25">
      <c r="A577" s="3" t="s">
        <v>577</v>
      </c>
      <c r="B577" s="1"/>
    </row>
    <row r="578" spans="1:2" ht="13.2" x14ac:dyDescent="0.25">
      <c r="A578" s="3" t="s">
        <v>578</v>
      </c>
      <c r="B578" s="1"/>
    </row>
    <row r="579" spans="1:2" ht="13.2" x14ac:dyDescent="0.25">
      <c r="A579" s="3" t="s">
        <v>579</v>
      </c>
      <c r="B579" s="1"/>
    </row>
    <row r="580" spans="1:2" ht="13.2" x14ac:dyDescent="0.25">
      <c r="A580" s="3" t="s">
        <v>580</v>
      </c>
      <c r="B580" s="1"/>
    </row>
    <row r="581" spans="1:2" ht="13.2" x14ac:dyDescent="0.25">
      <c r="A581" s="3" t="s">
        <v>581</v>
      </c>
      <c r="B581" s="1"/>
    </row>
    <row r="582" spans="1:2" ht="13.2" x14ac:dyDescent="0.25">
      <c r="A582" s="3" t="s">
        <v>582</v>
      </c>
      <c r="B582" s="1"/>
    </row>
    <row r="583" spans="1:2" ht="13.2" x14ac:dyDescent="0.25">
      <c r="A583" s="3" t="s">
        <v>583</v>
      </c>
      <c r="B583" s="1"/>
    </row>
    <row r="584" spans="1:2" ht="13.2" x14ac:dyDescent="0.25">
      <c r="A584" s="3" t="s">
        <v>584</v>
      </c>
      <c r="B584" s="1"/>
    </row>
    <row r="585" spans="1:2" ht="13.2" x14ac:dyDescent="0.25">
      <c r="A585" s="3" t="s">
        <v>585</v>
      </c>
      <c r="B585" s="1"/>
    </row>
    <row r="586" spans="1:2" ht="13.2" x14ac:dyDescent="0.25">
      <c r="A586" s="3" t="s">
        <v>586</v>
      </c>
      <c r="B586" s="1"/>
    </row>
    <row r="587" spans="1:2" ht="13.2" x14ac:dyDescent="0.25">
      <c r="A587" s="3" t="s">
        <v>587</v>
      </c>
      <c r="B587" s="1"/>
    </row>
    <row r="588" spans="1:2" ht="13.2" x14ac:dyDescent="0.25">
      <c r="A588" s="3" t="s">
        <v>588</v>
      </c>
      <c r="B588" s="1"/>
    </row>
    <row r="589" spans="1:2" ht="13.2" x14ac:dyDescent="0.25">
      <c r="A589" s="3" t="s">
        <v>589</v>
      </c>
      <c r="B589" s="1"/>
    </row>
    <row r="590" spans="1:2" ht="13.2" x14ac:dyDescent="0.25">
      <c r="A590" s="3" t="s">
        <v>590</v>
      </c>
      <c r="B590" s="1"/>
    </row>
    <row r="591" spans="1:2" ht="18" customHeight="1" x14ac:dyDescent="0.25">
      <c r="A591" s="3" t="s">
        <v>591</v>
      </c>
      <c r="B591" s="1"/>
    </row>
    <row r="592" spans="1:2" ht="13.2" x14ac:dyDescent="0.25">
      <c r="A592" s="3" t="s">
        <v>592</v>
      </c>
      <c r="B592" s="1"/>
    </row>
    <row r="593" spans="1:2" ht="13.2" x14ac:dyDescent="0.25">
      <c r="A593" s="3" t="s">
        <v>593</v>
      </c>
      <c r="B593" s="1"/>
    </row>
    <row r="594" spans="1:2" ht="13.2" x14ac:dyDescent="0.25">
      <c r="A594" s="3" t="s">
        <v>594</v>
      </c>
      <c r="B594" s="1"/>
    </row>
    <row r="595" spans="1:2" ht="13.2" x14ac:dyDescent="0.25">
      <c r="A595" s="3" t="s">
        <v>595</v>
      </c>
      <c r="B595" s="1"/>
    </row>
    <row r="596" spans="1:2" ht="13.2" x14ac:dyDescent="0.25">
      <c r="A596" s="3" t="s">
        <v>596</v>
      </c>
      <c r="B596" s="1"/>
    </row>
    <row r="597" spans="1:2" ht="13.2" x14ac:dyDescent="0.25">
      <c r="A597" s="3" t="s">
        <v>597</v>
      </c>
      <c r="B597" s="1"/>
    </row>
    <row r="598" spans="1:2" ht="13.2" x14ac:dyDescent="0.25">
      <c r="A598" s="3" t="s">
        <v>598</v>
      </c>
      <c r="B598" s="1"/>
    </row>
    <row r="599" spans="1:2" ht="13.2" x14ac:dyDescent="0.25">
      <c r="A599" s="3" t="s">
        <v>599</v>
      </c>
      <c r="B599" s="1"/>
    </row>
    <row r="600" spans="1:2" ht="13.2" x14ac:dyDescent="0.25">
      <c r="A600" s="3" t="s">
        <v>600</v>
      </c>
      <c r="B600" s="1"/>
    </row>
    <row r="601" spans="1:2" ht="13.2" x14ac:dyDescent="0.25">
      <c r="A601" s="3" t="s">
        <v>601</v>
      </c>
      <c r="B601" s="1"/>
    </row>
    <row r="602" spans="1:2" ht="13.2" x14ac:dyDescent="0.25">
      <c r="A602" s="3" t="s">
        <v>602</v>
      </c>
      <c r="B602" s="1"/>
    </row>
    <row r="603" spans="1:2" ht="13.2" x14ac:dyDescent="0.25">
      <c r="A603" s="3" t="s">
        <v>603</v>
      </c>
      <c r="B603" s="1"/>
    </row>
    <row r="604" spans="1:2" ht="13.2" x14ac:dyDescent="0.25">
      <c r="A604" s="3" t="s">
        <v>604</v>
      </c>
      <c r="B604" s="1"/>
    </row>
    <row r="605" spans="1:2" ht="13.2" x14ac:dyDescent="0.25">
      <c r="A605" s="3" t="s">
        <v>605</v>
      </c>
      <c r="B605" s="1"/>
    </row>
    <row r="606" spans="1:2" ht="13.2" x14ac:dyDescent="0.25">
      <c r="A606" s="3" t="s">
        <v>606</v>
      </c>
      <c r="B606" s="1"/>
    </row>
    <row r="607" spans="1:2" ht="13.2" x14ac:dyDescent="0.25">
      <c r="A607" s="3" t="s">
        <v>607</v>
      </c>
      <c r="B607" s="1"/>
    </row>
    <row r="608" spans="1:2" ht="13.2" x14ac:dyDescent="0.25">
      <c r="A608" s="3" t="s">
        <v>608</v>
      </c>
      <c r="B608" s="1"/>
    </row>
    <row r="609" spans="1:2" ht="13.2" x14ac:dyDescent="0.25">
      <c r="A609" s="3" t="s">
        <v>609</v>
      </c>
      <c r="B609" s="1"/>
    </row>
    <row r="610" spans="1:2" ht="13.2" x14ac:dyDescent="0.25">
      <c r="A610" s="3" t="s">
        <v>610</v>
      </c>
      <c r="B610" s="1"/>
    </row>
    <row r="611" spans="1:2" ht="13.2" x14ac:dyDescent="0.25">
      <c r="A611" s="3" t="s">
        <v>611</v>
      </c>
      <c r="B611" s="1"/>
    </row>
    <row r="612" spans="1:2" ht="13.2" x14ac:dyDescent="0.25">
      <c r="A612" s="3" t="s">
        <v>612</v>
      </c>
      <c r="B612" s="1"/>
    </row>
    <row r="613" spans="1:2" ht="13.2" x14ac:dyDescent="0.25">
      <c r="A613" s="3" t="s">
        <v>613</v>
      </c>
      <c r="B613" s="1"/>
    </row>
    <row r="614" spans="1:2" ht="13.2" x14ac:dyDescent="0.25">
      <c r="A614" s="3" t="s">
        <v>614</v>
      </c>
      <c r="B614" s="1"/>
    </row>
    <row r="615" spans="1:2" ht="13.2" x14ac:dyDescent="0.25">
      <c r="A615" s="3" t="s">
        <v>615</v>
      </c>
      <c r="B615" s="1"/>
    </row>
    <row r="616" spans="1:2" ht="13.2" x14ac:dyDescent="0.25">
      <c r="A616" s="3" t="s">
        <v>616</v>
      </c>
      <c r="B616" s="1"/>
    </row>
    <row r="617" spans="1:2" ht="13.2" x14ac:dyDescent="0.25">
      <c r="A617" s="3" t="s">
        <v>617</v>
      </c>
      <c r="B617" s="1"/>
    </row>
    <row r="618" spans="1:2" ht="13.2" x14ac:dyDescent="0.25">
      <c r="A618" s="3" t="s">
        <v>618</v>
      </c>
      <c r="B618" s="1"/>
    </row>
    <row r="619" spans="1:2" ht="13.2" x14ac:dyDescent="0.25">
      <c r="A619" s="3" t="s">
        <v>619</v>
      </c>
      <c r="B619" s="1"/>
    </row>
    <row r="620" spans="1:2" ht="13.2" x14ac:dyDescent="0.25">
      <c r="A620" s="3" t="s">
        <v>620</v>
      </c>
      <c r="B620" s="1"/>
    </row>
    <row r="621" spans="1:2" ht="13.2" x14ac:dyDescent="0.25">
      <c r="A621" s="3" t="s">
        <v>621</v>
      </c>
      <c r="B621" s="1"/>
    </row>
    <row r="622" spans="1:2" ht="13.2" x14ac:dyDescent="0.25">
      <c r="A622" s="3" t="s">
        <v>622</v>
      </c>
      <c r="B622" s="1"/>
    </row>
    <row r="623" spans="1:2" ht="13.2" x14ac:dyDescent="0.25">
      <c r="A623" s="3" t="s">
        <v>623</v>
      </c>
      <c r="B623" s="1"/>
    </row>
    <row r="624" spans="1:2" ht="13.2" x14ac:dyDescent="0.25">
      <c r="A624" s="3" t="s">
        <v>624</v>
      </c>
      <c r="B624" s="1"/>
    </row>
    <row r="625" spans="1:2" ht="13.2" x14ac:dyDescent="0.25">
      <c r="A625" s="3" t="s">
        <v>625</v>
      </c>
      <c r="B625" s="1"/>
    </row>
    <row r="626" spans="1:2" ht="13.2" x14ac:dyDescent="0.25">
      <c r="A626" s="3" t="s">
        <v>626</v>
      </c>
      <c r="B626" s="1"/>
    </row>
    <row r="627" spans="1:2" ht="13.2" x14ac:dyDescent="0.25">
      <c r="A627" s="3" t="s">
        <v>627</v>
      </c>
      <c r="B627" s="1"/>
    </row>
    <row r="628" spans="1:2" ht="13.2" x14ac:dyDescent="0.25">
      <c r="A628" s="3" t="s">
        <v>628</v>
      </c>
      <c r="B628" s="1"/>
    </row>
    <row r="629" spans="1:2" ht="13.2" x14ac:dyDescent="0.25">
      <c r="A629" s="3" t="s">
        <v>629</v>
      </c>
      <c r="B629" s="1"/>
    </row>
    <row r="630" spans="1:2" ht="13.2" x14ac:dyDescent="0.25">
      <c r="A630" s="3" t="s">
        <v>630</v>
      </c>
      <c r="B630" s="1"/>
    </row>
    <row r="631" spans="1:2" ht="13.2" x14ac:dyDescent="0.25">
      <c r="A631" s="3" t="s">
        <v>631</v>
      </c>
      <c r="B631" s="1"/>
    </row>
    <row r="632" spans="1:2" ht="13.2" x14ac:dyDescent="0.25">
      <c r="A632" s="3" t="s">
        <v>632</v>
      </c>
      <c r="B632" s="1"/>
    </row>
    <row r="633" spans="1:2" ht="13.2" x14ac:dyDescent="0.25">
      <c r="A633" s="3" t="s">
        <v>633</v>
      </c>
      <c r="B633" s="1"/>
    </row>
    <row r="634" spans="1:2" ht="13.2" x14ac:dyDescent="0.25">
      <c r="A634" s="3" t="s">
        <v>634</v>
      </c>
      <c r="B634" s="1"/>
    </row>
    <row r="635" spans="1:2" ht="13.2" x14ac:dyDescent="0.25">
      <c r="A635" s="3" t="s">
        <v>635</v>
      </c>
      <c r="B635" s="1"/>
    </row>
    <row r="636" spans="1:2" ht="13.2" x14ac:dyDescent="0.25">
      <c r="A636" s="3" t="s">
        <v>636</v>
      </c>
      <c r="B636" s="1"/>
    </row>
    <row r="637" spans="1:2" ht="13.2" x14ac:dyDescent="0.25">
      <c r="A637" s="3" t="s">
        <v>637</v>
      </c>
      <c r="B637" s="1"/>
    </row>
    <row r="638" spans="1:2" ht="13.2" x14ac:dyDescent="0.25">
      <c r="A638" s="3" t="s">
        <v>638</v>
      </c>
      <c r="B638" s="1"/>
    </row>
    <row r="639" spans="1:2" ht="13.2" x14ac:dyDescent="0.25">
      <c r="A639" s="3" t="s">
        <v>639</v>
      </c>
      <c r="B639" s="1"/>
    </row>
    <row r="640" spans="1:2" ht="13.2" x14ac:dyDescent="0.25">
      <c r="A640" s="3" t="s">
        <v>640</v>
      </c>
      <c r="B640" s="1"/>
    </row>
    <row r="641" spans="1:2" ht="13.2" x14ac:dyDescent="0.25">
      <c r="A641" s="3" t="s">
        <v>641</v>
      </c>
      <c r="B641" s="1"/>
    </row>
    <row r="642" spans="1:2" ht="13.2" x14ac:dyDescent="0.25">
      <c r="A642" s="3" t="s">
        <v>642</v>
      </c>
      <c r="B642" s="1"/>
    </row>
    <row r="643" spans="1:2" ht="13.2" x14ac:dyDescent="0.25">
      <c r="A643" s="3" t="s">
        <v>643</v>
      </c>
      <c r="B643" s="1"/>
    </row>
    <row r="644" spans="1:2" ht="13.2" x14ac:dyDescent="0.25">
      <c r="A644" s="3" t="s">
        <v>644</v>
      </c>
      <c r="B644" s="1"/>
    </row>
    <row r="645" spans="1:2" ht="13.2" x14ac:dyDescent="0.25">
      <c r="A645" s="3" t="s">
        <v>645</v>
      </c>
      <c r="B645" s="1"/>
    </row>
    <row r="646" spans="1:2" ht="13.2" x14ac:dyDescent="0.25">
      <c r="A646" s="3" t="s">
        <v>646</v>
      </c>
      <c r="B646" s="1"/>
    </row>
    <row r="647" spans="1:2" ht="13.2" x14ac:dyDescent="0.25">
      <c r="A647" s="3" t="s">
        <v>647</v>
      </c>
      <c r="B647" s="1"/>
    </row>
    <row r="648" spans="1:2" ht="13.2" x14ac:dyDescent="0.25">
      <c r="A648" s="3" t="s">
        <v>648</v>
      </c>
      <c r="B648" s="1"/>
    </row>
    <row r="649" spans="1:2" ht="13.2" x14ac:dyDescent="0.25">
      <c r="A649" s="3" t="s">
        <v>649</v>
      </c>
      <c r="B649" s="1"/>
    </row>
    <row r="650" spans="1:2" ht="13.2" x14ac:dyDescent="0.25">
      <c r="A650" s="3" t="s">
        <v>650</v>
      </c>
      <c r="B650" s="1"/>
    </row>
    <row r="651" spans="1:2" ht="13.2" x14ac:dyDescent="0.25">
      <c r="A651" s="3" t="s">
        <v>651</v>
      </c>
      <c r="B651" s="1"/>
    </row>
    <row r="652" spans="1:2" ht="13.2" x14ac:dyDescent="0.25">
      <c r="A652" s="3" t="s">
        <v>652</v>
      </c>
      <c r="B652" s="1"/>
    </row>
    <row r="653" spans="1:2" ht="13.2" x14ac:dyDescent="0.25">
      <c r="A653" s="3" t="s">
        <v>653</v>
      </c>
      <c r="B653" s="1"/>
    </row>
    <row r="654" spans="1:2" ht="13.2" x14ac:dyDescent="0.25">
      <c r="A654" s="3" t="s">
        <v>654</v>
      </c>
      <c r="B654" s="1"/>
    </row>
    <row r="655" spans="1:2" ht="13.2" x14ac:dyDescent="0.25">
      <c r="A655" s="3" t="s">
        <v>655</v>
      </c>
      <c r="B655" s="1"/>
    </row>
    <row r="656" spans="1:2" ht="13.2" x14ac:dyDescent="0.25">
      <c r="A656" s="3" t="s">
        <v>656</v>
      </c>
      <c r="B656" s="1"/>
    </row>
    <row r="657" spans="1:2" ht="13.2" x14ac:dyDescent="0.25">
      <c r="A657" s="3" t="s">
        <v>657</v>
      </c>
      <c r="B657" s="1"/>
    </row>
    <row r="658" spans="1:2" ht="13.2" x14ac:dyDescent="0.25">
      <c r="A658" s="3" t="s">
        <v>658</v>
      </c>
      <c r="B658" s="1"/>
    </row>
    <row r="659" spans="1:2" ht="13.2" x14ac:dyDescent="0.25">
      <c r="A659" s="3" t="s">
        <v>659</v>
      </c>
      <c r="B659" s="1"/>
    </row>
    <row r="660" spans="1:2" ht="13.2" x14ac:dyDescent="0.25">
      <c r="A660" s="3" t="s">
        <v>660</v>
      </c>
      <c r="B660" s="1"/>
    </row>
    <row r="661" spans="1:2" ht="13.2" x14ac:dyDescent="0.25">
      <c r="A661" s="3" t="s">
        <v>661</v>
      </c>
      <c r="B661" s="1"/>
    </row>
    <row r="662" spans="1:2" ht="13.2" x14ac:dyDescent="0.25">
      <c r="A662" s="3" t="s">
        <v>662</v>
      </c>
      <c r="B662" s="1"/>
    </row>
    <row r="663" spans="1:2" ht="13.2" x14ac:dyDescent="0.25">
      <c r="A663" s="3" t="s">
        <v>663</v>
      </c>
      <c r="B663" s="1"/>
    </row>
    <row r="664" spans="1:2" ht="13.2" x14ac:dyDescent="0.25">
      <c r="A664" s="3" t="s">
        <v>664</v>
      </c>
      <c r="B664" s="1"/>
    </row>
    <row r="665" spans="1:2" ht="13.2" x14ac:dyDescent="0.25">
      <c r="A665" s="3" t="s">
        <v>665</v>
      </c>
      <c r="B665" s="1"/>
    </row>
    <row r="666" spans="1:2" ht="13.2" x14ac:dyDescent="0.25">
      <c r="A666" s="3" t="s">
        <v>666</v>
      </c>
      <c r="B666" s="1"/>
    </row>
    <row r="667" spans="1:2" ht="13.2" x14ac:dyDescent="0.25">
      <c r="A667" s="3" t="s">
        <v>667</v>
      </c>
      <c r="B667" s="1"/>
    </row>
    <row r="668" spans="1:2" ht="13.2" x14ac:dyDescent="0.25">
      <c r="A668" s="3" t="s">
        <v>668</v>
      </c>
      <c r="B668" s="1"/>
    </row>
    <row r="669" spans="1:2" ht="13.2" x14ac:dyDescent="0.25">
      <c r="A669" s="3" t="s">
        <v>669</v>
      </c>
      <c r="B669" s="1"/>
    </row>
    <row r="670" spans="1:2" ht="13.2" x14ac:dyDescent="0.25">
      <c r="A670" s="3" t="s">
        <v>670</v>
      </c>
      <c r="B670" s="1"/>
    </row>
    <row r="671" spans="1:2" ht="13.2" x14ac:dyDescent="0.25">
      <c r="A671" s="3" t="s">
        <v>671</v>
      </c>
      <c r="B671" s="1"/>
    </row>
    <row r="672" spans="1:2" ht="13.2" x14ac:dyDescent="0.25">
      <c r="A672" s="3" t="s">
        <v>672</v>
      </c>
      <c r="B672" s="1"/>
    </row>
    <row r="673" spans="1:2" ht="13.2" x14ac:dyDescent="0.25">
      <c r="A673" s="3" t="s">
        <v>673</v>
      </c>
      <c r="B673" s="1"/>
    </row>
    <row r="674" spans="1:2" ht="13.2" x14ac:dyDescent="0.25">
      <c r="A674" s="3" t="s">
        <v>674</v>
      </c>
      <c r="B674" s="1"/>
    </row>
    <row r="675" spans="1:2" ht="13.2" x14ac:dyDescent="0.25">
      <c r="A675" s="3" t="s">
        <v>675</v>
      </c>
      <c r="B675" s="1"/>
    </row>
    <row r="676" spans="1:2" ht="13.2" x14ac:dyDescent="0.25">
      <c r="A676" s="3" t="s">
        <v>676</v>
      </c>
      <c r="B676" s="1"/>
    </row>
    <row r="677" spans="1:2" ht="13.2" x14ac:dyDescent="0.25">
      <c r="A677" s="3" t="s">
        <v>677</v>
      </c>
      <c r="B677" s="1"/>
    </row>
    <row r="678" spans="1:2" ht="13.2" x14ac:dyDescent="0.25">
      <c r="A678" s="3" t="s">
        <v>678</v>
      </c>
      <c r="B678" s="1"/>
    </row>
    <row r="679" spans="1:2" ht="13.2" x14ac:dyDescent="0.25">
      <c r="A679" s="3" t="s">
        <v>679</v>
      </c>
      <c r="B679" s="1"/>
    </row>
    <row r="680" spans="1:2" ht="13.2" x14ac:dyDescent="0.25">
      <c r="A680" s="3" t="s">
        <v>680</v>
      </c>
      <c r="B680" s="1"/>
    </row>
    <row r="681" spans="1:2" ht="13.2" x14ac:dyDescent="0.25">
      <c r="A681" s="3" t="s">
        <v>681</v>
      </c>
      <c r="B681" s="1"/>
    </row>
    <row r="682" spans="1:2" ht="13.2" x14ac:dyDescent="0.25">
      <c r="A682" s="3" t="s">
        <v>682</v>
      </c>
      <c r="B682" s="1"/>
    </row>
    <row r="683" spans="1:2" ht="13.2" x14ac:dyDescent="0.25">
      <c r="A683" s="3" t="s">
        <v>683</v>
      </c>
      <c r="B683" s="1"/>
    </row>
    <row r="684" spans="1:2" ht="13.2" x14ac:dyDescent="0.25">
      <c r="A684" s="3" t="s">
        <v>684</v>
      </c>
      <c r="B684" s="1"/>
    </row>
    <row r="685" spans="1:2" ht="13.2" x14ac:dyDescent="0.25">
      <c r="A685" s="3" t="s">
        <v>685</v>
      </c>
      <c r="B685" s="1"/>
    </row>
    <row r="686" spans="1:2" ht="13.2" x14ac:dyDescent="0.25">
      <c r="A686" s="3" t="s">
        <v>686</v>
      </c>
      <c r="B686" s="1"/>
    </row>
    <row r="687" spans="1:2" ht="13.2" x14ac:dyDescent="0.25">
      <c r="A687" s="3" t="s">
        <v>687</v>
      </c>
      <c r="B687" s="1"/>
    </row>
    <row r="688" spans="1:2" ht="13.2" x14ac:dyDescent="0.25">
      <c r="A688" s="3" t="s">
        <v>688</v>
      </c>
      <c r="B688" s="1"/>
    </row>
    <row r="689" spans="1:2" ht="13.2" x14ac:dyDescent="0.25">
      <c r="A689" s="3" t="s">
        <v>689</v>
      </c>
      <c r="B689" s="1"/>
    </row>
    <row r="690" spans="1:2" ht="13.2" x14ac:dyDescent="0.25">
      <c r="A690" s="3" t="s">
        <v>690</v>
      </c>
      <c r="B690" s="1"/>
    </row>
    <row r="691" spans="1:2" ht="13.2" x14ac:dyDescent="0.25">
      <c r="A691" s="3" t="s">
        <v>691</v>
      </c>
      <c r="B691" s="1"/>
    </row>
    <row r="692" spans="1:2" ht="13.2" x14ac:dyDescent="0.25">
      <c r="A692" s="3" t="s">
        <v>692</v>
      </c>
      <c r="B692" s="1"/>
    </row>
    <row r="693" spans="1:2" ht="13.2" x14ac:dyDescent="0.25">
      <c r="A693" s="3" t="s">
        <v>693</v>
      </c>
      <c r="B693" s="1"/>
    </row>
    <row r="694" spans="1:2" ht="13.2" x14ac:dyDescent="0.25">
      <c r="A694" s="3" t="s">
        <v>694</v>
      </c>
      <c r="B694" s="1"/>
    </row>
    <row r="695" spans="1:2" ht="13.2" x14ac:dyDescent="0.25">
      <c r="A695" s="3" t="s">
        <v>695</v>
      </c>
      <c r="B695" s="1"/>
    </row>
    <row r="696" spans="1:2" ht="13.2" x14ac:dyDescent="0.25">
      <c r="A696" s="3" t="s">
        <v>696</v>
      </c>
      <c r="B696" s="1"/>
    </row>
    <row r="697" spans="1:2" ht="13.2" x14ac:dyDescent="0.25">
      <c r="A697" s="3" t="s">
        <v>697</v>
      </c>
      <c r="B697" s="1"/>
    </row>
    <row r="698" spans="1:2" ht="13.2" x14ac:dyDescent="0.25">
      <c r="A698" s="3" t="s">
        <v>698</v>
      </c>
      <c r="B698" s="1"/>
    </row>
    <row r="699" spans="1:2" ht="13.2" x14ac:dyDescent="0.25">
      <c r="A699" s="3" t="s">
        <v>699</v>
      </c>
      <c r="B699" s="1"/>
    </row>
    <row r="700" spans="1:2" ht="13.2" x14ac:dyDescent="0.25">
      <c r="A700" s="3" t="s">
        <v>700</v>
      </c>
      <c r="B700" s="1"/>
    </row>
    <row r="701" spans="1:2" ht="13.2" x14ac:dyDescent="0.25">
      <c r="A701" s="3" t="s">
        <v>701</v>
      </c>
      <c r="B701" s="1"/>
    </row>
    <row r="702" spans="1:2" ht="13.2" x14ac:dyDescent="0.25">
      <c r="A702" s="3" t="s">
        <v>702</v>
      </c>
      <c r="B702" s="1"/>
    </row>
    <row r="703" spans="1:2" ht="13.2" x14ac:dyDescent="0.25">
      <c r="A703" s="3" t="s">
        <v>703</v>
      </c>
      <c r="B703" s="1"/>
    </row>
    <row r="704" spans="1:2" ht="13.2" x14ac:dyDescent="0.25">
      <c r="A704" s="3" t="s">
        <v>704</v>
      </c>
      <c r="B704" s="1"/>
    </row>
    <row r="705" spans="1:2" ht="13.2" x14ac:dyDescent="0.25">
      <c r="A705" s="3" t="s">
        <v>705</v>
      </c>
      <c r="B705" s="1"/>
    </row>
    <row r="706" spans="1:2" ht="13.2" x14ac:dyDescent="0.25">
      <c r="A706" s="3" t="s">
        <v>706</v>
      </c>
      <c r="B706" s="1"/>
    </row>
    <row r="707" spans="1:2" ht="13.2" x14ac:dyDescent="0.25">
      <c r="A707" s="3" t="s">
        <v>707</v>
      </c>
      <c r="B707" s="1"/>
    </row>
    <row r="708" spans="1:2" ht="13.2" x14ac:dyDescent="0.25">
      <c r="A708" s="3" t="s">
        <v>708</v>
      </c>
      <c r="B708" s="1"/>
    </row>
    <row r="709" spans="1:2" ht="13.2" x14ac:dyDescent="0.25">
      <c r="A709" s="3" t="s">
        <v>709</v>
      </c>
      <c r="B709" s="1"/>
    </row>
    <row r="710" spans="1:2" ht="13.2" x14ac:dyDescent="0.25">
      <c r="A710" s="3" t="s">
        <v>710</v>
      </c>
      <c r="B710" s="1"/>
    </row>
    <row r="711" spans="1:2" ht="13.2" x14ac:dyDescent="0.25">
      <c r="A711" s="3" t="s">
        <v>711</v>
      </c>
      <c r="B711" s="1"/>
    </row>
    <row r="712" spans="1:2" ht="13.2" x14ac:dyDescent="0.25">
      <c r="A712" s="3" t="s">
        <v>712</v>
      </c>
      <c r="B712" s="1"/>
    </row>
    <row r="713" spans="1:2" ht="13.2" x14ac:dyDescent="0.25">
      <c r="A713" s="3" t="s">
        <v>713</v>
      </c>
      <c r="B713" s="1"/>
    </row>
    <row r="714" spans="1:2" ht="13.2" x14ac:dyDescent="0.25">
      <c r="A714" s="3" t="s">
        <v>714</v>
      </c>
      <c r="B714" s="1"/>
    </row>
    <row r="715" spans="1:2" ht="13.2" x14ac:dyDescent="0.25">
      <c r="A715" s="3" t="s">
        <v>715</v>
      </c>
      <c r="B715" s="1"/>
    </row>
    <row r="716" spans="1:2" ht="13.2" x14ac:dyDescent="0.25">
      <c r="A716" s="3" t="s">
        <v>716</v>
      </c>
      <c r="B716" s="1"/>
    </row>
    <row r="717" spans="1:2" ht="13.2" x14ac:dyDescent="0.25">
      <c r="A717" s="3" t="s">
        <v>717</v>
      </c>
      <c r="B717" s="1"/>
    </row>
    <row r="718" spans="1:2" ht="13.2" x14ac:dyDescent="0.25">
      <c r="A718" s="3" t="s">
        <v>718</v>
      </c>
      <c r="B718" s="1"/>
    </row>
    <row r="719" spans="1:2" ht="13.2" x14ac:dyDescent="0.25">
      <c r="A719" s="3" t="s">
        <v>719</v>
      </c>
      <c r="B719" s="1"/>
    </row>
    <row r="720" spans="1:2" ht="13.2" x14ac:dyDescent="0.25">
      <c r="A720" s="3" t="s">
        <v>720</v>
      </c>
      <c r="B720" s="1"/>
    </row>
    <row r="721" spans="1:2" ht="13.2" x14ac:dyDescent="0.25">
      <c r="A721" s="3" t="s">
        <v>721</v>
      </c>
      <c r="B721" s="1"/>
    </row>
    <row r="722" spans="1:2" ht="13.2" x14ac:dyDescent="0.25">
      <c r="A722" s="3" t="s">
        <v>722</v>
      </c>
      <c r="B722" s="1"/>
    </row>
    <row r="723" spans="1:2" ht="13.2" x14ac:dyDescent="0.25">
      <c r="A723" s="3" t="s">
        <v>723</v>
      </c>
      <c r="B723" s="1"/>
    </row>
    <row r="724" spans="1:2" ht="13.2" x14ac:dyDescent="0.25">
      <c r="A724" s="3" t="s">
        <v>724</v>
      </c>
      <c r="B724" s="1"/>
    </row>
    <row r="725" spans="1:2" ht="13.2" x14ac:dyDescent="0.25">
      <c r="A725" s="3" t="s">
        <v>725</v>
      </c>
      <c r="B725" s="1"/>
    </row>
    <row r="726" spans="1:2" ht="13.2" x14ac:dyDescent="0.25">
      <c r="A726" s="3" t="s">
        <v>726</v>
      </c>
      <c r="B726" s="1"/>
    </row>
    <row r="727" spans="1:2" ht="13.2" x14ac:dyDescent="0.25">
      <c r="A727" s="3" t="s">
        <v>727</v>
      </c>
      <c r="B727" s="1"/>
    </row>
    <row r="728" spans="1:2" ht="13.2" x14ac:dyDescent="0.25">
      <c r="A728" s="3" t="s">
        <v>728</v>
      </c>
      <c r="B728" s="1"/>
    </row>
    <row r="729" spans="1:2" ht="13.2" x14ac:dyDescent="0.25">
      <c r="A729" s="3" t="s">
        <v>729</v>
      </c>
      <c r="B729" s="1"/>
    </row>
    <row r="730" spans="1:2" ht="13.2" x14ac:dyDescent="0.25">
      <c r="A730" s="3" t="s">
        <v>730</v>
      </c>
      <c r="B730" s="1"/>
    </row>
    <row r="731" spans="1:2" ht="13.2" x14ac:dyDescent="0.25">
      <c r="A731" s="3" t="s">
        <v>731</v>
      </c>
      <c r="B731" s="1"/>
    </row>
    <row r="732" spans="1:2" ht="13.2" x14ac:dyDescent="0.25">
      <c r="A732" s="3" t="s">
        <v>732</v>
      </c>
      <c r="B732" s="1"/>
    </row>
    <row r="733" spans="1:2" ht="13.2" x14ac:dyDescent="0.25">
      <c r="A733" s="3" t="s">
        <v>733</v>
      </c>
      <c r="B733" s="1"/>
    </row>
    <row r="734" spans="1:2" ht="13.2" x14ac:dyDescent="0.25">
      <c r="A734" s="3" t="s">
        <v>734</v>
      </c>
      <c r="B734" s="1"/>
    </row>
    <row r="735" spans="1:2" ht="13.2" x14ac:dyDescent="0.25">
      <c r="A735" s="3" t="s">
        <v>735</v>
      </c>
      <c r="B735" s="1"/>
    </row>
    <row r="736" spans="1:2" ht="13.2" x14ac:dyDescent="0.25">
      <c r="A736" s="3" t="s">
        <v>736</v>
      </c>
      <c r="B736" s="1"/>
    </row>
    <row r="737" spans="1:2" ht="13.2" x14ac:dyDescent="0.25">
      <c r="A737" s="3" t="s">
        <v>737</v>
      </c>
      <c r="B737" s="1"/>
    </row>
    <row r="738" spans="1:2" ht="13.2" x14ac:dyDescent="0.25">
      <c r="A738" s="3" t="s">
        <v>738</v>
      </c>
      <c r="B738" s="1"/>
    </row>
    <row r="739" spans="1:2" ht="13.2" x14ac:dyDescent="0.25">
      <c r="A739" s="3" t="s">
        <v>739</v>
      </c>
      <c r="B739" s="1"/>
    </row>
    <row r="740" spans="1:2" ht="13.2" x14ac:dyDescent="0.25">
      <c r="A740" s="3" t="s">
        <v>740</v>
      </c>
      <c r="B740" s="1"/>
    </row>
    <row r="741" spans="1:2" ht="13.2" x14ac:dyDescent="0.25">
      <c r="A741" s="3" t="s">
        <v>741</v>
      </c>
      <c r="B741" s="1"/>
    </row>
    <row r="742" spans="1:2" ht="13.2" x14ac:dyDescent="0.25">
      <c r="A742" s="3" t="s">
        <v>742</v>
      </c>
      <c r="B742" s="1"/>
    </row>
    <row r="743" spans="1:2" ht="13.2" x14ac:dyDescent="0.25">
      <c r="A743" s="3" t="s">
        <v>743</v>
      </c>
      <c r="B743" s="1"/>
    </row>
    <row r="744" spans="1:2" ht="13.2" x14ac:dyDescent="0.25">
      <c r="A744" s="3" t="s">
        <v>744</v>
      </c>
      <c r="B744" s="1"/>
    </row>
    <row r="745" spans="1:2" ht="13.2" x14ac:dyDescent="0.25">
      <c r="A745" s="3" t="s">
        <v>745</v>
      </c>
      <c r="B745" s="1"/>
    </row>
    <row r="746" spans="1:2" ht="17.25" customHeight="1" x14ac:dyDescent="0.25">
      <c r="A746" s="3" t="s">
        <v>746</v>
      </c>
      <c r="B746" s="1"/>
    </row>
    <row r="747" spans="1:2" ht="13.2" x14ac:dyDescent="0.25">
      <c r="A747" s="3" t="s">
        <v>747</v>
      </c>
      <c r="B747" s="1"/>
    </row>
    <row r="748" spans="1:2" ht="13.2" x14ac:dyDescent="0.25">
      <c r="A748" s="3" t="s">
        <v>748</v>
      </c>
      <c r="B748" s="1"/>
    </row>
    <row r="749" spans="1:2" ht="13.2" x14ac:dyDescent="0.25">
      <c r="A749" s="3" t="s">
        <v>749</v>
      </c>
      <c r="B749" s="1"/>
    </row>
    <row r="750" spans="1:2" ht="13.2" x14ac:dyDescent="0.25">
      <c r="A750" s="3" t="s">
        <v>750</v>
      </c>
      <c r="B750" s="1"/>
    </row>
    <row r="751" spans="1:2" ht="13.2" x14ac:dyDescent="0.25">
      <c r="A751" s="3" t="s">
        <v>751</v>
      </c>
      <c r="B751" s="1"/>
    </row>
    <row r="752" spans="1:2" ht="13.2" x14ac:dyDescent="0.25">
      <c r="A752" s="3" t="s">
        <v>752</v>
      </c>
      <c r="B752" s="1"/>
    </row>
    <row r="753" spans="1:2" ht="13.2" x14ac:dyDescent="0.25">
      <c r="A753" s="3" t="s">
        <v>753</v>
      </c>
      <c r="B753" s="1"/>
    </row>
    <row r="754" spans="1:2" ht="13.2" x14ac:dyDescent="0.25">
      <c r="A754" s="3" t="s">
        <v>754</v>
      </c>
      <c r="B754" s="1"/>
    </row>
    <row r="755" spans="1:2" ht="13.2" x14ac:dyDescent="0.25">
      <c r="A755" s="3" t="s">
        <v>755</v>
      </c>
      <c r="B755" s="1"/>
    </row>
    <row r="756" spans="1:2" ht="13.2" x14ac:dyDescent="0.25">
      <c r="A756" s="3" t="s">
        <v>756</v>
      </c>
      <c r="B756" s="1"/>
    </row>
    <row r="757" spans="1:2" ht="13.2" x14ac:dyDescent="0.25">
      <c r="A757" s="3" t="s">
        <v>757</v>
      </c>
      <c r="B757" s="1"/>
    </row>
    <row r="758" spans="1:2" ht="13.2" x14ac:dyDescent="0.25">
      <c r="A758" s="3" t="s">
        <v>758</v>
      </c>
      <c r="B758" s="1"/>
    </row>
    <row r="759" spans="1:2" ht="13.2" x14ac:dyDescent="0.25">
      <c r="A759" s="3" t="s">
        <v>759</v>
      </c>
      <c r="B759" s="1"/>
    </row>
    <row r="760" spans="1:2" ht="13.2" x14ac:dyDescent="0.25">
      <c r="A760" s="3" t="s">
        <v>760</v>
      </c>
      <c r="B760" s="1"/>
    </row>
    <row r="761" spans="1:2" ht="13.2" x14ac:dyDescent="0.25">
      <c r="A761" s="3" t="s">
        <v>761</v>
      </c>
      <c r="B761" s="1"/>
    </row>
    <row r="762" spans="1:2" ht="13.2" x14ac:dyDescent="0.25">
      <c r="A762" s="3" t="s">
        <v>762</v>
      </c>
      <c r="B762" s="1"/>
    </row>
    <row r="763" spans="1:2" ht="13.2" x14ac:dyDescent="0.25">
      <c r="A763" s="3" t="s">
        <v>763</v>
      </c>
      <c r="B763" s="1"/>
    </row>
    <row r="764" spans="1:2" ht="13.2" x14ac:dyDescent="0.25">
      <c r="A764" s="3" t="s">
        <v>764</v>
      </c>
      <c r="B764" s="1"/>
    </row>
    <row r="765" spans="1:2" ht="13.2" x14ac:dyDescent="0.25">
      <c r="A765" s="3" t="s">
        <v>765</v>
      </c>
      <c r="B765" s="1"/>
    </row>
    <row r="766" spans="1:2" ht="13.2" x14ac:dyDescent="0.25">
      <c r="A766" s="3" t="s">
        <v>766</v>
      </c>
      <c r="B766" s="1"/>
    </row>
    <row r="767" spans="1:2" ht="13.2" x14ac:dyDescent="0.25">
      <c r="A767" s="3" t="s">
        <v>767</v>
      </c>
      <c r="B767" s="1"/>
    </row>
    <row r="768" spans="1:2" ht="13.2" x14ac:dyDescent="0.25">
      <c r="A768" s="3" t="s">
        <v>768</v>
      </c>
      <c r="B768" s="1"/>
    </row>
    <row r="769" spans="1:2" ht="13.2" x14ac:dyDescent="0.25">
      <c r="A769" s="3" t="s">
        <v>769</v>
      </c>
      <c r="B769" s="1"/>
    </row>
    <row r="770" spans="1:2" ht="13.2" x14ac:dyDescent="0.25">
      <c r="A770" s="3" t="s">
        <v>770</v>
      </c>
      <c r="B770" s="1"/>
    </row>
    <row r="771" spans="1:2" ht="13.2" x14ac:dyDescent="0.25">
      <c r="A771" s="3" t="s">
        <v>771</v>
      </c>
      <c r="B771" s="1"/>
    </row>
    <row r="772" spans="1:2" ht="13.2" x14ac:dyDescent="0.25">
      <c r="A772" s="3" t="s">
        <v>772</v>
      </c>
      <c r="B772" s="1"/>
    </row>
    <row r="773" spans="1:2" ht="13.2" x14ac:dyDescent="0.25">
      <c r="A773" s="3" t="s">
        <v>773</v>
      </c>
      <c r="B773" s="1"/>
    </row>
    <row r="774" spans="1:2" ht="13.2" x14ac:dyDescent="0.25">
      <c r="A774" s="3" t="s">
        <v>774</v>
      </c>
      <c r="B774" s="1"/>
    </row>
    <row r="775" spans="1:2" ht="13.2" x14ac:dyDescent="0.25">
      <c r="A775" s="3" t="s">
        <v>775</v>
      </c>
      <c r="B775" s="1"/>
    </row>
    <row r="776" spans="1:2" ht="13.2" x14ac:dyDescent="0.25">
      <c r="A776" s="3" t="s">
        <v>776</v>
      </c>
      <c r="B776" s="1"/>
    </row>
    <row r="777" spans="1:2" ht="13.2" x14ac:dyDescent="0.25">
      <c r="A777" s="3" t="s">
        <v>777</v>
      </c>
      <c r="B777" s="1"/>
    </row>
    <row r="778" spans="1:2" ht="13.2" x14ac:dyDescent="0.25">
      <c r="A778" s="3" t="s">
        <v>778</v>
      </c>
      <c r="B778" s="1"/>
    </row>
    <row r="779" spans="1:2" ht="13.2" x14ac:dyDescent="0.25">
      <c r="A779" s="3" t="s">
        <v>779</v>
      </c>
      <c r="B779" s="1"/>
    </row>
    <row r="780" spans="1:2" ht="13.2" x14ac:dyDescent="0.25">
      <c r="A780" s="3" t="s">
        <v>780</v>
      </c>
      <c r="B780" s="1"/>
    </row>
    <row r="781" spans="1:2" ht="13.2" x14ac:dyDescent="0.25">
      <c r="A781" s="3" t="s">
        <v>781</v>
      </c>
      <c r="B781" s="1"/>
    </row>
    <row r="782" spans="1:2" ht="13.2" x14ac:dyDescent="0.25">
      <c r="A782" s="3" t="s">
        <v>782</v>
      </c>
      <c r="B782" s="1"/>
    </row>
    <row r="783" spans="1:2" ht="13.2" x14ac:dyDescent="0.25">
      <c r="A783" s="3" t="s">
        <v>783</v>
      </c>
      <c r="B783" s="1"/>
    </row>
    <row r="784" spans="1:2" ht="13.2" x14ac:dyDescent="0.25">
      <c r="A784" s="3" t="s">
        <v>784</v>
      </c>
      <c r="B784" s="1"/>
    </row>
    <row r="785" spans="1:2" ht="13.2" x14ac:dyDescent="0.25">
      <c r="A785" s="3" t="s">
        <v>785</v>
      </c>
      <c r="B785" s="1"/>
    </row>
    <row r="786" spans="1:2" ht="13.2" x14ac:dyDescent="0.25">
      <c r="A786" s="3" t="s">
        <v>786</v>
      </c>
      <c r="B786" s="1"/>
    </row>
    <row r="787" spans="1:2" ht="13.2" x14ac:dyDescent="0.25">
      <c r="A787" s="3" t="s">
        <v>787</v>
      </c>
      <c r="B787" s="1"/>
    </row>
    <row r="788" spans="1:2" ht="13.2" x14ac:dyDescent="0.25">
      <c r="A788" s="3" t="s">
        <v>788</v>
      </c>
      <c r="B788" s="1"/>
    </row>
    <row r="789" spans="1:2" ht="13.2" x14ac:dyDescent="0.25">
      <c r="A789" s="3" t="s">
        <v>789</v>
      </c>
      <c r="B789" s="1"/>
    </row>
    <row r="790" spans="1:2" ht="13.2" x14ac:dyDescent="0.25">
      <c r="A790" s="3" t="s">
        <v>790</v>
      </c>
      <c r="B790" s="1"/>
    </row>
    <row r="791" spans="1:2" ht="13.2" x14ac:dyDescent="0.25">
      <c r="A791" s="3" t="s">
        <v>791</v>
      </c>
      <c r="B791" s="1"/>
    </row>
    <row r="792" spans="1:2" ht="13.2" x14ac:dyDescent="0.25">
      <c r="A792" s="3" t="s">
        <v>792</v>
      </c>
      <c r="B792" s="1"/>
    </row>
    <row r="793" spans="1:2" ht="13.2" x14ac:dyDescent="0.25">
      <c r="A793" s="3" t="s">
        <v>793</v>
      </c>
      <c r="B793" s="1"/>
    </row>
    <row r="794" spans="1:2" ht="13.2" x14ac:dyDescent="0.25">
      <c r="A794" s="3" t="s">
        <v>794</v>
      </c>
      <c r="B794" s="1"/>
    </row>
    <row r="795" spans="1:2" ht="13.2" x14ac:dyDescent="0.25">
      <c r="A795" s="3" t="s">
        <v>795</v>
      </c>
      <c r="B795" s="1"/>
    </row>
    <row r="796" spans="1:2" ht="13.2" x14ac:dyDescent="0.25">
      <c r="A796" s="3" t="s">
        <v>796</v>
      </c>
      <c r="B796" s="1"/>
    </row>
    <row r="797" spans="1:2" ht="13.2" x14ac:dyDescent="0.25">
      <c r="A797" s="3" t="s">
        <v>797</v>
      </c>
      <c r="B797" s="1"/>
    </row>
    <row r="798" spans="1:2" ht="13.2" x14ac:dyDescent="0.25">
      <c r="A798" s="3" t="s">
        <v>798</v>
      </c>
      <c r="B798" s="1"/>
    </row>
    <row r="799" spans="1:2" ht="13.2" x14ac:dyDescent="0.25">
      <c r="A799" s="3" t="s">
        <v>799</v>
      </c>
      <c r="B799" s="1"/>
    </row>
    <row r="800" spans="1:2" ht="13.2" x14ac:dyDescent="0.25">
      <c r="A800" s="3" t="s">
        <v>800</v>
      </c>
      <c r="B800" s="1"/>
    </row>
    <row r="801" spans="1:2" ht="13.2" x14ac:dyDescent="0.25">
      <c r="A801" s="3" t="s">
        <v>801</v>
      </c>
      <c r="B801" s="1"/>
    </row>
    <row r="802" spans="1:2" ht="13.2" x14ac:dyDescent="0.25">
      <c r="A802" s="3" t="s">
        <v>802</v>
      </c>
      <c r="B802" s="1"/>
    </row>
    <row r="803" spans="1:2" ht="13.2" x14ac:dyDescent="0.25">
      <c r="A803" s="3" t="s">
        <v>803</v>
      </c>
      <c r="B803" s="1"/>
    </row>
    <row r="804" spans="1:2" ht="13.2" x14ac:dyDescent="0.25">
      <c r="A804" s="3" t="s">
        <v>804</v>
      </c>
      <c r="B804" s="1"/>
    </row>
    <row r="805" spans="1:2" ht="13.2" x14ac:dyDescent="0.25">
      <c r="A805" s="3" t="s">
        <v>805</v>
      </c>
      <c r="B805" s="1"/>
    </row>
    <row r="806" spans="1:2" ht="13.2" x14ac:dyDescent="0.25">
      <c r="A806" s="3" t="s">
        <v>806</v>
      </c>
      <c r="B806" s="1"/>
    </row>
    <row r="807" spans="1:2" ht="13.2" x14ac:dyDescent="0.25">
      <c r="A807" s="3" t="s">
        <v>807</v>
      </c>
      <c r="B807" s="1"/>
    </row>
    <row r="808" spans="1:2" ht="13.2" x14ac:dyDescent="0.25">
      <c r="A808" s="3" t="s">
        <v>808</v>
      </c>
      <c r="B808" s="1"/>
    </row>
    <row r="809" spans="1:2" ht="13.2" x14ac:dyDescent="0.25">
      <c r="A809" s="3" t="s">
        <v>809</v>
      </c>
      <c r="B809" s="1"/>
    </row>
    <row r="810" spans="1:2" ht="13.2" x14ac:dyDescent="0.25">
      <c r="A810" s="3" t="s">
        <v>810</v>
      </c>
      <c r="B810" s="1"/>
    </row>
    <row r="811" spans="1:2" ht="13.2" x14ac:dyDescent="0.25">
      <c r="A811" s="3" t="s">
        <v>811</v>
      </c>
      <c r="B811" s="1"/>
    </row>
    <row r="812" spans="1:2" ht="13.2" x14ac:dyDescent="0.25">
      <c r="A812" s="3" t="s">
        <v>812</v>
      </c>
      <c r="B812" s="1"/>
    </row>
    <row r="813" spans="1:2" ht="13.2" x14ac:dyDescent="0.25">
      <c r="A813" s="3" t="s">
        <v>813</v>
      </c>
      <c r="B813" s="1"/>
    </row>
    <row r="814" spans="1:2" ht="13.2" x14ac:dyDescent="0.25">
      <c r="A814" s="3" t="s">
        <v>814</v>
      </c>
      <c r="B814" s="1"/>
    </row>
    <row r="815" spans="1:2" ht="13.2" x14ac:dyDescent="0.25">
      <c r="A815" s="3" t="s">
        <v>815</v>
      </c>
      <c r="B815" s="1"/>
    </row>
    <row r="816" spans="1:2" ht="13.2" x14ac:dyDescent="0.25">
      <c r="A816" s="3" t="s">
        <v>816</v>
      </c>
      <c r="B816" s="1"/>
    </row>
    <row r="817" spans="1:2" ht="13.2" x14ac:dyDescent="0.25">
      <c r="A817" s="3" t="s">
        <v>817</v>
      </c>
      <c r="B817" s="1"/>
    </row>
    <row r="818" spans="1:2" ht="13.2" x14ac:dyDescent="0.25">
      <c r="A818" s="3" t="s">
        <v>818</v>
      </c>
      <c r="B818" s="1"/>
    </row>
    <row r="819" spans="1:2" ht="13.2" x14ac:dyDescent="0.25">
      <c r="A819" s="3" t="s">
        <v>819</v>
      </c>
      <c r="B819" s="1"/>
    </row>
    <row r="820" spans="1:2" ht="13.2" x14ac:dyDescent="0.25">
      <c r="A820" s="3" t="s">
        <v>820</v>
      </c>
      <c r="B820" s="1"/>
    </row>
    <row r="821" spans="1:2" ht="13.2" x14ac:dyDescent="0.25">
      <c r="A821" s="3" t="s">
        <v>821</v>
      </c>
      <c r="B821" s="1"/>
    </row>
    <row r="822" spans="1:2" ht="13.2" x14ac:dyDescent="0.25">
      <c r="A822" s="3" t="s">
        <v>822</v>
      </c>
      <c r="B822" s="1"/>
    </row>
    <row r="823" spans="1:2" ht="13.2" x14ac:dyDescent="0.25">
      <c r="A823" s="3" t="s">
        <v>823</v>
      </c>
      <c r="B823" s="1"/>
    </row>
    <row r="824" spans="1:2" ht="13.2" x14ac:dyDescent="0.25">
      <c r="A824" s="3" t="s">
        <v>824</v>
      </c>
      <c r="B824" s="1"/>
    </row>
    <row r="825" spans="1:2" ht="13.2" x14ac:dyDescent="0.25">
      <c r="A825" s="3" t="s">
        <v>825</v>
      </c>
      <c r="B825" s="1"/>
    </row>
    <row r="826" spans="1:2" ht="13.2" x14ac:dyDescent="0.25">
      <c r="A826" s="3" t="s">
        <v>826</v>
      </c>
      <c r="B826" s="1"/>
    </row>
    <row r="827" spans="1:2" ht="13.2" x14ac:dyDescent="0.25">
      <c r="A827" s="3" t="s">
        <v>827</v>
      </c>
      <c r="B827" s="1"/>
    </row>
    <row r="828" spans="1:2" ht="13.2" x14ac:dyDescent="0.25">
      <c r="A828" s="3" t="s">
        <v>828</v>
      </c>
      <c r="B828" s="1"/>
    </row>
    <row r="829" spans="1:2" ht="13.2" x14ac:dyDescent="0.25">
      <c r="A829" s="3" t="s">
        <v>829</v>
      </c>
      <c r="B829" s="1"/>
    </row>
    <row r="830" spans="1:2" ht="13.2" x14ac:dyDescent="0.25">
      <c r="A830" s="3" t="s">
        <v>830</v>
      </c>
      <c r="B830" s="1"/>
    </row>
    <row r="831" spans="1:2" ht="13.2" x14ac:dyDescent="0.25">
      <c r="A831" s="3" t="s">
        <v>831</v>
      </c>
      <c r="B831" s="1"/>
    </row>
    <row r="832" spans="1:2" ht="13.2" x14ac:dyDescent="0.25">
      <c r="A832" s="3" t="s">
        <v>832</v>
      </c>
      <c r="B832" s="1"/>
    </row>
    <row r="833" spans="1:2" ht="13.2" x14ac:dyDescent="0.25">
      <c r="A833" s="3" t="s">
        <v>833</v>
      </c>
      <c r="B833" s="1"/>
    </row>
    <row r="834" spans="1:2" ht="13.2" x14ac:dyDescent="0.25">
      <c r="A834" s="3" t="s">
        <v>834</v>
      </c>
      <c r="B834" s="1"/>
    </row>
    <row r="835" spans="1:2" ht="13.2" x14ac:dyDescent="0.25">
      <c r="A835" s="3" t="s">
        <v>835</v>
      </c>
      <c r="B835" s="1"/>
    </row>
    <row r="836" spans="1:2" ht="13.2" x14ac:dyDescent="0.25">
      <c r="A836" s="3" t="s">
        <v>836</v>
      </c>
      <c r="B836" s="1"/>
    </row>
    <row r="837" spans="1:2" ht="13.2" x14ac:dyDescent="0.25">
      <c r="A837" s="3" t="s">
        <v>837</v>
      </c>
      <c r="B837" s="1"/>
    </row>
    <row r="838" spans="1:2" ht="13.2" x14ac:dyDescent="0.25">
      <c r="A838" s="3" t="s">
        <v>838</v>
      </c>
      <c r="B838" s="1"/>
    </row>
    <row r="839" spans="1:2" ht="13.2" x14ac:dyDescent="0.25">
      <c r="A839" s="3" t="s">
        <v>839</v>
      </c>
      <c r="B839" s="1"/>
    </row>
    <row r="840" spans="1:2" ht="13.2" x14ac:dyDescent="0.25">
      <c r="A840" s="3" t="s">
        <v>840</v>
      </c>
      <c r="B840" s="1"/>
    </row>
    <row r="841" spans="1:2" ht="13.2" x14ac:dyDescent="0.25">
      <c r="A841" s="3" t="s">
        <v>841</v>
      </c>
      <c r="B841" s="1"/>
    </row>
    <row r="842" spans="1:2" ht="13.2" x14ac:dyDescent="0.25">
      <c r="A842" s="3" t="s">
        <v>842</v>
      </c>
      <c r="B842" s="1"/>
    </row>
    <row r="843" spans="1:2" ht="13.2" x14ac:dyDescent="0.25">
      <c r="A843" s="3" t="s">
        <v>843</v>
      </c>
      <c r="B843" s="1"/>
    </row>
    <row r="844" spans="1:2" ht="13.2" x14ac:dyDescent="0.25">
      <c r="A844" s="3" t="s">
        <v>844</v>
      </c>
      <c r="B844" s="1"/>
    </row>
    <row r="845" spans="1:2" ht="13.2" x14ac:dyDescent="0.25">
      <c r="A845" s="3" t="s">
        <v>845</v>
      </c>
      <c r="B845" s="1"/>
    </row>
    <row r="846" spans="1:2" ht="13.2" x14ac:dyDescent="0.25">
      <c r="A846" s="3" t="s">
        <v>846</v>
      </c>
      <c r="B846" s="1"/>
    </row>
    <row r="847" spans="1:2" ht="13.2" x14ac:dyDescent="0.25">
      <c r="A847" s="3" t="s">
        <v>847</v>
      </c>
      <c r="B847" s="1"/>
    </row>
    <row r="848" spans="1:2" ht="13.2" x14ac:dyDescent="0.25">
      <c r="A848" s="3" t="s">
        <v>848</v>
      </c>
      <c r="B848" s="1"/>
    </row>
    <row r="849" spans="1:2" ht="13.2" x14ac:dyDescent="0.25">
      <c r="A849" s="3" t="s">
        <v>849</v>
      </c>
      <c r="B849" s="1"/>
    </row>
    <row r="850" spans="1:2" ht="13.2" x14ac:dyDescent="0.25">
      <c r="A850" s="3" t="s">
        <v>850</v>
      </c>
      <c r="B850" s="1"/>
    </row>
    <row r="851" spans="1:2" ht="13.2" x14ac:dyDescent="0.25">
      <c r="A851" s="3" t="s">
        <v>851</v>
      </c>
      <c r="B851" s="1"/>
    </row>
    <row r="852" spans="1:2" ht="13.2" x14ac:dyDescent="0.25">
      <c r="A852" s="3" t="s">
        <v>852</v>
      </c>
      <c r="B852" s="1"/>
    </row>
    <row r="853" spans="1:2" ht="13.2" x14ac:dyDescent="0.25">
      <c r="A853" s="3" t="s">
        <v>853</v>
      </c>
      <c r="B853" s="1"/>
    </row>
    <row r="854" spans="1:2" ht="13.2" x14ac:dyDescent="0.25">
      <c r="A854" s="3" t="s">
        <v>854</v>
      </c>
      <c r="B854" s="1"/>
    </row>
    <row r="855" spans="1:2" ht="13.2" x14ac:dyDescent="0.25">
      <c r="A855" s="3" t="s">
        <v>855</v>
      </c>
      <c r="B855" s="1"/>
    </row>
    <row r="856" spans="1:2" ht="13.2" x14ac:dyDescent="0.25">
      <c r="A856" s="3" t="s">
        <v>856</v>
      </c>
      <c r="B856" s="1"/>
    </row>
    <row r="857" spans="1:2" ht="13.2" x14ac:dyDescent="0.25">
      <c r="A857" s="3" t="s">
        <v>857</v>
      </c>
      <c r="B857" s="1"/>
    </row>
    <row r="858" spans="1:2" ht="13.2" x14ac:dyDescent="0.25">
      <c r="A858" s="3" t="s">
        <v>858</v>
      </c>
      <c r="B858" s="1"/>
    </row>
    <row r="859" spans="1:2" ht="13.2" x14ac:dyDescent="0.25">
      <c r="A859" s="3" t="s">
        <v>859</v>
      </c>
      <c r="B859" s="1"/>
    </row>
    <row r="860" spans="1:2" ht="13.2" x14ac:dyDescent="0.25">
      <c r="A860" s="3" t="s">
        <v>860</v>
      </c>
      <c r="B860" s="1"/>
    </row>
    <row r="861" spans="1:2" ht="13.2" x14ac:dyDescent="0.25">
      <c r="A861" s="3" t="s">
        <v>861</v>
      </c>
      <c r="B861" s="1"/>
    </row>
    <row r="862" spans="1:2" ht="13.2" x14ac:dyDescent="0.25">
      <c r="A862" s="3" t="s">
        <v>862</v>
      </c>
      <c r="B862" s="1"/>
    </row>
    <row r="863" spans="1:2" ht="13.2" x14ac:dyDescent="0.25">
      <c r="A863" s="3" t="s">
        <v>863</v>
      </c>
      <c r="B863" s="1"/>
    </row>
    <row r="864" spans="1:2" ht="13.2" x14ac:dyDescent="0.25">
      <c r="A864" s="3" t="s">
        <v>864</v>
      </c>
      <c r="B864" s="1"/>
    </row>
    <row r="865" spans="1:2" ht="13.2" x14ac:dyDescent="0.25">
      <c r="A865" s="3" t="s">
        <v>865</v>
      </c>
      <c r="B865" s="1"/>
    </row>
    <row r="866" spans="1:2" ht="13.2" x14ac:dyDescent="0.25">
      <c r="A866" s="3" t="s">
        <v>866</v>
      </c>
      <c r="B866" s="1"/>
    </row>
    <row r="867" spans="1:2" ht="13.2" x14ac:dyDescent="0.25">
      <c r="A867" s="3" t="s">
        <v>867</v>
      </c>
      <c r="B867" s="1"/>
    </row>
    <row r="868" spans="1:2" ht="13.2" x14ac:dyDescent="0.25">
      <c r="A868" s="3" t="s">
        <v>868</v>
      </c>
      <c r="B868" s="1"/>
    </row>
    <row r="869" spans="1:2" ht="13.2" x14ac:dyDescent="0.25">
      <c r="A869" s="3" t="s">
        <v>869</v>
      </c>
      <c r="B869" s="1"/>
    </row>
    <row r="870" spans="1:2" ht="13.2" x14ac:dyDescent="0.25">
      <c r="A870" s="3" t="s">
        <v>870</v>
      </c>
      <c r="B870" s="1"/>
    </row>
    <row r="871" spans="1:2" ht="13.2" x14ac:dyDescent="0.25">
      <c r="A871" s="3" t="s">
        <v>871</v>
      </c>
      <c r="B871" s="1"/>
    </row>
    <row r="872" spans="1:2" ht="13.2" x14ac:dyDescent="0.25">
      <c r="A872" s="3" t="s">
        <v>872</v>
      </c>
      <c r="B872" s="1"/>
    </row>
    <row r="873" spans="1:2" ht="13.2" x14ac:dyDescent="0.25">
      <c r="A873" s="3" t="s">
        <v>873</v>
      </c>
      <c r="B873" s="1"/>
    </row>
    <row r="874" spans="1:2" ht="13.2" x14ac:dyDescent="0.25">
      <c r="A874" s="3" t="s">
        <v>874</v>
      </c>
      <c r="B874" s="1"/>
    </row>
    <row r="875" spans="1:2" ht="13.2" x14ac:dyDescent="0.25">
      <c r="A875" s="3" t="s">
        <v>875</v>
      </c>
      <c r="B875" s="1"/>
    </row>
    <row r="876" spans="1:2" ht="13.2" x14ac:dyDescent="0.25">
      <c r="A876" s="3" t="s">
        <v>876</v>
      </c>
      <c r="B876" s="1"/>
    </row>
    <row r="877" spans="1:2" ht="13.2" x14ac:dyDescent="0.25">
      <c r="A877" s="3" t="s">
        <v>877</v>
      </c>
      <c r="B877" s="1"/>
    </row>
    <row r="878" spans="1:2" ht="13.2" x14ac:dyDescent="0.25">
      <c r="A878" s="3" t="s">
        <v>878</v>
      </c>
      <c r="B878" s="1"/>
    </row>
    <row r="879" spans="1:2" ht="13.2" x14ac:dyDescent="0.25">
      <c r="A879" s="3" t="s">
        <v>879</v>
      </c>
      <c r="B879" s="1"/>
    </row>
    <row r="880" spans="1:2" ht="13.2" x14ac:dyDescent="0.25">
      <c r="A880" s="3" t="s">
        <v>880</v>
      </c>
      <c r="B880" s="1"/>
    </row>
    <row r="881" spans="1:2" ht="13.2" x14ac:dyDescent="0.25">
      <c r="A881" s="3" t="s">
        <v>881</v>
      </c>
      <c r="B881" s="1"/>
    </row>
    <row r="882" spans="1:2" ht="13.2" x14ac:dyDescent="0.25">
      <c r="A882" s="3" t="s">
        <v>882</v>
      </c>
      <c r="B882" s="1"/>
    </row>
    <row r="883" spans="1:2" ht="13.2" x14ac:dyDescent="0.25">
      <c r="A883" s="3" t="s">
        <v>883</v>
      </c>
      <c r="B883" s="1"/>
    </row>
    <row r="884" spans="1:2" ht="13.2" x14ac:dyDescent="0.25">
      <c r="A884" s="3" t="s">
        <v>884</v>
      </c>
      <c r="B884" s="1"/>
    </row>
    <row r="885" spans="1:2" ht="13.2" x14ac:dyDescent="0.25">
      <c r="A885" s="3" t="s">
        <v>885</v>
      </c>
      <c r="B885" s="1"/>
    </row>
    <row r="886" spans="1:2" ht="13.2" x14ac:dyDescent="0.25">
      <c r="A886" s="3" t="s">
        <v>886</v>
      </c>
      <c r="B886" s="1"/>
    </row>
    <row r="887" spans="1:2" ht="13.2" x14ac:dyDescent="0.25">
      <c r="A887" s="3" t="s">
        <v>887</v>
      </c>
      <c r="B887" s="1"/>
    </row>
    <row r="888" spans="1:2" ht="13.2" x14ac:dyDescent="0.25">
      <c r="A888" s="3" t="s">
        <v>888</v>
      </c>
      <c r="B888" s="1"/>
    </row>
    <row r="889" spans="1:2" ht="13.2" x14ac:dyDescent="0.25">
      <c r="A889" s="3" t="s">
        <v>889</v>
      </c>
      <c r="B889" s="1"/>
    </row>
    <row r="890" spans="1:2" ht="13.2" x14ac:dyDescent="0.25">
      <c r="A890" s="3" t="s">
        <v>890</v>
      </c>
      <c r="B890" s="1"/>
    </row>
    <row r="891" spans="1:2" ht="13.2" x14ac:dyDescent="0.25">
      <c r="A891" s="3" t="s">
        <v>891</v>
      </c>
      <c r="B891" s="1"/>
    </row>
    <row r="892" spans="1:2" ht="13.2" x14ac:dyDescent="0.25">
      <c r="A892" s="3" t="s">
        <v>892</v>
      </c>
      <c r="B892" s="1"/>
    </row>
    <row r="893" spans="1:2" ht="13.2" x14ac:dyDescent="0.25">
      <c r="A893" s="3" t="s">
        <v>893</v>
      </c>
      <c r="B893" s="1"/>
    </row>
    <row r="894" spans="1:2" ht="13.2" x14ac:dyDescent="0.25">
      <c r="A894" s="3" t="s">
        <v>894</v>
      </c>
      <c r="B894" s="1"/>
    </row>
    <row r="895" spans="1:2" ht="13.2" x14ac:dyDescent="0.25">
      <c r="A895" s="3" t="s">
        <v>895</v>
      </c>
      <c r="B895" s="1"/>
    </row>
    <row r="896" spans="1:2" ht="13.2" x14ac:dyDescent="0.25">
      <c r="A896" s="3" t="s">
        <v>896</v>
      </c>
      <c r="B896" s="1"/>
    </row>
    <row r="897" spans="1:2" ht="13.2" x14ac:dyDescent="0.25">
      <c r="A897" s="3" t="s">
        <v>897</v>
      </c>
      <c r="B897" s="1"/>
    </row>
    <row r="898" spans="1:2" ht="13.2" x14ac:dyDescent="0.25">
      <c r="A898" s="3" t="s">
        <v>898</v>
      </c>
      <c r="B898" s="1"/>
    </row>
    <row r="899" spans="1:2" ht="13.2" x14ac:dyDescent="0.25">
      <c r="A899" s="3" t="s">
        <v>899</v>
      </c>
      <c r="B899" s="1"/>
    </row>
    <row r="900" spans="1:2" ht="13.2" x14ac:dyDescent="0.25">
      <c r="A900" s="3" t="s">
        <v>900</v>
      </c>
      <c r="B900" s="1"/>
    </row>
    <row r="901" spans="1:2" ht="13.2" x14ac:dyDescent="0.25">
      <c r="A901" s="3" t="s">
        <v>901</v>
      </c>
      <c r="B901" s="1"/>
    </row>
    <row r="902" spans="1:2" ht="13.2" x14ac:dyDescent="0.25">
      <c r="A902" s="3" t="s">
        <v>902</v>
      </c>
      <c r="B902" s="1"/>
    </row>
    <row r="903" spans="1:2" ht="13.2" x14ac:dyDescent="0.25">
      <c r="A903" s="3" t="s">
        <v>903</v>
      </c>
      <c r="B903" s="1"/>
    </row>
    <row r="904" spans="1:2" ht="13.2" x14ac:dyDescent="0.25">
      <c r="A904" s="3" t="s">
        <v>904</v>
      </c>
      <c r="B904" s="1"/>
    </row>
    <row r="905" spans="1:2" ht="13.2" x14ac:dyDescent="0.25">
      <c r="A905" s="3" t="s">
        <v>905</v>
      </c>
      <c r="B905" s="1"/>
    </row>
    <row r="906" spans="1:2" ht="13.2" x14ac:dyDescent="0.25">
      <c r="A906" s="3" t="s">
        <v>906</v>
      </c>
      <c r="B906" s="1"/>
    </row>
    <row r="907" spans="1:2" ht="13.2" x14ac:dyDescent="0.25">
      <c r="A907" s="3" t="s">
        <v>907</v>
      </c>
      <c r="B907" s="1"/>
    </row>
    <row r="908" spans="1:2" ht="13.2" x14ac:dyDescent="0.25">
      <c r="A908" s="3" t="s">
        <v>908</v>
      </c>
      <c r="B908" s="1"/>
    </row>
    <row r="909" spans="1:2" ht="13.2" x14ac:dyDescent="0.25">
      <c r="A909" s="3" t="s">
        <v>909</v>
      </c>
      <c r="B909" s="1"/>
    </row>
    <row r="910" spans="1:2" ht="13.2" x14ac:dyDescent="0.25">
      <c r="A910" s="3" t="s">
        <v>910</v>
      </c>
      <c r="B910" s="1"/>
    </row>
    <row r="911" spans="1:2" ht="13.2" x14ac:dyDescent="0.25">
      <c r="A911" s="3" t="s">
        <v>911</v>
      </c>
      <c r="B911" s="1"/>
    </row>
    <row r="912" spans="1:2" ht="13.2" x14ac:dyDescent="0.25">
      <c r="A912" s="3" t="s">
        <v>912</v>
      </c>
      <c r="B912" s="1"/>
    </row>
    <row r="913" spans="1:2" ht="13.2" x14ac:dyDescent="0.25">
      <c r="A913" s="3" t="s">
        <v>913</v>
      </c>
      <c r="B913" s="1"/>
    </row>
    <row r="914" spans="1:2" ht="13.2" x14ac:dyDescent="0.25">
      <c r="A914" s="3" t="s">
        <v>914</v>
      </c>
      <c r="B914" s="1"/>
    </row>
    <row r="915" spans="1:2" ht="13.2" x14ac:dyDescent="0.25">
      <c r="A915" s="3" t="s">
        <v>915</v>
      </c>
      <c r="B915" s="1"/>
    </row>
    <row r="916" spans="1:2" ht="13.2" x14ac:dyDescent="0.25">
      <c r="A916" s="3" t="s">
        <v>916</v>
      </c>
      <c r="B916" s="1"/>
    </row>
    <row r="917" spans="1:2" ht="13.2" x14ac:dyDescent="0.25">
      <c r="A917" s="3" t="s">
        <v>917</v>
      </c>
      <c r="B917" s="1"/>
    </row>
    <row r="918" spans="1:2" ht="13.2" x14ac:dyDescent="0.25">
      <c r="A918" s="3" t="s">
        <v>918</v>
      </c>
      <c r="B918" s="1"/>
    </row>
    <row r="919" spans="1:2" ht="13.2" x14ac:dyDescent="0.25">
      <c r="A919" s="3" t="s">
        <v>919</v>
      </c>
      <c r="B919" s="1"/>
    </row>
    <row r="920" spans="1:2" ht="13.2" x14ac:dyDescent="0.25">
      <c r="A920" s="3" t="s">
        <v>920</v>
      </c>
      <c r="B920" s="1"/>
    </row>
    <row r="921" spans="1:2" ht="13.2" x14ac:dyDescent="0.25">
      <c r="A921" s="3" t="s">
        <v>921</v>
      </c>
      <c r="B921" s="1"/>
    </row>
    <row r="922" spans="1:2" ht="13.2" x14ac:dyDescent="0.25">
      <c r="A922" s="3" t="s">
        <v>922</v>
      </c>
      <c r="B922" s="1"/>
    </row>
    <row r="923" spans="1:2" ht="13.2" x14ac:dyDescent="0.25">
      <c r="A923" s="3" t="s">
        <v>923</v>
      </c>
      <c r="B923" s="1"/>
    </row>
    <row r="924" spans="1:2" ht="13.2" x14ac:dyDescent="0.25">
      <c r="A924" s="3" t="s">
        <v>924</v>
      </c>
      <c r="B924" s="1"/>
    </row>
    <row r="925" spans="1:2" ht="13.2" x14ac:dyDescent="0.25">
      <c r="A925" s="3" t="s">
        <v>925</v>
      </c>
      <c r="B925" s="1"/>
    </row>
    <row r="926" spans="1:2" ht="13.2" x14ac:dyDescent="0.25">
      <c r="A926" s="3" t="s">
        <v>926</v>
      </c>
      <c r="B926" s="1"/>
    </row>
    <row r="927" spans="1:2" ht="13.2" x14ac:dyDescent="0.25">
      <c r="A927" s="3" t="s">
        <v>927</v>
      </c>
      <c r="B927" s="1"/>
    </row>
    <row r="928" spans="1:2" ht="13.2" x14ac:dyDescent="0.25">
      <c r="A928" s="3" t="s">
        <v>928</v>
      </c>
      <c r="B928" s="1"/>
    </row>
    <row r="929" spans="1:2" ht="13.2" x14ac:dyDescent="0.25">
      <c r="A929" s="3" t="s">
        <v>929</v>
      </c>
      <c r="B929" s="1"/>
    </row>
    <row r="930" spans="1:2" ht="13.2" x14ac:dyDescent="0.25">
      <c r="A930" s="3" t="s">
        <v>930</v>
      </c>
      <c r="B930" s="1"/>
    </row>
    <row r="931" spans="1:2" ht="13.2" x14ac:dyDescent="0.25">
      <c r="A931" s="3" t="s">
        <v>931</v>
      </c>
      <c r="B931" s="1"/>
    </row>
    <row r="932" spans="1:2" ht="13.2" x14ac:dyDescent="0.25">
      <c r="A932" s="3" t="s">
        <v>932</v>
      </c>
      <c r="B932" s="1"/>
    </row>
    <row r="933" spans="1:2" ht="13.2" x14ac:dyDescent="0.25">
      <c r="A933" s="3" t="s">
        <v>933</v>
      </c>
      <c r="B933" s="1"/>
    </row>
    <row r="934" spans="1:2" ht="13.2" x14ac:dyDescent="0.25">
      <c r="A934" s="3" t="s">
        <v>934</v>
      </c>
      <c r="B934" s="1"/>
    </row>
    <row r="935" spans="1:2" ht="13.2" x14ac:dyDescent="0.25">
      <c r="A935" s="3" t="s">
        <v>935</v>
      </c>
      <c r="B935" s="1"/>
    </row>
    <row r="936" spans="1:2" ht="13.2" x14ac:dyDescent="0.25">
      <c r="A936" s="3" t="s">
        <v>936</v>
      </c>
      <c r="B936" s="1"/>
    </row>
    <row r="937" spans="1:2" ht="13.2" x14ac:dyDescent="0.25">
      <c r="A937" s="3" t="s">
        <v>937</v>
      </c>
      <c r="B937" s="1"/>
    </row>
    <row r="938" spans="1:2" ht="13.2" x14ac:dyDescent="0.25">
      <c r="A938" s="3" t="s">
        <v>938</v>
      </c>
      <c r="B938" s="1"/>
    </row>
    <row r="939" spans="1:2" ht="13.2" x14ac:dyDescent="0.25">
      <c r="A939" s="3" t="s">
        <v>939</v>
      </c>
      <c r="B939" s="1"/>
    </row>
    <row r="940" spans="1:2" ht="13.2" x14ac:dyDescent="0.25">
      <c r="A940" s="3" t="s">
        <v>940</v>
      </c>
      <c r="B940" s="1"/>
    </row>
    <row r="941" spans="1:2" ht="13.2" x14ac:dyDescent="0.25">
      <c r="A941" s="3" t="s">
        <v>941</v>
      </c>
      <c r="B941" s="1"/>
    </row>
    <row r="942" spans="1:2" ht="13.2" x14ac:dyDescent="0.25">
      <c r="A942" s="3" t="s">
        <v>942</v>
      </c>
      <c r="B942" s="1"/>
    </row>
    <row r="943" spans="1:2" ht="13.2" x14ac:dyDescent="0.25">
      <c r="A943" s="3" t="s">
        <v>943</v>
      </c>
      <c r="B943" s="1"/>
    </row>
    <row r="944" spans="1:2" ht="13.2" x14ac:dyDescent="0.25">
      <c r="A944" s="3" t="s">
        <v>944</v>
      </c>
      <c r="B944" s="1"/>
    </row>
    <row r="945" spans="1:2" ht="13.2" x14ac:dyDescent="0.25">
      <c r="A945" s="3" t="s">
        <v>945</v>
      </c>
      <c r="B945" s="1"/>
    </row>
    <row r="946" spans="1:2" ht="13.2" x14ac:dyDescent="0.25">
      <c r="A946" s="3" t="s">
        <v>946</v>
      </c>
      <c r="B946" s="1"/>
    </row>
    <row r="947" spans="1:2" ht="13.2" x14ac:dyDescent="0.25">
      <c r="A947" s="3" t="s">
        <v>947</v>
      </c>
      <c r="B947" s="1"/>
    </row>
    <row r="948" spans="1:2" ht="13.2" x14ac:dyDescent="0.25">
      <c r="A948" s="3" t="s">
        <v>948</v>
      </c>
      <c r="B948" s="1"/>
    </row>
    <row r="949" spans="1:2" ht="13.2" x14ac:dyDescent="0.25">
      <c r="A949" s="3" t="s">
        <v>949</v>
      </c>
      <c r="B949" s="1"/>
    </row>
    <row r="950" spans="1:2" ht="13.2" x14ac:dyDescent="0.25">
      <c r="A950" s="3" t="s">
        <v>950</v>
      </c>
      <c r="B950" s="1"/>
    </row>
    <row r="951" spans="1:2" ht="13.2" x14ac:dyDescent="0.25">
      <c r="A951" s="3" t="s">
        <v>951</v>
      </c>
      <c r="B951" s="1"/>
    </row>
    <row r="952" spans="1:2" ht="13.2" x14ac:dyDescent="0.25">
      <c r="A952" s="3" t="s">
        <v>952</v>
      </c>
      <c r="B952" s="1"/>
    </row>
    <row r="953" spans="1:2" ht="13.2" x14ac:dyDescent="0.25">
      <c r="A953" s="3" t="s">
        <v>953</v>
      </c>
      <c r="B953" s="1"/>
    </row>
    <row r="954" spans="1:2" ht="13.2" x14ac:dyDescent="0.25">
      <c r="A954" s="3" t="s">
        <v>954</v>
      </c>
      <c r="B954" s="1"/>
    </row>
    <row r="955" spans="1:2" ht="13.2" x14ac:dyDescent="0.25">
      <c r="A955" s="3" t="s">
        <v>955</v>
      </c>
      <c r="B955" s="1"/>
    </row>
    <row r="956" spans="1:2" ht="13.2" x14ac:dyDescent="0.25">
      <c r="A956" s="3" t="s">
        <v>956</v>
      </c>
      <c r="B956" s="1"/>
    </row>
    <row r="957" spans="1:2" ht="13.2" x14ac:dyDescent="0.25">
      <c r="A957" s="3" t="s">
        <v>957</v>
      </c>
      <c r="B957" s="1"/>
    </row>
    <row r="958" spans="1:2" ht="13.2" x14ac:dyDescent="0.25">
      <c r="A958" s="3" t="s">
        <v>958</v>
      </c>
      <c r="B958" s="1"/>
    </row>
    <row r="959" spans="1:2" ht="13.2" x14ac:dyDescent="0.25">
      <c r="A959" s="3" t="s">
        <v>959</v>
      </c>
      <c r="B959" s="1"/>
    </row>
    <row r="960" spans="1:2" ht="13.2" x14ac:dyDescent="0.25">
      <c r="A960" s="3" t="s">
        <v>960</v>
      </c>
      <c r="B960" s="1"/>
    </row>
    <row r="961" spans="1:2" ht="13.2" x14ac:dyDescent="0.25">
      <c r="A961" s="3" t="s">
        <v>961</v>
      </c>
      <c r="B961" s="1"/>
    </row>
    <row r="962" spans="1:2" ht="13.2" x14ac:dyDescent="0.25">
      <c r="A962" s="3" t="s">
        <v>962</v>
      </c>
      <c r="B962" s="1"/>
    </row>
    <row r="963" spans="1:2" ht="13.2" x14ac:dyDescent="0.25">
      <c r="A963" s="3" t="s">
        <v>963</v>
      </c>
      <c r="B963" s="1"/>
    </row>
    <row r="964" spans="1:2" ht="13.2" x14ac:dyDescent="0.25">
      <c r="A964" s="3" t="s">
        <v>964</v>
      </c>
      <c r="B964" s="1"/>
    </row>
    <row r="965" spans="1:2" ht="13.2" x14ac:dyDescent="0.25">
      <c r="A965" s="3" t="s">
        <v>965</v>
      </c>
      <c r="B965" s="1"/>
    </row>
    <row r="966" spans="1:2" ht="13.2" x14ac:dyDescent="0.25">
      <c r="A966" s="3" t="s">
        <v>966</v>
      </c>
      <c r="B966" s="1"/>
    </row>
    <row r="967" spans="1:2" ht="13.2" x14ac:dyDescent="0.25">
      <c r="A967" s="3" t="s">
        <v>967</v>
      </c>
      <c r="B967" s="1"/>
    </row>
    <row r="968" spans="1:2" ht="13.2" x14ac:dyDescent="0.25">
      <c r="A968" s="3" t="s">
        <v>968</v>
      </c>
      <c r="B968" s="1"/>
    </row>
    <row r="969" spans="1:2" ht="13.2" x14ac:dyDescent="0.25">
      <c r="A969" s="3" t="s">
        <v>969</v>
      </c>
      <c r="B969" s="1"/>
    </row>
    <row r="970" spans="1:2" ht="13.2" x14ac:dyDescent="0.25">
      <c r="A970" s="3" t="s">
        <v>970</v>
      </c>
      <c r="B970" s="1"/>
    </row>
    <row r="971" spans="1:2" ht="13.2" x14ac:dyDescent="0.25">
      <c r="A971" s="3" t="s">
        <v>971</v>
      </c>
      <c r="B971" s="1"/>
    </row>
    <row r="972" spans="1:2" ht="13.2" x14ac:dyDescent="0.25">
      <c r="A972" s="3" t="s">
        <v>972</v>
      </c>
      <c r="B972" s="1"/>
    </row>
    <row r="973" spans="1:2" ht="13.2" x14ac:dyDescent="0.25">
      <c r="A973" s="3" t="s">
        <v>973</v>
      </c>
      <c r="B973" s="1"/>
    </row>
    <row r="974" spans="1:2" ht="13.2" x14ac:dyDescent="0.25">
      <c r="A974" s="3" t="s">
        <v>974</v>
      </c>
      <c r="B974" s="1"/>
    </row>
    <row r="975" spans="1:2" ht="13.2" x14ac:dyDescent="0.25">
      <c r="A975" s="3" t="s">
        <v>975</v>
      </c>
      <c r="B975" s="1"/>
    </row>
    <row r="976" spans="1:2" ht="13.2" x14ac:dyDescent="0.25">
      <c r="A976" s="3" t="s">
        <v>976</v>
      </c>
      <c r="B976" s="1"/>
    </row>
    <row r="977" spans="1:2" ht="13.2" x14ac:dyDescent="0.25">
      <c r="A977" s="3" t="s">
        <v>977</v>
      </c>
      <c r="B977" s="1"/>
    </row>
    <row r="978" spans="1:2" ht="13.2" x14ac:dyDescent="0.25">
      <c r="A978" s="3" t="s">
        <v>978</v>
      </c>
      <c r="B978" s="1"/>
    </row>
    <row r="979" spans="1:2" ht="13.2" x14ac:dyDescent="0.25">
      <c r="A979" s="3" t="s">
        <v>979</v>
      </c>
      <c r="B979" s="1"/>
    </row>
    <row r="980" spans="1:2" ht="13.2" x14ac:dyDescent="0.25">
      <c r="A980" s="3" t="s">
        <v>980</v>
      </c>
      <c r="B980" s="1"/>
    </row>
    <row r="981" spans="1:2" ht="13.2" x14ac:dyDescent="0.25">
      <c r="A981" s="3" t="s">
        <v>981</v>
      </c>
      <c r="B981" s="1"/>
    </row>
    <row r="982" spans="1:2" ht="13.2" x14ac:dyDescent="0.25">
      <c r="A982" s="3" t="s">
        <v>982</v>
      </c>
      <c r="B982" s="1"/>
    </row>
    <row r="983" spans="1:2" ht="13.2" x14ac:dyDescent="0.25">
      <c r="A983" s="3" t="s">
        <v>983</v>
      </c>
      <c r="B983" s="1"/>
    </row>
    <row r="984" spans="1:2" ht="13.2" x14ac:dyDescent="0.25">
      <c r="A984" s="3" t="s">
        <v>984</v>
      </c>
      <c r="B984" s="1"/>
    </row>
    <row r="985" spans="1:2" ht="13.2" x14ac:dyDescent="0.25">
      <c r="A985" s="3" t="s">
        <v>985</v>
      </c>
      <c r="B985" s="1"/>
    </row>
    <row r="986" spans="1:2" ht="13.2" x14ac:dyDescent="0.25">
      <c r="A986" s="3" t="s">
        <v>986</v>
      </c>
      <c r="B986" s="1"/>
    </row>
    <row r="987" spans="1:2" ht="13.2" x14ac:dyDescent="0.25">
      <c r="A987" s="3" t="s">
        <v>987</v>
      </c>
      <c r="B987" s="1"/>
    </row>
    <row r="988" spans="1:2" ht="13.2" x14ac:dyDescent="0.25">
      <c r="A988" s="3" t="s">
        <v>988</v>
      </c>
      <c r="B988" s="1"/>
    </row>
    <row r="989" spans="1:2" ht="13.2" x14ac:dyDescent="0.25">
      <c r="A989" s="3" t="s">
        <v>989</v>
      </c>
      <c r="B989" s="1"/>
    </row>
    <row r="990" spans="1:2" ht="13.2" x14ac:dyDescent="0.25">
      <c r="A990" s="3" t="s">
        <v>990</v>
      </c>
      <c r="B990" s="1"/>
    </row>
    <row r="991" spans="1:2" ht="13.2" x14ac:dyDescent="0.25">
      <c r="A991" s="3" t="s">
        <v>991</v>
      </c>
      <c r="B991" s="1"/>
    </row>
    <row r="992" spans="1:2" ht="13.2" x14ac:dyDescent="0.25">
      <c r="A992" s="3" t="s">
        <v>992</v>
      </c>
      <c r="B992" s="1"/>
    </row>
    <row r="993" spans="1:2" ht="13.2" x14ac:dyDescent="0.25">
      <c r="A993" s="3" t="s">
        <v>993</v>
      </c>
      <c r="B993" s="1"/>
    </row>
    <row r="994" spans="1:2" ht="13.2" x14ac:dyDescent="0.25">
      <c r="A994" s="3" t="s">
        <v>994</v>
      </c>
      <c r="B994" s="1"/>
    </row>
    <row r="995" spans="1:2" ht="13.2" x14ac:dyDescent="0.25">
      <c r="A995" s="3" t="s">
        <v>995</v>
      </c>
      <c r="B995" s="1"/>
    </row>
    <row r="996" spans="1:2" ht="13.2" x14ac:dyDescent="0.25">
      <c r="A996" s="3" t="s">
        <v>996</v>
      </c>
      <c r="B996" s="1"/>
    </row>
    <row r="997" spans="1:2" ht="13.2" x14ac:dyDescent="0.25">
      <c r="A997" s="3" t="s">
        <v>997</v>
      </c>
      <c r="B997" s="1"/>
    </row>
    <row r="998" spans="1:2" ht="13.2" x14ac:dyDescent="0.25">
      <c r="A998" s="3" t="s">
        <v>998</v>
      </c>
      <c r="B998" s="1"/>
    </row>
    <row r="999" spans="1:2" ht="13.2" x14ac:dyDescent="0.25">
      <c r="A999" s="3" t="s">
        <v>999</v>
      </c>
      <c r="B999" s="1"/>
    </row>
    <row r="1000" spans="1:2" ht="13.2" x14ac:dyDescent="0.25">
      <c r="A1000" s="3" t="s">
        <v>1000</v>
      </c>
      <c r="B1000" s="1"/>
    </row>
    <row r="1001" spans="1:2" ht="13.2" x14ac:dyDescent="0.25">
      <c r="A1001" s="3" t="s">
        <v>1001</v>
      </c>
      <c r="B1001" s="1"/>
    </row>
    <row r="1002" spans="1:2" ht="13.2" x14ac:dyDescent="0.25">
      <c r="A1002" s="3" t="s">
        <v>1002</v>
      </c>
      <c r="B1002" s="1"/>
    </row>
    <row r="1003" spans="1:2" ht="13.2" x14ac:dyDescent="0.25">
      <c r="A1003" s="3" t="s">
        <v>1003</v>
      </c>
      <c r="B1003" s="1"/>
    </row>
    <row r="1004" spans="1:2" ht="13.2" x14ac:dyDescent="0.25">
      <c r="A1004" s="3" t="s">
        <v>1004</v>
      </c>
      <c r="B1004" s="1"/>
    </row>
    <row r="1005" spans="1:2" ht="13.2" x14ac:dyDescent="0.25">
      <c r="A1005" s="3" t="s">
        <v>1005</v>
      </c>
      <c r="B1005" s="1"/>
    </row>
    <row r="1006" spans="1:2" ht="13.2" x14ac:dyDescent="0.25">
      <c r="A1006" s="3" t="s">
        <v>1006</v>
      </c>
      <c r="B1006" s="1"/>
    </row>
    <row r="1007" spans="1:2" ht="13.2" x14ac:dyDescent="0.25">
      <c r="A1007" s="3" t="s">
        <v>1007</v>
      </c>
      <c r="B1007" s="1"/>
    </row>
    <row r="1008" spans="1:2" ht="13.2" x14ac:dyDescent="0.25">
      <c r="A1008" s="3" t="s">
        <v>1008</v>
      </c>
      <c r="B1008" s="1"/>
    </row>
    <row r="1009" spans="1:2" ht="13.2" x14ac:dyDescent="0.25">
      <c r="A1009" s="3" t="s">
        <v>1009</v>
      </c>
      <c r="B1009" s="1"/>
    </row>
    <row r="1010" spans="1:2" ht="13.2" x14ac:dyDescent="0.25">
      <c r="A1010" s="3" t="s">
        <v>1010</v>
      </c>
      <c r="B1010" s="1"/>
    </row>
    <row r="1011" spans="1:2" ht="13.2" x14ac:dyDescent="0.25">
      <c r="A1011" s="3" t="s">
        <v>1011</v>
      </c>
      <c r="B1011" s="1"/>
    </row>
    <row r="1012" spans="1:2" ht="13.2" x14ac:dyDescent="0.25">
      <c r="A1012" s="3" t="s">
        <v>1012</v>
      </c>
      <c r="B1012" s="1"/>
    </row>
    <row r="1013" spans="1:2" ht="13.2" x14ac:dyDescent="0.25">
      <c r="A1013" s="3" t="s">
        <v>1013</v>
      </c>
      <c r="B1013" s="1"/>
    </row>
    <row r="1014" spans="1:2" ht="13.2" x14ac:dyDescent="0.25">
      <c r="A1014" s="3" t="s">
        <v>1014</v>
      </c>
      <c r="B1014" s="1"/>
    </row>
    <row r="1015" spans="1:2" ht="13.2" x14ac:dyDescent="0.25">
      <c r="A1015" s="3" t="s">
        <v>1015</v>
      </c>
      <c r="B1015" s="1"/>
    </row>
    <row r="1016" spans="1:2" ht="13.2" x14ac:dyDescent="0.25">
      <c r="A1016" s="3" t="s">
        <v>1016</v>
      </c>
      <c r="B1016" s="1"/>
    </row>
    <row r="1017" spans="1:2" ht="13.2" x14ac:dyDescent="0.25">
      <c r="A1017" s="3" t="s">
        <v>1017</v>
      </c>
      <c r="B1017" s="1"/>
    </row>
    <row r="1018" spans="1:2" ht="13.2" x14ac:dyDescent="0.25">
      <c r="A1018" s="3" t="s">
        <v>1018</v>
      </c>
      <c r="B1018" s="1"/>
    </row>
    <row r="1019" spans="1:2" ht="13.2" x14ac:dyDescent="0.25">
      <c r="A1019" s="3" t="s">
        <v>1019</v>
      </c>
      <c r="B1019" s="1"/>
    </row>
    <row r="1020" spans="1:2" ht="13.2" x14ac:dyDescent="0.25">
      <c r="A1020" s="3" t="s">
        <v>1020</v>
      </c>
      <c r="B1020" s="1"/>
    </row>
    <row r="1021" spans="1:2" ht="13.2" x14ac:dyDescent="0.25">
      <c r="A1021" s="3" t="s">
        <v>1021</v>
      </c>
      <c r="B1021" s="1"/>
    </row>
    <row r="1022" spans="1:2" ht="13.2" x14ac:dyDescent="0.25">
      <c r="A1022" s="3" t="s">
        <v>1022</v>
      </c>
      <c r="B1022" s="1"/>
    </row>
    <row r="1023" spans="1:2" ht="13.2" x14ac:dyDescent="0.25">
      <c r="A1023" s="3" t="s">
        <v>1023</v>
      </c>
      <c r="B1023" s="1"/>
    </row>
    <row r="1024" spans="1:2" ht="13.2" x14ac:dyDescent="0.25">
      <c r="A1024" s="3" t="s">
        <v>1024</v>
      </c>
      <c r="B1024" s="1"/>
    </row>
    <row r="1025" spans="1:2" ht="13.2" x14ac:dyDescent="0.25">
      <c r="A1025" s="3" t="s">
        <v>1025</v>
      </c>
      <c r="B1025" s="1"/>
    </row>
    <row r="1026" spans="1:2" ht="13.2" x14ac:dyDescent="0.25">
      <c r="A1026" s="3" t="s">
        <v>1026</v>
      </c>
      <c r="B1026" s="1"/>
    </row>
    <row r="1027" spans="1:2" ht="13.2" x14ac:dyDescent="0.25">
      <c r="A1027" s="3" t="s">
        <v>1027</v>
      </c>
      <c r="B1027" s="1"/>
    </row>
    <row r="1028" spans="1:2" ht="13.2" x14ac:dyDescent="0.25">
      <c r="A1028" s="3" t="s">
        <v>1028</v>
      </c>
      <c r="B1028" s="1"/>
    </row>
    <row r="1029" spans="1:2" ht="13.2" x14ac:dyDescent="0.25">
      <c r="A1029" s="3" t="s">
        <v>1029</v>
      </c>
      <c r="B1029" s="1"/>
    </row>
    <row r="1030" spans="1:2" ht="13.2" x14ac:dyDescent="0.25">
      <c r="A1030" s="3" t="s">
        <v>1030</v>
      </c>
      <c r="B1030" s="1"/>
    </row>
    <row r="1031" spans="1:2" ht="13.2" x14ac:dyDescent="0.25">
      <c r="A1031" s="3" t="s">
        <v>1031</v>
      </c>
      <c r="B1031" s="1"/>
    </row>
    <row r="1032" spans="1:2" ht="13.2" x14ac:dyDescent="0.25">
      <c r="A1032" s="3" t="s">
        <v>1032</v>
      </c>
      <c r="B1032" s="1"/>
    </row>
    <row r="1033" spans="1:2" ht="13.2" x14ac:dyDescent="0.25">
      <c r="A1033" s="3" t="s">
        <v>1033</v>
      </c>
      <c r="B1033" s="1"/>
    </row>
    <row r="1034" spans="1:2" ht="13.2" x14ac:dyDescent="0.25">
      <c r="A1034" s="3" t="s">
        <v>1034</v>
      </c>
      <c r="B1034" s="1"/>
    </row>
    <row r="1035" spans="1:2" ht="13.2" x14ac:dyDescent="0.25">
      <c r="A1035" s="3" t="s">
        <v>1035</v>
      </c>
      <c r="B1035" s="1"/>
    </row>
    <row r="1036" spans="1:2" ht="13.2" x14ac:dyDescent="0.25">
      <c r="A1036" s="3" t="s">
        <v>1036</v>
      </c>
      <c r="B1036" s="1"/>
    </row>
    <row r="1037" spans="1:2" ht="13.2" x14ac:dyDescent="0.25">
      <c r="A1037" s="3" t="s">
        <v>1037</v>
      </c>
      <c r="B1037" s="1"/>
    </row>
    <row r="1038" spans="1:2" ht="13.2" x14ac:dyDescent="0.25">
      <c r="A1038" s="3" t="s">
        <v>1038</v>
      </c>
      <c r="B1038" s="1"/>
    </row>
    <row r="1039" spans="1:2" ht="13.2" x14ac:dyDescent="0.25">
      <c r="A1039" s="3" t="s">
        <v>1039</v>
      </c>
      <c r="B1039" s="1"/>
    </row>
    <row r="1040" spans="1:2" ht="13.2" x14ac:dyDescent="0.25">
      <c r="A1040" s="3" t="s">
        <v>1040</v>
      </c>
      <c r="B1040" s="1"/>
    </row>
    <row r="1041" spans="1:2" ht="13.2" x14ac:dyDescent="0.25">
      <c r="A1041" s="3" t="s">
        <v>1041</v>
      </c>
      <c r="B1041" s="1"/>
    </row>
    <row r="1042" spans="1:2" ht="13.2" x14ac:dyDescent="0.25">
      <c r="A1042" s="3" t="s">
        <v>1042</v>
      </c>
      <c r="B1042" s="1"/>
    </row>
    <row r="1043" spans="1:2" ht="13.2" x14ac:dyDescent="0.25">
      <c r="A1043" s="3" t="s">
        <v>1043</v>
      </c>
      <c r="B1043" s="1"/>
    </row>
    <row r="1044" spans="1:2" ht="13.2" x14ac:dyDescent="0.25">
      <c r="A1044" s="3" t="s">
        <v>1044</v>
      </c>
      <c r="B1044" s="1"/>
    </row>
    <row r="1045" spans="1:2" ht="13.2" x14ac:dyDescent="0.25">
      <c r="A1045" s="3" t="s">
        <v>1045</v>
      </c>
      <c r="B1045" s="1"/>
    </row>
    <row r="1046" spans="1:2" ht="13.2" x14ac:dyDescent="0.25">
      <c r="A1046" s="3" t="s">
        <v>1046</v>
      </c>
      <c r="B1046" s="1"/>
    </row>
    <row r="1047" spans="1:2" ht="13.2" x14ac:dyDescent="0.25">
      <c r="A1047" s="3" t="s">
        <v>1047</v>
      </c>
      <c r="B1047" s="1"/>
    </row>
    <row r="1048" spans="1:2" ht="13.2" x14ac:dyDescent="0.25">
      <c r="A1048" s="3" t="s">
        <v>1048</v>
      </c>
      <c r="B1048" s="1"/>
    </row>
    <row r="1049" spans="1:2" ht="13.2" x14ac:dyDescent="0.25">
      <c r="A1049" s="3" t="s">
        <v>1049</v>
      </c>
      <c r="B1049" s="1"/>
    </row>
    <row r="1050" spans="1:2" ht="13.2" x14ac:dyDescent="0.25">
      <c r="A1050" s="3" t="s">
        <v>1050</v>
      </c>
      <c r="B1050" s="1"/>
    </row>
    <row r="1051" spans="1:2" ht="13.2" x14ac:dyDescent="0.25">
      <c r="A1051" s="3" t="s">
        <v>1051</v>
      </c>
      <c r="B1051" s="1"/>
    </row>
    <row r="1052" spans="1:2" ht="13.2" x14ac:dyDescent="0.25">
      <c r="A1052" s="3" t="s">
        <v>1052</v>
      </c>
      <c r="B1052" s="1"/>
    </row>
    <row r="1053" spans="1:2" ht="13.2" x14ac:dyDescent="0.25">
      <c r="A1053" s="3" t="s">
        <v>1053</v>
      </c>
      <c r="B1053" s="1"/>
    </row>
    <row r="1054" spans="1:2" ht="13.2" x14ac:dyDescent="0.25">
      <c r="A1054" s="3" t="s">
        <v>1054</v>
      </c>
      <c r="B1054" s="1"/>
    </row>
    <row r="1055" spans="1:2" ht="13.2" x14ac:dyDescent="0.25">
      <c r="A1055" s="3" t="s">
        <v>1055</v>
      </c>
      <c r="B1055" s="1"/>
    </row>
    <row r="1056" spans="1:2" ht="13.2" x14ac:dyDescent="0.25">
      <c r="A1056" s="3" t="s">
        <v>1056</v>
      </c>
      <c r="B1056" s="1"/>
    </row>
    <row r="1057" spans="1:2" ht="13.2" x14ac:dyDescent="0.25">
      <c r="A1057" s="3" t="s">
        <v>1057</v>
      </c>
      <c r="B1057" s="1"/>
    </row>
    <row r="1058" spans="1:2" ht="13.2" x14ac:dyDescent="0.25">
      <c r="A1058" s="3" t="s">
        <v>1058</v>
      </c>
      <c r="B1058" s="1"/>
    </row>
    <row r="1059" spans="1:2" ht="13.2" x14ac:dyDescent="0.25">
      <c r="A1059" s="3" t="s">
        <v>1059</v>
      </c>
      <c r="B1059" s="1"/>
    </row>
    <row r="1060" spans="1:2" ht="13.2" x14ac:dyDescent="0.25">
      <c r="A1060" s="3" t="s">
        <v>1060</v>
      </c>
      <c r="B1060" s="1"/>
    </row>
    <row r="1061" spans="1:2" ht="13.2" x14ac:dyDescent="0.25">
      <c r="A1061" s="3" t="s">
        <v>1061</v>
      </c>
      <c r="B1061" s="1"/>
    </row>
    <row r="1062" spans="1:2" ht="13.2" x14ac:dyDescent="0.25">
      <c r="A1062" s="3" t="s">
        <v>1062</v>
      </c>
      <c r="B1062" s="1"/>
    </row>
    <row r="1063" spans="1:2" ht="13.2" x14ac:dyDescent="0.25">
      <c r="A1063" s="3" t="s">
        <v>1063</v>
      </c>
      <c r="B1063" s="1"/>
    </row>
    <row r="1064" spans="1:2" ht="13.2" x14ac:dyDescent="0.25">
      <c r="A1064" s="3" t="s">
        <v>1064</v>
      </c>
      <c r="B1064" s="1"/>
    </row>
    <row r="1065" spans="1:2" ht="13.2" x14ac:dyDescent="0.25">
      <c r="A1065" s="3" t="s">
        <v>1065</v>
      </c>
      <c r="B1065" s="1"/>
    </row>
    <row r="1066" spans="1:2" ht="13.2" x14ac:dyDescent="0.25">
      <c r="A1066" s="3" t="s">
        <v>1066</v>
      </c>
      <c r="B1066" s="1"/>
    </row>
    <row r="1067" spans="1:2" ht="13.2" x14ac:dyDescent="0.25">
      <c r="A1067" s="3" t="s">
        <v>1067</v>
      </c>
      <c r="B1067" s="1"/>
    </row>
    <row r="1068" spans="1:2" ht="13.2" x14ac:dyDescent="0.25">
      <c r="A1068" s="3" t="s">
        <v>1068</v>
      </c>
      <c r="B1068" s="1"/>
    </row>
    <row r="1069" spans="1:2" ht="13.2" x14ac:dyDescent="0.25">
      <c r="A1069" s="3" t="s">
        <v>1069</v>
      </c>
      <c r="B1069" s="1"/>
    </row>
    <row r="1070" spans="1:2" ht="13.2" x14ac:dyDescent="0.25">
      <c r="A1070" s="3" t="s">
        <v>1070</v>
      </c>
      <c r="B1070" s="1"/>
    </row>
    <row r="1071" spans="1:2" ht="13.2" x14ac:dyDescent="0.25">
      <c r="A1071" s="3" t="s">
        <v>1071</v>
      </c>
      <c r="B1071" s="1"/>
    </row>
    <row r="1072" spans="1:2" ht="13.2" x14ac:dyDescent="0.25">
      <c r="A1072" s="3" t="s">
        <v>1072</v>
      </c>
      <c r="B1072" s="1"/>
    </row>
    <row r="1073" spans="1:2" ht="13.2" x14ac:dyDescent="0.25">
      <c r="A1073" s="3" t="s">
        <v>1073</v>
      </c>
      <c r="B1073" s="1"/>
    </row>
    <row r="1074" spans="1:2" ht="13.2" x14ac:dyDescent="0.25">
      <c r="A1074" s="3" t="s">
        <v>1074</v>
      </c>
      <c r="B1074" s="1"/>
    </row>
    <row r="1075" spans="1:2" ht="13.2" x14ac:dyDescent="0.25">
      <c r="A1075" s="3" t="s">
        <v>1075</v>
      </c>
      <c r="B1075" s="1"/>
    </row>
    <row r="1076" spans="1:2" ht="13.2" x14ac:dyDescent="0.25">
      <c r="A1076" s="3" t="s">
        <v>1076</v>
      </c>
      <c r="B1076" s="1"/>
    </row>
    <row r="1077" spans="1:2" ht="13.2" x14ac:dyDescent="0.25">
      <c r="A1077" s="3" t="s">
        <v>1077</v>
      </c>
      <c r="B1077" s="1"/>
    </row>
    <row r="1078" spans="1:2" ht="13.2" x14ac:dyDescent="0.25">
      <c r="A1078" s="3" t="s">
        <v>1078</v>
      </c>
      <c r="B1078" s="1"/>
    </row>
    <row r="1079" spans="1:2" ht="13.2" x14ac:dyDescent="0.25">
      <c r="A1079" s="3" t="s">
        <v>1079</v>
      </c>
      <c r="B1079" s="1"/>
    </row>
    <row r="1080" spans="1:2" ht="13.2" x14ac:dyDescent="0.25">
      <c r="A1080" s="3" t="s">
        <v>1080</v>
      </c>
      <c r="B1080" s="1"/>
    </row>
    <row r="1081" spans="1:2" ht="13.2" x14ac:dyDescent="0.25">
      <c r="A1081" s="3" t="s">
        <v>1081</v>
      </c>
      <c r="B1081" s="1"/>
    </row>
    <row r="1082" spans="1:2" ht="13.2" x14ac:dyDescent="0.25">
      <c r="A1082" s="3" t="s">
        <v>1082</v>
      </c>
      <c r="B1082" s="1"/>
    </row>
    <row r="1083" spans="1:2" ht="13.2" x14ac:dyDescent="0.25">
      <c r="A1083" s="3" t="s">
        <v>1083</v>
      </c>
      <c r="B1083" s="1"/>
    </row>
    <row r="1084" spans="1:2" ht="13.2" x14ac:dyDescent="0.25">
      <c r="A1084" s="3" t="s">
        <v>1084</v>
      </c>
      <c r="B1084" s="1"/>
    </row>
    <row r="1085" spans="1:2" ht="13.2" x14ac:dyDescent="0.25">
      <c r="A1085" s="3" t="s">
        <v>1085</v>
      </c>
      <c r="B1085" s="1"/>
    </row>
    <row r="1086" spans="1:2" ht="13.2" x14ac:dyDescent="0.25">
      <c r="A1086" s="3" t="s">
        <v>1086</v>
      </c>
      <c r="B1086" s="1"/>
    </row>
    <row r="1087" spans="1:2" ht="13.2" x14ac:dyDescent="0.25">
      <c r="A1087" s="3" t="s">
        <v>1087</v>
      </c>
      <c r="B1087" s="1"/>
    </row>
    <row r="1088" spans="1:2" ht="13.2" x14ac:dyDescent="0.25">
      <c r="A1088" s="3" t="s">
        <v>1088</v>
      </c>
      <c r="B1088" s="1"/>
    </row>
    <row r="1089" spans="1:2" ht="13.2" x14ac:dyDescent="0.25">
      <c r="A1089" s="3" t="s">
        <v>1089</v>
      </c>
      <c r="B1089" s="1"/>
    </row>
    <row r="1090" spans="1:2" ht="13.2" x14ac:dyDescent="0.25">
      <c r="A1090" s="3" t="s">
        <v>1090</v>
      </c>
      <c r="B1090" s="1"/>
    </row>
    <row r="1091" spans="1:2" ht="13.2" x14ac:dyDescent="0.25">
      <c r="A1091" s="3" t="s">
        <v>1091</v>
      </c>
      <c r="B1091" s="1"/>
    </row>
    <row r="1092" spans="1:2" ht="13.2" x14ac:dyDescent="0.25">
      <c r="A1092" s="3" t="s">
        <v>1092</v>
      </c>
      <c r="B1092" s="1"/>
    </row>
    <row r="1093" spans="1:2" ht="13.2" x14ac:dyDescent="0.25">
      <c r="A1093" s="3" t="s">
        <v>1093</v>
      </c>
      <c r="B1093" s="1"/>
    </row>
    <row r="1094" spans="1:2" ht="13.2" x14ac:dyDescent="0.25">
      <c r="A1094" s="3" t="s">
        <v>1094</v>
      </c>
      <c r="B1094" s="1"/>
    </row>
    <row r="1095" spans="1:2" ht="13.2" x14ac:dyDescent="0.25">
      <c r="A1095" s="3" t="s">
        <v>1095</v>
      </c>
      <c r="B1095" s="1"/>
    </row>
    <row r="1096" spans="1:2" ht="13.2" x14ac:dyDescent="0.25">
      <c r="A1096" s="3" t="s">
        <v>1096</v>
      </c>
      <c r="B1096" s="1"/>
    </row>
    <row r="1097" spans="1:2" ht="13.2" x14ac:dyDescent="0.25">
      <c r="A1097" s="3" t="s">
        <v>1097</v>
      </c>
      <c r="B1097" s="1"/>
    </row>
    <row r="1098" spans="1:2" ht="13.2" x14ac:dyDescent="0.25">
      <c r="A1098" s="3" t="s">
        <v>1098</v>
      </c>
      <c r="B1098" s="1"/>
    </row>
    <row r="1099" spans="1:2" ht="13.2" x14ac:dyDescent="0.25">
      <c r="A1099" s="3" t="s">
        <v>1099</v>
      </c>
      <c r="B1099" s="1"/>
    </row>
    <row r="1100" spans="1:2" ht="13.2" x14ac:dyDescent="0.25">
      <c r="A1100" s="3" t="s">
        <v>1100</v>
      </c>
      <c r="B1100" s="1"/>
    </row>
    <row r="1101" spans="1:2" ht="13.2" x14ac:dyDescent="0.25">
      <c r="A1101" s="3" t="s">
        <v>1101</v>
      </c>
      <c r="B1101" s="1"/>
    </row>
    <row r="1102" spans="1:2" ht="13.2" x14ac:dyDescent="0.25">
      <c r="A1102" s="3" t="s">
        <v>1102</v>
      </c>
      <c r="B1102" s="1"/>
    </row>
    <row r="1103" spans="1:2" ht="13.2" x14ac:dyDescent="0.25">
      <c r="A1103" s="3" t="s">
        <v>1103</v>
      </c>
      <c r="B1103" s="1"/>
    </row>
    <row r="1104" spans="1:2" ht="13.2" x14ac:dyDescent="0.25">
      <c r="A1104" s="3" t="s">
        <v>1104</v>
      </c>
      <c r="B1104" s="1"/>
    </row>
    <row r="1105" spans="1:2" ht="13.2" x14ac:dyDescent="0.25">
      <c r="A1105" s="3" t="s">
        <v>1105</v>
      </c>
      <c r="B1105" s="1"/>
    </row>
    <row r="1106" spans="1:2" ht="13.2" x14ac:dyDescent="0.25">
      <c r="A1106" s="3" t="s">
        <v>1106</v>
      </c>
      <c r="B1106" s="1"/>
    </row>
    <row r="1107" spans="1:2" ht="13.2" x14ac:dyDescent="0.25">
      <c r="A1107" s="3" t="s">
        <v>1107</v>
      </c>
      <c r="B1107" s="1"/>
    </row>
    <row r="1108" spans="1:2" ht="13.2" x14ac:dyDescent="0.25">
      <c r="A1108" s="3" t="s">
        <v>1108</v>
      </c>
      <c r="B1108" s="1"/>
    </row>
    <row r="1109" spans="1:2" ht="13.2" x14ac:dyDescent="0.25">
      <c r="A1109" s="3" t="s">
        <v>1109</v>
      </c>
      <c r="B1109" s="1"/>
    </row>
    <row r="1110" spans="1:2" ht="13.2" x14ac:dyDescent="0.25">
      <c r="A1110" s="3" t="s">
        <v>1110</v>
      </c>
      <c r="B1110" s="1"/>
    </row>
    <row r="1111" spans="1:2" ht="13.2" x14ac:dyDescent="0.25">
      <c r="A1111" s="3" t="s">
        <v>1111</v>
      </c>
      <c r="B1111" s="1"/>
    </row>
    <row r="1112" spans="1:2" ht="13.2" x14ac:dyDescent="0.25">
      <c r="A1112" s="3" t="s">
        <v>1112</v>
      </c>
      <c r="B1112" s="1"/>
    </row>
    <row r="1113" spans="1:2" ht="13.2" x14ac:dyDescent="0.25">
      <c r="A1113" s="3" t="s">
        <v>1113</v>
      </c>
      <c r="B1113" s="1"/>
    </row>
    <row r="1114" spans="1:2" ht="13.2" x14ac:dyDescent="0.25">
      <c r="A1114" s="3" t="s">
        <v>1114</v>
      </c>
      <c r="B1114" s="1"/>
    </row>
    <row r="1115" spans="1:2" ht="13.2" x14ac:dyDescent="0.25">
      <c r="A1115" s="3" t="s">
        <v>1115</v>
      </c>
      <c r="B1115" s="1"/>
    </row>
    <row r="1116" spans="1:2" ht="13.2" x14ac:dyDescent="0.25">
      <c r="A1116" s="3" t="s">
        <v>1116</v>
      </c>
      <c r="B1116" s="1"/>
    </row>
    <row r="1117" spans="1:2" ht="13.2" x14ac:dyDescent="0.25">
      <c r="A1117" s="3" t="s">
        <v>1117</v>
      </c>
      <c r="B1117" s="1"/>
    </row>
    <row r="1118" spans="1:2" ht="13.2" x14ac:dyDescent="0.25">
      <c r="A1118" s="3" t="s">
        <v>1118</v>
      </c>
      <c r="B1118" s="1"/>
    </row>
    <row r="1119" spans="1:2" ht="13.2" x14ac:dyDescent="0.25">
      <c r="A1119" s="3" t="s">
        <v>1119</v>
      </c>
      <c r="B1119" s="1"/>
    </row>
    <row r="1120" spans="1:2" ht="13.2" x14ac:dyDescent="0.25">
      <c r="A1120" s="3" t="s">
        <v>1120</v>
      </c>
      <c r="B1120" s="1"/>
    </row>
    <row r="1121" spans="1:2" ht="13.2" x14ac:dyDescent="0.25">
      <c r="A1121" s="3" t="s">
        <v>1121</v>
      </c>
      <c r="B1121" s="1"/>
    </row>
    <row r="1122" spans="1:2" ht="13.2" x14ac:dyDescent="0.25">
      <c r="A1122" s="3" t="s">
        <v>1122</v>
      </c>
      <c r="B1122" s="1"/>
    </row>
    <row r="1123" spans="1:2" ht="13.2" x14ac:dyDescent="0.25">
      <c r="A1123" s="3" t="s">
        <v>1123</v>
      </c>
      <c r="B1123" s="1"/>
    </row>
    <row r="1124" spans="1:2" ht="13.2" x14ac:dyDescent="0.25">
      <c r="A1124" s="3" t="s">
        <v>1124</v>
      </c>
      <c r="B1124" s="1"/>
    </row>
    <row r="1125" spans="1:2" ht="13.2" x14ac:dyDescent="0.25">
      <c r="A1125" s="3" t="s">
        <v>1125</v>
      </c>
      <c r="B1125" s="1"/>
    </row>
    <row r="1126" spans="1:2" ht="13.2" x14ac:dyDescent="0.25">
      <c r="A1126" s="3" t="s">
        <v>1126</v>
      </c>
      <c r="B1126" s="1"/>
    </row>
    <row r="1127" spans="1:2" ht="13.2" x14ac:dyDescent="0.25">
      <c r="A1127" s="3" t="s">
        <v>1127</v>
      </c>
      <c r="B1127" s="1"/>
    </row>
    <row r="1128" spans="1:2" ht="13.2" x14ac:dyDescent="0.25">
      <c r="A1128" s="3" t="s">
        <v>1128</v>
      </c>
      <c r="B1128" s="1"/>
    </row>
    <row r="1129" spans="1:2" ht="13.2" x14ac:dyDescent="0.25">
      <c r="A1129" s="3" t="s">
        <v>1129</v>
      </c>
      <c r="B1129" s="1"/>
    </row>
    <row r="1130" spans="1:2" ht="13.2" x14ac:dyDescent="0.25">
      <c r="A1130" s="3" t="s">
        <v>1130</v>
      </c>
      <c r="B1130" s="1"/>
    </row>
    <row r="1131" spans="1:2" ht="13.2" x14ac:dyDescent="0.25">
      <c r="A1131" s="3" t="s">
        <v>1131</v>
      </c>
      <c r="B1131" s="1"/>
    </row>
    <row r="1132" spans="1:2" ht="13.2" x14ac:dyDescent="0.25">
      <c r="A1132" s="3" t="s">
        <v>1132</v>
      </c>
      <c r="B1132" s="1"/>
    </row>
    <row r="1133" spans="1:2" ht="13.2" x14ac:dyDescent="0.25">
      <c r="A1133" s="3" t="s">
        <v>1133</v>
      </c>
      <c r="B1133" s="1"/>
    </row>
    <row r="1134" spans="1:2" ht="13.2" x14ac:dyDescent="0.25">
      <c r="A1134" s="3" t="s">
        <v>1134</v>
      </c>
      <c r="B1134" s="1"/>
    </row>
    <row r="1135" spans="1:2" ht="13.2" x14ac:dyDescent="0.25">
      <c r="A1135" s="3" t="s">
        <v>1135</v>
      </c>
      <c r="B1135" s="1"/>
    </row>
    <row r="1136" spans="1:2" ht="13.2" x14ac:dyDescent="0.25">
      <c r="A1136" s="3" t="s">
        <v>1136</v>
      </c>
      <c r="B1136" s="1"/>
    </row>
    <row r="1137" spans="1:2" ht="13.2" x14ac:dyDescent="0.25">
      <c r="A1137" s="3" t="s">
        <v>1137</v>
      </c>
      <c r="B1137" s="1"/>
    </row>
    <row r="1138" spans="1:2" ht="13.2" x14ac:dyDescent="0.25">
      <c r="A1138" s="3" t="s">
        <v>1138</v>
      </c>
      <c r="B1138" s="1"/>
    </row>
    <row r="1139" spans="1:2" ht="13.2" x14ac:dyDescent="0.25">
      <c r="A1139" s="3" t="s">
        <v>1139</v>
      </c>
      <c r="B1139" s="1"/>
    </row>
    <row r="1140" spans="1:2" ht="13.2" x14ac:dyDescent="0.25">
      <c r="A1140" s="3" t="s">
        <v>1140</v>
      </c>
      <c r="B1140" s="1"/>
    </row>
    <row r="1141" spans="1:2" ht="13.2" x14ac:dyDescent="0.25">
      <c r="A1141" s="3" t="s">
        <v>1141</v>
      </c>
      <c r="B1141" s="1"/>
    </row>
    <row r="1142" spans="1:2" ht="13.2" x14ac:dyDescent="0.25">
      <c r="A1142" s="3" t="s">
        <v>1142</v>
      </c>
      <c r="B1142" s="1"/>
    </row>
    <row r="1143" spans="1:2" ht="13.2" x14ac:dyDescent="0.25">
      <c r="A1143" s="3" t="s">
        <v>1143</v>
      </c>
      <c r="B1143" s="1"/>
    </row>
    <row r="1144" spans="1:2" ht="13.2" x14ac:dyDescent="0.25">
      <c r="A1144" s="3" t="s">
        <v>1144</v>
      </c>
      <c r="B1144" s="1"/>
    </row>
    <row r="1145" spans="1:2" ht="13.2" x14ac:dyDescent="0.25">
      <c r="A1145" s="3" t="s">
        <v>1145</v>
      </c>
      <c r="B1145" s="1"/>
    </row>
    <row r="1146" spans="1:2" ht="13.2" x14ac:dyDescent="0.25">
      <c r="A1146" s="3" t="s">
        <v>1146</v>
      </c>
      <c r="B1146" s="1"/>
    </row>
    <row r="1147" spans="1:2" ht="13.2" x14ac:dyDescent="0.25">
      <c r="A1147" s="3" t="s">
        <v>1147</v>
      </c>
      <c r="B1147" s="1"/>
    </row>
    <row r="1148" spans="1:2" ht="13.2" x14ac:dyDescent="0.25">
      <c r="A1148" s="3" t="s">
        <v>1148</v>
      </c>
      <c r="B1148" s="1"/>
    </row>
    <row r="1149" spans="1:2" ht="13.2" x14ac:dyDescent="0.25">
      <c r="A1149" s="3" t="s">
        <v>1149</v>
      </c>
      <c r="B1149" s="1"/>
    </row>
    <row r="1150" spans="1:2" ht="13.2" x14ac:dyDescent="0.25">
      <c r="A1150" s="3" t="s">
        <v>1150</v>
      </c>
      <c r="B1150" s="1"/>
    </row>
    <row r="1151" spans="1:2" ht="13.2" x14ac:dyDescent="0.25">
      <c r="A1151" s="3" t="s">
        <v>1151</v>
      </c>
      <c r="B1151" s="1"/>
    </row>
    <row r="1152" spans="1:2" ht="13.2" x14ac:dyDescent="0.25">
      <c r="A1152" s="3" t="s">
        <v>1152</v>
      </c>
      <c r="B1152" s="1"/>
    </row>
    <row r="1153" spans="1:2" ht="13.2" x14ac:dyDescent="0.25">
      <c r="A1153" s="3" t="s">
        <v>1153</v>
      </c>
      <c r="B1153" s="1"/>
    </row>
    <row r="1154" spans="1:2" ht="13.2" x14ac:dyDescent="0.25">
      <c r="A1154" s="3" t="s">
        <v>1154</v>
      </c>
      <c r="B1154" s="1"/>
    </row>
    <row r="1155" spans="1:2" ht="13.2" x14ac:dyDescent="0.25">
      <c r="A1155" s="3" t="s">
        <v>1155</v>
      </c>
      <c r="B1155" s="1"/>
    </row>
    <row r="1156" spans="1:2" ht="13.2" x14ac:dyDescent="0.25">
      <c r="A1156" s="3" t="s">
        <v>1156</v>
      </c>
      <c r="B1156" s="1"/>
    </row>
    <row r="1157" spans="1:2" ht="13.2" x14ac:dyDescent="0.25">
      <c r="A1157" s="3" t="s">
        <v>1157</v>
      </c>
      <c r="B1157" s="1"/>
    </row>
    <row r="1158" spans="1:2" ht="13.2" x14ac:dyDescent="0.25">
      <c r="A1158" s="3" t="s">
        <v>1158</v>
      </c>
      <c r="B1158" s="1"/>
    </row>
    <row r="1159" spans="1:2" ht="13.2" x14ac:dyDescent="0.25">
      <c r="A1159" s="3" t="s">
        <v>1159</v>
      </c>
      <c r="B1159" s="1"/>
    </row>
    <row r="1160" spans="1:2" ht="13.2" x14ac:dyDescent="0.25">
      <c r="A1160" s="3" t="s">
        <v>1160</v>
      </c>
      <c r="B1160" s="1"/>
    </row>
    <row r="1161" spans="1:2" ht="13.2" x14ac:dyDescent="0.25">
      <c r="A1161" s="3" t="s">
        <v>1161</v>
      </c>
      <c r="B1161" s="1"/>
    </row>
    <row r="1162" spans="1:2" ht="13.2" x14ac:dyDescent="0.25">
      <c r="A1162" s="3" t="s">
        <v>1162</v>
      </c>
      <c r="B1162" s="1"/>
    </row>
    <row r="1163" spans="1:2" ht="13.2" x14ac:dyDescent="0.25">
      <c r="A1163" s="3" t="s">
        <v>1163</v>
      </c>
      <c r="B1163" s="1"/>
    </row>
    <row r="1164" spans="1:2" ht="13.2" x14ac:dyDescent="0.25">
      <c r="A1164" s="3" t="s">
        <v>1164</v>
      </c>
      <c r="B1164" s="1"/>
    </row>
    <row r="1165" spans="1:2" ht="13.2" x14ac:dyDescent="0.25">
      <c r="A1165" s="3" t="s">
        <v>1165</v>
      </c>
      <c r="B1165" s="1"/>
    </row>
    <row r="1166" spans="1:2" ht="13.2" x14ac:dyDescent="0.25">
      <c r="A1166" s="3" t="s">
        <v>1166</v>
      </c>
      <c r="B1166" s="1"/>
    </row>
    <row r="1167" spans="1:2" ht="13.2" x14ac:dyDescent="0.25">
      <c r="A1167" s="3" t="s">
        <v>1167</v>
      </c>
      <c r="B1167" s="1"/>
    </row>
    <row r="1168" spans="1:2" ht="13.2" x14ac:dyDescent="0.25">
      <c r="A1168" s="3" t="s">
        <v>1168</v>
      </c>
      <c r="B1168" s="1"/>
    </row>
    <row r="1169" spans="1:2" ht="13.2" x14ac:dyDescent="0.25">
      <c r="A1169" s="3" t="s">
        <v>1169</v>
      </c>
      <c r="B1169" s="1"/>
    </row>
    <row r="1170" spans="1:2" ht="13.2" x14ac:dyDescent="0.25">
      <c r="A1170" s="3" t="s">
        <v>1170</v>
      </c>
      <c r="B1170" s="1"/>
    </row>
    <row r="1171" spans="1:2" ht="13.2" x14ac:dyDescent="0.25">
      <c r="A1171" s="3" t="s">
        <v>1171</v>
      </c>
      <c r="B1171" s="1"/>
    </row>
    <row r="1172" spans="1:2" ht="13.2" x14ac:dyDescent="0.25">
      <c r="A1172" s="3" t="s">
        <v>1172</v>
      </c>
      <c r="B1172" s="1"/>
    </row>
    <row r="1173" spans="1:2" ht="13.2" x14ac:dyDescent="0.25">
      <c r="A1173" s="3" t="s">
        <v>1173</v>
      </c>
      <c r="B1173" s="1"/>
    </row>
    <row r="1174" spans="1:2" ht="13.2" x14ac:dyDescent="0.25">
      <c r="A1174" s="3" t="s">
        <v>1174</v>
      </c>
      <c r="B1174" s="1"/>
    </row>
    <row r="1175" spans="1:2" ht="13.2" x14ac:dyDescent="0.25">
      <c r="A1175" s="3" t="s">
        <v>1175</v>
      </c>
      <c r="B1175" s="1"/>
    </row>
    <row r="1176" spans="1:2" ht="13.2" x14ac:dyDescent="0.25">
      <c r="A1176" s="3" t="s">
        <v>1176</v>
      </c>
      <c r="B1176" s="1"/>
    </row>
    <row r="1177" spans="1:2" ht="13.2" x14ac:dyDescent="0.25">
      <c r="A1177" s="3" t="s">
        <v>1177</v>
      </c>
      <c r="B1177" s="1"/>
    </row>
    <row r="1178" spans="1:2" ht="13.2" x14ac:dyDescent="0.25">
      <c r="A1178" s="3" t="s">
        <v>1178</v>
      </c>
      <c r="B1178" s="1"/>
    </row>
    <row r="1179" spans="1:2" ht="13.2" x14ac:dyDescent="0.25">
      <c r="A1179" s="3" t="s">
        <v>1179</v>
      </c>
      <c r="B1179" s="1"/>
    </row>
    <row r="1180" spans="1:2" ht="13.2" x14ac:dyDescent="0.25">
      <c r="A1180" s="3" t="s">
        <v>1180</v>
      </c>
      <c r="B1180" s="1"/>
    </row>
    <row r="1181" spans="1:2" ht="13.2" x14ac:dyDescent="0.25">
      <c r="A1181" s="3" t="s">
        <v>1181</v>
      </c>
      <c r="B1181" s="1"/>
    </row>
    <row r="1182" spans="1:2" ht="13.2" x14ac:dyDescent="0.25">
      <c r="A1182" s="3" t="s">
        <v>1182</v>
      </c>
      <c r="B1182" s="1"/>
    </row>
    <row r="1183" spans="1:2" ht="13.2" x14ac:dyDescent="0.25">
      <c r="A1183" s="3" t="s">
        <v>1183</v>
      </c>
      <c r="B1183" s="1"/>
    </row>
    <row r="1184" spans="1:2" ht="13.2" x14ac:dyDescent="0.25">
      <c r="A1184" s="3" t="s">
        <v>1184</v>
      </c>
      <c r="B1184" s="1"/>
    </row>
    <row r="1185" spans="1:2" ht="13.2" x14ac:dyDescent="0.25">
      <c r="A1185" s="3" t="s">
        <v>1185</v>
      </c>
      <c r="B1185" s="1"/>
    </row>
    <row r="1186" spans="1:2" ht="13.2" x14ac:dyDescent="0.25">
      <c r="A1186" s="3" t="s">
        <v>1186</v>
      </c>
      <c r="B1186" s="1"/>
    </row>
    <row r="1187" spans="1:2" ht="13.2" x14ac:dyDescent="0.25">
      <c r="A1187" s="3" t="s">
        <v>1187</v>
      </c>
      <c r="B1187" s="1"/>
    </row>
    <row r="1188" spans="1:2" ht="13.2" x14ac:dyDescent="0.25">
      <c r="A1188" s="3" t="s">
        <v>1188</v>
      </c>
      <c r="B1188" s="1"/>
    </row>
    <row r="1189" spans="1:2" ht="13.2" x14ac:dyDescent="0.25">
      <c r="A1189" s="3" t="s">
        <v>1189</v>
      </c>
      <c r="B1189" s="1"/>
    </row>
    <row r="1190" spans="1:2" ht="13.2" x14ac:dyDescent="0.25">
      <c r="A1190" s="3" t="s">
        <v>1190</v>
      </c>
      <c r="B1190" s="1"/>
    </row>
    <row r="1191" spans="1:2" ht="13.2" x14ac:dyDescent="0.25">
      <c r="A1191" s="3" t="s">
        <v>1191</v>
      </c>
      <c r="B1191" s="1"/>
    </row>
    <row r="1192" spans="1:2" ht="13.2" x14ac:dyDescent="0.25">
      <c r="A1192" s="3" t="s">
        <v>1192</v>
      </c>
      <c r="B1192" s="1"/>
    </row>
    <row r="1193" spans="1:2" ht="13.2" x14ac:dyDescent="0.25">
      <c r="A1193" s="3" t="s">
        <v>1193</v>
      </c>
      <c r="B1193" s="1"/>
    </row>
    <row r="1194" spans="1:2" ht="13.2" x14ac:dyDescent="0.25">
      <c r="A1194" s="3" t="s">
        <v>1194</v>
      </c>
      <c r="B1194" s="1"/>
    </row>
    <row r="1195" spans="1:2" ht="13.2" x14ac:dyDescent="0.25">
      <c r="A1195" s="3" t="s">
        <v>1195</v>
      </c>
      <c r="B1195" s="1"/>
    </row>
    <row r="1196" spans="1:2" ht="13.2" x14ac:dyDescent="0.25">
      <c r="A1196" s="3" t="s">
        <v>1196</v>
      </c>
      <c r="B1196" s="1"/>
    </row>
    <row r="1197" spans="1:2" ht="13.2" x14ac:dyDescent="0.25">
      <c r="A1197" s="3" t="s">
        <v>1197</v>
      </c>
      <c r="B1197" s="1"/>
    </row>
    <row r="1198" spans="1:2" ht="13.2" x14ac:dyDescent="0.25">
      <c r="A1198" s="3" t="s">
        <v>1198</v>
      </c>
      <c r="B1198" s="1"/>
    </row>
    <row r="1199" spans="1:2" ht="13.2" x14ac:dyDescent="0.25">
      <c r="A1199" s="3" t="s">
        <v>1199</v>
      </c>
      <c r="B1199" s="1"/>
    </row>
    <row r="1200" spans="1:2" ht="13.2" x14ac:dyDescent="0.25">
      <c r="A1200" s="3" t="s">
        <v>1200</v>
      </c>
      <c r="B1200" s="1"/>
    </row>
    <row r="1201" spans="1:2" ht="13.2" x14ac:dyDescent="0.25">
      <c r="A1201" s="3" t="s">
        <v>1201</v>
      </c>
      <c r="B1201" s="1"/>
    </row>
    <row r="1202" spans="1:2" ht="13.2" x14ac:dyDescent="0.25">
      <c r="A1202" s="3" t="s">
        <v>1202</v>
      </c>
      <c r="B1202" s="1"/>
    </row>
    <row r="1203" spans="1:2" ht="13.2" x14ac:dyDescent="0.25">
      <c r="A1203" s="3" t="s">
        <v>1203</v>
      </c>
      <c r="B1203" s="1"/>
    </row>
    <row r="1204" spans="1:2" ht="13.2" x14ac:dyDescent="0.25">
      <c r="A1204" s="3" t="s">
        <v>1204</v>
      </c>
      <c r="B1204" s="1"/>
    </row>
    <row r="1205" spans="1:2" ht="13.2" x14ac:dyDescent="0.25">
      <c r="A1205" s="3" t="s">
        <v>1205</v>
      </c>
      <c r="B1205" s="1"/>
    </row>
    <row r="1206" spans="1:2" ht="13.2" x14ac:dyDescent="0.25">
      <c r="A1206" s="3" t="s">
        <v>1206</v>
      </c>
      <c r="B1206" s="1"/>
    </row>
    <row r="1207" spans="1:2" ht="13.2" x14ac:dyDescent="0.25">
      <c r="A1207" s="3" t="s">
        <v>1207</v>
      </c>
      <c r="B1207" s="1"/>
    </row>
    <row r="1208" spans="1:2" ht="13.2" x14ac:dyDescent="0.25">
      <c r="A1208" s="3" t="s">
        <v>1208</v>
      </c>
      <c r="B1208" s="1"/>
    </row>
    <row r="1209" spans="1:2" ht="13.2" x14ac:dyDescent="0.25">
      <c r="A1209" s="3" t="s">
        <v>1209</v>
      </c>
      <c r="B1209" s="1"/>
    </row>
    <row r="1210" spans="1:2" ht="13.2" x14ac:dyDescent="0.25">
      <c r="A1210" s="3" t="s">
        <v>1210</v>
      </c>
      <c r="B1210" s="1"/>
    </row>
    <row r="1211" spans="1:2" ht="13.2" x14ac:dyDescent="0.25">
      <c r="A1211" s="3" t="s">
        <v>1211</v>
      </c>
      <c r="B1211" s="1"/>
    </row>
    <row r="1212" spans="1:2" ht="13.2" x14ac:dyDescent="0.25">
      <c r="A1212" s="3" t="s">
        <v>1212</v>
      </c>
      <c r="B1212" s="1"/>
    </row>
    <row r="1213" spans="1:2" ht="13.2" x14ac:dyDescent="0.25">
      <c r="A1213" s="3" t="s">
        <v>1213</v>
      </c>
      <c r="B1213" s="1"/>
    </row>
    <row r="1214" spans="1:2" ht="13.2" x14ac:dyDescent="0.25">
      <c r="A1214" s="3" t="s">
        <v>1214</v>
      </c>
      <c r="B1214" s="1"/>
    </row>
    <row r="1215" spans="1:2" ht="13.2" x14ac:dyDescent="0.25">
      <c r="A1215" s="3" t="s">
        <v>1215</v>
      </c>
      <c r="B1215" s="1"/>
    </row>
    <row r="1216" spans="1:2" ht="13.2" x14ac:dyDescent="0.25">
      <c r="A1216" s="3" t="s">
        <v>1216</v>
      </c>
      <c r="B1216" s="1"/>
    </row>
    <row r="1217" spans="1:2" ht="13.2" x14ac:dyDescent="0.25">
      <c r="A1217" s="3" t="s">
        <v>1217</v>
      </c>
      <c r="B1217" s="1"/>
    </row>
    <row r="1218" spans="1:2" ht="13.2" x14ac:dyDescent="0.25">
      <c r="A1218" s="3" t="s">
        <v>1218</v>
      </c>
      <c r="B1218" s="1"/>
    </row>
    <row r="1219" spans="1:2" ht="13.2" x14ac:dyDescent="0.25">
      <c r="A1219" s="3" t="s">
        <v>1219</v>
      </c>
      <c r="B1219" s="1"/>
    </row>
    <row r="1220" spans="1:2" ht="13.2" x14ac:dyDescent="0.25">
      <c r="A1220" s="3" t="s">
        <v>1220</v>
      </c>
      <c r="B1220" s="1"/>
    </row>
    <row r="1221" spans="1:2" ht="13.2" x14ac:dyDescent="0.25">
      <c r="A1221" s="3" t="s">
        <v>1221</v>
      </c>
      <c r="B1221" s="1"/>
    </row>
    <row r="1222" spans="1:2" ht="13.2" x14ac:dyDescent="0.25">
      <c r="A1222" s="3" t="s">
        <v>1222</v>
      </c>
      <c r="B1222" s="1"/>
    </row>
    <row r="1223" spans="1:2" ht="13.2" x14ac:dyDescent="0.25">
      <c r="A1223" s="3" t="s">
        <v>1223</v>
      </c>
      <c r="B1223" s="1"/>
    </row>
    <row r="1224" spans="1:2" ht="13.2" x14ac:dyDescent="0.25">
      <c r="A1224" s="3" t="s">
        <v>1224</v>
      </c>
      <c r="B1224" s="1"/>
    </row>
    <row r="1225" spans="1:2" ht="13.2" x14ac:dyDescent="0.25">
      <c r="A1225" s="3" t="s">
        <v>1225</v>
      </c>
      <c r="B1225" s="1"/>
    </row>
    <row r="1226" spans="1:2" ht="13.2" x14ac:dyDescent="0.25">
      <c r="A1226" s="3" t="s">
        <v>1226</v>
      </c>
      <c r="B1226" s="1"/>
    </row>
    <row r="1227" spans="1:2" ht="13.2" x14ac:dyDescent="0.25">
      <c r="A1227" s="3" t="s">
        <v>1227</v>
      </c>
      <c r="B1227" s="1"/>
    </row>
    <row r="1228" spans="1:2" ht="13.2" x14ac:dyDescent="0.25">
      <c r="A1228" s="3" t="s">
        <v>1228</v>
      </c>
      <c r="B1228" s="1"/>
    </row>
    <row r="1229" spans="1:2" ht="13.2" x14ac:dyDescent="0.25">
      <c r="A1229" s="3" t="s">
        <v>1229</v>
      </c>
      <c r="B1229" s="1"/>
    </row>
    <row r="1230" spans="1:2" ht="13.2" x14ac:dyDescent="0.25">
      <c r="A1230" s="3" t="s">
        <v>1230</v>
      </c>
      <c r="B1230" s="1"/>
    </row>
    <row r="1231" spans="1:2" ht="13.2" x14ac:dyDescent="0.25">
      <c r="A1231" s="3" t="s">
        <v>1231</v>
      </c>
      <c r="B1231" s="1"/>
    </row>
    <row r="1232" spans="1:2" ht="13.2" x14ac:dyDescent="0.25">
      <c r="A1232" s="3" t="s">
        <v>1232</v>
      </c>
      <c r="B1232" s="1"/>
    </row>
    <row r="1233" spans="1:2" ht="13.2" x14ac:dyDescent="0.25">
      <c r="A1233" s="3" t="s">
        <v>1233</v>
      </c>
      <c r="B1233" s="1"/>
    </row>
    <row r="1234" spans="1:2" ht="13.2" x14ac:dyDescent="0.25">
      <c r="A1234" s="3" t="s">
        <v>1234</v>
      </c>
      <c r="B1234" s="1"/>
    </row>
    <row r="1235" spans="1:2" ht="13.2" x14ac:dyDescent="0.25">
      <c r="A1235" s="3" t="s">
        <v>1235</v>
      </c>
      <c r="B1235" s="1"/>
    </row>
    <row r="1236" spans="1:2" ht="13.2" x14ac:dyDescent="0.25">
      <c r="A1236" s="3" t="s">
        <v>1236</v>
      </c>
      <c r="B1236" s="1"/>
    </row>
    <row r="1237" spans="1:2" ht="13.2" x14ac:dyDescent="0.25">
      <c r="A1237" s="3" t="s">
        <v>1237</v>
      </c>
      <c r="B1237" s="1"/>
    </row>
    <row r="1238" spans="1:2" ht="13.2" x14ac:dyDescent="0.25">
      <c r="A1238" s="3" t="s">
        <v>1238</v>
      </c>
      <c r="B1238" s="1"/>
    </row>
    <row r="1239" spans="1:2" ht="13.2" x14ac:dyDescent="0.25">
      <c r="A1239" s="3" t="s">
        <v>1239</v>
      </c>
      <c r="B1239" s="1"/>
    </row>
    <row r="1240" spans="1:2" ht="13.2" x14ac:dyDescent="0.25">
      <c r="A1240" s="3" t="s">
        <v>1240</v>
      </c>
      <c r="B1240" s="1"/>
    </row>
    <row r="1241" spans="1:2" ht="13.2" x14ac:dyDescent="0.25">
      <c r="A1241" s="3" t="s">
        <v>1241</v>
      </c>
      <c r="B1241" s="1"/>
    </row>
    <row r="1242" spans="1:2" ht="13.2" x14ac:dyDescent="0.25">
      <c r="A1242" s="3" t="s">
        <v>1242</v>
      </c>
      <c r="B1242" s="1"/>
    </row>
    <row r="1243" spans="1:2" ht="13.2" x14ac:dyDescent="0.25">
      <c r="A1243" s="3" t="s">
        <v>1243</v>
      </c>
      <c r="B1243" s="1"/>
    </row>
    <row r="1244" spans="1:2" ht="13.2" x14ac:dyDescent="0.25">
      <c r="A1244" s="3" t="s">
        <v>1244</v>
      </c>
      <c r="B1244" s="1"/>
    </row>
    <row r="1245" spans="1:2" ht="13.2" x14ac:dyDescent="0.25">
      <c r="A1245" s="3" t="s">
        <v>1245</v>
      </c>
      <c r="B1245" s="1"/>
    </row>
    <row r="1246" spans="1:2" ht="13.2" x14ac:dyDescent="0.25">
      <c r="A1246" s="3" t="s">
        <v>1246</v>
      </c>
      <c r="B1246" s="1"/>
    </row>
    <row r="1247" spans="1:2" ht="13.2" x14ac:dyDescent="0.25">
      <c r="A1247" s="3" t="s">
        <v>1247</v>
      </c>
      <c r="B1247" s="1"/>
    </row>
    <row r="1248" spans="1:2" ht="13.2" x14ac:dyDescent="0.25">
      <c r="A1248" s="3" t="s">
        <v>1248</v>
      </c>
      <c r="B1248" s="1"/>
    </row>
    <row r="1249" spans="1:2" ht="13.2" x14ac:dyDescent="0.25">
      <c r="A1249" s="3" t="s">
        <v>1249</v>
      </c>
      <c r="B1249" s="1"/>
    </row>
    <row r="1250" spans="1:2" ht="13.2" x14ac:dyDescent="0.25">
      <c r="A1250" s="3" t="s">
        <v>1250</v>
      </c>
      <c r="B1250" s="1"/>
    </row>
    <row r="1251" spans="1:2" ht="13.2" x14ac:dyDescent="0.25">
      <c r="A1251" s="3" t="s">
        <v>1251</v>
      </c>
      <c r="B1251" s="1"/>
    </row>
    <row r="1252" spans="1:2" ht="13.2" x14ac:dyDescent="0.25">
      <c r="A1252" s="3" t="s">
        <v>1252</v>
      </c>
      <c r="B1252" s="1"/>
    </row>
    <row r="1253" spans="1:2" ht="13.2" x14ac:dyDescent="0.25">
      <c r="A1253" s="3" t="s">
        <v>1253</v>
      </c>
      <c r="B1253" s="1"/>
    </row>
    <row r="1254" spans="1:2" ht="13.2" x14ac:dyDescent="0.25">
      <c r="A1254" s="3" t="s">
        <v>1254</v>
      </c>
      <c r="B1254" s="1"/>
    </row>
    <row r="1255" spans="1:2" ht="13.2" x14ac:dyDescent="0.25">
      <c r="A1255" s="3" t="s">
        <v>1255</v>
      </c>
      <c r="B1255" s="1"/>
    </row>
    <row r="1256" spans="1:2" ht="13.2" x14ac:dyDescent="0.25">
      <c r="A1256" s="3" t="s">
        <v>1256</v>
      </c>
      <c r="B1256" s="1"/>
    </row>
    <row r="1257" spans="1:2" ht="13.2" x14ac:dyDescent="0.25">
      <c r="A1257" s="3" t="s">
        <v>1257</v>
      </c>
      <c r="B1257" s="1"/>
    </row>
    <row r="1258" spans="1:2" ht="13.2" x14ac:dyDescent="0.25">
      <c r="A1258" s="3" t="s">
        <v>1258</v>
      </c>
      <c r="B1258" s="1"/>
    </row>
    <row r="1259" spans="1:2" ht="13.2" x14ac:dyDescent="0.25">
      <c r="A1259" s="3" t="s">
        <v>1259</v>
      </c>
      <c r="B1259" s="1"/>
    </row>
    <row r="1260" spans="1:2" ht="13.2" x14ac:dyDescent="0.25">
      <c r="A1260" s="3" t="s">
        <v>1260</v>
      </c>
      <c r="B1260" s="1"/>
    </row>
    <row r="1261" spans="1:2" ht="13.2" x14ac:dyDescent="0.25">
      <c r="A1261" s="3" t="s">
        <v>1261</v>
      </c>
      <c r="B1261" s="1"/>
    </row>
    <row r="1262" spans="1:2" ht="13.2" x14ac:dyDescent="0.25">
      <c r="A1262" s="3" t="s">
        <v>1262</v>
      </c>
      <c r="B1262" s="1"/>
    </row>
    <row r="1263" spans="1:2" ht="13.2" x14ac:dyDescent="0.25">
      <c r="A1263" s="3" t="s">
        <v>1263</v>
      </c>
      <c r="B1263" s="1"/>
    </row>
    <row r="1264" spans="1:2" ht="13.2" x14ac:dyDescent="0.25">
      <c r="A1264" s="3" t="s">
        <v>1264</v>
      </c>
      <c r="B1264" s="1"/>
    </row>
    <row r="1265" spans="1:2" ht="13.2" x14ac:dyDescent="0.25">
      <c r="A1265" s="3" t="s">
        <v>1265</v>
      </c>
      <c r="B1265" s="1"/>
    </row>
    <row r="1266" spans="1:2" ht="13.2" x14ac:dyDescent="0.25">
      <c r="A1266" s="3" t="s">
        <v>1266</v>
      </c>
      <c r="B1266" s="1"/>
    </row>
    <row r="1267" spans="1:2" ht="13.2" x14ac:dyDescent="0.25">
      <c r="A1267" s="3" t="s">
        <v>1267</v>
      </c>
      <c r="B1267" s="1"/>
    </row>
    <row r="1268" spans="1:2" ht="13.2" x14ac:dyDescent="0.25">
      <c r="A1268" s="3" t="s">
        <v>1268</v>
      </c>
      <c r="B1268" s="1"/>
    </row>
    <row r="1269" spans="1:2" ht="13.2" x14ac:dyDescent="0.25">
      <c r="A1269" s="3" t="s">
        <v>1269</v>
      </c>
      <c r="B1269" s="1"/>
    </row>
    <row r="1270" spans="1:2" ht="13.2" x14ac:dyDescent="0.25">
      <c r="A1270" s="3" t="s">
        <v>1270</v>
      </c>
      <c r="B1270" s="1"/>
    </row>
    <row r="1271" spans="1:2" ht="13.2" x14ac:dyDescent="0.25">
      <c r="A1271" s="3" t="s">
        <v>1271</v>
      </c>
      <c r="B1271" s="1"/>
    </row>
    <row r="1272" spans="1:2" ht="13.2" x14ac:dyDescent="0.25">
      <c r="A1272" s="3" t="s">
        <v>1272</v>
      </c>
      <c r="B1272" s="1"/>
    </row>
    <row r="1273" spans="1:2" ht="13.2" x14ac:dyDescent="0.25">
      <c r="A1273" s="3" t="s">
        <v>1273</v>
      </c>
      <c r="B1273" s="1"/>
    </row>
    <row r="1274" spans="1:2" ht="13.2" x14ac:dyDescent="0.25">
      <c r="A1274" s="3" t="s">
        <v>1274</v>
      </c>
      <c r="B1274" s="1"/>
    </row>
    <row r="1275" spans="1:2" ht="13.2" x14ac:dyDescent="0.25">
      <c r="A1275" s="3" t="s">
        <v>1275</v>
      </c>
      <c r="B1275" s="1"/>
    </row>
    <row r="1276" spans="1:2" ht="13.2" x14ac:dyDescent="0.25">
      <c r="A1276" s="3" t="s">
        <v>1276</v>
      </c>
      <c r="B1276" s="1"/>
    </row>
    <row r="1277" spans="1:2" ht="13.2" x14ac:dyDescent="0.25">
      <c r="A1277" s="3" t="s">
        <v>1277</v>
      </c>
      <c r="B1277" s="1"/>
    </row>
    <row r="1278" spans="1:2" ht="13.2" x14ac:dyDescent="0.25">
      <c r="A1278" s="3" t="s">
        <v>1278</v>
      </c>
      <c r="B1278" s="1"/>
    </row>
    <row r="1279" spans="1:2" ht="13.2" x14ac:dyDescent="0.25">
      <c r="A1279" s="3" t="s">
        <v>1279</v>
      </c>
      <c r="B1279" s="1"/>
    </row>
    <row r="1280" spans="1:2" ht="13.2" x14ac:dyDescent="0.25">
      <c r="A1280" s="3" t="s">
        <v>1280</v>
      </c>
      <c r="B1280" s="1"/>
    </row>
    <row r="1281" spans="1:2" ht="13.2" x14ac:dyDescent="0.25">
      <c r="A1281" s="3" t="s">
        <v>1281</v>
      </c>
      <c r="B1281" s="1"/>
    </row>
    <row r="1282" spans="1:2" ht="13.2" x14ac:dyDescent="0.25">
      <c r="A1282" s="3" t="s">
        <v>1282</v>
      </c>
      <c r="B1282" s="1"/>
    </row>
    <row r="1283" spans="1:2" ht="13.2" x14ac:dyDescent="0.25">
      <c r="A1283" s="3" t="s">
        <v>1283</v>
      </c>
      <c r="B1283" s="1"/>
    </row>
    <row r="1284" spans="1:2" ht="13.2" x14ac:dyDescent="0.25">
      <c r="A1284" s="3" t="s">
        <v>1284</v>
      </c>
      <c r="B1284" s="1"/>
    </row>
    <row r="1285" spans="1:2" ht="13.2" x14ac:dyDescent="0.25">
      <c r="A1285" s="3" t="s">
        <v>1285</v>
      </c>
      <c r="B1285" s="1"/>
    </row>
    <row r="1286" spans="1:2" ht="13.2" x14ac:dyDescent="0.25">
      <c r="A1286" s="3" t="s">
        <v>1286</v>
      </c>
      <c r="B1286" s="1"/>
    </row>
    <row r="1287" spans="1:2" ht="13.2" x14ac:dyDescent="0.25">
      <c r="A1287" s="3" t="s">
        <v>1287</v>
      </c>
      <c r="B1287" s="1"/>
    </row>
    <row r="1288" spans="1:2" ht="13.2" x14ac:dyDescent="0.25">
      <c r="A1288" s="3" t="s">
        <v>1288</v>
      </c>
      <c r="B1288" s="1"/>
    </row>
    <row r="1289" spans="1:2" ht="13.2" x14ac:dyDescent="0.25">
      <c r="A1289" s="3" t="s">
        <v>1289</v>
      </c>
      <c r="B1289" s="1"/>
    </row>
    <row r="1290" spans="1:2" ht="13.2" x14ac:dyDescent="0.25">
      <c r="A1290" s="3" t="s">
        <v>1290</v>
      </c>
      <c r="B1290" s="1"/>
    </row>
    <row r="1291" spans="1:2" ht="13.2" x14ac:dyDescent="0.25">
      <c r="A1291" s="3" t="s">
        <v>1291</v>
      </c>
      <c r="B1291" s="1"/>
    </row>
    <row r="1292" spans="1:2" ht="13.2" x14ac:dyDescent="0.25">
      <c r="A1292" s="3" t="s">
        <v>1292</v>
      </c>
      <c r="B1292" s="1"/>
    </row>
    <row r="1293" spans="1:2" ht="13.2" x14ac:dyDescent="0.25">
      <c r="A1293" s="3" t="s">
        <v>1293</v>
      </c>
      <c r="B1293" s="1"/>
    </row>
    <row r="1294" spans="1:2" ht="13.2" x14ac:dyDescent="0.25">
      <c r="A1294" s="3" t="s">
        <v>1294</v>
      </c>
      <c r="B1294" s="1"/>
    </row>
    <row r="1295" spans="1:2" ht="13.2" x14ac:dyDescent="0.25">
      <c r="A1295" s="3" t="s">
        <v>1295</v>
      </c>
      <c r="B1295" s="1"/>
    </row>
    <row r="1296" spans="1:2" ht="13.2" x14ac:dyDescent="0.25">
      <c r="A1296" s="3" t="s">
        <v>1296</v>
      </c>
      <c r="B1296" s="1"/>
    </row>
    <row r="1297" spans="1:2" ht="13.2" x14ac:dyDescent="0.25">
      <c r="A1297" s="3" t="s">
        <v>1297</v>
      </c>
      <c r="B1297" s="1"/>
    </row>
    <row r="1298" spans="1:2" ht="13.2" x14ac:dyDescent="0.25">
      <c r="A1298" s="3" t="s">
        <v>1298</v>
      </c>
      <c r="B1298" s="1"/>
    </row>
    <row r="1299" spans="1:2" ht="13.2" x14ac:dyDescent="0.25">
      <c r="A1299" s="3" t="s">
        <v>1299</v>
      </c>
      <c r="B1299" s="1"/>
    </row>
    <row r="1300" spans="1:2" ht="13.2" x14ac:dyDescent="0.25">
      <c r="A1300" s="3" t="s">
        <v>1300</v>
      </c>
      <c r="B1300" s="1"/>
    </row>
    <row r="1301" spans="1:2" ht="13.2" x14ac:dyDescent="0.25">
      <c r="A1301" s="3" t="s">
        <v>1301</v>
      </c>
      <c r="B1301" s="1"/>
    </row>
    <row r="1302" spans="1:2" ht="13.2" x14ac:dyDescent="0.25">
      <c r="A1302" s="3" t="s">
        <v>1302</v>
      </c>
      <c r="B1302" s="1"/>
    </row>
    <row r="1303" spans="1:2" ht="13.2" x14ac:dyDescent="0.25">
      <c r="A1303" s="3" t="s">
        <v>1303</v>
      </c>
      <c r="B1303" s="1"/>
    </row>
    <row r="1304" spans="1:2" ht="13.2" x14ac:dyDescent="0.25">
      <c r="A1304" s="3" t="s">
        <v>1304</v>
      </c>
      <c r="B1304" s="1"/>
    </row>
    <row r="1305" spans="1:2" ht="13.2" x14ac:dyDescent="0.25">
      <c r="A1305" s="3" t="s">
        <v>1305</v>
      </c>
      <c r="B1305" s="1"/>
    </row>
    <row r="1306" spans="1:2" ht="13.2" x14ac:dyDescent="0.25">
      <c r="A1306" s="3" t="s">
        <v>1306</v>
      </c>
      <c r="B1306" s="1"/>
    </row>
    <row r="1307" spans="1:2" ht="13.2" x14ac:dyDescent="0.25">
      <c r="A1307" s="3" t="s">
        <v>1307</v>
      </c>
      <c r="B1307" s="1"/>
    </row>
    <row r="1308" spans="1:2" ht="13.2" x14ac:dyDescent="0.25">
      <c r="A1308" s="3" t="s">
        <v>1308</v>
      </c>
      <c r="B1308" s="1"/>
    </row>
    <row r="1309" spans="1:2" ht="13.2" x14ac:dyDescent="0.25">
      <c r="A1309" s="3" t="s">
        <v>1309</v>
      </c>
      <c r="B1309" s="1"/>
    </row>
    <row r="1310" spans="1:2" ht="13.2" x14ac:dyDescent="0.25">
      <c r="A1310" s="3" t="s">
        <v>1310</v>
      </c>
      <c r="B1310" s="1"/>
    </row>
    <row r="1311" spans="1:2" ht="13.2" x14ac:dyDescent="0.25">
      <c r="A1311" s="3" t="s">
        <v>1311</v>
      </c>
      <c r="B1311" s="1"/>
    </row>
    <row r="1312" spans="1:2" ht="13.2" x14ac:dyDescent="0.25">
      <c r="A1312" s="3" t="s">
        <v>1312</v>
      </c>
      <c r="B1312" s="1"/>
    </row>
    <row r="1313" spans="1:2" ht="13.2" x14ac:dyDescent="0.25">
      <c r="A1313" s="3" t="s">
        <v>1313</v>
      </c>
      <c r="B1313" s="1"/>
    </row>
    <row r="1314" spans="1:2" ht="13.2" x14ac:dyDescent="0.25">
      <c r="A1314" s="3" t="s">
        <v>1314</v>
      </c>
      <c r="B1314" s="1"/>
    </row>
    <row r="1315" spans="1:2" ht="13.2" x14ac:dyDescent="0.25">
      <c r="A1315" s="3" t="s">
        <v>1315</v>
      </c>
      <c r="B1315" s="1"/>
    </row>
    <row r="1316" spans="1:2" ht="13.2" x14ac:dyDescent="0.25">
      <c r="A1316" s="3" t="s">
        <v>1316</v>
      </c>
      <c r="B1316" s="1"/>
    </row>
    <row r="1317" spans="1:2" ht="13.2" x14ac:dyDescent="0.25">
      <c r="A1317" s="3" t="s">
        <v>1317</v>
      </c>
      <c r="B1317" s="1"/>
    </row>
    <row r="1318" spans="1:2" ht="13.2" x14ac:dyDescent="0.25">
      <c r="A1318" s="3" t="s">
        <v>1318</v>
      </c>
      <c r="B1318" s="1"/>
    </row>
    <row r="1319" spans="1:2" ht="13.2" x14ac:dyDescent="0.25">
      <c r="A1319" s="3" t="s">
        <v>1319</v>
      </c>
      <c r="B1319" s="1"/>
    </row>
    <row r="1320" spans="1:2" ht="13.2" x14ac:dyDescent="0.25">
      <c r="A1320" s="3" t="s">
        <v>1320</v>
      </c>
      <c r="B1320" s="1"/>
    </row>
    <row r="1321" spans="1:2" ht="13.2" x14ac:dyDescent="0.25">
      <c r="A1321" s="3" t="s">
        <v>1321</v>
      </c>
      <c r="B1321" s="1"/>
    </row>
    <row r="1322" spans="1:2" ht="13.2" x14ac:dyDescent="0.25">
      <c r="A1322" s="3" t="s">
        <v>1322</v>
      </c>
      <c r="B1322" s="1"/>
    </row>
    <row r="1323" spans="1:2" ht="13.2" x14ac:dyDescent="0.25">
      <c r="A1323" s="3" t="s">
        <v>1323</v>
      </c>
      <c r="B1323" s="1"/>
    </row>
    <row r="1324" spans="1:2" ht="13.2" x14ac:dyDescent="0.25">
      <c r="A1324" s="3" t="s">
        <v>1324</v>
      </c>
      <c r="B1324" s="1"/>
    </row>
    <row r="1325" spans="1:2" ht="13.2" x14ac:dyDescent="0.25">
      <c r="A1325" s="3" t="s">
        <v>1325</v>
      </c>
      <c r="B1325" s="1"/>
    </row>
    <row r="1326" spans="1:2" ht="13.2" x14ac:dyDescent="0.25">
      <c r="A1326" s="3" t="s">
        <v>1326</v>
      </c>
      <c r="B1326" s="1"/>
    </row>
    <row r="1327" spans="1:2" ht="13.2" x14ac:dyDescent="0.25">
      <c r="A1327" s="3" t="s">
        <v>1327</v>
      </c>
      <c r="B1327" s="1"/>
    </row>
    <row r="1328" spans="1:2" ht="13.2" x14ac:dyDescent="0.25">
      <c r="A1328" s="3" t="s">
        <v>1328</v>
      </c>
      <c r="B1328" s="1"/>
    </row>
    <row r="1329" spans="1:2" ht="13.2" x14ac:dyDescent="0.25">
      <c r="A1329" s="3" t="s">
        <v>1329</v>
      </c>
      <c r="B1329" s="1"/>
    </row>
    <row r="1330" spans="1:2" ht="13.2" x14ac:dyDescent="0.25">
      <c r="A1330" s="3" t="s">
        <v>1330</v>
      </c>
      <c r="B1330" s="1"/>
    </row>
    <row r="1331" spans="1:2" ht="13.2" x14ac:dyDescent="0.25">
      <c r="A1331" s="3" t="s">
        <v>1331</v>
      </c>
      <c r="B1331" s="1"/>
    </row>
    <row r="1332" spans="1:2" ht="13.2" x14ac:dyDescent="0.25">
      <c r="A1332" s="3" t="s">
        <v>1332</v>
      </c>
      <c r="B1332" s="1"/>
    </row>
    <row r="1333" spans="1:2" ht="13.2" x14ac:dyDescent="0.25">
      <c r="A1333" s="3" t="s">
        <v>1333</v>
      </c>
      <c r="B1333" s="1"/>
    </row>
    <row r="1334" spans="1:2" ht="13.2" x14ac:dyDescent="0.25">
      <c r="A1334" s="3" t="s">
        <v>1334</v>
      </c>
      <c r="B1334" s="1"/>
    </row>
    <row r="1335" spans="1:2" ht="13.2" x14ac:dyDescent="0.25">
      <c r="A1335" s="3" t="s">
        <v>1335</v>
      </c>
      <c r="B1335" s="1"/>
    </row>
    <row r="1336" spans="1:2" ht="13.2" x14ac:dyDescent="0.25">
      <c r="A1336" s="3" t="s">
        <v>1336</v>
      </c>
      <c r="B1336" s="1"/>
    </row>
    <row r="1337" spans="1:2" ht="13.2" x14ac:dyDescent="0.25">
      <c r="A1337" s="3" t="s">
        <v>1337</v>
      </c>
      <c r="B1337" s="1"/>
    </row>
    <row r="1338" spans="1:2" ht="13.2" x14ac:dyDescent="0.25">
      <c r="A1338" s="3" t="s">
        <v>1338</v>
      </c>
      <c r="B1338" s="1"/>
    </row>
    <row r="1339" spans="1:2" ht="13.2" x14ac:dyDescent="0.25">
      <c r="A1339" s="3" t="s">
        <v>1339</v>
      </c>
      <c r="B1339" s="1"/>
    </row>
    <row r="1340" spans="1:2" ht="13.2" x14ac:dyDescent="0.25">
      <c r="A1340" s="3" t="s">
        <v>1340</v>
      </c>
      <c r="B1340" s="1"/>
    </row>
    <row r="1341" spans="1:2" ht="13.2" x14ac:dyDescent="0.25">
      <c r="A1341" s="3" t="s">
        <v>1341</v>
      </c>
      <c r="B1341" s="1"/>
    </row>
    <row r="1342" spans="1:2" ht="13.2" x14ac:dyDescent="0.25">
      <c r="A1342" s="3" t="s">
        <v>1342</v>
      </c>
      <c r="B1342" s="1"/>
    </row>
    <row r="1343" spans="1:2" ht="13.2" x14ac:dyDescent="0.25">
      <c r="A1343" s="3" t="s">
        <v>1343</v>
      </c>
      <c r="B1343" s="1"/>
    </row>
    <row r="1344" spans="1:2" ht="13.2" x14ac:dyDescent="0.25">
      <c r="A1344" s="3" t="s">
        <v>1344</v>
      </c>
      <c r="B1344" s="1"/>
    </row>
    <row r="1345" spans="1:2" ht="13.2" x14ac:dyDescent="0.25">
      <c r="A1345" s="3" t="s">
        <v>1345</v>
      </c>
      <c r="B1345" s="1"/>
    </row>
    <row r="1346" spans="1:2" ht="13.2" x14ac:dyDescent="0.25">
      <c r="A1346" s="3" t="s">
        <v>1346</v>
      </c>
      <c r="B1346" s="1"/>
    </row>
    <row r="1347" spans="1:2" ht="13.2" x14ac:dyDescent="0.25">
      <c r="A1347" s="3" t="s">
        <v>1347</v>
      </c>
      <c r="B1347" s="1"/>
    </row>
    <row r="1348" spans="1:2" ht="13.2" x14ac:dyDescent="0.25">
      <c r="A1348" s="3" t="s">
        <v>1348</v>
      </c>
      <c r="B1348" s="1"/>
    </row>
    <row r="1349" spans="1:2" ht="13.2" x14ac:dyDescent="0.25">
      <c r="A1349" s="3" t="s">
        <v>1349</v>
      </c>
      <c r="B1349" s="1"/>
    </row>
    <row r="1350" spans="1:2" ht="13.2" x14ac:dyDescent="0.25">
      <c r="A1350" s="3" t="s">
        <v>1350</v>
      </c>
      <c r="B1350" s="1"/>
    </row>
    <row r="1351" spans="1:2" ht="13.2" x14ac:dyDescent="0.25">
      <c r="A1351" s="3" t="s">
        <v>1351</v>
      </c>
      <c r="B1351" s="1"/>
    </row>
    <row r="1352" spans="1:2" ht="13.2" x14ac:dyDescent="0.25">
      <c r="A1352" s="3" t="s">
        <v>1352</v>
      </c>
      <c r="B1352" s="1"/>
    </row>
    <row r="1353" spans="1:2" ht="13.2" x14ac:dyDescent="0.25">
      <c r="A1353" s="3" t="s">
        <v>1353</v>
      </c>
      <c r="B1353" s="1"/>
    </row>
    <row r="1354" spans="1:2" ht="13.2" x14ac:dyDescent="0.25">
      <c r="A1354" s="3" t="s">
        <v>1354</v>
      </c>
      <c r="B1354" s="1"/>
    </row>
    <row r="1355" spans="1:2" ht="13.2" x14ac:dyDescent="0.25">
      <c r="A1355" s="3" t="s">
        <v>1355</v>
      </c>
      <c r="B1355" s="1"/>
    </row>
    <row r="1356" spans="1:2" ht="13.2" x14ac:dyDescent="0.25">
      <c r="A1356" s="3" t="s">
        <v>1356</v>
      </c>
      <c r="B1356" s="1"/>
    </row>
    <row r="1357" spans="1:2" ht="13.2" x14ac:dyDescent="0.25">
      <c r="A1357" s="3" t="s">
        <v>1357</v>
      </c>
      <c r="B1357" s="1"/>
    </row>
    <row r="1358" spans="1:2" ht="13.2" x14ac:dyDescent="0.25">
      <c r="A1358" s="3" t="s">
        <v>1358</v>
      </c>
      <c r="B1358" s="1"/>
    </row>
    <row r="1359" spans="1:2" ht="13.2" x14ac:dyDescent="0.25">
      <c r="A1359" s="3" t="s">
        <v>1359</v>
      </c>
      <c r="B1359" s="1"/>
    </row>
    <row r="1360" spans="1:2" ht="13.2" x14ac:dyDescent="0.25">
      <c r="A1360" s="3" t="s">
        <v>1360</v>
      </c>
      <c r="B1360" s="1"/>
    </row>
    <row r="1361" spans="1:2" ht="13.2" x14ac:dyDescent="0.25">
      <c r="A1361" s="3" t="s">
        <v>1361</v>
      </c>
      <c r="B1361" s="1"/>
    </row>
    <row r="1362" spans="1:2" ht="13.2" x14ac:dyDescent="0.25">
      <c r="A1362" s="3" t="s">
        <v>1362</v>
      </c>
      <c r="B1362" s="1"/>
    </row>
    <row r="1363" spans="1:2" ht="13.2" x14ac:dyDescent="0.25">
      <c r="A1363" s="3" t="s">
        <v>1363</v>
      </c>
      <c r="B1363" s="1"/>
    </row>
    <row r="1364" spans="1:2" ht="13.2" x14ac:dyDescent="0.25">
      <c r="A1364" s="3" t="s">
        <v>1364</v>
      </c>
      <c r="B1364" s="1"/>
    </row>
    <row r="1365" spans="1:2" ht="13.2" x14ac:dyDescent="0.25">
      <c r="A1365" s="3" t="s">
        <v>1365</v>
      </c>
      <c r="B1365" s="1"/>
    </row>
    <row r="1366" spans="1:2" ht="13.2" x14ac:dyDescent="0.25">
      <c r="A1366" s="3" t="s">
        <v>1366</v>
      </c>
      <c r="B1366" s="1"/>
    </row>
    <row r="1367" spans="1:2" ht="13.2" x14ac:dyDescent="0.25">
      <c r="A1367" s="3" t="s">
        <v>1367</v>
      </c>
      <c r="B1367" s="1"/>
    </row>
    <row r="1368" spans="1:2" ht="13.2" x14ac:dyDescent="0.25">
      <c r="A1368" s="3" t="s">
        <v>1368</v>
      </c>
      <c r="B1368" s="1"/>
    </row>
    <row r="1369" spans="1:2" ht="13.2" x14ac:dyDescent="0.25">
      <c r="A1369" s="3" t="s">
        <v>1369</v>
      </c>
      <c r="B1369" s="1"/>
    </row>
    <row r="1370" spans="1:2" ht="13.2" x14ac:dyDescent="0.25">
      <c r="A1370" s="3" t="s">
        <v>1370</v>
      </c>
      <c r="B1370" s="1"/>
    </row>
    <row r="1371" spans="1:2" ht="13.2" x14ac:dyDescent="0.25">
      <c r="A1371" s="3" t="s">
        <v>1371</v>
      </c>
      <c r="B1371" s="1"/>
    </row>
    <row r="1372" spans="1:2" ht="13.2" x14ac:dyDescent="0.25">
      <c r="A1372" s="3" t="s">
        <v>1372</v>
      </c>
      <c r="B1372" s="1"/>
    </row>
    <row r="1373" spans="1:2" ht="13.2" x14ac:dyDescent="0.25">
      <c r="A1373" s="3" t="s">
        <v>1373</v>
      </c>
      <c r="B1373" s="1"/>
    </row>
    <row r="1374" spans="1:2" ht="13.2" x14ac:dyDescent="0.25">
      <c r="A1374" s="3" t="s">
        <v>1374</v>
      </c>
      <c r="B1374" s="1"/>
    </row>
    <row r="1375" spans="1:2" ht="13.2" x14ac:dyDescent="0.25">
      <c r="A1375" s="3" t="s">
        <v>1375</v>
      </c>
      <c r="B1375" s="1"/>
    </row>
    <row r="1376" spans="1:2" ht="13.2" x14ac:dyDescent="0.25">
      <c r="A1376" s="3" t="s">
        <v>1376</v>
      </c>
      <c r="B1376" s="1"/>
    </row>
    <row r="1377" spans="1:2" ht="13.2" x14ac:dyDescent="0.25">
      <c r="A1377" s="3" t="s">
        <v>1377</v>
      </c>
      <c r="B1377" s="1"/>
    </row>
    <row r="1378" spans="1:2" ht="13.2" x14ac:dyDescent="0.25">
      <c r="A1378" s="3" t="s">
        <v>1378</v>
      </c>
      <c r="B1378" s="1"/>
    </row>
    <row r="1379" spans="1:2" ht="13.2" x14ac:dyDescent="0.25">
      <c r="A1379" s="3" t="s">
        <v>1379</v>
      </c>
      <c r="B1379" s="1"/>
    </row>
    <row r="1380" spans="1:2" ht="13.2" x14ac:dyDescent="0.25">
      <c r="A1380" s="3" t="s">
        <v>1380</v>
      </c>
      <c r="B1380" s="1"/>
    </row>
    <row r="1381" spans="1:2" ht="13.2" x14ac:dyDescent="0.25">
      <c r="A1381" s="3" t="s">
        <v>1381</v>
      </c>
      <c r="B1381" s="1"/>
    </row>
    <row r="1382" spans="1:2" ht="13.2" x14ac:dyDescent="0.25">
      <c r="A1382" s="3" t="s">
        <v>1382</v>
      </c>
      <c r="B1382" s="1"/>
    </row>
    <row r="1383" spans="1:2" ht="13.2" x14ac:dyDescent="0.25">
      <c r="A1383" s="3" t="s">
        <v>1383</v>
      </c>
      <c r="B1383" s="1"/>
    </row>
    <row r="1384" spans="1:2" ht="13.2" x14ac:dyDescent="0.25">
      <c r="A1384" s="3" t="s">
        <v>1384</v>
      </c>
      <c r="B1384" s="1"/>
    </row>
    <row r="1385" spans="1:2" ht="13.2" x14ac:dyDescent="0.25">
      <c r="A1385" s="3" t="s">
        <v>1385</v>
      </c>
      <c r="B1385" s="1"/>
    </row>
    <row r="1386" spans="1:2" ht="13.2" x14ac:dyDescent="0.25">
      <c r="A1386" s="3" t="s">
        <v>1386</v>
      </c>
      <c r="B1386" s="1"/>
    </row>
    <row r="1387" spans="1:2" ht="13.2" x14ac:dyDescent="0.25">
      <c r="A1387" s="3" t="s">
        <v>1387</v>
      </c>
      <c r="B1387" s="1"/>
    </row>
    <row r="1388" spans="1:2" ht="13.2" x14ac:dyDescent="0.25">
      <c r="A1388" s="3" t="s">
        <v>1388</v>
      </c>
      <c r="B1388" s="1"/>
    </row>
    <row r="1389" spans="1:2" ht="13.2" x14ac:dyDescent="0.25">
      <c r="A1389" s="3" t="s">
        <v>1389</v>
      </c>
      <c r="B1389" s="1"/>
    </row>
    <row r="1390" spans="1:2" ht="13.2" x14ac:dyDescent="0.25">
      <c r="A1390" s="3" t="s">
        <v>1390</v>
      </c>
      <c r="B1390" s="1"/>
    </row>
    <row r="1391" spans="1:2" ht="13.2" x14ac:dyDescent="0.25">
      <c r="A1391" s="3" t="s">
        <v>1391</v>
      </c>
      <c r="B1391" s="1"/>
    </row>
    <row r="1392" spans="1:2" ht="13.2" x14ac:dyDescent="0.25">
      <c r="A1392" s="3" t="s">
        <v>1392</v>
      </c>
      <c r="B1392" s="1"/>
    </row>
    <row r="1393" spans="1:2" ht="13.2" x14ac:dyDescent="0.25">
      <c r="A1393" s="3" t="s">
        <v>1393</v>
      </c>
      <c r="B1393" s="1"/>
    </row>
    <row r="1394" spans="1:2" ht="13.2" x14ac:dyDescent="0.25">
      <c r="A1394" s="3" t="s">
        <v>1394</v>
      </c>
      <c r="B1394" s="1"/>
    </row>
    <row r="1395" spans="1:2" ht="13.2" x14ac:dyDescent="0.25">
      <c r="A1395" s="3" t="s">
        <v>1395</v>
      </c>
      <c r="B1395" s="1"/>
    </row>
    <row r="1396" spans="1:2" ht="13.2" x14ac:dyDescent="0.25">
      <c r="A1396" s="3" t="s">
        <v>1396</v>
      </c>
      <c r="B1396" s="1"/>
    </row>
    <row r="1397" spans="1:2" ht="13.2" x14ac:dyDescent="0.25">
      <c r="A1397" s="3" t="s">
        <v>1397</v>
      </c>
      <c r="B1397" s="1"/>
    </row>
    <row r="1398" spans="1:2" ht="13.2" x14ac:dyDescent="0.25">
      <c r="A1398" s="3" t="s">
        <v>1398</v>
      </c>
      <c r="B1398" s="1"/>
    </row>
    <row r="1399" spans="1:2" ht="13.2" x14ac:dyDescent="0.25">
      <c r="A1399" s="3" t="s">
        <v>1399</v>
      </c>
      <c r="B1399" s="1"/>
    </row>
    <row r="1400" spans="1:2" ht="13.2" x14ac:dyDescent="0.25">
      <c r="A1400" s="3" t="s">
        <v>1400</v>
      </c>
      <c r="B1400" s="1"/>
    </row>
    <row r="1401" spans="1:2" ht="13.2" x14ac:dyDescent="0.25">
      <c r="A1401" s="3" t="s">
        <v>1401</v>
      </c>
      <c r="B1401" s="1"/>
    </row>
    <row r="1402" spans="1:2" ht="13.2" x14ac:dyDescent="0.25">
      <c r="A1402" s="3" t="s">
        <v>1402</v>
      </c>
      <c r="B1402" s="1"/>
    </row>
    <row r="1403" spans="1:2" ht="13.2" x14ac:dyDescent="0.25">
      <c r="A1403" s="3" t="s">
        <v>1403</v>
      </c>
      <c r="B1403" s="1"/>
    </row>
    <row r="1404" spans="1:2" ht="13.2" x14ac:dyDescent="0.25">
      <c r="A1404" s="3" t="s">
        <v>1404</v>
      </c>
      <c r="B1404" s="1"/>
    </row>
    <row r="1405" spans="1:2" ht="13.2" x14ac:dyDescent="0.25">
      <c r="A1405" s="3" t="s">
        <v>1405</v>
      </c>
      <c r="B1405" s="1"/>
    </row>
    <row r="1406" spans="1:2" ht="13.2" x14ac:dyDescent="0.25">
      <c r="A1406" s="3" t="s">
        <v>1406</v>
      </c>
      <c r="B1406" s="1"/>
    </row>
    <row r="1407" spans="1:2" ht="13.2" x14ac:dyDescent="0.25">
      <c r="A1407" s="3" t="s">
        <v>1407</v>
      </c>
      <c r="B1407" s="1"/>
    </row>
    <row r="1408" spans="1:2" ht="13.2" x14ac:dyDescent="0.25">
      <c r="A1408" s="3" t="s">
        <v>1408</v>
      </c>
      <c r="B1408" s="1"/>
    </row>
    <row r="1409" spans="1:2" ht="13.2" x14ac:dyDescent="0.25">
      <c r="A1409" s="3" t="s">
        <v>1409</v>
      </c>
      <c r="B1409" s="1"/>
    </row>
    <row r="1410" spans="1:2" ht="13.2" x14ac:dyDescent="0.25">
      <c r="A1410" s="3" t="s">
        <v>1410</v>
      </c>
      <c r="B1410" s="1"/>
    </row>
    <row r="1411" spans="1:2" ht="13.2" x14ac:dyDescent="0.25">
      <c r="A1411" s="3" t="s">
        <v>1411</v>
      </c>
      <c r="B1411" s="1"/>
    </row>
    <row r="1412" spans="1:2" ht="13.2" x14ac:dyDescent="0.25">
      <c r="A1412" s="3" t="s">
        <v>1412</v>
      </c>
      <c r="B1412" s="1"/>
    </row>
    <row r="1413" spans="1:2" ht="13.2" x14ac:dyDescent="0.25">
      <c r="A1413" s="3" t="s">
        <v>1413</v>
      </c>
      <c r="B1413" s="1"/>
    </row>
    <row r="1414" spans="1:2" ht="13.2" x14ac:dyDescent="0.25">
      <c r="A1414" s="3" t="s">
        <v>1414</v>
      </c>
      <c r="B1414" s="1"/>
    </row>
    <row r="1415" spans="1:2" ht="13.2" x14ac:dyDescent="0.25">
      <c r="A1415" s="3" t="s">
        <v>1415</v>
      </c>
      <c r="B1415" s="1"/>
    </row>
    <row r="1416" spans="1:2" ht="13.2" x14ac:dyDescent="0.25">
      <c r="A1416" s="3" t="s">
        <v>1416</v>
      </c>
      <c r="B1416" s="1"/>
    </row>
    <row r="1417" spans="1:2" ht="13.2" x14ac:dyDescent="0.25">
      <c r="A1417" s="3" t="s">
        <v>1417</v>
      </c>
      <c r="B1417" s="1"/>
    </row>
    <row r="1418" spans="1:2" ht="13.2" x14ac:dyDescent="0.25">
      <c r="A1418" s="3" t="s">
        <v>1418</v>
      </c>
      <c r="B1418" s="1"/>
    </row>
    <row r="1419" spans="1:2" ht="13.2" x14ac:dyDescent="0.25">
      <c r="A1419" s="3" t="s">
        <v>1419</v>
      </c>
      <c r="B1419" s="1"/>
    </row>
    <row r="1420" spans="1:2" ht="13.2" x14ac:dyDescent="0.25">
      <c r="A1420" s="3" t="s">
        <v>1420</v>
      </c>
      <c r="B1420" s="1"/>
    </row>
    <row r="1421" spans="1:2" ht="13.2" x14ac:dyDescent="0.25">
      <c r="A1421" s="3" t="s">
        <v>1421</v>
      </c>
      <c r="B1421" s="1"/>
    </row>
    <row r="1422" spans="1:2" ht="13.2" x14ac:dyDescent="0.25">
      <c r="A1422" s="3" t="s">
        <v>1422</v>
      </c>
      <c r="B1422" s="1"/>
    </row>
    <row r="1423" spans="1:2" ht="13.2" x14ac:dyDescent="0.25">
      <c r="A1423" s="3" t="s">
        <v>1423</v>
      </c>
      <c r="B1423" s="1"/>
    </row>
    <row r="1424" spans="1:2" ht="13.2" x14ac:dyDescent="0.25">
      <c r="A1424" s="3" t="s">
        <v>1424</v>
      </c>
      <c r="B1424" s="1"/>
    </row>
    <row r="1425" spans="1:2" ht="13.2" x14ac:dyDescent="0.25">
      <c r="A1425" s="3" t="s">
        <v>1425</v>
      </c>
      <c r="B1425" s="1"/>
    </row>
    <row r="1426" spans="1:2" ht="13.2" x14ac:dyDescent="0.25">
      <c r="A1426" s="3" t="s">
        <v>1426</v>
      </c>
      <c r="B1426" s="1"/>
    </row>
    <row r="1427" spans="1:2" ht="13.2" x14ac:dyDescent="0.25">
      <c r="A1427" s="3" t="s">
        <v>1427</v>
      </c>
      <c r="B1427" s="1"/>
    </row>
    <row r="1428" spans="1:2" ht="13.2" x14ac:dyDescent="0.25">
      <c r="A1428" s="3" t="s">
        <v>1428</v>
      </c>
      <c r="B1428" s="1"/>
    </row>
    <row r="1429" spans="1:2" ht="13.2" x14ac:dyDescent="0.25">
      <c r="A1429" s="3" t="s">
        <v>1429</v>
      </c>
      <c r="B1429" s="1"/>
    </row>
    <row r="1430" spans="1:2" ht="13.2" x14ac:dyDescent="0.25">
      <c r="A1430" s="3" t="s">
        <v>1430</v>
      </c>
      <c r="B1430" s="1"/>
    </row>
    <row r="1431" spans="1:2" ht="13.2" x14ac:dyDescent="0.25">
      <c r="A1431" s="3" t="s">
        <v>1431</v>
      </c>
      <c r="B1431" s="1"/>
    </row>
    <row r="1432" spans="1:2" ht="13.2" x14ac:dyDescent="0.25">
      <c r="A1432" s="3" t="s">
        <v>1432</v>
      </c>
      <c r="B1432" s="1"/>
    </row>
    <row r="1433" spans="1:2" ht="13.2" x14ac:dyDescent="0.25">
      <c r="A1433" s="3" t="s">
        <v>1433</v>
      </c>
      <c r="B1433" s="1"/>
    </row>
    <row r="1434" spans="1:2" ht="13.2" x14ac:dyDescent="0.25">
      <c r="A1434" s="3" t="s">
        <v>1434</v>
      </c>
      <c r="B1434" s="1"/>
    </row>
    <row r="1435" spans="1:2" ht="13.2" x14ac:dyDescent="0.25">
      <c r="A1435" s="3" t="s">
        <v>1435</v>
      </c>
      <c r="B1435" s="1"/>
    </row>
    <row r="1436" spans="1:2" ht="13.2" x14ac:dyDescent="0.25">
      <c r="A1436" s="3" t="s">
        <v>1436</v>
      </c>
      <c r="B1436" s="1"/>
    </row>
    <row r="1437" spans="1:2" ht="13.2" x14ac:dyDescent="0.25">
      <c r="A1437" s="3" t="s">
        <v>1437</v>
      </c>
      <c r="B1437" s="1"/>
    </row>
    <row r="1438" spans="1:2" ht="13.2" x14ac:dyDescent="0.25">
      <c r="A1438" s="3" t="s">
        <v>1438</v>
      </c>
      <c r="B1438" s="1"/>
    </row>
    <row r="1439" spans="1:2" ht="13.2" x14ac:dyDescent="0.25">
      <c r="A1439" s="3" t="s">
        <v>1439</v>
      </c>
      <c r="B1439" s="1"/>
    </row>
    <row r="1440" spans="1:2" ht="13.2" x14ac:dyDescent="0.25">
      <c r="A1440" s="3" t="s">
        <v>1440</v>
      </c>
      <c r="B1440" s="1"/>
    </row>
    <row r="1441" spans="1:2" ht="13.2" x14ac:dyDescent="0.25">
      <c r="A1441" s="3" t="s">
        <v>1441</v>
      </c>
      <c r="B1441" s="1"/>
    </row>
    <row r="1442" spans="1:2" ht="13.2" x14ac:dyDescent="0.25">
      <c r="A1442" s="3" t="s">
        <v>1442</v>
      </c>
      <c r="B1442" s="1"/>
    </row>
    <row r="1443" spans="1:2" ht="13.2" x14ac:dyDescent="0.25">
      <c r="A1443" s="3" t="s">
        <v>1443</v>
      </c>
      <c r="B1443" s="1"/>
    </row>
    <row r="1444" spans="1:2" ht="13.2" x14ac:dyDescent="0.25">
      <c r="A1444" s="3" t="s">
        <v>1444</v>
      </c>
      <c r="B1444" s="1"/>
    </row>
    <row r="1445" spans="1:2" ht="13.2" x14ac:dyDescent="0.25">
      <c r="A1445" s="3" t="s">
        <v>1445</v>
      </c>
      <c r="B1445" s="1"/>
    </row>
    <row r="1446" spans="1:2" ht="13.2" x14ac:dyDescent="0.25">
      <c r="A1446" s="3" t="s">
        <v>1446</v>
      </c>
      <c r="B1446" s="1"/>
    </row>
    <row r="1447" spans="1:2" ht="13.2" x14ac:dyDescent="0.25">
      <c r="A1447" s="3" t="s">
        <v>1447</v>
      </c>
      <c r="B1447" s="1"/>
    </row>
    <row r="1448" spans="1:2" ht="13.2" x14ac:dyDescent="0.25">
      <c r="A1448" s="3" t="s">
        <v>1448</v>
      </c>
      <c r="B1448" s="1"/>
    </row>
    <row r="1449" spans="1:2" ht="13.2" x14ac:dyDescent="0.25">
      <c r="A1449" s="3" t="s">
        <v>1449</v>
      </c>
      <c r="B1449" s="1"/>
    </row>
    <row r="1450" spans="1:2" ht="13.2" x14ac:dyDescent="0.25">
      <c r="A1450" s="3" t="s">
        <v>1450</v>
      </c>
      <c r="B1450" s="1"/>
    </row>
    <row r="1451" spans="1:2" ht="13.2" x14ac:dyDescent="0.25">
      <c r="A1451" s="3" t="s">
        <v>1451</v>
      </c>
      <c r="B1451" s="1"/>
    </row>
    <row r="1452" spans="1:2" ht="13.2" x14ac:dyDescent="0.25">
      <c r="A1452" s="3" t="s">
        <v>1452</v>
      </c>
      <c r="B1452" s="1"/>
    </row>
    <row r="1453" spans="1:2" ht="13.2" x14ac:dyDescent="0.25">
      <c r="A1453" s="3" t="s">
        <v>1453</v>
      </c>
      <c r="B1453" s="1"/>
    </row>
    <row r="1454" spans="1:2" ht="13.2" x14ac:dyDescent="0.25">
      <c r="A1454" s="3" t="s">
        <v>1454</v>
      </c>
      <c r="B1454" s="1"/>
    </row>
    <row r="1455" spans="1:2" ht="13.2" x14ac:dyDescent="0.25">
      <c r="A1455" s="3" t="s">
        <v>1455</v>
      </c>
      <c r="B1455" s="1"/>
    </row>
    <row r="1456" spans="1:2" ht="13.2" x14ac:dyDescent="0.25">
      <c r="A1456" s="3" t="s">
        <v>1456</v>
      </c>
      <c r="B1456" s="1"/>
    </row>
    <row r="1457" spans="1:2" ht="13.2" x14ac:dyDescent="0.25">
      <c r="A1457" s="3" t="s">
        <v>1457</v>
      </c>
      <c r="B1457" s="1"/>
    </row>
    <row r="1458" spans="1:2" ht="13.2" x14ac:dyDescent="0.25">
      <c r="A1458" s="3" t="s">
        <v>1458</v>
      </c>
      <c r="B1458" s="1"/>
    </row>
    <row r="1459" spans="1:2" ht="13.2" x14ac:dyDescent="0.25">
      <c r="A1459" s="3" t="s">
        <v>1459</v>
      </c>
      <c r="B1459" s="1"/>
    </row>
    <row r="1460" spans="1:2" ht="13.2" x14ac:dyDescent="0.25">
      <c r="A1460" s="3" t="s">
        <v>1460</v>
      </c>
      <c r="B1460" s="1"/>
    </row>
    <row r="1461" spans="1:2" ht="13.2" x14ac:dyDescent="0.25">
      <c r="A1461" s="3" t="s">
        <v>1461</v>
      </c>
      <c r="B1461" s="1"/>
    </row>
    <row r="1462" spans="1:2" ht="13.2" x14ac:dyDescent="0.25">
      <c r="A1462" s="3" t="s">
        <v>1462</v>
      </c>
      <c r="B1462" s="1"/>
    </row>
    <row r="1463" spans="1:2" ht="13.2" x14ac:dyDescent="0.25">
      <c r="A1463" s="3" t="s">
        <v>1463</v>
      </c>
      <c r="B1463" s="1"/>
    </row>
    <row r="1464" spans="1:2" ht="13.2" x14ac:dyDescent="0.25">
      <c r="A1464" s="3" t="s">
        <v>1464</v>
      </c>
      <c r="B1464" s="1"/>
    </row>
    <row r="1465" spans="1:2" ht="13.2" x14ac:dyDescent="0.25">
      <c r="A1465" s="3" t="s">
        <v>1465</v>
      </c>
      <c r="B1465" s="1"/>
    </row>
    <row r="1466" spans="1:2" ht="13.2" x14ac:dyDescent="0.25">
      <c r="A1466" s="3" t="s">
        <v>1466</v>
      </c>
      <c r="B1466" s="1"/>
    </row>
    <row r="1467" spans="1:2" ht="13.2" x14ac:dyDescent="0.25">
      <c r="A1467" s="3" t="s">
        <v>1467</v>
      </c>
      <c r="B1467" s="1"/>
    </row>
    <row r="1468" spans="1:2" ht="13.2" x14ac:dyDescent="0.25">
      <c r="A1468" s="3" t="s">
        <v>1468</v>
      </c>
      <c r="B1468" s="1"/>
    </row>
    <row r="1469" spans="1:2" ht="13.2" x14ac:dyDescent="0.25">
      <c r="A1469" s="3" t="s">
        <v>1469</v>
      </c>
      <c r="B1469" s="1"/>
    </row>
    <row r="1470" spans="1:2" ht="13.2" x14ac:dyDescent="0.25">
      <c r="A1470" s="3" t="s">
        <v>1470</v>
      </c>
      <c r="B1470" s="1"/>
    </row>
    <row r="1471" spans="1:2" ht="13.2" x14ac:dyDescent="0.25">
      <c r="A1471" s="3" t="s">
        <v>1471</v>
      </c>
      <c r="B1471" s="1"/>
    </row>
    <row r="1472" spans="1:2" ht="13.2" x14ac:dyDescent="0.25">
      <c r="A1472" s="3" t="s">
        <v>1472</v>
      </c>
      <c r="B1472" s="1"/>
    </row>
    <row r="1473" spans="1:2" ht="13.2" x14ac:dyDescent="0.25">
      <c r="A1473" s="3" t="s">
        <v>1473</v>
      </c>
      <c r="B1473" s="1"/>
    </row>
    <row r="1474" spans="1:2" ht="13.2" x14ac:dyDescent="0.25">
      <c r="A1474" s="3" t="s">
        <v>1474</v>
      </c>
      <c r="B1474" s="1"/>
    </row>
    <row r="1475" spans="1:2" ht="13.2" x14ac:dyDescent="0.25">
      <c r="A1475" s="3" t="s">
        <v>1475</v>
      </c>
      <c r="B1475" s="1"/>
    </row>
    <row r="1476" spans="1:2" ht="13.2" x14ac:dyDescent="0.25">
      <c r="A1476" s="3" t="s">
        <v>1476</v>
      </c>
      <c r="B1476" s="1"/>
    </row>
    <row r="1477" spans="1:2" ht="13.2" x14ac:dyDescent="0.25">
      <c r="A1477" s="3" t="s">
        <v>1477</v>
      </c>
      <c r="B1477" s="1"/>
    </row>
    <row r="1478" spans="1:2" ht="13.2" x14ac:dyDescent="0.25">
      <c r="A1478" s="3" t="s">
        <v>1478</v>
      </c>
      <c r="B1478" s="1"/>
    </row>
    <row r="1479" spans="1:2" ht="13.2" x14ac:dyDescent="0.25">
      <c r="A1479" s="3" t="s">
        <v>1479</v>
      </c>
      <c r="B1479" s="1"/>
    </row>
    <row r="1480" spans="1:2" ht="13.2" x14ac:dyDescent="0.25">
      <c r="A1480" s="3" t="s">
        <v>1480</v>
      </c>
      <c r="B1480" s="1"/>
    </row>
    <row r="1481" spans="1:2" ht="13.2" x14ac:dyDescent="0.25">
      <c r="A1481" s="3" t="s">
        <v>1481</v>
      </c>
      <c r="B1481" s="1"/>
    </row>
    <row r="1482" spans="1:2" ht="13.2" x14ac:dyDescent="0.25">
      <c r="A1482" s="3" t="s">
        <v>1482</v>
      </c>
      <c r="B1482" s="1"/>
    </row>
    <row r="1483" spans="1:2" ht="13.2" x14ac:dyDescent="0.25">
      <c r="A1483" s="3" t="s">
        <v>1483</v>
      </c>
      <c r="B1483" s="1"/>
    </row>
    <row r="1484" spans="1:2" ht="13.2" x14ac:dyDescent="0.25">
      <c r="A1484" s="3" t="s">
        <v>1484</v>
      </c>
      <c r="B1484" s="1"/>
    </row>
    <row r="1485" spans="1:2" ht="13.2" x14ac:dyDescent="0.25">
      <c r="A1485" s="3" t="s">
        <v>1485</v>
      </c>
      <c r="B1485" s="1"/>
    </row>
    <row r="1486" spans="1:2" ht="13.2" x14ac:dyDescent="0.25">
      <c r="A1486" s="3" t="s">
        <v>1486</v>
      </c>
      <c r="B1486" s="1"/>
    </row>
    <row r="1487" spans="1:2" ht="13.2" x14ac:dyDescent="0.25">
      <c r="A1487" s="3" t="s">
        <v>1487</v>
      </c>
      <c r="B1487" s="1"/>
    </row>
    <row r="1488" spans="1:2" ht="13.2" x14ac:dyDescent="0.25">
      <c r="A1488" s="3" t="s">
        <v>1488</v>
      </c>
      <c r="B1488" s="1"/>
    </row>
    <row r="1489" spans="1:2" ht="13.2" x14ac:dyDescent="0.25">
      <c r="A1489" s="3" t="s">
        <v>1489</v>
      </c>
      <c r="B1489" s="1"/>
    </row>
    <row r="1490" spans="1:2" ht="13.2" x14ac:dyDescent="0.25">
      <c r="A1490" s="3" t="s">
        <v>1490</v>
      </c>
      <c r="B1490" s="1"/>
    </row>
    <row r="1491" spans="1:2" ht="13.2" x14ac:dyDescent="0.25">
      <c r="A1491" s="3" t="s">
        <v>1491</v>
      </c>
      <c r="B1491" s="1"/>
    </row>
    <row r="1492" spans="1:2" ht="13.2" x14ac:dyDescent="0.25">
      <c r="A1492" s="3" t="s">
        <v>1492</v>
      </c>
      <c r="B1492" s="1"/>
    </row>
    <row r="1493" spans="1:2" ht="13.2" x14ac:dyDescent="0.25">
      <c r="A1493" s="3" t="s">
        <v>1493</v>
      </c>
      <c r="B1493" s="1"/>
    </row>
    <row r="1494" spans="1:2" ht="13.2" x14ac:dyDescent="0.25">
      <c r="A1494" s="3" t="s">
        <v>1494</v>
      </c>
      <c r="B1494" s="1"/>
    </row>
    <row r="1495" spans="1:2" ht="13.2" x14ac:dyDescent="0.25">
      <c r="A1495" s="3" t="s">
        <v>1495</v>
      </c>
      <c r="B1495" s="1"/>
    </row>
    <row r="1496" spans="1:2" ht="13.2" x14ac:dyDescent="0.25">
      <c r="A1496" s="3" t="s">
        <v>1496</v>
      </c>
      <c r="B1496" s="1"/>
    </row>
    <row r="1497" spans="1:2" ht="13.2" x14ac:dyDescent="0.25">
      <c r="A1497" s="3" t="s">
        <v>1497</v>
      </c>
      <c r="B1497" s="1"/>
    </row>
    <row r="1498" spans="1:2" ht="13.2" x14ac:dyDescent="0.25">
      <c r="A1498" s="3" t="s">
        <v>1498</v>
      </c>
      <c r="B1498" s="1"/>
    </row>
    <row r="1499" spans="1:2" ht="13.2" x14ac:dyDescent="0.25">
      <c r="A1499" s="3" t="s">
        <v>1499</v>
      </c>
      <c r="B1499" s="1"/>
    </row>
    <row r="1500" spans="1:2" ht="13.2" x14ac:dyDescent="0.25">
      <c r="A1500" s="3" t="s">
        <v>1500</v>
      </c>
      <c r="B1500" s="1"/>
    </row>
    <row r="1501" spans="1:2" ht="13.2" x14ac:dyDescent="0.25">
      <c r="A1501" s="3" t="s">
        <v>1501</v>
      </c>
      <c r="B1501" s="1"/>
    </row>
    <row r="1502" spans="1:2" ht="13.2" x14ac:dyDescent="0.25">
      <c r="A1502" s="3" t="s">
        <v>1502</v>
      </c>
      <c r="B1502" s="1"/>
    </row>
    <row r="1503" spans="1:2" ht="13.2" x14ac:dyDescent="0.25">
      <c r="A1503" s="3" t="s">
        <v>1503</v>
      </c>
      <c r="B1503" s="1"/>
    </row>
    <row r="1504" spans="1:2" ht="13.2" x14ac:dyDescent="0.25">
      <c r="A1504" s="3" t="s">
        <v>1504</v>
      </c>
      <c r="B1504" s="1"/>
    </row>
    <row r="1505" spans="1:2" ht="13.2" x14ac:dyDescent="0.25">
      <c r="A1505" s="3" t="s">
        <v>1505</v>
      </c>
      <c r="B1505" s="1"/>
    </row>
    <row r="1506" spans="1:2" ht="13.2" x14ac:dyDescent="0.25">
      <c r="A1506" s="3" t="s">
        <v>1506</v>
      </c>
      <c r="B1506" s="1"/>
    </row>
    <row r="1507" spans="1:2" ht="13.2" x14ac:dyDescent="0.25">
      <c r="A1507" s="3" t="s">
        <v>1507</v>
      </c>
      <c r="B1507" s="1"/>
    </row>
    <row r="1508" spans="1:2" ht="13.2" x14ac:dyDescent="0.25">
      <c r="A1508" s="3" t="s">
        <v>1508</v>
      </c>
      <c r="B1508" s="1"/>
    </row>
    <row r="1509" spans="1:2" ht="13.2" x14ac:dyDescent="0.25">
      <c r="A1509" s="3" t="s">
        <v>1509</v>
      </c>
      <c r="B1509" s="1"/>
    </row>
    <row r="1510" spans="1:2" ht="13.2" x14ac:dyDescent="0.25">
      <c r="A1510" s="3" t="s">
        <v>1510</v>
      </c>
      <c r="B1510" s="1"/>
    </row>
    <row r="1511" spans="1:2" ht="13.2" x14ac:dyDescent="0.25">
      <c r="A1511" s="3" t="s">
        <v>1511</v>
      </c>
      <c r="B1511" s="1"/>
    </row>
    <row r="1512" spans="1:2" ht="13.2" x14ac:dyDescent="0.25">
      <c r="A1512" s="3" t="s">
        <v>1512</v>
      </c>
      <c r="B1512" s="1"/>
    </row>
    <row r="1513" spans="1:2" ht="13.2" x14ac:dyDescent="0.25">
      <c r="A1513" s="3" t="s">
        <v>1513</v>
      </c>
      <c r="B1513" s="1"/>
    </row>
    <row r="1514" spans="1:2" ht="13.2" x14ac:dyDescent="0.25">
      <c r="A1514" s="3" t="s">
        <v>1514</v>
      </c>
      <c r="B1514" s="1"/>
    </row>
    <row r="1515" spans="1:2" ht="13.2" x14ac:dyDescent="0.25">
      <c r="A1515" s="3" t="s">
        <v>1515</v>
      </c>
      <c r="B1515" s="1"/>
    </row>
    <row r="1516" spans="1:2" ht="13.2" x14ac:dyDescent="0.25">
      <c r="A1516" s="3" t="s">
        <v>1516</v>
      </c>
      <c r="B1516" s="1"/>
    </row>
    <row r="1517" spans="1:2" ht="13.2" x14ac:dyDescent="0.25">
      <c r="A1517" s="3" t="s">
        <v>1517</v>
      </c>
      <c r="B1517" s="1"/>
    </row>
    <row r="1518" spans="1:2" ht="13.2" x14ac:dyDescent="0.25">
      <c r="A1518" s="3" t="s">
        <v>1518</v>
      </c>
      <c r="B1518" s="1"/>
    </row>
    <row r="1519" spans="1:2" ht="13.2" x14ac:dyDescent="0.25">
      <c r="A1519" s="3" t="s">
        <v>1519</v>
      </c>
      <c r="B1519" s="1"/>
    </row>
    <row r="1520" spans="1:2" ht="13.2" x14ac:dyDescent="0.25">
      <c r="A1520" s="3" t="s">
        <v>1520</v>
      </c>
      <c r="B1520" s="1"/>
    </row>
    <row r="1521" spans="1:2" ht="13.2" x14ac:dyDescent="0.25">
      <c r="A1521" s="3" t="s">
        <v>1521</v>
      </c>
      <c r="B1521" s="1"/>
    </row>
    <row r="1522" spans="1:2" ht="13.2" x14ac:dyDescent="0.25">
      <c r="A1522" s="3" t="s">
        <v>1522</v>
      </c>
      <c r="B1522" s="1"/>
    </row>
    <row r="1523" spans="1:2" ht="13.2" x14ac:dyDescent="0.25">
      <c r="A1523" s="3" t="s">
        <v>1523</v>
      </c>
      <c r="B1523" s="1"/>
    </row>
    <row r="1524" spans="1:2" ht="13.2" x14ac:dyDescent="0.25">
      <c r="A1524" s="3" t="s">
        <v>1524</v>
      </c>
      <c r="B1524" s="1"/>
    </row>
    <row r="1525" spans="1:2" ht="13.2" x14ac:dyDescent="0.25">
      <c r="A1525" s="3" t="s">
        <v>1525</v>
      </c>
      <c r="B1525" s="1"/>
    </row>
    <row r="1526" spans="1:2" ht="13.2" x14ac:dyDescent="0.25">
      <c r="A1526" s="3" t="s">
        <v>1526</v>
      </c>
      <c r="B1526" s="1"/>
    </row>
    <row r="1527" spans="1:2" ht="13.2" x14ac:dyDescent="0.25">
      <c r="A1527" s="3" t="s">
        <v>1527</v>
      </c>
      <c r="B1527" s="1"/>
    </row>
    <row r="1528" spans="1:2" ht="13.2" x14ac:dyDescent="0.25">
      <c r="A1528" s="3" t="s">
        <v>1528</v>
      </c>
      <c r="B1528" s="1"/>
    </row>
    <row r="1529" spans="1:2" ht="13.2" x14ac:dyDescent="0.25">
      <c r="A1529" s="3" t="s">
        <v>1529</v>
      </c>
      <c r="B1529" s="1"/>
    </row>
    <row r="1530" spans="1:2" ht="13.2" x14ac:dyDescent="0.25">
      <c r="A1530" s="3" t="s">
        <v>1530</v>
      </c>
      <c r="B1530" s="1"/>
    </row>
    <row r="1531" spans="1:2" ht="13.2" x14ac:dyDescent="0.25">
      <c r="A1531" s="3" t="s">
        <v>1531</v>
      </c>
      <c r="B1531" s="1"/>
    </row>
    <row r="1532" spans="1:2" ht="13.2" x14ac:dyDescent="0.25">
      <c r="A1532" s="3" t="s">
        <v>1532</v>
      </c>
      <c r="B1532" s="1"/>
    </row>
    <row r="1533" spans="1:2" ht="13.2" x14ac:dyDescent="0.25">
      <c r="A1533" s="3" t="s">
        <v>1533</v>
      </c>
      <c r="B1533" s="1"/>
    </row>
    <row r="1534" spans="1:2" ht="13.2" x14ac:dyDescent="0.25">
      <c r="A1534" s="3" t="s">
        <v>1534</v>
      </c>
      <c r="B1534" s="1"/>
    </row>
    <row r="1535" spans="1:2" ht="13.2" x14ac:dyDescent="0.25">
      <c r="A1535" s="3" t="s">
        <v>1535</v>
      </c>
      <c r="B1535" s="1"/>
    </row>
    <row r="1536" spans="1:2" ht="13.2" x14ac:dyDescent="0.25">
      <c r="A1536" s="3" t="s">
        <v>1536</v>
      </c>
      <c r="B1536" s="1"/>
    </row>
    <row r="1537" spans="1:2" ht="13.2" x14ac:dyDescent="0.25">
      <c r="A1537" s="3" t="s">
        <v>1537</v>
      </c>
      <c r="B1537" s="1"/>
    </row>
    <row r="1538" spans="1:2" ht="13.2" x14ac:dyDescent="0.25">
      <c r="A1538" s="3" t="s">
        <v>1538</v>
      </c>
      <c r="B1538" s="1"/>
    </row>
    <row r="1539" spans="1:2" ht="13.2" x14ac:dyDescent="0.25">
      <c r="A1539" s="3" t="s">
        <v>1539</v>
      </c>
      <c r="B1539" s="1"/>
    </row>
    <row r="1540" spans="1:2" ht="13.2" x14ac:dyDescent="0.25">
      <c r="A1540" s="3" t="s">
        <v>1540</v>
      </c>
      <c r="B1540" s="1"/>
    </row>
    <row r="1541" spans="1:2" ht="13.2" x14ac:dyDescent="0.25">
      <c r="A1541" s="3" t="s">
        <v>1541</v>
      </c>
      <c r="B1541" s="1"/>
    </row>
    <row r="1542" spans="1:2" ht="13.2" x14ac:dyDescent="0.25">
      <c r="A1542" s="3" t="s">
        <v>1542</v>
      </c>
      <c r="B1542" s="1"/>
    </row>
    <row r="1543" spans="1:2" ht="13.2" x14ac:dyDescent="0.25">
      <c r="A1543" s="3" t="s">
        <v>1543</v>
      </c>
      <c r="B1543" s="1"/>
    </row>
    <row r="1544" spans="1:2" ht="13.2" x14ac:dyDescent="0.25">
      <c r="A1544" s="3" t="s">
        <v>1544</v>
      </c>
      <c r="B1544" s="1"/>
    </row>
    <row r="1545" spans="1:2" ht="13.2" x14ac:dyDescent="0.25">
      <c r="A1545" s="3" t="s">
        <v>1545</v>
      </c>
      <c r="B1545" s="1"/>
    </row>
    <row r="1546" spans="1:2" ht="13.2" x14ac:dyDescent="0.25">
      <c r="A1546" s="3" t="s">
        <v>1546</v>
      </c>
      <c r="B1546" s="1"/>
    </row>
    <row r="1547" spans="1:2" ht="13.2" x14ac:dyDescent="0.25">
      <c r="A1547" s="3" t="s">
        <v>1547</v>
      </c>
      <c r="B1547" s="1"/>
    </row>
    <row r="1548" spans="1:2" ht="13.2" x14ac:dyDescent="0.25">
      <c r="A1548" s="3" t="s">
        <v>1548</v>
      </c>
      <c r="B1548" s="1"/>
    </row>
    <row r="1549" spans="1:2" ht="13.2" x14ac:dyDescent="0.25">
      <c r="A1549" s="3" t="s">
        <v>1549</v>
      </c>
      <c r="B1549" s="1"/>
    </row>
    <row r="1550" spans="1:2" ht="13.2" x14ac:dyDescent="0.25">
      <c r="A1550" s="3" t="s">
        <v>1550</v>
      </c>
      <c r="B1550" s="1"/>
    </row>
    <row r="1551" spans="1:2" ht="13.2" x14ac:dyDescent="0.25">
      <c r="A1551" s="3" t="s">
        <v>1551</v>
      </c>
      <c r="B1551" s="1"/>
    </row>
    <row r="1552" spans="1:2" ht="13.2" x14ac:dyDescent="0.25">
      <c r="A1552" s="3" t="s">
        <v>1552</v>
      </c>
      <c r="B1552" s="1"/>
    </row>
    <row r="1553" spans="1:2" ht="13.2" x14ac:dyDescent="0.25">
      <c r="A1553" s="3" t="s">
        <v>1553</v>
      </c>
      <c r="B1553" s="1"/>
    </row>
    <row r="1554" spans="1:2" ht="13.2" x14ac:dyDescent="0.25">
      <c r="A1554" s="3" t="s">
        <v>1554</v>
      </c>
      <c r="B1554" s="1"/>
    </row>
    <row r="1555" spans="1:2" ht="13.2" x14ac:dyDescent="0.25">
      <c r="A1555" s="3" t="s">
        <v>1555</v>
      </c>
      <c r="B1555" s="1"/>
    </row>
    <row r="1556" spans="1:2" ht="13.2" x14ac:dyDescent="0.25">
      <c r="A1556" s="3" t="s">
        <v>1556</v>
      </c>
      <c r="B1556" s="1"/>
    </row>
    <row r="1557" spans="1:2" ht="13.2" x14ac:dyDescent="0.25">
      <c r="A1557" s="3" t="s">
        <v>1557</v>
      </c>
      <c r="B1557" s="1"/>
    </row>
    <row r="1558" spans="1:2" ht="13.2" x14ac:dyDescent="0.25">
      <c r="A1558" s="3" t="s">
        <v>1558</v>
      </c>
      <c r="B1558" s="1"/>
    </row>
    <row r="1559" spans="1:2" ht="13.2" x14ac:dyDescent="0.25">
      <c r="A1559" s="3" t="s">
        <v>1559</v>
      </c>
      <c r="B1559" s="1"/>
    </row>
    <row r="1560" spans="1:2" ht="13.2" x14ac:dyDescent="0.25">
      <c r="A1560" s="3" t="s">
        <v>1560</v>
      </c>
      <c r="B1560" s="1"/>
    </row>
    <row r="1561" spans="1:2" ht="13.2" x14ac:dyDescent="0.25">
      <c r="A1561" s="3" t="s">
        <v>1561</v>
      </c>
      <c r="B1561" s="1"/>
    </row>
    <row r="1562" spans="1:2" ht="13.2" x14ac:dyDescent="0.25">
      <c r="A1562" s="3" t="s">
        <v>1562</v>
      </c>
      <c r="B1562" s="1"/>
    </row>
    <row r="1563" spans="1:2" ht="13.2" x14ac:dyDescent="0.25">
      <c r="A1563" s="3" t="s">
        <v>1563</v>
      </c>
      <c r="B1563" s="1"/>
    </row>
    <row r="1564" spans="1:2" ht="13.2" x14ac:dyDescent="0.25">
      <c r="A1564" s="3" t="s">
        <v>1564</v>
      </c>
      <c r="B1564" s="1"/>
    </row>
    <row r="1565" spans="1:2" ht="13.2" x14ac:dyDescent="0.25">
      <c r="A1565" s="3" t="s">
        <v>1565</v>
      </c>
      <c r="B1565" s="1"/>
    </row>
    <row r="1566" spans="1:2" ht="13.2" x14ac:dyDescent="0.25">
      <c r="A1566" s="3" t="s">
        <v>1566</v>
      </c>
      <c r="B1566" s="1"/>
    </row>
    <row r="1567" spans="1:2" ht="13.2" x14ac:dyDescent="0.25">
      <c r="A1567" s="3" t="s">
        <v>1567</v>
      </c>
      <c r="B1567" s="1"/>
    </row>
    <row r="1568" spans="1:2" ht="13.2" x14ac:dyDescent="0.25">
      <c r="A1568" s="3" t="s">
        <v>1568</v>
      </c>
      <c r="B1568" s="1"/>
    </row>
    <row r="1569" spans="1:2" ht="13.2" x14ac:dyDescent="0.25">
      <c r="A1569" s="3" t="s">
        <v>1569</v>
      </c>
      <c r="B1569" s="1"/>
    </row>
    <row r="1570" spans="1:2" ht="13.2" x14ac:dyDescent="0.25">
      <c r="A1570" s="3" t="s">
        <v>1570</v>
      </c>
      <c r="B1570" s="1"/>
    </row>
    <row r="1571" spans="1:2" ht="13.2" x14ac:dyDescent="0.25">
      <c r="A1571" s="3" t="s">
        <v>1571</v>
      </c>
      <c r="B1571" s="1"/>
    </row>
    <row r="1572" spans="1:2" ht="13.2" x14ac:dyDescent="0.25">
      <c r="A1572" s="3" t="s">
        <v>1572</v>
      </c>
      <c r="B1572" s="1"/>
    </row>
    <row r="1573" spans="1:2" ht="13.2" x14ac:dyDescent="0.25">
      <c r="A1573" s="3" t="s">
        <v>1573</v>
      </c>
      <c r="B1573" s="1"/>
    </row>
    <row r="1574" spans="1:2" ht="13.2" x14ac:dyDescent="0.25">
      <c r="A1574" s="3" t="s">
        <v>1574</v>
      </c>
      <c r="B1574" s="1"/>
    </row>
    <row r="1575" spans="1:2" ht="13.2" x14ac:dyDescent="0.25">
      <c r="A1575" s="3" t="s">
        <v>1575</v>
      </c>
      <c r="B1575" s="1"/>
    </row>
    <row r="1576" spans="1:2" ht="13.2" x14ac:dyDescent="0.25">
      <c r="A1576" s="3" t="s">
        <v>1576</v>
      </c>
      <c r="B1576" s="1"/>
    </row>
    <row r="1577" spans="1:2" ht="13.2" x14ac:dyDescent="0.25">
      <c r="A1577" s="3" t="s">
        <v>1577</v>
      </c>
      <c r="B1577" s="1"/>
    </row>
    <row r="1578" spans="1:2" ht="13.2" x14ac:dyDescent="0.25">
      <c r="A1578" s="3" t="s">
        <v>1578</v>
      </c>
      <c r="B1578" s="1"/>
    </row>
    <row r="1579" spans="1:2" ht="13.2" x14ac:dyDescent="0.25">
      <c r="A1579" s="3" t="s">
        <v>1579</v>
      </c>
      <c r="B1579" s="1"/>
    </row>
    <row r="1580" spans="1:2" ht="13.2" x14ac:dyDescent="0.25">
      <c r="A1580" s="3" t="s">
        <v>1580</v>
      </c>
      <c r="B1580" s="1"/>
    </row>
    <row r="1581" spans="1:2" ht="13.2" x14ac:dyDescent="0.25">
      <c r="A1581" s="3" t="s">
        <v>1581</v>
      </c>
      <c r="B1581" s="1"/>
    </row>
    <row r="1582" spans="1:2" ht="13.2" x14ac:dyDescent="0.25">
      <c r="A1582" s="3" t="s">
        <v>1582</v>
      </c>
      <c r="B1582" s="1"/>
    </row>
    <row r="1583" spans="1:2" ht="13.2" x14ac:dyDescent="0.25">
      <c r="A1583" s="3" t="s">
        <v>1583</v>
      </c>
      <c r="B1583" s="1"/>
    </row>
    <row r="1584" spans="1:2" ht="13.2" x14ac:dyDescent="0.25">
      <c r="A1584" s="3" t="s">
        <v>1584</v>
      </c>
      <c r="B1584" s="1"/>
    </row>
    <row r="1585" spans="1:2" ht="13.2" x14ac:dyDescent="0.25">
      <c r="A1585" s="3" t="s">
        <v>1585</v>
      </c>
      <c r="B1585" s="1"/>
    </row>
    <row r="1586" spans="1:2" ht="13.2" x14ac:dyDescent="0.25">
      <c r="A1586" s="3" t="s">
        <v>1586</v>
      </c>
      <c r="B1586" s="1"/>
    </row>
    <row r="1587" spans="1:2" ht="13.2" x14ac:dyDescent="0.25">
      <c r="A1587" s="3" t="s">
        <v>1587</v>
      </c>
      <c r="B1587" s="1"/>
    </row>
    <row r="1588" spans="1:2" ht="13.2" x14ac:dyDescent="0.25">
      <c r="A1588" s="3" t="s">
        <v>1588</v>
      </c>
      <c r="B1588" s="1"/>
    </row>
    <row r="1589" spans="1:2" ht="13.2" x14ac:dyDescent="0.25">
      <c r="A1589" s="3" t="s">
        <v>1589</v>
      </c>
      <c r="B1589" s="1"/>
    </row>
    <row r="1590" spans="1:2" ht="13.2" x14ac:dyDescent="0.25">
      <c r="A1590" s="3" t="s">
        <v>1590</v>
      </c>
      <c r="B1590" s="1"/>
    </row>
    <row r="1591" spans="1:2" ht="13.2" x14ac:dyDescent="0.25">
      <c r="A1591" s="3" t="s">
        <v>1591</v>
      </c>
      <c r="B1591" s="1"/>
    </row>
    <row r="1592" spans="1:2" ht="13.2" x14ac:dyDescent="0.25">
      <c r="A1592" s="3" t="s">
        <v>1592</v>
      </c>
      <c r="B1592" s="1"/>
    </row>
    <row r="1593" spans="1:2" ht="13.2" x14ac:dyDescent="0.25">
      <c r="A1593" s="3" t="s">
        <v>1593</v>
      </c>
      <c r="B1593" s="1"/>
    </row>
    <row r="1594" spans="1:2" ht="13.2" x14ac:dyDescent="0.25">
      <c r="A1594" s="3" t="s">
        <v>1594</v>
      </c>
      <c r="B1594" s="1"/>
    </row>
    <row r="1595" spans="1:2" ht="13.2" x14ac:dyDescent="0.25">
      <c r="A1595" s="3" t="s">
        <v>1595</v>
      </c>
      <c r="B1595" s="1"/>
    </row>
    <row r="1596" spans="1:2" ht="13.2" x14ac:dyDescent="0.25">
      <c r="A1596" s="3" t="s">
        <v>1596</v>
      </c>
      <c r="B1596" s="1"/>
    </row>
    <row r="1597" spans="1:2" ht="13.2" x14ac:dyDescent="0.25">
      <c r="A1597" s="3" t="s">
        <v>1597</v>
      </c>
      <c r="B1597" s="1"/>
    </row>
    <row r="1598" spans="1:2" ht="13.2" x14ac:dyDescent="0.25">
      <c r="A1598" s="3" t="s">
        <v>1598</v>
      </c>
      <c r="B1598" s="1"/>
    </row>
    <row r="1599" spans="1:2" ht="13.2" x14ac:dyDescent="0.25">
      <c r="A1599" s="3" t="s">
        <v>1599</v>
      </c>
      <c r="B1599" s="1"/>
    </row>
    <row r="1600" spans="1:2" ht="13.2" x14ac:dyDescent="0.25">
      <c r="A1600" s="3" t="s">
        <v>1600</v>
      </c>
      <c r="B1600" s="1"/>
    </row>
    <row r="1601" spans="1:2" ht="13.2" x14ac:dyDescent="0.25">
      <c r="A1601" s="3" t="s">
        <v>1601</v>
      </c>
      <c r="B1601" s="1"/>
    </row>
    <row r="1602" spans="1:2" ht="13.2" x14ac:dyDescent="0.25">
      <c r="A1602" s="3" t="s">
        <v>1602</v>
      </c>
      <c r="B1602" s="1"/>
    </row>
    <row r="1603" spans="1:2" ht="13.2" x14ac:dyDescent="0.25">
      <c r="A1603" s="3" t="s">
        <v>1603</v>
      </c>
      <c r="B1603" s="1"/>
    </row>
    <row r="1604" spans="1:2" ht="13.2" x14ac:dyDescent="0.25">
      <c r="A1604" s="3" t="s">
        <v>1604</v>
      </c>
      <c r="B1604" s="1"/>
    </row>
    <row r="1605" spans="1:2" ht="13.2" x14ac:dyDescent="0.25">
      <c r="A1605" s="3" t="s">
        <v>1605</v>
      </c>
      <c r="B1605" s="1"/>
    </row>
    <row r="1606" spans="1:2" ht="13.2" x14ac:dyDescent="0.25">
      <c r="A1606" s="3" t="s">
        <v>1606</v>
      </c>
      <c r="B1606" s="1"/>
    </row>
    <row r="1607" spans="1:2" ht="13.2" x14ac:dyDescent="0.25">
      <c r="A1607" s="3" t="s">
        <v>1607</v>
      </c>
      <c r="B1607" s="1"/>
    </row>
    <row r="1608" spans="1:2" ht="13.2" x14ac:dyDescent="0.25">
      <c r="A1608" s="3" t="s">
        <v>1608</v>
      </c>
      <c r="B1608" s="1"/>
    </row>
    <row r="1609" spans="1:2" ht="13.2" x14ac:dyDescent="0.25">
      <c r="A1609" s="3" t="s">
        <v>1609</v>
      </c>
      <c r="B1609" s="1"/>
    </row>
    <row r="1610" spans="1:2" ht="13.2" x14ac:dyDescent="0.25">
      <c r="A1610" s="3" t="s">
        <v>1610</v>
      </c>
      <c r="B1610" s="1"/>
    </row>
    <row r="1611" spans="1:2" ht="13.2" x14ac:dyDescent="0.25">
      <c r="A1611" s="3" t="s">
        <v>1611</v>
      </c>
      <c r="B1611" s="1"/>
    </row>
    <row r="1612" spans="1:2" ht="13.2" x14ac:dyDescent="0.25">
      <c r="A1612" s="3" t="s">
        <v>1612</v>
      </c>
      <c r="B1612" s="1"/>
    </row>
    <row r="1613" spans="1:2" ht="13.2" x14ac:dyDescent="0.25">
      <c r="A1613" s="3" t="s">
        <v>1613</v>
      </c>
      <c r="B1613" s="1"/>
    </row>
    <row r="1614" spans="1:2" ht="13.2" x14ac:dyDescent="0.25">
      <c r="A1614" s="3"/>
      <c r="B16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"/>
  <sheetViews>
    <sheetView workbookViewId="0"/>
  </sheetViews>
  <sheetFormatPr defaultColWidth="12.6640625" defaultRowHeight="15.75" customHeight="1" x14ac:dyDescent="0.25"/>
  <cols>
    <col min="1" max="1" width="19.33203125" customWidth="1"/>
    <col min="2" max="2" width="59.33203125" customWidth="1"/>
    <col min="3" max="3" width="22.6640625" customWidth="1"/>
  </cols>
  <sheetData>
    <row r="1" spans="1:4" ht="15.75" customHeight="1" x14ac:dyDescent="0.25">
      <c r="A1" s="5" t="s">
        <v>1614</v>
      </c>
      <c r="B1" s="5" t="s">
        <v>1615</v>
      </c>
      <c r="C1" s="5" t="s">
        <v>1616</v>
      </c>
      <c r="D1" s="5" t="s">
        <v>1617</v>
      </c>
    </row>
    <row r="2" spans="1:4" ht="15.75" customHeight="1" x14ac:dyDescent="0.25">
      <c r="A2" s="5" t="s">
        <v>1618</v>
      </c>
      <c r="B2" s="5" t="s">
        <v>1619</v>
      </c>
      <c r="C2" s="5"/>
      <c r="D2" s="5"/>
    </row>
    <row r="3" spans="1:4" ht="15.75" customHeight="1" x14ac:dyDescent="0.25">
      <c r="A3" s="5" t="s">
        <v>1620</v>
      </c>
      <c r="B3" s="5" t="s">
        <v>1621</v>
      </c>
      <c r="C3" s="5"/>
      <c r="D3" s="6" t="str">
        <f ca="1">IFERROR(__xludf.DUMMYFUNCTION("VLOOKUP($C$2, IMPORTRANGE(""https://docs.google.com/spreadsheets/d/13eVorFf7J9R8YzO7TmJRVLzIIwRJS737r7eFbH1boyE/"", ""Resources!A:D""), 4)"),"#N/A")</f>
        <v>#N/A</v>
      </c>
    </row>
    <row r="4" spans="1:4" ht="15.75" customHeight="1" x14ac:dyDescent="0.25">
      <c r="A4" s="5" t="s">
        <v>1622</v>
      </c>
      <c r="B4" s="5" t="s">
        <v>1623</v>
      </c>
      <c r="C4" s="7" t="str">
        <f ca="1">IFERROR(__xludf.DUMMYFUNCTION("VLOOKUP($C$2, IMPORTRANGE(""https://docs.google.com/spreadsheets/d/13eVorFf7J9R8YzO7TmJRVLzIIwRJS737r7eFbH1boyE/"", ""Resources!A:C""), 2)"),"#N/A")</f>
        <v>#N/A</v>
      </c>
      <c r="D4" s="6" t="str">
        <f ca="1">IFERROR(__xludf.DUMMYFUNCTION("VLOOKUP($C$2, IMPORTRANGE(""https://docs.google.com/spreadsheets/d/13eVorFf7J9R8YzO7TmJRVLzIIwRJS737r7eFbH1boyE/"", ""Resources!A:C""), 3)"),"#N/A")</f>
        <v>#N/A</v>
      </c>
    </row>
    <row r="5" spans="1:4" ht="15.75" customHeight="1" x14ac:dyDescent="0.25">
      <c r="A5" s="5" t="s">
        <v>1624</v>
      </c>
      <c r="B5" s="5" t="s">
        <v>1625</v>
      </c>
      <c r="C5" s="5"/>
      <c r="D5" s="5"/>
    </row>
    <row r="6" spans="1:4" ht="15.75" customHeight="1" x14ac:dyDescent="0.25">
      <c r="A6" s="5" t="s">
        <v>1626</v>
      </c>
      <c r="B6" s="5" t="s">
        <v>1627</v>
      </c>
      <c r="C6" s="5"/>
      <c r="D6" s="5"/>
    </row>
    <row r="7" spans="1:4" ht="15.75" customHeight="1" x14ac:dyDescent="0.25">
      <c r="A7" s="5" t="s">
        <v>1628</v>
      </c>
      <c r="B7" s="5" t="s">
        <v>1629</v>
      </c>
      <c r="C7" s="5"/>
      <c r="D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32"/>
  <sheetViews>
    <sheetView workbookViewId="0"/>
  </sheetViews>
  <sheetFormatPr defaultColWidth="12.6640625" defaultRowHeight="15.75" customHeight="1" x14ac:dyDescent="0.25"/>
  <sheetData>
    <row r="1" spans="1:15" ht="15.75" customHeight="1" x14ac:dyDescent="0.25">
      <c r="A1" s="8" t="str">
        <f ca="1">IFERROR(__xludf.DUMMYFUNCTION("IMPORTRANGE(""https://docs.google.com/spreadsheets/d/1uiPtDF1jvDGol8zXf-o4hBAWrDs9tpg-9dSuE3DjcbQ/"", ""ValidationListsMaster!A:BZ"")"),"epistemological_level")</f>
        <v>epistemological_level</v>
      </c>
      <c r="B1" s="8" t="str">
        <f ca="1">IFERROR(__xludf.DUMMYFUNCTION("""COMPUTED_VALUE"""),"modality")</f>
        <v>modality</v>
      </c>
      <c r="C1" s="8" t="str">
        <f ca="1">IFERROR(__xludf.DUMMYFUNCTION("""COMPUTED_VALUE"""),"dissidence_or_compliance_level")</f>
        <v>dissidence_or_compliance_level</v>
      </c>
      <c r="D1" t="str">
        <f ca="1">IFERROR(__xludf.DUMMYFUNCTION("""COMPUTED_VALUE"""),"???")</f>
        <v>???</v>
      </c>
      <c r="E1" s="8" t="str">
        <f ca="1">IFERROR(__xludf.DUMMYFUNCTION("""COMPUTED_VALUE"""),"certainty")</f>
        <v>certainty</v>
      </c>
      <c r="F1" s="8" t="str">
        <f ca="1">IFERROR(__xludf.DUMMYFUNCTION("""COMPUTED_VALUE"""),"location_type")</f>
        <v>location_type</v>
      </c>
      <c r="G1" t="str">
        <f ca="1">IFERROR(__xludf.DUMMYFUNCTION("""COMPUTED_VALUE"""),"location_relations")</f>
        <v>location_relations</v>
      </c>
      <c r="H1" s="8" t="str">
        <f ca="1">IFERROR(__xludf.DUMMYFUNCTION("""COMPUTED_VALUE"""),"entity_logical_type")</f>
        <v>entity_logical_type</v>
      </c>
      <c r="I1" s="8" t="str">
        <f ca="1">IFERROR(__xludf.DUMMYFUNCTION("""COMPUTED_VALUE"""),"localisation_certainty")</f>
        <v>localisation_certainty</v>
      </c>
      <c r="J1" s="8" t="str">
        <f ca="1">IFERROR(__xludf.DUMMYFUNCTION("""COMPUTED_VALUE"""),"timerelation1_type")</f>
        <v>timerelation1_type</v>
      </c>
      <c r="K1" s="8" t="str">
        <f ca="1">IFERROR(__xludf.DUMMYFUNCTION("""COMPUTED_VALUE"""),"timerelation1_type_reciprocal")</f>
        <v>timerelation1_type_reciprocal</v>
      </c>
      <c r="L1" s="8" t="str">
        <f ca="1">IFERROR(__xludf.DUMMYFUNCTION("""COMPUTED_VALUE"""),"location_relation")</f>
        <v>location_relation</v>
      </c>
      <c r="M1" s="8" t="str">
        <f ca="1">IFERROR(__xludf.DUMMYFUNCTION("""COMPUTED_VALUE"""),"location_relation_reciprocal")</f>
        <v>location_relation_reciprocal</v>
      </c>
      <c r="N1" s="8" t="str">
        <f ca="1">IFERROR(__xludf.DUMMYFUNCTION("""COMPUTED_VALUE"""),"status")</f>
        <v>status</v>
      </c>
      <c r="O1" s="8" t="str">
        <f ca="1">IFERROR(__xludf.DUMMYFUNCTION("""COMPUTED_VALUE"""),"language")</f>
        <v>language</v>
      </c>
    </row>
    <row r="2" spans="1:15" ht="15.75" customHeight="1" x14ac:dyDescent="0.25">
      <c r="A2" s="8" t="str">
        <f ca="1">IFERROR(__xludf.DUMMYFUNCTION("""COMPUTED_VALUE"""),"1-textual")</f>
        <v>1-textual</v>
      </c>
      <c r="B2" s="8" t="str">
        <f ca="1">IFERROR(__xludf.DUMMYFUNCTION("""COMPUTED_VALUE"""),"yes")</f>
        <v>yes</v>
      </c>
      <c r="C2" s="8" t="str">
        <f ca="1">IFERROR(__xludf.DUMMYFUNCTION("""COMPUTED_VALUE"""),"dissident")</f>
        <v>dissident</v>
      </c>
      <c r="E2" s="8" t="str">
        <f ca="1">IFERROR(__xludf.DUMMYFUNCTION("""COMPUTED_VALUE"""),"certain")</f>
        <v>certain</v>
      </c>
      <c r="F2" s="8" t="str">
        <f ca="1">IFERROR(__xludf.DUMMYFUNCTION("""COMPUTED_VALUE"""),"settlement")</f>
        <v>settlement</v>
      </c>
      <c r="G2" s="8" t="str">
        <f ca="1">IFERROR(__xludf.DUMMYFUNCTION("""COMPUTED_VALUE"""),"location (of action)")</f>
        <v>location (of action)</v>
      </c>
      <c r="H2" t="str">
        <f ca="1">IFERROR(__xludf.DUMMYFUNCTION("""COMPUTED_VALUE"""),"definite")</f>
        <v>definite</v>
      </c>
      <c r="I2" s="8" t="str">
        <f ca="1">IFERROR(__xludf.DUMMYFUNCTION("""COMPUTED_VALUE"""),"precise")</f>
        <v>precise</v>
      </c>
      <c r="J2" s="8" t="str">
        <f ca="1">IFERROR(__xludf.DUMMYFUNCTION("""COMPUTED_VALUE"""),"NA")</f>
        <v>NA</v>
      </c>
      <c r="K2" s="8" t="str">
        <f ca="1">IFERROR(__xludf.DUMMYFUNCTION("""COMPUTED_VALUE"""),"NA")</f>
        <v>NA</v>
      </c>
      <c r="N2" s="8" t="str">
        <f ca="1">IFERROR(__xludf.DUMMYFUNCTION("""COMPUTED_VALUE"""),"approved")</f>
        <v>approved</v>
      </c>
      <c r="O2" s="8" t="str">
        <f ca="1">IFERROR(__xludf.DUMMYFUNCTION("""COMPUTED_VALUE"""),"Latin")</f>
        <v>Latin</v>
      </c>
    </row>
    <row r="3" spans="1:15" ht="15.75" customHeight="1" x14ac:dyDescent="0.25">
      <c r="A3" s="8" t="str">
        <f ca="1">IFERROR(__xludf.DUMMYFUNCTION("""COMPUTED_VALUE"""),"2-interpretive")</f>
        <v>2-interpretive</v>
      </c>
      <c r="B3" s="8" t="str">
        <f ca="1">IFERROR(__xludf.DUMMYFUNCTION("""COMPUTED_VALUE"""),"no")</f>
        <v>no</v>
      </c>
      <c r="C3" s="8" t="str">
        <f ca="1">IFERROR(__xludf.DUMMYFUNCTION("""COMPUTED_VALUE"""),"highly dissident")</f>
        <v>highly dissident</v>
      </c>
      <c r="E3" t="str">
        <f ca="1">IFERROR(__xludf.DUMMYFUNCTION("""COMPUTED_VALUE"""),"almost certain")</f>
        <v>almost certain</v>
      </c>
      <c r="F3" s="8" t="str">
        <f ca="1">IFERROR(__xludf.DUMMYFUNCTION("""COMPUTED_VALUE"""),"settlement part")</f>
        <v>settlement part</v>
      </c>
      <c r="G3" s="8" t="str">
        <f ca="1">IFERROR(__xludf.DUMMYFUNCTION("""COMPUTED_VALUE"""),"departure point (of action)")</f>
        <v>departure point (of action)</v>
      </c>
      <c r="H3" s="8" t="str">
        <f ca="1">IFERROR(__xludf.DUMMYFUNCTION("""COMPUTED_VALUE"""),"indefinite")</f>
        <v>indefinite</v>
      </c>
      <c r="I3" s="8" t="str">
        <f ca="1">IFERROR(__xludf.DUMMYFUNCTION("""COMPUTED_VALUE"""),"approximate")</f>
        <v>approximate</v>
      </c>
      <c r="J3" s="8" t="str">
        <f ca="1">IFERROR(__xludf.DUMMYFUNCTION("""COMPUTED_VALUE"""),"exactly overlaps with")</f>
        <v>exactly overlaps with</v>
      </c>
      <c r="N3" t="str">
        <f ca="1">IFERROR(__xludf.DUMMYFUNCTION("""COMPUTED_VALUE"""),"warning")</f>
        <v>warning</v>
      </c>
      <c r="O3" s="8" t="str">
        <f ca="1">IFERROR(__xludf.DUMMYFUNCTION("""COMPUTED_VALUE"""),"English")</f>
        <v>English</v>
      </c>
    </row>
    <row r="4" spans="1:15" ht="15.75" customHeight="1" x14ac:dyDescent="0.25">
      <c r="A4" s="8" t="str">
        <f ca="1">IFERROR(__xludf.DUMMYFUNCTION("""COMPUTED_VALUE"""),"3-inferential")</f>
        <v>3-inferential</v>
      </c>
      <c r="B4" s="8" t="str">
        <f ca="1">IFERROR(__xludf.DUMMYFUNCTION("""COMPUTED_VALUE"""),"condition-realis")</f>
        <v>condition-realis</v>
      </c>
      <c r="C4" s="8" t="str">
        <f ca="1">IFERROR(__xludf.DUMMYFUNCTION("""COMPUTED_VALUE"""),"non-dissident")</f>
        <v>non-dissident</v>
      </c>
      <c r="E4" s="8" t="str">
        <f ca="1">IFERROR(__xludf.DUMMYFUNCTION("""COMPUTED_VALUE"""),"probable")</f>
        <v>probable</v>
      </c>
      <c r="F4" s="8" t="str">
        <f ca="1">IFERROR(__xludf.DUMMYFUNCTION("""COMPUTED_VALUE"""),"place (not settlement)")</f>
        <v>place (not settlement)</v>
      </c>
      <c r="G4" s="8" t="str">
        <f ca="1">IFERROR(__xludf.DUMMYFUNCTION("""COMPUTED_VALUE"""),"destination (of action)")</f>
        <v>destination (of action)</v>
      </c>
      <c r="H4" s="8" t="str">
        <f ca="1">IFERROR(__xludf.DUMMYFUNCTION("""COMPUTED_VALUE"""),"hypothetical")</f>
        <v>hypothetical</v>
      </c>
      <c r="I4" s="8" t="str">
        <f ca="1">IFERROR(__xludf.DUMMYFUNCTION("""COMPUTED_VALUE"""),"ambiguous")</f>
        <v>ambiguous</v>
      </c>
      <c r="J4" s="8" t="str">
        <f ca="1">IFERROR(__xludf.DUMMYFUNCTION("""COMPUTED_VALUE"""),"during")</f>
        <v>during</v>
      </c>
      <c r="N4" s="8" t="str">
        <f ca="1">IFERROR(__xludf.DUMMYFUNCTION("""COMPUTED_VALUE"""),"discouraged")</f>
        <v>discouraged</v>
      </c>
      <c r="O4" s="8" t="str">
        <f ca="1">IFERROR(__xludf.DUMMYFUNCTION("""COMPUTED_VALUE"""),"Middle English")</f>
        <v>Middle English</v>
      </c>
    </row>
    <row r="5" spans="1:15" ht="15.75" customHeight="1" x14ac:dyDescent="0.25">
      <c r="B5" s="8" t="str">
        <f ca="1">IFERROR(__xludf.DUMMYFUNCTION("""COMPUTED_VALUE"""),"condition-irrealis")</f>
        <v>condition-irrealis</v>
      </c>
      <c r="C5" s="8" t="str">
        <f ca="1">IFERROR(__xludf.DUMMYFUNCTION("""COMPUTED_VALUE"""),"non-compliant")</f>
        <v>non-compliant</v>
      </c>
      <c r="E5" s="8" t="str">
        <f ca="1">IFERROR(__xludf.DUMMYFUNCTION("""COMPUTED_VALUE"""),"possible")</f>
        <v>possible</v>
      </c>
      <c r="F5" s="8" t="str">
        <f ca="1">IFERROR(__xludf.DUMMYFUNCTION("""COMPUTED_VALUE"""),"region")</f>
        <v>region</v>
      </c>
      <c r="G5" s="8" t="str">
        <f ca="1">IFERROR(__xludf.DUMMYFUNCTION("""COMPUTED_VALUE"""),"spatial distance (from st)")</f>
        <v>spatial distance (from st)</v>
      </c>
      <c r="H5" s="8" t="str">
        <f ca="1">IFERROR(__xludf.DUMMYFUNCTION("""COMPUTED_VALUE"""),"generic")</f>
        <v>generic</v>
      </c>
      <c r="I5" s="8" t="str">
        <f ca="1">IFERROR(__xludf.DUMMYFUNCTION("""COMPUTED_VALUE"""),"not found")</f>
        <v>not found</v>
      </c>
      <c r="J5" t="str">
        <f ca="1">IFERROR(__xludf.DUMMYFUNCTION("""COMPUTED_VALUE"""),"after")</f>
        <v>after</v>
      </c>
      <c r="N5" s="8" t="str">
        <f ca="1">IFERROR(__xludf.DUMMYFUNCTION("""COMPUTED_VALUE"""),"pending")</f>
        <v>pending</v>
      </c>
      <c r="O5" s="8" t="str">
        <f ca="1">IFERROR(__xludf.DUMMYFUNCTION("""COMPUTED_VALUE"""),"Occitan")</f>
        <v>Occitan</v>
      </c>
    </row>
    <row r="6" spans="1:15" ht="15.75" customHeight="1" x14ac:dyDescent="0.25">
      <c r="B6" s="8" t="str">
        <f ca="1">IFERROR(__xludf.DUMMYFUNCTION("""COMPUTED_VALUE"""),"negative condition-realis")</f>
        <v>negative condition-realis</v>
      </c>
      <c r="C6" s="8" t="str">
        <f ca="1">IFERROR(__xludf.DUMMYFUNCTION("""COMPUTED_VALUE"""),"highly non-compliant")</f>
        <v>highly non-compliant</v>
      </c>
      <c r="E6" s="8" t="str">
        <f ca="1">IFERROR(__xludf.DUMMYFUNCTION("""COMPUTED_VALUE"""),"dubious")</f>
        <v>dubious</v>
      </c>
      <c r="F6" s="8" t="str">
        <f ca="1">IFERROR(__xludf.DUMMYFUNCTION("""COMPUTED_VALUE"""),"parish")</f>
        <v>parish</v>
      </c>
      <c r="G6" s="8" t="str">
        <f ca="1">IFERROR(__xludf.DUMMYFUNCTION("""COMPUTED_VALUE"""),"same location (as st)")</f>
        <v>same location (as st)</v>
      </c>
      <c r="J6" t="str">
        <f ca="1">IFERROR(__xludf.DUMMYFUNCTION("""COMPUTED_VALUE"""),"before")</f>
        <v>before</v>
      </c>
      <c r="O6" s="8" t="str">
        <f ca="1">IFERROR(__xludf.DUMMYFUNCTION("""COMPUTED_VALUE"""),"Czech")</f>
        <v>Czech</v>
      </c>
    </row>
    <row r="7" spans="1:15" ht="15.75" customHeight="1" x14ac:dyDescent="0.25">
      <c r="B7" s="8" t="str">
        <f ca="1">IFERROR(__xludf.DUMMYFUNCTION("""COMPUTED_VALUE"""),"negative condition-irrealis")</f>
        <v>negative condition-irrealis</v>
      </c>
      <c r="C7" s="8" t="str">
        <f ca="1">IFERROR(__xludf.DUMMYFUNCTION("""COMPUTED_VALUE"""),"compliant")</f>
        <v>compliant</v>
      </c>
      <c r="E7" s="8" t="str">
        <f ca="1">IFERROR(__xludf.DUMMYFUNCTION("""COMPUTED_VALUE"""),"false")</f>
        <v>false</v>
      </c>
      <c r="F7" s="8" t="str">
        <f ca="1">IFERROR(__xludf.DUMMYFUNCTION("""COMPUTED_VALUE"""),"house")</f>
        <v>house</v>
      </c>
      <c r="G7" s="8" t="str">
        <f ca="1">IFERROR(__xludf.DUMMYFUNCTION("""COMPUTED_VALUE"""),"different location (from st)")</f>
        <v>different location (from st)</v>
      </c>
      <c r="J7" t="str">
        <f ca="1">IFERROR(__xludf.DUMMYFUNCTION("""COMPUTED_VALUE"""),"around")</f>
        <v>around</v>
      </c>
    </row>
    <row r="8" spans="1:15" ht="15.75" customHeight="1" x14ac:dyDescent="0.25">
      <c r="B8" s="8" t="str">
        <f ca="1">IFERROR(__xludf.DUMMYFUNCTION("""COMPUTED_VALUE"""),"question-realis")</f>
        <v>question-realis</v>
      </c>
      <c r="C8" s="8" t="str">
        <f ca="1">IFERROR(__xludf.DUMMYFUNCTION("""COMPUTED_VALUE"""),"not safely inferable")</f>
        <v>not safely inferable</v>
      </c>
      <c r="F8" s="8" t="str">
        <f ca="1">IFERROR(__xludf.DUMMYFUNCTION("""COMPUTED_VALUE"""),"church")</f>
        <v>church</v>
      </c>
      <c r="G8" s="8" t="str">
        <f ca="1">IFERROR(__xludf.DUMMYFUNCTION("""COMPUTED_VALUE"""),"subordinate location (spatial subset)")</f>
        <v>subordinate location (spatial subset)</v>
      </c>
      <c r="J8" s="8" t="str">
        <f ca="1">IFERROR(__xludf.DUMMYFUNCTION("""COMPUTED_VALUE"""),"before the end of")</f>
        <v>before the end of</v>
      </c>
    </row>
    <row r="9" spans="1:15" ht="15.75" customHeight="1" x14ac:dyDescent="0.25">
      <c r="B9" s="8" t="str">
        <f ca="1">IFERROR(__xludf.DUMMYFUNCTION("""COMPUTED_VALUE"""),"question-irrealis")</f>
        <v>question-irrealis</v>
      </c>
      <c r="C9" s="8" t="str">
        <f ca="1">IFERROR(__xludf.DUMMYFUNCTION("""COMPUTED_VALUE"""),"NA")</f>
        <v>NA</v>
      </c>
      <c r="F9" s="8" t="str">
        <f ca="1">IFERROR(__xludf.DUMMYFUNCTION("""COMPUTED_VALUE"""),"religious house")</f>
        <v>religious house</v>
      </c>
      <c r="G9" s="8" t="str">
        <f ca="1">IFERROR(__xludf.DUMMYFUNCTION("""COMPUTED_VALUE"""),"superordinate location (spatial superset)")</f>
        <v>superordinate location (spatial superset)</v>
      </c>
      <c r="J9" s="8" t="str">
        <f ca="1">IFERROR(__xludf.DUMMYFUNCTION("""COMPUTED_VALUE"""),"after the start of")</f>
        <v>after the start of</v>
      </c>
    </row>
    <row r="10" spans="1:15" ht="15.75" customHeight="1" x14ac:dyDescent="0.25">
      <c r="B10" s="8" t="str">
        <f ca="1">IFERROR(__xludf.DUMMYFUNCTION("""COMPUTED_VALUE"""),"negative question-realis")</f>
        <v>negative question-realis</v>
      </c>
      <c r="F10" s="8" t="str">
        <f ca="1">IFERROR(__xludf.DUMMYFUNCTION("""COMPUTED_VALUE"""),"hospital")</f>
        <v>hospital</v>
      </c>
      <c r="G10" s="8" t="str">
        <f ca="1">IFERROR(__xludf.DUMMYFUNCTION("""COMPUTED_VALUE"""),"nearby location")</f>
        <v>nearby location</v>
      </c>
      <c r="J10" t="str">
        <f ca="1">IFERROR(__xludf.DUMMYFUNCTION("""COMPUTED_VALUE"""),"started exactly")</f>
        <v>started exactly</v>
      </c>
    </row>
    <row r="11" spans="1:15" ht="15.75" customHeight="1" x14ac:dyDescent="0.25">
      <c r="B11" s="8" t="str">
        <f ca="1">IFERROR(__xludf.DUMMYFUNCTION("""COMPUTED_VALUE"""),"negative question-irrealis")</f>
        <v>negative question-irrealis</v>
      </c>
      <c r="F11" s="8" t="str">
        <f ca="1">IFERROR(__xludf.DUMMYFUNCTION("""COMPUTED_VALUE"""),"castle")</f>
        <v>castle</v>
      </c>
      <c r="G11" s="8" t="str">
        <f ca="1">IFERROR(__xludf.DUMMYFUNCTION("""COMPUTED_VALUE"""),"exact spatial overlap (with st)")</f>
        <v>exact spatial overlap (with st)</v>
      </c>
      <c r="J11" s="8" t="str">
        <f ca="1">IFERROR(__xludf.DUMMYFUNCTION("""COMPUTED_VALUE"""),"started before")</f>
        <v>started before</v>
      </c>
    </row>
    <row r="12" spans="1:15" ht="15.75" customHeight="1" x14ac:dyDescent="0.25">
      <c r="B12" s="8" t="str">
        <f ca="1">IFERROR(__xludf.DUMMYFUNCTION("""COMPUTED_VALUE"""),"possibility-neutral")</f>
        <v>possibility-neutral</v>
      </c>
      <c r="F12" s="8" t="str">
        <f ca="1">IFERROR(__xludf.DUMMYFUNCTION("""COMPUTED_VALUE"""),"manor")</f>
        <v>manor</v>
      </c>
      <c r="G12" s="8" t="str">
        <f ca="1">IFERROR(__xludf.DUMMYFUNCTION("""COMPUTED_VALUE"""),"partial spatial overlap (with st)")</f>
        <v>partial spatial overlap (with st)</v>
      </c>
      <c r="J12" s="8" t="str">
        <f ca="1">IFERROR(__xludf.DUMMYFUNCTION("""COMPUTED_VALUE"""),"started during")</f>
        <v>started during</v>
      </c>
    </row>
    <row r="13" spans="1:15" ht="15.75" customHeight="1" x14ac:dyDescent="0.25">
      <c r="B13" s="8" t="str">
        <f ca="1">IFERROR(__xludf.DUMMYFUNCTION("""COMPUTED_VALUE"""),"possibility-low")</f>
        <v>possibility-low</v>
      </c>
      <c r="F13" t="str">
        <f ca="1">IFERROR(__xludf.DUMMYFUNCTION("""COMPUTED_VALUE"""),"palace")</f>
        <v>palace</v>
      </c>
      <c r="J13" t="str">
        <f ca="1">IFERROR(__xludf.DUMMYFUNCTION("""COMPUTED_VALUE"""),"ended exactly")</f>
        <v>ended exactly</v>
      </c>
    </row>
    <row r="14" spans="1:15" ht="15.75" customHeight="1" x14ac:dyDescent="0.25">
      <c r="B14" s="8" t="str">
        <f ca="1">IFERROR(__xludf.DUMMYFUNCTION("""COMPUTED_VALUE"""),"possibility-high")</f>
        <v>possibility-high</v>
      </c>
      <c r="F14" s="8" t="str">
        <f ca="1">IFERROR(__xludf.DUMMYFUNCTION("""COMPUTED_VALUE"""),"building part - room")</f>
        <v>building part - room</v>
      </c>
      <c r="J14" s="8" t="str">
        <f ca="1">IFERROR(__xludf.DUMMYFUNCTION("""COMPUTED_VALUE"""),"ended during")</f>
        <v>ended during</v>
      </c>
    </row>
    <row r="15" spans="1:15" ht="15.75" customHeight="1" x14ac:dyDescent="0.25">
      <c r="B15" s="8" t="str">
        <f ca="1">IFERROR(__xludf.DUMMYFUNCTION("""COMPUTED_VALUE"""),"impossibility")</f>
        <v>impossibility</v>
      </c>
      <c r="F15" s="8" t="str">
        <f ca="1">IFERROR(__xludf.DUMMYFUNCTION("""COMPUTED_VALUE"""),"building part - cellar")</f>
        <v>building part - cellar</v>
      </c>
      <c r="J15" s="8" t="str">
        <f ca="1">IFERROR(__xludf.DUMMYFUNCTION("""COMPUTED_VALUE"""),"ended after")</f>
        <v>ended after</v>
      </c>
    </row>
    <row r="16" spans="1:15" ht="15.75" customHeight="1" x14ac:dyDescent="0.25">
      <c r="B16" s="8" t="str">
        <f ca="1">IFERROR(__xludf.DUMMYFUNCTION("""COMPUTED_VALUE"""),"certitude")</f>
        <v>certitude</v>
      </c>
      <c r="F16" s="8" t="str">
        <f ca="1">IFERROR(__xludf.DUMMYFUNCTION("""COMPUTED_VALUE"""),"building part - attic")</f>
        <v>building part - attic</v>
      </c>
      <c r="J16" s="8" t="str">
        <f ca="1">IFERROR(__xludf.DUMMYFUNCTION("""COMPUTED_VALUE"""),"started before the start of")</f>
        <v>started before the start of</v>
      </c>
    </row>
    <row r="17" spans="2:10" ht="15.75" customHeight="1" x14ac:dyDescent="0.25">
      <c r="B17" s="8" t="str">
        <f ca="1">IFERROR(__xludf.DUMMYFUNCTION("""COMPUTED_VALUE"""),"certitude that not")</f>
        <v>certitude that not</v>
      </c>
      <c r="F17" s="8" t="str">
        <f ca="1">IFERROR(__xludf.DUMMYFUNCTION("""COMPUTED_VALUE"""),"building part - other")</f>
        <v>building part - other</v>
      </c>
      <c r="J17" s="8" t="str">
        <f ca="1">IFERROR(__xludf.DUMMYFUNCTION("""COMPUTED_VALUE"""),"started after the start of")</f>
        <v>started after the start of</v>
      </c>
    </row>
    <row r="18" spans="2:10" ht="15.75" customHeight="1" x14ac:dyDescent="0.25">
      <c r="B18" s="8" t="str">
        <f ca="1">IFERROR(__xludf.DUMMYFUNCTION("""COMPUTED_VALUE"""),"desirability-realis")</f>
        <v>desirability-realis</v>
      </c>
      <c r="F18" s="8" t="str">
        <f ca="1">IFERROR(__xludf.DUMMYFUNCTION("""COMPUTED_VALUE"""),"river")</f>
        <v>river</v>
      </c>
      <c r="J18" s="8" t="str">
        <f ca="1">IFERROR(__xludf.DUMMYFUNCTION("""COMPUTED_VALUE"""),"started before the end of")</f>
        <v>started before the end of</v>
      </c>
    </row>
    <row r="19" spans="2:10" ht="15.75" customHeight="1" x14ac:dyDescent="0.25">
      <c r="B19" s="8" t="str">
        <f ca="1">IFERROR(__xludf.DUMMYFUNCTION("""COMPUTED_VALUE"""),"desirability-irrealis")</f>
        <v>desirability-irrealis</v>
      </c>
      <c r="F19" s="8" t="str">
        <f ca="1">IFERROR(__xludf.DUMMYFUNCTION("""COMPUTED_VALUE"""),"bridge")</f>
        <v>bridge</v>
      </c>
      <c r="J19" s="8" t="str">
        <f ca="1">IFERROR(__xludf.DUMMYFUNCTION("""COMPUTED_VALUE"""),"ended before the end of")</f>
        <v>ended before the end of</v>
      </c>
    </row>
    <row r="20" spans="2:10" ht="15.75" customHeight="1" x14ac:dyDescent="0.25">
      <c r="B20" s="8" t="str">
        <f ca="1">IFERROR(__xludf.DUMMYFUNCTION("""COMPUTED_VALUE"""),"undesirability-realis")</f>
        <v>undesirability-realis</v>
      </c>
      <c r="F20" s="8" t="str">
        <f ca="1">IFERROR(__xludf.DUMMYFUNCTION("""COMPUTED_VALUE"""),"gate")</f>
        <v>gate</v>
      </c>
      <c r="J20" s="8" t="str">
        <f ca="1">IFERROR(__xludf.DUMMYFUNCTION("""COMPUTED_VALUE"""),"ended after the start of")</f>
        <v>ended after the start of</v>
      </c>
    </row>
    <row r="21" spans="2:10" ht="15.75" customHeight="1" x14ac:dyDescent="0.25">
      <c r="B21" s="8" t="str">
        <f ca="1">IFERROR(__xludf.DUMMYFUNCTION("""COMPUTED_VALUE"""),"undesirability-irrealis")</f>
        <v>undesirability-irrealis</v>
      </c>
      <c r="F21" s="8" t="str">
        <f ca="1">IFERROR(__xludf.DUMMYFUNCTION("""COMPUTED_VALUE"""),"well")</f>
        <v>well</v>
      </c>
      <c r="J21" s="8" t="str">
        <f ca="1">IFERROR(__xludf.DUMMYFUNCTION("""COMPUTED_VALUE"""),"ended after the end of")</f>
        <v>ended after the end of</v>
      </c>
    </row>
    <row r="22" spans="2:10" ht="15.75" customHeight="1" x14ac:dyDescent="0.25">
      <c r="B22" s="8" t="str">
        <f ca="1">IFERROR(__xludf.DUMMYFUNCTION("""COMPUTED_VALUE"""),"question about desirability")</f>
        <v>question about desirability</v>
      </c>
      <c r="F22" s="8" t="str">
        <f ca="1">IFERROR(__xludf.DUMMYFUNCTION("""COMPUTED_VALUE"""),"forest")</f>
        <v>forest</v>
      </c>
      <c r="J22" t="str">
        <f ca="1">IFERROR(__xludf.DUMMYFUNCTION("""COMPUTED_VALUE"""),"started at exactly the same time as the start of")</f>
        <v>started at exactly the same time as the start of</v>
      </c>
    </row>
    <row r="23" spans="2:10" ht="15.75" customHeight="1" x14ac:dyDescent="0.25">
      <c r="B23" s="8" t="str">
        <f ca="1">IFERROR(__xludf.DUMMYFUNCTION("""COMPUTED_VALUE"""),"ability")</f>
        <v>ability</v>
      </c>
      <c r="F23" s="8" t="str">
        <f ca="1">IFERROR(__xludf.DUMMYFUNCTION("""COMPUTED_VALUE"""),"field")</f>
        <v>field</v>
      </c>
      <c r="J23" t="str">
        <f ca="1">IFERROR(__xludf.DUMMYFUNCTION("""COMPUTED_VALUE"""),"started at exactly the same time as the end of")</f>
        <v>started at exactly the same time as the end of</v>
      </c>
    </row>
    <row r="24" spans="2:10" ht="15.75" customHeight="1" x14ac:dyDescent="0.25">
      <c r="B24" s="8" t="str">
        <f ca="1">IFERROR(__xludf.DUMMYFUNCTION("""COMPUTED_VALUE"""),"disability")</f>
        <v>disability</v>
      </c>
      <c r="F24" s="8" t="str">
        <f ca="1">IFERROR(__xludf.DUMMYFUNCTION("""COMPUTED_VALUE"""),"garden")</f>
        <v>garden</v>
      </c>
      <c r="J24" t="str">
        <f ca="1">IFERROR(__xludf.DUMMYFUNCTION("""COMPUTED_VALUE"""),"ended at exactly the same time as the start of")</f>
        <v>ended at exactly the same time as the start of</v>
      </c>
    </row>
    <row r="25" spans="2:10" ht="15.75" customHeight="1" x14ac:dyDescent="0.25">
      <c r="B25" s="8" t="str">
        <f ca="1">IFERROR(__xludf.DUMMYFUNCTION("""COMPUTED_VALUE"""),"question about ability")</f>
        <v>question about ability</v>
      </c>
      <c r="F25" s="8" t="str">
        <f ca="1">IFERROR(__xludf.DUMMYFUNCTION("""COMPUTED_VALUE"""),"unknown")</f>
        <v>unknown</v>
      </c>
      <c r="J25" t="str">
        <f ca="1">IFERROR(__xludf.DUMMYFUNCTION("""COMPUTED_VALUE"""),"ended at exactly the same time as the end of")</f>
        <v>ended at exactly the same time as the end of</v>
      </c>
    </row>
    <row r="26" spans="2:10" ht="13.2" x14ac:dyDescent="0.25">
      <c r="B26" s="8" t="str">
        <f ca="1">IFERROR(__xludf.DUMMYFUNCTION("""COMPUTED_VALUE"""),"belief")</f>
        <v>belief</v>
      </c>
    </row>
    <row r="27" spans="2:10" ht="13.2" x14ac:dyDescent="0.25">
      <c r="B27" s="8" t="str">
        <f ca="1">IFERROR(__xludf.DUMMYFUNCTION("""COMPUTED_VALUE"""),"belief that not")</f>
        <v>belief that not</v>
      </c>
    </row>
    <row r="28" spans="2:10" ht="13.2" x14ac:dyDescent="0.25">
      <c r="B28" s="8" t="str">
        <f ca="1">IFERROR(__xludf.DUMMYFUNCTION("""COMPUTED_VALUE"""),"allegation")</f>
        <v>allegation</v>
      </c>
    </row>
    <row r="29" spans="2:10" ht="13.2" x14ac:dyDescent="0.25">
      <c r="B29" s="8" t="str">
        <f ca="1">IFERROR(__xludf.DUMMYFUNCTION("""COMPUTED_VALUE"""),"allegation that not")</f>
        <v>allegation that not</v>
      </c>
    </row>
    <row r="30" spans="2:10" ht="13.2" x14ac:dyDescent="0.25">
      <c r="B30" s="8" t="str">
        <f ca="1">IFERROR(__xludf.DUMMYFUNCTION("""COMPUTED_VALUE"""),"semblance")</f>
        <v>semblance</v>
      </c>
    </row>
    <row r="31" spans="2:10" ht="13.2" x14ac:dyDescent="0.25">
      <c r="B31" s="8" t="str">
        <f ca="1">IFERROR(__xludf.DUMMYFUNCTION("""COMPUTED_VALUE"""),"licitness")</f>
        <v>licitness</v>
      </c>
    </row>
    <row r="32" spans="2:10" ht="13.2" x14ac:dyDescent="0.25">
      <c r="B32" s="8" t="str">
        <f ca="1">IFERROR(__xludf.DUMMYFUNCTION("""COMPUTED_VALUE"""),"illicitness")</f>
        <v>illicitness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5"/>
  <sheetViews>
    <sheetView workbookViewId="0"/>
  </sheetViews>
  <sheetFormatPr defaultColWidth="12.6640625" defaultRowHeight="15.75" customHeight="1" x14ac:dyDescent="0.25"/>
  <sheetData>
    <row r="1" spans="1:7" ht="15.75" customHeight="1" x14ac:dyDescent="0.25">
      <c r="A1" s="9" t="s">
        <v>1630</v>
      </c>
      <c r="B1" s="9" t="s">
        <v>1631</v>
      </c>
      <c r="C1" s="9" t="s">
        <v>1632</v>
      </c>
      <c r="D1" s="9" t="s">
        <v>1633</v>
      </c>
      <c r="E1" s="10" t="s">
        <v>1634</v>
      </c>
      <c r="F1" s="10" t="s">
        <v>1635</v>
      </c>
      <c r="G1" s="10" t="s">
        <v>1636</v>
      </c>
    </row>
    <row r="2" spans="1:7" ht="15.75" customHeight="1" x14ac:dyDescent="0.25">
      <c r="A2" s="5" t="s">
        <v>1637</v>
      </c>
      <c r="B2" s="5" t="s">
        <v>1638</v>
      </c>
      <c r="C2" s="5" t="s">
        <v>1639</v>
      </c>
      <c r="D2" s="5" t="s">
        <v>1640</v>
      </c>
      <c r="E2" s="11">
        <v>2</v>
      </c>
      <c r="F2" s="11">
        <v>1</v>
      </c>
      <c r="G2" s="5"/>
    </row>
    <row r="3" spans="1:7" ht="15.75" customHeight="1" x14ac:dyDescent="0.25">
      <c r="A3" s="12" t="s">
        <v>1641</v>
      </c>
      <c r="B3" s="12" t="s">
        <v>1642</v>
      </c>
      <c r="C3" s="12" t="s">
        <v>1643</v>
      </c>
      <c r="D3" s="5" t="s">
        <v>1644</v>
      </c>
      <c r="E3" s="11">
        <v>2</v>
      </c>
      <c r="F3" s="11">
        <v>1</v>
      </c>
    </row>
    <row r="4" spans="1:7" ht="15.75" customHeight="1" x14ac:dyDescent="0.25">
      <c r="A4" s="12" t="s">
        <v>1645</v>
      </c>
      <c r="B4" s="12" t="s">
        <v>1646</v>
      </c>
      <c r="C4" s="12" t="s">
        <v>1647</v>
      </c>
      <c r="D4" s="12" t="s">
        <v>1644</v>
      </c>
      <c r="E4" s="12">
        <v>2</v>
      </c>
      <c r="F4" s="12">
        <v>1</v>
      </c>
    </row>
    <row r="5" spans="1:7" ht="15.75" customHeight="1" x14ac:dyDescent="0.25">
      <c r="A5" s="12" t="s">
        <v>1648</v>
      </c>
      <c r="B5" s="12" t="s">
        <v>1649</v>
      </c>
      <c r="C5" s="12" t="s">
        <v>1650</v>
      </c>
      <c r="D5" s="12" t="s">
        <v>1644</v>
      </c>
      <c r="E5" s="12">
        <v>2</v>
      </c>
      <c r="F5" s="1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I173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6.77734375" customWidth="1"/>
    <col min="2" max="2" width="4.109375" customWidth="1"/>
    <col min="3" max="3" width="4.88671875" customWidth="1"/>
    <col min="4" max="4" width="5.109375" customWidth="1"/>
    <col min="5" max="6" width="4.21875" customWidth="1"/>
    <col min="7" max="7" width="5.88671875" customWidth="1"/>
    <col min="8" max="20" width="5.44140625" customWidth="1"/>
  </cols>
  <sheetData>
    <row r="1" spans="1:20" ht="15.75" customHeight="1" x14ac:dyDescent="0.25">
      <c r="A1" s="13" t="s">
        <v>1651</v>
      </c>
      <c r="B1" s="13" t="s">
        <v>1641</v>
      </c>
      <c r="C1" s="14" t="s">
        <v>1652</v>
      </c>
      <c r="D1" s="15" t="s">
        <v>1651</v>
      </c>
      <c r="E1" s="15" t="s">
        <v>1653</v>
      </c>
      <c r="F1" s="12" t="s">
        <v>1654</v>
      </c>
      <c r="G1" s="16" t="s">
        <v>1655</v>
      </c>
      <c r="H1" s="16" t="s">
        <v>1656</v>
      </c>
      <c r="I1" s="16" t="s">
        <v>1657</v>
      </c>
      <c r="J1" s="17" t="s">
        <v>1658</v>
      </c>
      <c r="K1" s="17" t="s">
        <v>1659</v>
      </c>
      <c r="L1" s="17" t="s">
        <v>1660</v>
      </c>
      <c r="M1" s="17" t="s">
        <v>1661</v>
      </c>
      <c r="N1" s="17" t="s">
        <v>1662</v>
      </c>
      <c r="O1" s="17" t="s">
        <v>1663</v>
      </c>
      <c r="P1" s="17" t="s">
        <v>1664</v>
      </c>
      <c r="Q1" s="17" t="s">
        <v>1665</v>
      </c>
      <c r="R1" s="17" t="s">
        <v>1666</v>
      </c>
      <c r="S1" s="17" t="s">
        <v>1667</v>
      </c>
      <c r="T1" s="17" t="s">
        <v>1668</v>
      </c>
    </row>
    <row r="2" spans="1:20" ht="15.75" customHeight="1" x14ac:dyDescent="0.3">
      <c r="A2" s="18">
        <v>163</v>
      </c>
      <c r="B2" s="18">
        <v>29</v>
      </c>
      <c r="C2">
        <f t="shared" ref="C2:C64" si="0">SUM($E$2:E2)</f>
        <v>29</v>
      </c>
      <c r="D2" s="19">
        <v>163</v>
      </c>
      <c r="E2" s="19">
        <v>29</v>
      </c>
      <c r="F2" s="20">
        <f t="shared" ref="F2:F94" si="1">SUM($B$2:B2)</f>
        <v>29</v>
      </c>
      <c r="G2" s="16">
        <v>163</v>
      </c>
      <c r="H2" s="16">
        <v>0</v>
      </c>
      <c r="I2" s="16">
        <f t="shared" ref="I2:I94" si="2">B2-H2</f>
        <v>29</v>
      </c>
      <c r="J2" s="19">
        <f t="shared" ref="J2:J94" si="3">60*I2 + 50*H2</f>
        <v>1740</v>
      </c>
      <c r="K2" s="19">
        <f t="shared" ref="K2:K94" si="4">J2/3600</f>
        <v>0.48333333333333334</v>
      </c>
      <c r="L2" s="19">
        <f t="shared" ref="L2:L94" si="5">SUM($J$2:J2)</f>
        <v>1740</v>
      </c>
      <c r="M2" s="19">
        <f t="shared" ref="M2:M94" si="6">SUM($K$2:K2)</f>
        <v>0.48333333333333334</v>
      </c>
      <c r="N2" s="19">
        <v>3</v>
      </c>
      <c r="O2" s="19">
        <f t="shared" ref="O2:O76" si="7">(B2-N2)/N2</f>
        <v>8.6666666666666661</v>
      </c>
      <c r="P2" s="19">
        <f t="shared" ref="P2:P76" si="8">B2-N2</f>
        <v>26</v>
      </c>
      <c r="Q2" s="19">
        <f t="shared" ref="Q2:Q94" si="9">SUM($P$2:P2)</f>
        <v>26</v>
      </c>
      <c r="R2" s="19">
        <f>43*P2</f>
        <v>1118</v>
      </c>
      <c r="S2" s="19">
        <f t="shared" ref="S2:S94" si="10">R2/3600</f>
        <v>0.31055555555555553</v>
      </c>
      <c r="T2" s="19">
        <f t="shared" ref="T2:T94" si="11">SUM($S$2:S2)</f>
        <v>0.31055555555555553</v>
      </c>
    </row>
    <row r="3" spans="1:20" ht="15.75" customHeight="1" x14ac:dyDescent="0.3">
      <c r="A3" s="18">
        <v>164</v>
      </c>
      <c r="B3" s="18">
        <v>27</v>
      </c>
      <c r="C3">
        <f t="shared" si="0"/>
        <v>56</v>
      </c>
      <c r="D3" s="19">
        <v>164</v>
      </c>
      <c r="E3" s="19">
        <v>27</v>
      </c>
      <c r="F3" s="20">
        <f t="shared" si="1"/>
        <v>56</v>
      </c>
      <c r="G3" s="16">
        <f t="shared" ref="G3:G94" si="12">G2+1</f>
        <v>164</v>
      </c>
      <c r="H3" s="16">
        <v>0</v>
      </c>
      <c r="I3" s="16">
        <f t="shared" si="2"/>
        <v>27</v>
      </c>
      <c r="J3" s="19">
        <f t="shared" si="3"/>
        <v>1620</v>
      </c>
      <c r="K3" s="19">
        <f t="shared" si="4"/>
        <v>0.45</v>
      </c>
      <c r="L3" s="19">
        <f t="shared" si="5"/>
        <v>3360</v>
      </c>
      <c r="M3" s="19">
        <f t="shared" si="6"/>
        <v>0.93333333333333335</v>
      </c>
      <c r="N3" s="19">
        <v>3</v>
      </c>
      <c r="O3" s="19">
        <f t="shared" si="7"/>
        <v>8</v>
      </c>
      <c r="P3" s="19">
        <f t="shared" si="8"/>
        <v>24</v>
      </c>
      <c r="Q3" s="19">
        <f t="shared" si="9"/>
        <v>50</v>
      </c>
      <c r="R3" s="19">
        <f t="shared" ref="R3:R94" si="13">33*P3</f>
        <v>792</v>
      </c>
      <c r="S3" s="19">
        <f t="shared" si="10"/>
        <v>0.22</v>
      </c>
      <c r="T3" s="19">
        <f t="shared" si="11"/>
        <v>0.53055555555555556</v>
      </c>
    </row>
    <row r="4" spans="1:20" ht="15.75" customHeight="1" x14ac:dyDescent="0.3">
      <c r="A4" s="18">
        <v>165</v>
      </c>
      <c r="B4" s="18">
        <v>18</v>
      </c>
      <c r="C4">
        <f t="shared" si="0"/>
        <v>74</v>
      </c>
      <c r="D4" s="19">
        <v>165</v>
      </c>
      <c r="E4" s="19">
        <v>18</v>
      </c>
      <c r="F4" s="20">
        <f t="shared" si="1"/>
        <v>74</v>
      </c>
      <c r="G4" s="16">
        <f t="shared" si="12"/>
        <v>165</v>
      </c>
      <c r="H4" s="16">
        <v>0</v>
      </c>
      <c r="I4" s="16">
        <f t="shared" si="2"/>
        <v>18</v>
      </c>
      <c r="J4" s="19">
        <f t="shared" si="3"/>
        <v>1080</v>
      </c>
      <c r="K4" s="19">
        <f t="shared" si="4"/>
        <v>0.3</v>
      </c>
      <c r="L4" s="19">
        <f t="shared" si="5"/>
        <v>4440</v>
      </c>
      <c r="M4" s="19">
        <f t="shared" si="6"/>
        <v>1.2333333333333334</v>
      </c>
      <c r="N4" s="19">
        <v>3</v>
      </c>
      <c r="O4" s="19">
        <f t="shared" si="7"/>
        <v>5</v>
      </c>
      <c r="P4" s="19">
        <f t="shared" si="8"/>
        <v>15</v>
      </c>
      <c r="Q4" s="19">
        <f t="shared" si="9"/>
        <v>65</v>
      </c>
      <c r="R4" s="19">
        <f t="shared" si="13"/>
        <v>495</v>
      </c>
      <c r="S4" s="19">
        <f t="shared" si="10"/>
        <v>0.13750000000000001</v>
      </c>
      <c r="T4" s="19">
        <f t="shared" si="11"/>
        <v>0.66805555555555562</v>
      </c>
    </row>
    <row r="5" spans="1:20" ht="15.75" customHeight="1" x14ac:dyDescent="0.3">
      <c r="A5" s="18">
        <v>166</v>
      </c>
      <c r="B5" s="18">
        <v>13</v>
      </c>
      <c r="C5">
        <f t="shared" si="0"/>
        <v>86</v>
      </c>
      <c r="D5" s="19">
        <v>166</v>
      </c>
      <c r="E5" s="19">
        <v>12</v>
      </c>
      <c r="F5" s="20">
        <f t="shared" si="1"/>
        <v>87</v>
      </c>
      <c r="G5" s="16">
        <f t="shared" si="12"/>
        <v>166</v>
      </c>
      <c r="H5" s="16">
        <v>1</v>
      </c>
      <c r="I5" s="16">
        <f t="shared" si="2"/>
        <v>12</v>
      </c>
      <c r="J5" s="19">
        <f t="shared" si="3"/>
        <v>770</v>
      </c>
      <c r="K5" s="19">
        <f t="shared" si="4"/>
        <v>0.21388888888888888</v>
      </c>
      <c r="L5" s="19">
        <f t="shared" si="5"/>
        <v>5210</v>
      </c>
      <c r="M5" s="19">
        <f t="shared" si="6"/>
        <v>1.4472222222222222</v>
      </c>
      <c r="N5" s="19">
        <v>3</v>
      </c>
      <c r="O5" s="19">
        <f t="shared" si="7"/>
        <v>3.3333333333333335</v>
      </c>
      <c r="P5" s="19">
        <f t="shared" si="8"/>
        <v>10</v>
      </c>
      <c r="Q5" s="19">
        <f t="shared" si="9"/>
        <v>75</v>
      </c>
      <c r="R5" s="19">
        <f t="shared" si="13"/>
        <v>330</v>
      </c>
      <c r="S5" s="19">
        <f t="shared" si="10"/>
        <v>9.166666666666666E-2</v>
      </c>
      <c r="T5" s="19">
        <f t="shared" si="11"/>
        <v>0.7597222222222223</v>
      </c>
    </row>
    <row r="6" spans="1:20" ht="15.75" customHeight="1" x14ac:dyDescent="0.3">
      <c r="A6" s="18">
        <v>167</v>
      </c>
      <c r="B6" s="18">
        <v>24</v>
      </c>
      <c r="C6">
        <f t="shared" si="0"/>
        <v>110</v>
      </c>
      <c r="D6" s="19">
        <v>167</v>
      </c>
      <c r="E6" s="19">
        <v>24</v>
      </c>
      <c r="F6" s="20">
        <f t="shared" si="1"/>
        <v>111</v>
      </c>
      <c r="G6" s="16">
        <f t="shared" si="12"/>
        <v>167</v>
      </c>
      <c r="H6" s="16">
        <v>0</v>
      </c>
      <c r="I6" s="16">
        <f t="shared" si="2"/>
        <v>24</v>
      </c>
      <c r="J6" s="19">
        <f t="shared" si="3"/>
        <v>1440</v>
      </c>
      <c r="K6" s="19">
        <f t="shared" si="4"/>
        <v>0.4</v>
      </c>
      <c r="L6" s="19">
        <f t="shared" si="5"/>
        <v>6650</v>
      </c>
      <c r="M6" s="19">
        <f t="shared" si="6"/>
        <v>1.8472222222222223</v>
      </c>
      <c r="N6" s="19">
        <v>3</v>
      </c>
      <c r="O6" s="19">
        <f t="shared" si="7"/>
        <v>7</v>
      </c>
      <c r="P6" s="19">
        <f t="shared" si="8"/>
        <v>21</v>
      </c>
      <c r="Q6" s="19">
        <f t="shared" si="9"/>
        <v>96</v>
      </c>
      <c r="R6" s="19">
        <f t="shared" si="13"/>
        <v>693</v>
      </c>
      <c r="S6" s="19">
        <f t="shared" si="10"/>
        <v>0.1925</v>
      </c>
      <c r="T6" s="19">
        <f t="shared" si="11"/>
        <v>0.9522222222222223</v>
      </c>
    </row>
    <row r="7" spans="1:20" ht="15.75" customHeight="1" x14ac:dyDescent="0.3">
      <c r="A7" s="18">
        <v>168</v>
      </c>
      <c r="B7" s="18">
        <v>30</v>
      </c>
      <c r="C7">
        <f t="shared" si="0"/>
        <v>129</v>
      </c>
      <c r="D7" s="19">
        <v>168</v>
      </c>
      <c r="E7" s="19">
        <v>19</v>
      </c>
      <c r="F7" s="20">
        <f t="shared" si="1"/>
        <v>141</v>
      </c>
      <c r="G7" s="16">
        <f t="shared" si="12"/>
        <v>168</v>
      </c>
      <c r="H7" s="16">
        <v>11</v>
      </c>
      <c r="I7" s="16">
        <f t="shared" si="2"/>
        <v>19</v>
      </c>
      <c r="J7" s="19">
        <f t="shared" si="3"/>
        <v>1690</v>
      </c>
      <c r="K7" s="19">
        <f t="shared" si="4"/>
        <v>0.46944444444444444</v>
      </c>
      <c r="L7" s="19">
        <f t="shared" si="5"/>
        <v>8340</v>
      </c>
      <c r="M7" s="19">
        <f t="shared" si="6"/>
        <v>2.3166666666666669</v>
      </c>
      <c r="N7" s="19">
        <v>5</v>
      </c>
      <c r="O7" s="19">
        <f t="shared" si="7"/>
        <v>5</v>
      </c>
      <c r="P7" s="19">
        <f t="shared" si="8"/>
        <v>25</v>
      </c>
      <c r="Q7" s="19">
        <f t="shared" si="9"/>
        <v>121</v>
      </c>
      <c r="R7" s="19">
        <f t="shared" si="13"/>
        <v>825</v>
      </c>
      <c r="S7" s="19">
        <f t="shared" si="10"/>
        <v>0.22916666666666666</v>
      </c>
      <c r="T7" s="19">
        <f t="shared" si="11"/>
        <v>1.181388888888889</v>
      </c>
    </row>
    <row r="8" spans="1:20" ht="15.75" customHeight="1" x14ac:dyDescent="0.3">
      <c r="A8" s="18">
        <v>169</v>
      </c>
      <c r="B8" s="18">
        <v>21</v>
      </c>
      <c r="C8">
        <f t="shared" si="0"/>
        <v>139</v>
      </c>
      <c r="D8" s="19">
        <v>169</v>
      </c>
      <c r="E8" s="19">
        <v>10</v>
      </c>
      <c r="F8" s="20">
        <f t="shared" si="1"/>
        <v>162</v>
      </c>
      <c r="G8" s="16">
        <f t="shared" si="12"/>
        <v>169</v>
      </c>
      <c r="H8" s="16">
        <v>11</v>
      </c>
      <c r="I8" s="16">
        <f t="shared" si="2"/>
        <v>10</v>
      </c>
      <c r="J8" s="19">
        <f t="shared" si="3"/>
        <v>1150</v>
      </c>
      <c r="K8" s="19">
        <f t="shared" si="4"/>
        <v>0.31944444444444442</v>
      </c>
      <c r="L8" s="19">
        <f t="shared" si="5"/>
        <v>9490</v>
      </c>
      <c r="M8" s="19">
        <f t="shared" si="6"/>
        <v>2.6361111111111111</v>
      </c>
      <c r="N8" s="19">
        <v>4</v>
      </c>
      <c r="O8" s="19">
        <f t="shared" si="7"/>
        <v>4.25</v>
      </c>
      <c r="P8" s="19">
        <f t="shared" si="8"/>
        <v>17</v>
      </c>
      <c r="Q8" s="19">
        <f t="shared" si="9"/>
        <v>138</v>
      </c>
      <c r="R8" s="19">
        <f t="shared" si="13"/>
        <v>561</v>
      </c>
      <c r="S8" s="19">
        <f t="shared" si="10"/>
        <v>0.15583333333333332</v>
      </c>
      <c r="T8" s="19">
        <f t="shared" si="11"/>
        <v>1.3372222222222223</v>
      </c>
    </row>
    <row r="9" spans="1:20" ht="15.75" customHeight="1" x14ac:dyDescent="0.3">
      <c r="A9" s="18">
        <v>170</v>
      </c>
      <c r="B9" s="18">
        <v>19</v>
      </c>
      <c r="C9">
        <f t="shared" si="0"/>
        <v>149</v>
      </c>
      <c r="D9" s="19">
        <v>170</v>
      </c>
      <c r="E9" s="19">
        <v>10</v>
      </c>
      <c r="F9" s="20">
        <f t="shared" si="1"/>
        <v>181</v>
      </c>
      <c r="G9" s="16">
        <f t="shared" si="12"/>
        <v>170</v>
      </c>
      <c r="H9" s="16">
        <v>9</v>
      </c>
      <c r="I9" s="16">
        <f t="shared" si="2"/>
        <v>10</v>
      </c>
      <c r="J9" s="19">
        <f t="shared" si="3"/>
        <v>1050</v>
      </c>
      <c r="K9" s="19">
        <f t="shared" si="4"/>
        <v>0.29166666666666669</v>
      </c>
      <c r="L9" s="19">
        <f t="shared" si="5"/>
        <v>10540</v>
      </c>
      <c r="M9" s="19">
        <f t="shared" si="6"/>
        <v>2.9277777777777776</v>
      </c>
      <c r="N9" s="19">
        <v>2</v>
      </c>
      <c r="O9" s="19">
        <f t="shared" si="7"/>
        <v>8.5</v>
      </c>
      <c r="P9" s="19">
        <f t="shared" si="8"/>
        <v>17</v>
      </c>
      <c r="Q9" s="19">
        <f t="shared" si="9"/>
        <v>155</v>
      </c>
      <c r="R9" s="19">
        <f t="shared" si="13"/>
        <v>561</v>
      </c>
      <c r="S9" s="19">
        <f t="shared" si="10"/>
        <v>0.15583333333333332</v>
      </c>
      <c r="T9" s="19">
        <f t="shared" si="11"/>
        <v>1.4930555555555556</v>
      </c>
    </row>
    <row r="10" spans="1:20" ht="15.75" customHeight="1" x14ac:dyDescent="0.3">
      <c r="A10" s="18">
        <v>171</v>
      </c>
      <c r="B10" s="18">
        <v>21</v>
      </c>
      <c r="C10">
        <f t="shared" si="0"/>
        <v>158</v>
      </c>
      <c r="D10" s="19">
        <v>171</v>
      </c>
      <c r="E10" s="19">
        <v>9</v>
      </c>
      <c r="F10" s="20">
        <f t="shared" si="1"/>
        <v>202</v>
      </c>
      <c r="G10" s="16">
        <f t="shared" si="12"/>
        <v>171</v>
      </c>
      <c r="H10" s="16">
        <v>12</v>
      </c>
      <c r="I10" s="16">
        <f t="shared" si="2"/>
        <v>9</v>
      </c>
      <c r="J10" s="19">
        <f t="shared" si="3"/>
        <v>1140</v>
      </c>
      <c r="K10" s="19">
        <f t="shared" si="4"/>
        <v>0.31666666666666665</v>
      </c>
      <c r="L10" s="19">
        <f t="shared" si="5"/>
        <v>11680</v>
      </c>
      <c r="M10" s="19">
        <f t="shared" si="6"/>
        <v>3.2444444444444445</v>
      </c>
      <c r="N10" s="19">
        <v>5</v>
      </c>
      <c r="O10" s="19">
        <f t="shared" si="7"/>
        <v>3.2</v>
      </c>
      <c r="P10" s="19">
        <f t="shared" si="8"/>
        <v>16</v>
      </c>
      <c r="Q10" s="19">
        <f t="shared" si="9"/>
        <v>171</v>
      </c>
      <c r="R10" s="19">
        <f t="shared" si="13"/>
        <v>528</v>
      </c>
      <c r="S10" s="19">
        <f t="shared" si="10"/>
        <v>0.14666666666666667</v>
      </c>
      <c r="T10" s="19">
        <f t="shared" si="11"/>
        <v>1.6397222222222223</v>
      </c>
    </row>
    <row r="11" spans="1:20" ht="15.75" customHeight="1" x14ac:dyDescent="0.3">
      <c r="A11" s="18">
        <v>172</v>
      </c>
      <c r="B11" s="18">
        <v>29</v>
      </c>
      <c r="C11">
        <f t="shared" si="0"/>
        <v>169</v>
      </c>
      <c r="D11" s="19">
        <v>172</v>
      </c>
      <c r="E11" s="19">
        <v>11</v>
      </c>
      <c r="F11" s="20">
        <f t="shared" si="1"/>
        <v>231</v>
      </c>
      <c r="G11" s="16">
        <f t="shared" si="12"/>
        <v>172</v>
      </c>
      <c r="H11" s="16">
        <v>18</v>
      </c>
      <c r="I11" s="16">
        <f t="shared" si="2"/>
        <v>11</v>
      </c>
      <c r="J11" s="19">
        <f t="shared" si="3"/>
        <v>1560</v>
      </c>
      <c r="K11" s="19">
        <f t="shared" si="4"/>
        <v>0.43333333333333335</v>
      </c>
      <c r="L11" s="19">
        <f t="shared" si="5"/>
        <v>13240</v>
      </c>
      <c r="M11" s="19">
        <f t="shared" si="6"/>
        <v>3.677777777777778</v>
      </c>
      <c r="N11" s="19">
        <v>1</v>
      </c>
      <c r="O11" s="19">
        <f t="shared" si="7"/>
        <v>28</v>
      </c>
      <c r="P11" s="19">
        <f t="shared" si="8"/>
        <v>28</v>
      </c>
      <c r="Q11" s="19">
        <f t="shared" si="9"/>
        <v>199</v>
      </c>
      <c r="R11" s="19">
        <f t="shared" si="13"/>
        <v>924</v>
      </c>
      <c r="S11" s="19">
        <f t="shared" si="10"/>
        <v>0.25666666666666665</v>
      </c>
      <c r="T11" s="19">
        <f t="shared" si="11"/>
        <v>1.8963888888888889</v>
      </c>
    </row>
    <row r="12" spans="1:20" ht="15.75" customHeight="1" x14ac:dyDescent="0.3">
      <c r="A12" s="18">
        <v>173</v>
      </c>
      <c r="B12" s="18">
        <v>12</v>
      </c>
      <c r="C12">
        <f t="shared" si="0"/>
        <v>173</v>
      </c>
      <c r="D12" s="19">
        <v>173</v>
      </c>
      <c r="E12" s="19">
        <v>4</v>
      </c>
      <c r="F12" s="20">
        <f t="shared" si="1"/>
        <v>243</v>
      </c>
      <c r="G12" s="16">
        <f t="shared" si="12"/>
        <v>173</v>
      </c>
      <c r="H12" s="16">
        <v>8</v>
      </c>
      <c r="I12" s="16">
        <f t="shared" si="2"/>
        <v>4</v>
      </c>
      <c r="J12" s="19">
        <f t="shared" si="3"/>
        <v>640</v>
      </c>
      <c r="K12" s="19">
        <f t="shared" si="4"/>
        <v>0.17777777777777778</v>
      </c>
      <c r="L12" s="19">
        <f t="shared" si="5"/>
        <v>13880</v>
      </c>
      <c r="M12" s="19">
        <f t="shared" si="6"/>
        <v>3.8555555555555556</v>
      </c>
      <c r="N12" s="19">
        <v>2</v>
      </c>
      <c r="O12" s="19">
        <f t="shared" si="7"/>
        <v>5</v>
      </c>
      <c r="P12" s="19">
        <f t="shared" si="8"/>
        <v>10</v>
      </c>
      <c r="Q12" s="19">
        <f t="shared" si="9"/>
        <v>209</v>
      </c>
      <c r="R12" s="19">
        <f t="shared" si="13"/>
        <v>330</v>
      </c>
      <c r="S12" s="19">
        <f t="shared" si="10"/>
        <v>9.166666666666666E-2</v>
      </c>
      <c r="T12" s="19">
        <f t="shared" si="11"/>
        <v>1.9880555555555555</v>
      </c>
    </row>
    <row r="13" spans="1:20" ht="15.75" customHeight="1" x14ac:dyDescent="0.3">
      <c r="A13" s="18">
        <v>174</v>
      </c>
      <c r="B13" s="18">
        <v>11</v>
      </c>
      <c r="C13">
        <f t="shared" si="0"/>
        <v>177</v>
      </c>
      <c r="D13" s="19">
        <v>174</v>
      </c>
      <c r="E13" s="19">
        <v>4</v>
      </c>
      <c r="F13" s="20">
        <f t="shared" si="1"/>
        <v>254</v>
      </c>
      <c r="G13" s="16">
        <f t="shared" si="12"/>
        <v>174</v>
      </c>
      <c r="H13" s="16">
        <v>7</v>
      </c>
      <c r="I13" s="16">
        <f t="shared" si="2"/>
        <v>4</v>
      </c>
      <c r="J13" s="19">
        <f t="shared" si="3"/>
        <v>590</v>
      </c>
      <c r="K13" s="19">
        <f t="shared" si="4"/>
        <v>0.16388888888888889</v>
      </c>
      <c r="L13" s="19">
        <f t="shared" si="5"/>
        <v>14470</v>
      </c>
      <c r="M13" s="19">
        <f t="shared" si="6"/>
        <v>4.0194444444444448</v>
      </c>
      <c r="N13" s="19">
        <v>3</v>
      </c>
      <c r="O13" s="19">
        <f t="shared" si="7"/>
        <v>2.6666666666666665</v>
      </c>
      <c r="P13" s="19">
        <f t="shared" si="8"/>
        <v>8</v>
      </c>
      <c r="Q13" s="19">
        <f t="shared" si="9"/>
        <v>217</v>
      </c>
      <c r="R13" s="19">
        <f t="shared" si="13"/>
        <v>264</v>
      </c>
      <c r="S13" s="19">
        <f t="shared" si="10"/>
        <v>7.3333333333333334E-2</v>
      </c>
      <c r="T13" s="19">
        <f t="shared" si="11"/>
        <v>2.0613888888888887</v>
      </c>
    </row>
    <row r="14" spans="1:20" ht="15.75" customHeight="1" x14ac:dyDescent="0.3">
      <c r="A14" s="18">
        <v>175</v>
      </c>
      <c r="B14" s="18">
        <v>14</v>
      </c>
      <c r="C14">
        <f t="shared" si="0"/>
        <v>180</v>
      </c>
      <c r="D14" s="19">
        <v>175</v>
      </c>
      <c r="E14" s="19">
        <v>3</v>
      </c>
      <c r="F14" s="20">
        <f t="shared" si="1"/>
        <v>268</v>
      </c>
      <c r="G14" s="16">
        <f t="shared" si="12"/>
        <v>175</v>
      </c>
      <c r="H14" s="16">
        <v>11</v>
      </c>
      <c r="I14" s="16">
        <f t="shared" si="2"/>
        <v>3</v>
      </c>
      <c r="J14" s="19">
        <f t="shared" si="3"/>
        <v>730</v>
      </c>
      <c r="K14" s="19">
        <f t="shared" si="4"/>
        <v>0.20277777777777778</v>
      </c>
      <c r="L14" s="19">
        <f t="shared" si="5"/>
        <v>15200</v>
      </c>
      <c r="M14" s="19">
        <f t="shared" si="6"/>
        <v>4.2222222222222223</v>
      </c>
      <c r="N14" s="19">
        <v>4</v>
      </c>
      <c r="O14" s="19">
        <f t="shared" si="7"/>
        <v>2.5</v>
      </c>
      <c r="P14" s="19">
        <f t="shared" si="8"/>
        <v>10</v>
      </c>
      <c r="Q14" s="19">
        <f t="shared" si="9"/>
        <v>227</v>
      </c>
      <c r="R14" s="19">
        <f t="shared" si="13"/>
        <v>330</v>
      </c>
      <c r="S14" s="19">
        <f t="shared" si="10"/>
        <v>9.166666666666666E-2</v>
      </c>
      <c r="T14" s="19">
        <f t="shared" si="11"/>
        <v>2.1530555555555555</v>
      </c>
    </row>
    <row r="15" spans="1:20" ht="15.75" customHeight="1" x14ac:dyDescent="0.3">
      <c r="A15" s="18">
        <v>176</v>
      </c>
      <c r="B15" s="18">
        <v>20</v>
      </c>
      <c r="C15">
        <f t="shared" si="0"/>
        <v>193</v>
      </c>
      <c r="D15" s="19">
        <v>176</v>
      </c>
      <c r="E15" s="19">
        <v>13</v>
      </c>
      <c r="F15" s="20">
        <f t="shared" si="1"/>
        <v>288</v>
      </c>
      <c r="G15" s="16">
        <f t="shared" si="12"/>
        <v>176</v>
      </c>
      <c r="H15" s="16">
        <v>7</v>
      </c>
      <c r="I15" s="16">
        <f t="shared" si="2"/>
        <v>13</v>
      </c>
      <c r="J15" s="19">
        <f t="shared" si="3"/>
        <v>1130</v>
      </c>
      <c r="K15" s="19">
        <f t="shared" si="4"/>
        <v>0.31388888888888888</v>
      </c>
      <c r="L15" s="19">
        <f t="shared" si="5"/>
        <v>16330</v>
      </c>
      <c r="M15" s="19">
        <f t="shared" si="6"/>
        <v>4.5361111111111114</v>
      </c>
      <c r="N15" s="19">
        <v>2</v>
      </c>
      <c r="O15" s="19">
        <f t="shared" si="7"/>
        <v>9</v>
      </c>
      <c r="P15" s="19">
        <f t="shared" si="8"/>
        <v>18</v>
      </c>
      <c r="Q15" s="19">
        <f t="shared" si="9"/>
        <v>245</v>
      </c>
      <c r="R15" s="19">
        <f t="shared" si="13"/>
        <v>594</v>
      </c>
      <c r="S15" s="19">
        <f t="shared" si="10"/>
        <v>0.16500000000000001</v>
      </c>
      <c r="T15" s="19">
        <f t="shared" si="11"/>
        <v>2.3180555555555555</v>
      </c>
    </row>
    <row r="16" spans="1:20" ht="15.75" customHeight="1" x14ac:dyDescent="0.3">
      <c r="A16" s="18">
        <v>177</v>
      </c>
      <c r="B16" s="18">
        <v>41</v>
      </c>
      <c r="C16">
        <f t="shared" si="0"/>
        <v>222</v>
      </c>
      <c r="D16" s="19">
        <v>177</v>
      </c>
      <c r="E16" s="19">
        <v>29</v>
      </c>
      <c r="F16" s="20">
        <f t="shared" si="1"/>
        <v>329</v>
      </c>
      <c r="G16" s="16">
        <f t="shared" si="12"/>
        <v>177</v>
      </c>
      <c r="H16" s="16">
        <v>12</v>
      </c>
      <c r="I16" s="16">
        <f t="shared" si="2"/>
        <v>29</v>
      </c>
      <c r="J16" s="19">
        <f t="shared" si="3"/>
        <v>2340</v>
      </c>
      <c r="K16" s="19">
        <f t="shared" si="4"/>
        <v>0.65</v>
      </c>
      <c r="L16" s="19">
        <f t="shared" si="5"/>
        <v>18670</v>
      </c>
      <c r="M16" s="19">
        <f t="shared" si="6"/>
        <v>5.1861111111111118</v>
      </c>
      <c r="N16" s="19">
        <v>1</v>
      </c>
      <c r="O16" s="19">
        <f t="shared" si="7"/>
        <v>40</v>
      </c>
      <c r="P16" s="19">
        <f t="shared" si="8"/>
        <v>40</v>
      </c>
      <c r="Q16" s="19">
        <f t="shared" si="9"/>
        <v>285</v>
      </c>
      <c r="R16" s="19">
        <f t="shared" si="13"/>
        <v>1320</v>
      </c>
      <c r="S16" s="19">
        <f t="shared" si="10"/>
        <v>0.36666666666666664</v>
      </c>
      <c r="T16" s="19">
        <f t="shared" si="11"/>
        <v>2.6847222222222222</v>
      </c>
    </row>
    <row r="17" spans="1:20" ht="15.75" customHeight="1" x14ac:dyDescent="0.3">
      <c r="A17" s="18">
        <v>178</v>
      </c>
      <c r="B17" s="18">
        <v>32</v>
      </c>
      <c r="C17">
        <f t="shared" si="0"/>
        <v>235</v>
      </c>
      <c r="D17" s="19">
        <v>178</v>
      </c>
      <c r="E17" s="19">
        <v>13</v>
      </c>
      <c r="F17" s="20">
        <f t="shared" si="1"/>
        <v>361</v>
      </c>
      <c r="G17" s="16">
        <f t="shared" si="12"/>
        <v>178</v>
      </c>
      <c r="H17" s="16">
        <v>19</v>
      </c>
      <c r="I17" s="16">
        <f t="shared" si="2"/>
        <v>13</v>
      </c>
      <c r="J17" s="19">
        <f t="shared" si="3"/>
        <v>1730</v>
      </c>
      <c r="K17" s="19">
        <f t="shared" si="4"/>
        <v>0.48055555555555557</v>
      </c>
      <c r="L17" s="19">
        <f t="shared" si="5"/>
        <v>20400</v>
      </c>
      <c r="M17" s="19">
        <f t="shared" si="6"/>
        <v>5.666666666666667</v>
      </c>
      <c r="N17" s="19">
        <v>1</v>
      </c>
      <c r="O17" s="19">
        <f t="shared" si="7"/>
        <v>31</v>
      </c>
      <c r="P17" s="19">
        <f t="shared" si="8"/>
        <v>31</v>
      </c>
      <c r="Q17" s="19">
        <f t="shared" si="9"/>
        <v>316</v>
      </c>
      <c r="R17" s="19">
        <f t="shared" si="13"/>
        <v>1023</v>
      </c>
      <c r="S17" s="19">
        <f t="shared" si="10"/>
        <v>0.28416666666666668</v>
      </c>
      <c r="T17" s="19">
        <f t="shared" si="11"/>
        <v>2.9688888888888889</v>
      </c>
    </row>
    <row r="18" spans="1:20" ht="15.75" customHeight="1" x14ac:dyDescent="0.3">
      <c r="A18" s="18">
        <v>179</v>
      </c>
      <c r="B18" s="18">
        <v>25</v>
      </c>
      <c r="C18">
        <f t="shared" si="0"/>
        <v>237</v>
      </c>
      <c r="D18" s="19">
        <v>179</v>
      </c>
      <c r="E18" s="19">
        <v>2</v>
      </c>
      <c r="F18" s="20">
        <f t="shared" si="1"/>
        <v>386</v>
      </c>
      <c r="G18" s="16">
        <f t="shared" si="12"/>
        <v>179</v>
      </c>
      <c r="H18" s="16">
        <v>23</v>
      </c>
      <c r="I18" s="16">
        <f t="shared" si="2"/>
        <v>2</v>
      </c>
      <c r="J18" s="19">
        <f t="shared" si="3"/>
        <v>1270</v>
      </c>
      <c r="K18" s="19">
        <f t="shared" si="4"/>
        <v>0.3527777777777778</v>
      </c>
      <c r="L18" s="19">
        <f t="shared" si="5"/>
        <v>21670</v>
      </c>
      <c r="M18" s="19">
        <f t="shared" si="6"/>
        <v>6.0194444444444448</v>
      </c>
      <c r="N18" s="19">
        <v>1</v>
      </c>
      <c r="O18" s="19">
        <f t="shared" si="7"/>
        <v>24</v>
      </c>
      <c r="P18" s="19">
        <f t="shared" si="8"/>
        <v>24</v>
      </c>
      <c r="Q18" s="19">
        <f t="shared" si="9"/>
        <v>340</v>
      </c>
      <c r="R18" s="19">
        <f t="shared" si="13"/>
        <v>792</v>
      </c>
      <c r="S18" s="19">
        <f t="shared" si="10"/>
        <v>0.22</v>
      </c>
      <c r="T18" s="19">
        <f t="shared" si="11"/>
        <v>3.1888888888888891</v>
      </c>
    </row>
    <row r="19" spans="1:20" ht="15.75" customHeight="1" x14ac:dyDescent="0.3">
      <c r="A19" s="18">
        <v>180</v>
      </c>
      <c r="B19" s="18">
        <v>8</v>
      </c>
      <c r="C19">
        <f t="shared" si="0"/>
        <v>240</v>
      </c>
      <c r="D19" s="19">
        <v>180</v>
      </c>
      <c r="E19" s="19">
        <v>3</v>
      </c>
      <c r="F19" s="20">
        <f t="shared" si="1"/>
        <v>394</v>
      </c>
      <c r="G19" s="16">
        <f t="shared" si="12"/>
        <v>180</v>
      </c>
      <c r="H19" s="16">
        <v>5</v>
      </c>
      <c r="I19" s="16">
        <f t="shared" si="2"/>
        <v>3</v>
      </c>
      <c r="J19" s="19">
        <f t="shared" si="3"/>
        <v>430</v>
      </c>
      <c r="K19" s="19">
        <f t="shared" si="4"/>
        <v>0.11944444444444445</v>
      </c>
      <c r="L19" s="19">
        <f t="shared" si="5"/>
        <v>22100</v>
      </c>
      <c r="M19" s="19">
        <f t="shared" si="6"/>
        <v>6.1388888888888893</v>
      </c>
      <c r="N19" s="19">
        <v>3</v>
      </c>
      <c r="O19" s="19">
        <f t="shared" si="7"/>
        <v>1.6666666666666667</v>
      </c>
      <c r="P19" s="19">
        <f t="shared" si="8"/>
        <v>5</v>
      </c>
      <c r="Q19" s="19">
        <f t="shared" si="9"/>
        <v>345</v>
      </c>
      <c r="R19" s="19">
        <f t="shared" si="13"/>
        <v>165</v>
      </c>
      <c r="S19" s="19">
        <f t="shared" si="10"/>
        <v>4.583333333333333E-2</v>
      </c>
      <c r="T19" s="19">
        <f t="shared" si="11"/>
        <v>3.2347222222222225</v>
      </c>
    </row>
    <row r="20" spans="1:20" ht="15.75" customHeight="1" x14ac:dyDescent="0.3">
      <c r="A20" s="18">
        <v>181</v>
      </c>
      <c r="B20" s="18">
        <v>13</v>
      </c>
      <c r="C20">
        <f t="shared" si="0"/>
        <v>244</v>
      </c>
      <c r="D20" s="19">
        <v>181</v>
      </c>
      <c r="E20" s="19">
        <v>4</v>
      </c>
      <c r="F20" s="20">
        <f t="shared" si="1"/>
        <v>407</v>
      </c>
      <c r="G20" s="16">
        <f t="shared" si="12"/>
        <v>181</v>
      </c>
      <c r="H20" s="16">
        <v>9</v>
      </c>
      <c r="I20" s="16">
        <f t="shared" si="2"/>
        <v>4</v>
      </c>
      <c r="J20" s="19">
        <f t="shared" si="3"/>
        <v>690</v>
      </c>
      <c r="K20" s="19">
        <f t="shared" si="4"/>
        <v>0.19166666666666668</v>
      </c>
      <c r="L20" s="19">
        <f t="shared" si="5"/>
        <v>22790</v>
      </c>
      <c r="M20" s="19">
        <f t="shared" si="6"/>
        <v>6.3305555555555557</v>
      </c>
      <c r="N20" s="19">
        <v>4</v>
      </c>
      <c r="O20" s="19">
        <f t="shared" si="7"/>
        <v>2.25</v>
      </c>
      <c r="P20" s="19">
        <f t="shared" si="8"/>
        <v>9</v>
      </c>
      <c r="Q20" s="19">
        <f t="shared" si="9"/>
        <v>354</v>
      </c>
      <c r="R20" s="19">
        <f t="shared" si="13"/>
        <v>297</v>
      </c>
      <c r="S20" s="19">
        <f t="shared" si="10"/>
        <v>8.2500000000000004E-2</v>
      </c>
      <c r="T20" s="19">
        <f t="shared" si="11"/>
        <v>3.3172222222222225</v>
      </c>
    </row>
    <row r="21" spans="1:20" ht="15.75" customHeight="1" x14ac:dyDescent="0.3">
      <c r="A21" s="18">
        <v>182</v>
      </c>
      <c r="B21" s="18">
        <v>11</v>
      </c>
      <c r="C21">
        <f t="shared" si="0"/>
        <v>251</v>
      </c>
      <c r="D21" s="19">
        <v>184</v>
      </c>
      <c r="E21" s="19">
        <v>7</v>
      </c>
      <c r="F21" s="20">
        <f t="shared" si="1"/>
        <v>418</v>
      </c>
      <c r="G21" s="16">
        <f t="shared" si="12"/>
        <v>182</v>
      </c>
      <c r="H21" s="16">
        <v>11</v>
      </c>
      <c r="I21" s="16">
        <f t="shared" si="2"/>
        <v>0</v>
      </c>
      <c r="J21" s="19">
        <f t="shared" si="3"/>
        <v>550</v>
      </c>
      <c r="K21" s="19">
        <f t="shared" si="4"/>
        <v>0.15277777777777779</v>
      </c>
      <c r="L21" s="19">
        <f t="shared" si="5"/>
        <v>23340</v>
      </c>
      <c r="M21" s="19">
        <f t="shared" si="6"/>
        <v>6.4833333333333334</v>
      </c>
      <c r="N21" s="19">
        <v>4</v>
      </c>
      <c r="O21" s="19">
        <f t="shared" si="7"/>
        <v>1.75</v>
      </c>
      <c r="P21" s="19">
        <f t="shared" si="8"/>
        <v>7</v>
      </c>
      <c r="Q21" s="19">
        <f t="shared" si="9"/>
        <v>361</v>
      </c>
      <c r="R21" s="19">
        <f t="shared" si="13"/>
        <v>231</v>
      </c>
      <c r="S21" s="19">
        <f t="shared" si="10"/>
        <v>6.4166666666666664E-2</v>
      </c>
      <c r="T21" s="19">
        <f t="shared" si="11"/>
        <v>3.381388888888889</v>
      </c>
    </row>
    <row r="22" spans="1:20" ht="15.75" customHeight="1" x14ac:dyDescent="0.3">
      <c r="A22" s="18">
        <v>183</v>
      </c>
      <c r="B22" s="18">
        <v>11</v>
      </c>
      <c r="C22">
        <f t="shared" si="0"/>
        <v>260</v>
      </c>
      <c r="D22" s="19">
        <v>185</v>
      </c>
      <c r="E22" s="19">
        <v>9</v>
      </c>
      <c r="F22" s="20">
        <f t="shared" si="1"/>
        <v>429</v>
      </c>
      <c r="G22" s="16">
        <f t="shared" si="12"/>
        <v>183</v>
      </c>
      <c r="H22" s="16">
        <v>11</v>
      </c>
      <c r="I22" s="16">
        <f t="shared" si="2"/>
        <v>0</v>
      </c>
      <c r="J22" s="19">
        <f t="shared" si="3"/>
        <v>550</v>
      </c>
      <c r="K22" s="19">
        <f t="shared" si="4"/>
        <v>0.15277777777777779</v>
      </c>
      <c r="L22" s="19">
        <f t="shared" si="5"/>
        <v>23890</v>
      </c>
      <c r="M22" s="19">
        <f t="shared" si="6"/>
        <v>6.6361111111111111</v>
      </c>
      <c r="N22" s="19">
        <v>3</v>
      </c>
      <c r="O22" s="19">
        <f t="shared" si="7"/>
        <v>2.6666666666666665</v>
      </c>
      <c r="P22" s="19">
        <f t="shared" si="8"/>
        <v>8</v>
      </c>
      <c r="Q22" s="19">
        <f t="shared" si="9"/>
        <v>369</v>
      </c>
      <c r="R22" s="19">
        <f t="shared" si="13"/>
        <v>264</v>
      </c>
      <c r="S22" s="19">
        <f t="shared" si="10"/>
        <v>7.3333333333333334E-2</v>
      </c>
      <c r="T22" s="19">
        <f t="shared" si="11"/>
        <v>3.4547222222222222</v>
      </c>
    </row>
    <row r="23" spans="1:20" ht="15.75" customHeight="1" x14ac:dyDescent="0.3">
      <c r="A23" s="18">
        <v>184</v>
      </c>
      <c r="B23" s="18">
        <v>28</v>
      </c>
      <c r="C23">
        <f t="shared" si="0"/>
        <v>261</v>
      </c>
      <c r="D23" s="19">
        <v>186</v>
      </c>
      <c r="E23" s="19">
        <v>1</v>
      </c>
      <c r="F23" s="20">
        <f t="shared" si="1"/>
        <v>457</v>
      </c>
      <c r="G23" s="16">
        <f t="shared" si="12"/>
        <v>184</v>
      </c>
      <c r="H23" s="16">
        <v>21</v>
      </c>
      <c r="I23" s="16">
        <f t="shared" si="2"/>
        <v>7</v>
      </c>
      <c r="J23" s="19">
        <f t="shared" si="3"/>
        <v>1470</v>
      </c>
      <c r="K23" s="19">
        <f t="shared" si="4"/>
        <v>0.40833333333333333</v>
      </c>
      <c r="L23" s="19">
        <f t="shared" si="5"/>
        <v>25360</v>
      </c>
      <c r="M23" s="19">
        <f t="shared" si="6"/>
        <v>7.0444444444444443</v>
      </c>
      <c r="N23" s="19">
        <v>2</v>
      </c>
      <c r="O23" s="19">
        <f t="shared" si="7"/>
        <v>13</v>
      </c>
      <c r="P23" s="19">
        <f t="shared" si="8"/>
        <v>26</v>
      </c>
      <c r="Q23" s="19">
        <f t="shared" si="9"/>
        <v>395</v>
      </c>
      <c r="R23" s="19">
        <f t="shared" si="13"/>
        <v>858</v>
      </c>
      <c r="S23" s="19">
        <f t="shared" si="10"/>
        <v>0.23833333333333334</v>
      </c>
      <c r="T23" s="19">
        <f t="shared" si="11"/>
        <v>3.6930555555555555</v>
      </c>
    </row>
    <row r="24" spans="1:20" ht="15.75" customHeight="1" x14ac:dyDescent="0.3">
      <c r="A24" s="18">
        <v>185</v>
      </c>
      <c r="B24" s="18">
        <v>19</v>
      </c>
      <c r="C24">
        <f t="shared" si="0"/>
        <v>268</v>
      </c>
      <c r="D24" s="19">
        <v>187</v>
      </c>
      <c r="E24" s="19">
        <v>7</v>
      </c>
      <c r="F24" s="20">
        <f t="shared" si="1"/>
        <v>476</v>
      </c>
      <c r="G24" s="16">
        <f t="shared" si="12"/>
        <v>185</v>
      </c>
      <c r="H24" s="16">
        <v>10</v>
      </c>
      <c r="I24" s="16">
        <f t="shared" si="2"/>
        <v>9</v>
      </c>
      <c r="J24" s="19">
        <f t="shared" si="3"/>
        <v>1040</v>
      </c>
      <c r="K24" s="19">
        <f t="shared" si="4"/>
        <v>0.28888888888888886</v>
      </c>
      <c r="L24" s="19">
        <f t="shared" si="5"/>
        <v>26400</v>
      </c>
      <c r="M24" s="19">
        <f t="shared" si="6"/>
        <v>7.333333333333333</v>
      </c>
      <c r="N24" s="19">
        <v>1</v>
      </c>
      <c r="O24" s="19">
        <f t="shared" si="7"/>
        <v>18</v>
      </c>
      <c r="P24" s="19">
        <f t="shared" si="8"/>
        <v>18</v>
      </c>
      <c r="Q24" s="19">
        <f t="shared" si="9"/>
        <v>413</v>
      </c>
      <c r="R24" s="19">
        <f t="shared" si="13"/>
        <v>594</v>
      </c>
      <c r="S24" s="19">
        <f t="shared" si="10"/>
        <v>0.16500000000000001</v>
      </c>
      <c r="T24" s="19">
        <f t="shared" si="11"/>
        <v>3.8580555555555556</v>
      </c>
    </row>
    <row r="25" spans="1:20" ht="15.75" customHeight="1" x14ac:dyDescent="0.3">
      <c r="A25" s="18">
        <v>186</v>
      </c>
      <c r="B25" s="18">
        <v>13</v>
      </c>
      <c r="C25">
        <f t="shared" si="0"/>
        <v>277</v>
      </c>
      <c r="D25" s="19">
        <v>188</v>
      </c>
      <c r="E25" s="19">
        <v>9</v>
      </c>
      <c r="F25" s="20">
        <f t="shared" si="1"/>
        <v>489</v>
      </c>
      <c r="G25" s="16">
        <f t="shared" si="12"/>
        <v>186</v>
      </c>
      <c r="H25" s="16">
        <v>12</v>
      </c>
      <c r="I25" s="16">
        <f t="shared" si="2"/>
        <v>1</v>
      </c>
      <c r="J25" s="19">
        <f t="shared" si="3"/>
        <v>660</v>
      </c>
      <c r="K25" s="19">
        <f t="shared" si="4"/>
        <v>0.18333333333333332</v>
      </c>
      <c r="L25" s="19">
        <f t="shared" si="5"/>
        <v>27060</v>
      </c>
      <c r="M25" s="19">
        <f t="shared" si="6"/>
        <v>7.5166666666666666</v>
      </c>
      <c r="N25" s="19">
        <v>2</v>
      </c>
      <c r="O25" s="19">
        <f t="shared" si="7"/>
        <v>5.5</v>
      </c>
      <c r="P25" s="19">
        <f t="shared" si="8"/>
        <v>11</v>
      </c>
      <c r="Q25" s="19">
        <f t="shared" si="9"/>
        <v>424</v>
      </c>
      <c r="R25" s="19">
        <f t="shared" si="13"/>
        <v>363</v>
      </c>
      <c r="S25" s="19">
        <f t="shared" si="10"/>
        <v>0.10083333333333333</v>
      </c>
      <c r="T25" s="19">
        <f t="shared" si="11"/>
        <v>3.9588888888888887</v>
      </c>
    </row>
    <row r="26" spans="1:20" ht="15.75" customHeight="1" x14ac:dyDescent="0.3">
      <c r="A26" s="18">
        <v>187</v>
      </c>
      <c r="B26" s="18">
        <v>24</v>
      </c>
      <c r="C26">
        <f t="shared" si="0"/>
        <v>279</v>
      </c>
      <c r="D26" s="19">
        <v>189</v>
      </c>
      <c r="E26" s="19">
        <v>2</v>
      </c>
      <c r="F26" s="20">
        <f t="shared" si="1"/>
        <v>513</v>
      </c>
      <c r="G26" s="16">
        <f t="shared" si="12"/>
        <v>187</v>
      </c>
      <c r="H26" s="16">
        <v>17</v>
      </c>
      <c r="I26" s="16">
        <f t="shared" si="2"/>
        <v>7</v>
      </c>
      <c r="J26" s="19">
        <f t="shared" si="3"/>
        <v>1270</v>
      </c>
      <c r="K26" s="19">
        <f t="shared" si="4"/>
        <v>0.3527777777777778</v>
      </c>
      <c r="L26" s="19">
        <f t="shared" si="5"/>
        <v>28330</v>
      </c>
      <c r="M26" s="19">
        <f t="shared" si="6"/>
        <v>7.8694444444444445</v>
      </c>
      <c r="N26" s="19">
        <v>2</v>
      </c>
      <c r="O26" s="19">
        <f t="shared" si="7"/>
        <v>11</v>
      </c>
      <c r="P26" s="19">
        <f t="shared" si="8"/>
        <v>22</v>
      </c>
      <c r="Q26" s="19">
        <f t="shared" si="9"/>
        <v>446</v>
      </c>
      <c r="R26" s="19">
        <f t="shared" si="13"/>
        <v>726</v>
      </c>
      <c r="S26" s="19">
        <f t="shared" si="10"/>
        <v>0.20166666666666666</v>
      </c>
      <c r="T26" s="19">
        <f t="shared" si="11"/>
        <v>4.1605555555555558</v>
      </c>
    </row>
    <row r="27" spans="1:20" ht="15.75" customHeight="1" x14ac:dyDescent="0.3">
      <c r="A27" s="18">
        <v>188</v>
      </c>
      <c r="B27" s="18">
        <v>24</v>
      </c>
      <c r="C27">
        <f t="shared" si="0"/>
        <v>281</v>
      </c>
      <c r="D27" s="19">
        <v>190</v>
      </c>
      <c r="E27" s="19">
        <v>2</v>
      </c>
      <c r="F27" s="20">
        <f t="shared" si="1"/>
        <v>537</v>
      </c>
      <c r="G27" s="16">
        <f t="shared" si="12"/>
        <v>188</v>
      </c>
      <c r="H27" s="16">
        <v>15</v>
      </c>
      <c r="I27" s="16">
        <f t="shared" si="2"/>
        <v>9</v>
      </c>
      <c r="J27" s="19">
        <f t="shared" si="3"/>
        <v>1290</v>
      </c>
      <c r="K27" s="19">
        <f t="shared" si="4"/>
        <v>0.35833333333333334</v>
      </c>
      <c r="L27" s="19">
        <f t="shared" si="5"/>
        <v>29620</v>
      </c>
      <c r="M27" s="19">
        <f t="shared" si="6"/>
        <v>8.2277777777777779</v>
      </c>
      <c r="N27" s="19">
        <v>1</v>
      </c>
      <c r="O27" s="19">
        <f t="shared" si="7"/>
        <v>23</v>
      </c>
      <c r="P27" s="19">
        <f t="shared" si="8"/>
        <v>23</v>
      </c>
      <c r="Q27" s="19">
        <f t="shared" si="9"/>
        <v>469</v>
      </c>
      <c r="R27" s="19">
        <f t="shared" si="13"/>
        <v>759</v>
      </c>
      <c r="S27" s="19">
        <f t="shared" si="10"/>
        <v>0.21083333333333334</v>
      </c>
      <c r="T27" s="19">
        <f t="shared" si="11"/>
        <v>4.3713888888888892</v>
      </c>
    </row>
    <row r="28" spans="1:20" ht="14.4" x14ac:dyDescent="0.3">
      <c r="A28" s="18">
        <v>189</v>
      </c>
      <c r="B28" s="18">
        <v>19</v>
      </c>
      <c r="C28">
        <f t="shared" si="0"/>
        <v>285</v>
      </c>
      <c r="D28" s="19">
        <v>191</v>
      </c>
      <c r="E28" s="19">
        <v>4</v>
      </c>
      <c r="F28" s="20">
        <f t="shared" si="1"/>
        <v>556</v>
      </c>
      <c r="G28" s="16">
        <f t="shared" si="12"/>
        <v>189</v>
      </c>
      <c r="H28" s="16">
        <v>17</v>
      </c>
      <c r="I28" s="16">
        <f t="shared" si="2"/>
        <v>2</v>
      </c>
      <c r="J28" s="19">
        <f t="shared" si="3"/>
        <v>970</v>
      </c>
      <c r="K28" s="19">
        <f t="shared" si="4"/>
        <v>0.26944444444444443</v>
      </c>
      <c r="L28" s="19">
        <f t="shared" si="5"/>
        <v>30590</v>
      </c>
      <c r="M28" s="19">
        <f t="shared" si="6"/>
        <v>8.4972222222222218</v>
      </c>
      <c r="N28" s="19">
        <v>2</v>
      </c>
      <c r="O28" s="19">
        <f t="shared" si="7"/>
        <v>8.5</v>
      </c>
      <c r="P28" s="19">
        <f t="shared" si="8"/>
        <v>17</v>
      </c>
      <c r="Q28" s="19">
        <f t="shared" si="9"/>
        <v>486</v>
      </c>
      <c r="R28" s="19">
        <f t="shared" si="13"/>
        <v>561</v>
      </c>
      <c r="S28" s="19">
        <f t="shared" si="10"/>
        <v>0.15583333333333332</v>
      </c>
      <c r="T28" s="19">
        <f t="shared" si="11"/>
        <v>4.5272222222222229</v>
      </c>
    </row>
    <row r="29" spans="1:20" ht="14.4" x14ac:dyDescent="0.3">
      <c r="A29" s="18">
        <v>190</v>
      </c>
      <c r="B29" s="18">
        <v>19</v>
      </c>
      <c r="C29">
        <f t="shared" si="0"/>
        <v>292</v>
      </c>
      <c r="D29" s="19">
        <v>192</v>
      </c>
      <c r="E29" s="19">
        <v>7</v>
      </c>
      <c r="F29" s="20">
        <f t="shared" si="1"/>
        <v>575</v>
      </c>
      <c r="G29" s="16">
        <f t="shared" si="12"/>
        <v>190</v>
      </c>
      <c r="H29" s="16">
        <v>17</v>
      </c>
      <c r="I29" s="16">
        <f t="shared" si="2"/>
        <v>2</v>
      </c>
      <c r="J29" s="19">
        <f t="shared" si="3"/>
        <v>970</v>
      </c>
      <c r="K29" s="19">
        <f t="shared" si="4"/>
        <v>0.26944444444444443</v>
      </c>
      <c r="L29" s="19">
        <f t="shared" si="5"/>
        <v>31560</v>
      </c>
      <c r="M29" s="19">
        <f t="shared" si="6"/>
        <v>8.7666666666666657</v>
      </c>
      <c r="N29" s="19">
        <v>1</v>
      </c>
      <c r="O29" s="19">
        <f t="shared" si="7"/>
        <v>18</v>
      </c>
      <c r="P29" s="19">
        <f t="shared" si="8"/>
        <v>18</v>
      </c>
      <c r="Q29" s="19">
        <f t="shared" si="9"/>
        <v>504</v>
      </c>
      <c r="R29" s="19">
        <f t="shared" si="13"/>
        <v>594</v>
      </c>
      <c r="S29" s="19">
        <f t="shared" si="10"/>
        <v>0.16500000000000001</v>
      </c>
      <c r="T29" s="19">
        <f t="shared" si="11"/>
        <v>4.692222222222223</v>
      </c>
    </row>
    <row r="30" spans="1:20" ht="14.4" x14ac:dyDescent="0.3">
      <c r="A30" s="18">
        <v>191</v>
      </c>
      <c r="B30" s="18">
        <v>24</v>
      </c>
      <c r="C30">
        <f t="shared" si="0"/>
        <v>306</v>
      </c>
      <c r="D30" s="19">
        <v>193</v>
      </c>
      <c r="E30" s="19">
        <v>14</v>
      </c>
      <c r="F30" s="20">
        <f t="shared" si="1"/>
        <v>599</v>
      </c>
      <c r="G30" s="16">
        <f t="shared" si="12"/>
        <v>191</v>
      </c>
      <c r="H30" s="16">
        <v>20</v>
      </c>
      <c r="I30" s="16">
        <f t="shared" si="2"/>
        <v>4</v>
      </c>
      <c r="J30" s="19">
        <f t="shared" si="3"/>
        <v>1240</v>
      </c>
      <c r="K30" s="19">
        <f t="shared" si="4"/>
        <v>0.34444444444444444</v>
      </c>
      <c r="L30" s="19">
        <f t="shared" si="5"/>
        <v>32800</v>
      </c>
      <c r="M30" s="19">
        <f t="shared" si="6"/>
        <v>9.1111111111111107</v>
      </c>
      <c r="N30" s="19">
        <v>2</v>
      </c>
      <c r="O30" s="19">
        <f t="shared" si="7"/>
        <v>11</v>
      </c>
      <c r="P30" s="19">
        <f t="shared" si="8"/>
        <v>22</v>
      </c>
      <c r="Q30" s="19">
        <f t="shared" si="9"/>
        <v>526</v>
      </c>
      <c r="R30" s="19">
        <f t="shared" si="13"/>
        <v>726</v>
      </c>
      <c r="S30" s="19">
        <f t="shared" si="10"/>
        <v>0.20166666666666666</v>
      </c>
      <c r="T30" s="19">
        <f t="shared" si="11"/>
        <v>4.8938888888888901</v>
      </c>
    </row>
    <row r="31" spans="1:20" ht="14.4" x14ac:dyDescent="0.3">
      <c r="A31" s="18">
        <v>192</v>
      </c>
      <c r="B31" s="18">
        <v>22</v>
      </c>
      <c r="C31">
        <f t="shared" si="0"/>
        <v>310</v>
      </c>
      <c r="D31" s="19">
        <v>194</v>
      </c>
      <c r="E31" s="19">
        <v>4</v>
      </c>
      <c r="F31" s="20">
        <f t="shared" si="1"/>
        <v>621</v>
      </c>
      <c r="G31" s="16">
        <f t="shared" si="12"/>
        <v>192</v>
      </c>
      <c r="H31" s="16">
        <v>15</v>
      </c>
      <c r="I31" s="16">
        <f t="shared" si="2"/>
        <v>7</v>
      </c>
      <c r="J31" s="19">
        <f t="shared" si="3"/>
        <v>1170</v>
      </c>
      <c r="K31" s="19">
        <f t="shared" si="4"/>
        <v>0.32500000000000001</v>
      </c>
      <c r="L31" s="19">
        <f t="shared" si="5"/>
        <v>33970</v>
      </c>
      <c r="M31" s="19">
        <f t="shared" si="6"/>
        <v>9.43611111111111</v>
      </c>
      <c r="N31" s="19">
        <v>1</v>
      </c>
      <c r="O31" s="19">
        <f t="shared" si="7"/>
        <v>21</v>
      </c>
      <c r="P31" s="19">
        <f t="shared" si="8"/>
        <v>21</v>
      </c>
      <c r="Q31" s="19">
        <f t="shared" si="9"/>
        <v>547</v>
      </c>
      <c r="R31" s="19">
        <f t="shared" si="13"/>
        <v>693</v>
      </c>
      <c r="S31" s="19">
        <f t="shared" si="10"/>
        <v>0.1925</v>
      </c>
      <c r="T31" s="19">
        <f t="shared" si="11"/>
        <v>5.08638888888889</v>
      </c>
    </row>
    <row r="32" spans="1:20" ht="14.4" x14ac:dyDescent="0.3">
      <c r="A32" s="18">
        <v>193</v>
      </c>
      <c r="B32" s="18">
        <v>39</v>
      </c>
      <c r="C32">
        <f t="shared" si="0"/>
        <v>314</v>
      </c>
      <c r="D32" s="19">
        <v>195</v>
      </c>
      <c r="E32" s="19">
        <v>4</v>
      </c>
      <c r="F32" s="20">
        <f t="shared" si="1"/>
        <v>660</v>
      </c>
      <c r="G32" s="16">
        <f t="shared" si="12"/>
        <v>193</v>
      </c>
      <c r="H32" s="16">
        <v>25</v>
      </c>
      <c r="I32" s="16">
        <f t="shared" si="2"/>
        <v>14</v>
      </c>
      <c r="J32" s="19">
        <f t="shared" si="3"/>
        <v>2090</v>
      </c>
      <c r="K32" s="19">
        <f t="shared" si="4"/>
        <v>0.5805555555555556</v>
      </c>
      <c r="L32" s="19">
        <f t="shared" si="5"/>
        <v>36060</v>
      </c>
      <c r="M32" s="19">
        <f t="shared" si="6"/>
        <v>10.016666666666666</v>
      </c>
      <c r="N32" s="19">
        <v>1</v>
      </c>
      <c r="O32" s="19">
        <f t="shared" si="7"/>
        <v>38</v>
      </c>
      <c r="P32" s="19">
        <f t="shared" si="8"/>
        <v>38</v>
      </c>
      <c r="Q32" s="19">
        <f t="shared" si="9"/>
        <v>585</v>
      </c>
      <c r="R32" s="19">
        <f t="shared" si="13"/>
        <v>1254</v>
      </c>
      <c r="S32" s="19">
        <f t="shared" si="10"/>
        <v>0.34833333333333333</v>
      </c>
      <c r="T32" s="19">
        <f t="shared" si="11"/>
        <v>5.4347222222222236</v>
      </c>
    </row>
    <row r="33" spans="1:35" ht="14.4" x14ac:dyDescent="0.3">
      <c r="A33" s="18">
        <v>194</v>
      </c>
      <c r="B33" s="18">
        <v>21</v>
      </c>
      <c r="C33">
        <f t="shared" si="0"/>
        <v>321</v>
      </c>
      <c r="D33" s="19">
        <v>196</v>
      </c>
      <c r="E33" s="19">
        <v>7</v>
      </c>
      <c r="F33" s="20">
        <f t="shared" si="1"/>
        <v>681</v>
      </c>
      <c r="G33" s="16">
        <f t="shared" si="12"/>
        <v>194</v>
      </c>
      <c r="H33" s="16">
        <v>17</v>
      </c>
      <c r="I33" s="16">
        <f t="shared" si="2"/>
        <v>4</v>
      </c>
      <c r="J33" s="19">
        <f t="shared" si="3"/>
        <v>1090</v>
      </c>
      <c r="K33" s="19">
        <f t="shared" si="4"/>
        <v>0.30277777777777776</v>
      </c>
      <c r="L33" s="19">
        <f t="shared" si="5"/>
        <v>37150</v>
      </c>
      <c r="M33" s="19">
        <f t="shared" si="6"/>
        <v>10.319444444444443</v>
      </c>
      <c r="N33" s="19">
        <v>2</v>
      </c>
      <c r="O33" s="19">
        <f t="shared" si="7"/>
        <v>9.5</v>
      </c>
      <c r="P33" s="19">
        <f t="shared" si="8"/>
        <v>19</v>
      </c>
      <c r="Q33" s="19">
        <f t="shared" si="9"/>
        <v>604</v>
      </c>
      <c r="R33" s="19">
        <f t="shared" si="13"/>
        <v>627</v>
      </c>
      <c r="S33" s="19">
        <f t="shared" si="10"/>
        <v>0.17416666666666666</v>
      </c>
      <c r="T33" s="19">
        <f t="shared" si="11"/>
        <v>5.6088888888888899</v>
      </c>
    </row>
    <row r="34" spans="1:35" ht="14.4" x14ac:dyDescent="0.3">
      <c r="A34" s="18">
        <v>195</v>
      </c>
      <c r="B34" s="18">
        <v>14</v>
      </c>
      <c r="C34">
        <f t="shared" si="0"/>
        <v>323</v>
      </c>
      <c r="D34" s="19">
        <v>197</v>
      </c>
      <c r="E34" s="19">
        <v>2</v>
      </c>
      <c r="F34" s="20">
        <f t="shared" si="1"/>
        <v>695</v>
      </c>
      <c r="G34" s="16">
        <f t="shared" si="12"/>
        <v>195</v>
      </c>
      <c r="H34" s="16">
        <v>10</v>
      </c>
      <c r="I34" s="16">
        <f t="shared" si="2"/>
        <v>4</v>
      </c>
      <c r="J34" s="19">
        <f t="shared" si="3"/>
        <v>740</v>
      </c>
      <c r="K34" s="19">
        <f t="shared" si="4"/>
        <v>0.20555555555555555</v>
      </c>
      <c r="L34" s="19">
        <f t="shared" si="5"/>
        <v>37890</v>
      </c>
      <c r="M34" s="19">
        <f t="shared" si="6"/>
        <v>10.524999999999999</v>
      </c>
      <c r="N34" s="19">
        <v>1</v>
      </c>
      <c r="O34" s="19">
        <f t="shared" si="7"/>
        <v>13</v>
      </c>
      <c r="P34" s="19">
        <f t="shared" si="8"/>
        <v>13</v>
      </c>
      <c r="Q34" s="19">
        <f t="shared" si="9"/>
        <v>617</v>
      </c>
      <c r="R34" s="19">
        <f t="shared" si="13"/>
        <v>429</v>
      </c>
      <c r="S34" s="19">
        <f t="shared" si="10"/>
        <v>0.11916666666666667</v>
      </c>
      <c r="T34" s="19">
        <f t="shared" si="11"/>
        <v>5.7280555555555566</v>
      </c>
    </row>
    <row r="35" spans="1:35" ht="14.4" x14ac:dyDescent="0.3">
      <c r="A35" s="18">
        <v>196</v>
      </c>
      <c r="B35" s="18">
        <v>32</v>
      </c>
      <c r="C35">
        <f t="shared" si="0"/>
        <v>331</v>
      </c>
      <c r="D35" s="19">
        <v>198</v>
      </c>
      <c r="E35" s="19">
        <v>8</v>
      </c>
      <c r="F35" s="20">
        <f t="shared" si="1"/>
        <v>727</v>
      </c>
      <c r="G35" s="16">
        <f t="shared" si="12"/>
        <v>196</v>
      </c>
      <c r="H35" s="16">
        <v>25</v>
      </c>
      <c r="I35" s="16">
        <f t="shared" si="2"/>
        <v>7</v>
      </c>
      <c r="J35" s="19">
        <f t="shared" si="3"/>
        <v>1670</v>
      </c>
      <c r="K35" s="19">
        <f t="shared" si="4"/>
        <v>0.46388888888888891</v>
      </c>
      <c r="L35" s="19">
        <f t="shared" si="5"/>
        <v>39560</v>
      </c>
      <c r="M35" s="19">
        <f t="shared" si="6"/>
        <v>10.988888888888887</v>
      </c>
      <c r="N35" s="19">
        <v>1</v>
      </c>
      <c r="O35" s="19">
        <f t="shared" si="7"/>
        <v>31</v>
      </c>
      <c r="P35" s="19">
        <f t="shared" si="8"/>
        <v>31</v>
      </c>
      <c r="Q35" s="19">
        <f t="shared" si="9"/>
        <v>648</v>
      </c>
      <c r="R35" s="19">
        <f t="shared" si="13"/>
        <v>1023</v>
      </c>
      <c r="S35" s="19">
        <f t="shared" si="10"/>
        <v>0.28416666666666668</v>
      </c>
      <c r="T35" s="19">
        <f t="shared" si="11"/>
        <v>6.0122222222222232</v>
      </c>
    </row>
    <row r="36" spans="1:35" ht="14.4" x14ac:dyDescent="0.3">
      <c r="A36" s="18">
        <v>197</v>
      </c>
      <c r="B36" s="18">
        <v>26</v>
      </c>
      <c r="C36">
        <f t="shared" si="0"/>
        <v>333</v>
      </c>
      <c r="D36" s="19">
        <v>199</v>
      </c>
      <c r="E36" s="19">
        <v>2</v>
      </c>
      <c r="F36" s="20">
        <f t="shared" si="1"/>
        <v>753</v>
      </c>
      <c r="G36" s="16">
        <f t="shared" si="12"/>
        <v>197</v>
      </c>
      <c r="H36" s="16">
        <v>24</v>
      </c>
      <c r="I36" s="16">
        <f t="shared" si="2"/>
        <v>2</v>
      </c>
      <c r="J36" s="19">
        <f t="shared" si="3"/>
        <v>1320</v>
      </c>
      <c r="K36" s="19">
        <f t="shared" si="4"/>
        <v>0.36666666666666664</v>
      </c>
      <c r="L36" s="19">
        <f t="shared" si="5"/>
        <v>40880</v>
      </c>
      <c r="M36" s="19">
        <f t="shared" si="6"/>
        <v>11.355555555555554</v>
      </c>
      <c r="N36" s="19">
        <v>2</v>
      </c>
      <c r="O36" s="19">
        <f t="shared" si="7"/>
        <v>12</v>
      </c>
      <c r="P36" s="19">
        <f t="shared" si="8"/>
        <v>24</v>
      </c>
      <c r="Q36" s="19">
        <f t="shared" si="9"/>
        <v>672</v>
      </c>
      <c r="R36" s="19">
        <f t="shared" si="13"/>
        <v>792</v>
      </c>
      <c r="S36" s="19">
        <f t="shared" si="10"/>
        <v>0.22</v>
      </c>
      <c r="T36" s="19">
        <f t="shared" si="11"/>
        <v>6.232222222222223</v>
      </c>
    </row>
    <row r="37" spans="1:35" ht="14.4" x14ac:dyDescent="0.3">
      <c r="A37" s="18">
        <v>198</v>
      </c>
      <c r="B37" s="18">
        <v>31</v>
      </c>
      <c r="C37">
        <f t="shared" si="0"/>
        <v>334</v>
      </c>
      <c r="D37" s="19">
        <v>201</v>
      </c>
      <c r="E37" s="19">
        <v>1</v>
      </c>
      <c r="F37" s="20">
        <f t="shared" si="1"/>
        <v>784</v>
      </c>
      <c r="G37" s="16">
        <f t="shared" si="12"/>
        <v>198</v>
      </c>
      <c r="H37" s="16">
        <v>23</v>
      </c>
      <c r="I37" s="16">
        <f t="shared" si="2"/>
        <v>8</v>
      </c>
      <c r="J37" s="19">
        <f t="shared" si="3"/>
        <v>1630</v>
      </c>
      <c r="K37" s="19">
        <f t="shared" si="4"/>
        <v>0.45277777777777778</v>
      </c>
      <c r="L37" s="19">
        <f t="shared" si="5"/>
        <v>42510</v>
      </c>
      <c r="M37" s="19">
        <f t="shared" si="6"/>
        <v>11.808333333333332</v>
      </c>
      <c r="N37" s="19">
        <v>1</v>
      </c>
      <c r="O37" s="19">
        <f t="shared" si="7"/>
        <v>30</v>
      </c>
      <c r="P37" s="19">
        <f t="shared" si="8"/>
        <v>30</v>
      </c>
      <c r="Q37" s="19">
        <f t="shared" si="9"/>
        <v>702</v>
      </c>
      <c r="R37" s="19">
        <f t="shared" si="13"/>
        <v>990</v>
      </c>
      <c r="S37" s="19">
        <f t="shared" si="10"/>
        <v>0.27500000000000002</v>
      </c>
      <c r="T37" s="19">
        <f t="shared" si="11"/>
        <v>6.5072222222222234</v>
      </c>
      <c r="AH37" s="21" t="s">
        <v>1669</v>
      </c>
      <c r="AI37" s="22"/>
    </row>
    <row r="38" spans="1:35" ht="14.4" x14ac:dyDescent="0.3">
      <c r="A38" s="18">
        <v>199</v>
      </c>
      <c r="B38" s="18">
        <v>16</v>
      </c>
      <c r="C38">
        <f t="shared" si="0"/>
        <v>340</v>
      </c>
      <c r="D38" s="19">
        <v>202</v>
      </c>
      <c r="E38" s="19">
        <v>6</v>
      </c>
      <c r="F38" s="20">
        <f t="shared" si="1"/>
        <v>800</v>
      </c>
      <c r="G38" s="16">
        <f t="shared" si="12"/>
        <v>199</v>
      </c>
      <c r="H38" s="16">
        <v>14</v>
      </c>
      <c r="I38" s="16">
        <f t="shared" si="2"/>
        <v>2</v>
      </c>
      <c r="J38" s="19">
        <f t="shared" si="3"/>
        <v>820</v>
      </c>
      <c r="K38" s="19">
        <f t="shared" si="4"/>
        <v>0.22777777777777777</v>
      </c>
      <c r="L38" s="19">
        <f t="shared" si="5"/>
        <v>43330</v>
      </c>
      <c r="M38" s="19">
        <f t="shared" si="6"/>
        <v>12.03611111111111</v>
      </c>
      <c r="N38" s="19">
        <v>1</v>
      </c>
      <c r="O38" s="19">
        <f t="shared" si="7"/>
        <v>15</v>
      </c>
      <c r="P38" s="19">
        <f t="shared" si="8"/>
        <v>15</v>
      </c>
      <c r="Q38" s="19">
        <f t="shared" si="9"/>
        <v>717</v>
      </c>
      <c r="R38" s="19">
        <f t="shared" si="13"/>
        <v>495</v>
      </c>
      <c r="S38" s="19">
        <f t="shared" si="10"/>
        <v>0.13750000000000001</v>
      </c>
      <c r="T38" s="19">
        <f t="shared" si="11"/>
        <v>6.6447222222222235</v>
      </c>
      <c r="AH38" s="23" t="s">
        <v>1670</v>
      </c>
      <c r="AI38" s="24"/>
    </row>
    <row r="39" spans="1:35" ht="14.4" x14ac:dyDescent="0.3">
      <c r="A39" s="18">
        <v>200</v>
      </c>
      <c r="B39" s="18">
        <v>21</v>
      </c>
      <c r="C39">
        <f t="shared" si="0"/>
        <v>342</v>
      </c>
      <c r="D39" s="19">
        <v>204</v>
      </c>
      <c r="E39" s="19">
        <v>2</v>
      </c>
      <c r="F39" s="20">
        <f t="shared" si="1"/>
        <v>821</v>
      </c>
      <c r="G39" s="16">
        <f t="shared" si="12"/>
        <v>200</v>
      </c>
      <c r="H39" s="16">
        <v>21</v>
      </c>
      <c r="I39" s="16">
        <f t="shared" si="2"/>
        <v>0</v>
      </c>
      <c r="J39" s="19">
        <f t="shared" si="3"/>
        <v>1050</v>
      </c>
      <c r="K39" s="19">
        <f t="shared" si="4"/>
        <v>0.29166666666666669</v>
      </c>
      <c r="L39" s="19">
        <f t="shared" si="5"/>
        <v>44380</v>
      </c>
      <c r="M39" s="19">
        <f t="shared" si="6"/>
        <v>12.327777777777776</v>
      </c>
      <c r="N39" s="19">
        <v>1</v>
      </c>
      <c r="O39" s="19">
        <f t="shared" si="7"/>
        <v>20</v>
      </c>
      <c r="P39" s="19">
        <f t="shared" si="8"/>
        <v>20</v>
      </c>
      <c r="Q39" s="19">
        <f t="shared" si="9"/>
        <v>737</v>
      </c>
      <c r="R39" s="19">
        <f t="shared" si="13"/>
        <v>660</v>
      </c>
      <c r="S39" s="19">
        <f t="shared" si="10"/>
        <v>0.18333333333333332</v>
      </c>
      <c r="T39" s="19">
        <f t="shared" si="11"/>
        <v>6.8280555555555571</v>
      </c>
      <c r="AH39" s="23" t="s">
        <v>1671</v>
      </c>
      <c r="AI39" s="24"/>
    </row>
    <row r="40" spans="1:35" ht="14.4" x14ac:dyDescent="0.3">
      <c r="A40" s="18">
        <v>201</v>
      </c>
      <c r="B40" s="18">
        <v>22</v>
      </c>
      <c r="C40">
        <f t="shared" si="0"/>
        <v>344</v>
      </c>
      <c r="D40" s="19">
        <v>205</v>
      </c>
      <c r="E40" s="19">
        <v>2</v>
      </c>
      <c r="F40" s="20">
        <f t="shared" si="1"/>
        <v>843</v>
      </c>
      <c r="G40" s="16">
        <f t="shared" si="12"/>
        <v>201</v>
      </c>
      <c r="H40" s="16">
        <v>21</v>
      </c>
      <c r="I40" s="16">
        <f t="shared" si="2"/>
        <v>1</v>
      </c>
      <c r="J40" s="19">
        <f t="shared" si="3"/>
        <v>1110</v>
      </c>
      <c r="K40" s="19">
        <f t="shared" si="4"/>
        <v>0.30833333333333335</v>
      </c>
      <c r="L40" s="19">
        <f t="shared" si="5"/>
        <v>45490</v>
      </c>
      <c r="M40" s="19">
        <f t="shared" si="6"/>
        <v>12.636111111111109</v>
      </c>
      <c r="N40" s="19">
        <v>1</v>
      </c>
      <c r="O40" s="19">
        <f t="shared" si="7"/>
        <v>21</v>
      </c>
      <c r="P40" s="19">
        <f t="shared" si="8"/>
        <v>21</v>
      </c>
      <c r="Q40" s="19">
        <f t="shared" si="9"/>
        <v>758</v>
      </c>
      <c r="R40" s="19">
        <f t="shared" si="13"/>
        <v>693</v>
      </c>
      <c r="S40" s="19">
        <f t="shared" si="10"/>
        <v>0.1925</v>
      </c>
      <c r="T40" s="19">
        <f t="shared" si="11"/>
        <v>7.020555555555557</v>
      </c>
      <c r="AH40" s="25" t="s">
        <v>1672</v>
      </c>
      <c r="AI40" s="26"/>
    </row>
    <row r="41" spans="1:35" ht="14.4" x14ac:dyDescent="0.3">
      <c r="A41" s="18">
        <v>202</v>
      </c>
      <c r="B41" s="18">
        <v>27</v>
      </c>
      <c r="C41">
        <f t="shared" si="0"/>
        <v>353</v>
      </c>
      <c r="D41" s="19">
        <v>206</v>
      </c>
      <c r="E41" s="19">
        <v>9</v>
      </c>
      <c r="F41" s="20">
        <f t="shared" si="1"/>
        <v>870</v>
      </c>
      <c r="G41" s="16">
        <f t="shared" si="12"/>
        <v>202</v>
      </c>
      <c r="H41" s="16">
        <v>21</v>
      </c>
      <c r="I41" s="16">
        <f t="shared" si="2"/>
        <v>6</v>
      </c>
      <c r="J41" s="19">
        <f t="shared" si="3"/>
        <v>1410</v>
      </c>
      <c r="K41" s="19">
        <f t="shared" si="4"/>
        <v>0.39166666666666666</v>
      </c>
      <c r="L41" s="19">
        <f t="shared" si="5"/>
        <v>46900</v>
      </c>
      <c r="M41" s="19">
        <f t="shared" si="6"/>
        <v>13.027777777777777</v>
      </c>
      <c r="N41" s="19">
        <v>1</v>
      </c>
      <c r="O41" s="19">
        <f t="shared" si="7"/>
        <v>26</v>
      </c>
      <c r="P41" s="19">
        <f t="shared" si="8"/>
        <v>26</v>
      </c>
      <c r="Q41" s="19">
        <f t="shared" si="9"/>
        <v>784</v>
      </c>
      <c r="R41" s="19">
        <f t="shared" si="13"/>
        <v>858</v>
      </c>
      <c r="S41" s="19">
        <f t="shared" si="10"/>
        <v>0.23833333333333334</v>
      </c>
      <c r="T41" s="19">
        <f t="shared" si="11"/>
        <v>7.2588888888888903</v>
      </c>
    </row>
    <row r="42" spans="1:35" ht="14.4" x14ac:dyDescent="0.3">
      <c r="A42" s="18">
        <v>203</v>
      </c>
      <c r="B42" s="18">
        <v>16</v>
      </c>
      <c r="C42">
        <f t="shared" si="0"/>
        <v>360</v>
      </c>
      <c r="D42" s="19">
        <v>208</v>
      </c>
      <c r="E42" s="19">
        <v>7</v>
      </c>
      <c r="F42" s="20">
        <f t="shared" si="1"/>
        <v>886</v>
      </c>
      <c r="G42" s="16">
        <f t="shared" si="12"/>
        <v>203</v>
      </c>
      <c r="H42" s="16">
        <v>16</v>
      </c>
      <c r="I42" s="16">
        <f t="shared" si="2"/>
        <v>0</v>
      </c>
      <c r="J42" s="19">
        <f t="shared" si="3"/>
        <v>800</v>
      </c>
      <c r="K42" s="19">
        <f t="shared" si="4"/>
        <v>0.22222222222222221</v>
      </c>
      <c r="L42" s="19">
        <f t="shared" si="5"/>
        <v>47700</v>
      </c>
      <c r="M42" s="19">
        <f t="shared" si="6"/>
        <v>13.249999999999998</v>
      </c>
      <c r="N42" s="19">
        <v>1</v>
      </c>
      <c r="O42" s="19">
        <f t="shared" si="7"/>
        <v>15</v>
      </c>
      <c r="P42" s="19">
        <f t="shared" si="8"/>
        <v>15</v>
      </c>
      <c r="Q42" s="19">
        <f t="shared" si="9"/>
        <v>799</v>
      </c>
      <c r="R42" s="19">
        <f t="shared" si="13"/>
        <v>495</v>
      </c>
      <c r="S42" s="19">
        <f t="shared" si="10"/>
        <v>0.13750000000000001</v>
      </c>
      <c r="T42" s="19">
        <f t="shared" si="11"/>
        <v>7.3963888888888905</v>
      </c>
      <c r="AH42" s="27" t="s">
        <v>1673</v>
      </c>
      <c r="AI42" s="28"/>
    </row>
    <row r="43" spans="1:35" ht="14.4" x14ac:dyDescent="0.3">
      <c r="A43" s="18">
        <v>204</v>
      </c>
      <c r="B43" s="18">
        <v>20</v>
      </c>
      <c r="C43">
        <f t="shared" si="0"/>
        <v>362</v>
      </c>
      <c r="D43" s="19">
        <v>210</v>
      </c>
      <c r="E43" s="19">
        <v>2</v>
      </c>
      <c r="F43" s="20">
        <f t="shared" si="1"/>
        <v>906</v>
      </c>
      <c r="G43" s="16">
        <f t="shared" si="12"/>
        <v>204</v>
      </c>
      <c r="H43" s="16">
        <v>18</v>
      </c>
      <c r="I43" s="16">
        <f t="shared" si="2"/>
        <v>2</v>
      </c>
      <c r="J43" s="19">
        <f t="shared" si="3"/>
        <v>1020</v>
      </c>
      <c r="K43" s="19">
        <f t="shared" si="4"/>
        <v>0.28333333333333333</v>
      </c>
      <c r="L43" s="19">
        <f t="shared" si="5"/>
        <v>48720</v>
      </c>
      <c r="M43" s="19">
        <f t="shared" si="6"/>
        <v>13.533333333333331</v>
      </c>
      <c r="N43" s="19">
        <v>1</v>
      </c>
      <c r="O43" s="19">
        <f t="shared" si="7"/>
        <v>19</v>
      </c>
      <c r="P43" s="19">
        <f t="shared" si="8"/>
        <v>19</v>
      </c>
      <c r="Q43" s="19">
        <f t="shared" si="9"/>
        <v>818</v>
      </c>
      <c r="R43" s="19">
        <f t="shared" si="13"/>
        <v>627</v>
      </c>
      <c r="S43" s="19">
        <f t="shared" si="10"/>
        <v>0.17416666666666666</v>
      </c>
      <c r="T43" s="19">
        <f t="shared" si="11"/>
        <v>7.5705555555555568</v>
      </c>
      <c r="AH43" s="29" t="s">
        <v>1674</v>
      </c>
      <c r="AI43" s="26"/>
    </row>
    <row r="44" spans="1:35" ht="14.4" x14ac:dyDescent="0.3">
      <c r="A44" s="18">
        <v>205</v>
      </c>
      <c r="B44" s="18">
        <v>18</v>
      </c>
      <c r="C44">
        <f t="shared" si="0"/>
        <v>364</v>
      </c>
      <c r="D44" s="19">
        <v>213</v>
      </c>
      <c r="E44" s="19">
        <v>2</v>
      </c>
      <c r="F44" s="20">
        <f t="shared" si="1"/>
        <v>924</v>
      </c>
      <c r="G44" s="16">
        <f t="shared" si="12"/>
        <v>205</v>
      </c>
      <c r="H44" s="16">
        <v>16</v>
      </c>
      <c r="I44" s="16">
        <f t="shared" si="2"/>
        <v>2</v>
      </c>
      <c r="J44" s="19">
        <f t="shared" si="3"/>
        <v>920</v>
      </c>
      <c r="K44" s="19">
        <f t="shared" si="4"/>
        <v>0.25555555555555554</v>
      </c>
      <c r="L44" s="19">
        <f t="shared" si="5"/>
        <v>49640</v>
      </c>
      <c r="M44" s="19">
        <f t="shared" si="6"/>
        <v>13.788888888888888</v>
      </c>
      <c r="N44" s="19">
        <v>1</v>
      </c>
      <c r="O44" s="19">
        <f t="shared" si="7"/>
        <v>17</v>
      </c>
      <c r="P44" s="19">
        <f t="shared" si="8"/>
        <v>17</v>
      </c>
      <c r="Q44" s="19">
        <f t="shared" si="9"/>
        <v>835</v>
      </c>
      <c r="R44" s="19">
        <f t="shared" si="13"/>
        <v>561</v>
      </c>
      <c r="S44" s="19">
        <f t="shared" si="10"/>
        <v>0.15583333333333332</v>
      </c>
      <c r="T44" s="19">
        <f t="shared" si="11"/>
        <v>7.7263888888888905</v>
      </c>
      <c r="AH44" s="29" t="s">
        <v>1675</v>
      </c>
      <c r="AI44" s="26"/>
    </row>
    <row r="45" spans="1:35" ht="14.4" x14ac:dyDescent="0.3">
      <c r="A45" s="18">
        <v>206</v>
      </c>
      <c r="B45" s="18">
        <v>29</v>
      </c>
      <c r="C45">
        <f t="shared" si="0"/>
        <v>366</v>
      </c>
      <c r="D45" s="19">
        <v>214</v>
      </c>
      <c r="E45" s="19">
        <v>2</v>
      </c>
      <c r="F45" s="20">
        <f t="shared" si="1"/>
        <v>953</v>
      </c>
      <c r="G45" s="16">
        <f t="shared" si="12"/>
        <v>206</v>
      </c>
      <c r="H45" s="16">
        <v>20</v>
      </c>
      <c r="I45" s="16">
        <f t="shared" si="2"/>
        <v>9</v>
      </c>
      <c r="J45" s="19">
        <f t="shared" si="3"/>
        <v>1540</v>
      </c>
      <c r="K45" s="19">
        <f t="shared" si="4"/>
        <v>0.42777777777777776</v>
      </c>
      <c r="L45" s="19">
        <f t="shared" si="5"/>
        <v>51180</v>
      </c>
      <c r="M45" s="19">
        <f t="shared" si="6"/>
        <v>14.216666666666665</v>
      </c>
      <c r="N45" s="19">
        <v>1</v>
      </c>
      <c r="O45" s="19">
        <f t="shared" si="7"/>
        <v>28</v>
      </c>
      <c r="P45" s="19">
        <f t="shared" si="8"/>
        <v>28</v>
      </c>
      <c r="Q45" s="19">
        <f t="shared" si="9"/>
        <v>863</v>
      </c>
      <c r="R45" s="19">
        <f t="shared" si="13"/>
        <v>924</v>
      </c>
      <c r="S45" s="19">
        <f t="shared" si="10"/>
        <v>0.25666666666666665</v>
      </c>
      <c r="T45" s="19">
        <f t="shared" si="11"/>
        <v>7.9830555555555573</v>
      </c>
    </row>
    <row r="46" spans="1:35" ht="14.4" x14ac:dyDescent="0.3">
      <c r="A46" s="18">
        <v>207</v>
      </c>
      <c r="B46" s="18">
        <v>17</v>
      </c>
      <c r="C46">
        <f t="shared" si="0"/>
        <v>368</v>
      </c>
      <c r="D46" s="19">
        <v>216</v>
      </c>
      <c r="E46" s="19">
        <v>2</v>
      </c>
      <c r="F46" s="20">
        <f t="shared" si="1"/>
        <v>970</v>
      </c>
      <c r="G46" s="16">
        <f t="shared" si="12"/>
        <v>207</v>
      </c>
      <c r="H46" s="16">
        <v>17</v>
      </c>
      <c r="I46" s="16">
        <f t="shared" si="2"/>
        <v>0</v>
      </c>
      <c r="J46" s="19">
        <f t="shared" si="3"/>
        <v>850</v>
      </c>
      <c r="K46" s="19">
        <f t="shared" si="4"/>
        <v>0.2361111111111111</v>
      </c>
      <c r="L46" s="19">
        <f t="shared" si="5"/>
        <v>52030</v>
      </c>
      <c r="M46" s="19">
        <f t="shared" si="6"/>
        <v>14.452777777777776</v>
      </c>
      <c r="N46" s="19">
        <v>1</v>
      </c>
      <c r="O46" s="19">
        <f t="shared" si="7"/>
        <v>16</v>
      </c>
      <c r="P46" s="19">
        <f t="shared" si="8"/>
        <v>16</v>
      </c>
      <c r="Q46" s="19">
        <f t="shared" si="9"/>
        <v>879</v>
      </c>
      <c r="R46" s="19">
        <f t="shared" si="13"/>
        <v>528</v>
      </c>
      <c r="S46" s="19">
        <f t="shared" si="10"/>
        <v>0.14666666666666667</v>
      </c>
      <c r="T46" s="19">
        <f t="shared" si="11"/>
        <v>8.1297222222222238</v>
      </c>
    </row>
    <row r="47" spans="1:35" ht="14.4" x14ac:dyDescent="0.3">
      <c r="A47" s="18">
        <v>208</v>
      </c>
      <c r="B47" s="18">
        <v>25</v>
      </c>
      <c r="C47">
        <f t="shared" si="0"/>
        <v>371</v>
      </c>
      <c r="D47" s="19">
        <v>217</v>
      </c>
      <c r="E47" s="19">
        <v>3</v>
      </c>
      <c r="F47" s="20">
        <f t="shared" si="1"/>
        <v>995</v>
      </c>
      <c r="G47" s="16">
        <f t="shared" si="12"/>
        <v>208</v>
      </c>
      <c r="H47" s="16">
        <v>22</v>
      </c>
      <c r="I47" s="16">
        <f t="shared" si="2"/>
        <v>3</v>
      </c>
      <c r="J47" s="19">
        <f t="shared" si="3"/>
        <v>1280</v>
      </c>
      <c r="K47" s="19">
        <f t="shared" si="4"/>
        <v>0.35555555555555557</v>
      </c>
      <c r="L47" s="19">
        <f t="shared" si="5"/>
        <v>53310</v>
      </c>
      <c r="M47" s="19">
        <f t="shared" si="6"/>
        <v>14.808333333333332</v>
      </c>
      <c r="N47" s="19">
        <v>1</v>
      </c>
      <c r="O47" s="19">
        <f t="shared" si="7"/>
        <v>24</v>
      </c>
      <c r="P47" s="19">
        <f t="shared" si="8"/>
        <v>24</v>
      </c>
      <c r="Q47" s="19">
        <f t="shared" si="9"/>
        <v>903</v>
      </c>
      <c r="R47" s="19">
        <f t="shared" si="13"/>
        <v>792</v>
      </c>
      <c r="S47" s="19">
        <f t="shared" si="10"/>
        <v>0.22</v>
      </c>
      <c r="T47" s="19">
        <f t="shared" si="11"/>
        <v>8.3497222222222245</v>
      </c>
      <c r="AH47" s="30" t="s">
        <v>1676</v>
      </c>
      <c r="AI47" s="31"/>
    </row>
    <row r="48" spans="1:35" ht="14.4" x14ac:dyDescent="0.3">
      <c r="A48" s="18">
        <v>209</v>
      </c>
      <c r="B48" s="18">
        <v>17</v>
      </c>
      <c r="C48">
        <f t="shared" si="0"/>
        <v>373</v>
      </c>
      <c r="D48" s="19">
        <v>218</v>
      </c>
      <c r="E48" s="19">
        <v>2</v>
      </c>
      <c r="F48" s="20">
        <f t="shared" si="1"/>
        <v>1012</v>
      </c>
      <c r="G48" s="16">
        <f t="shared" si="12"/>
        <v>209</v>
      </c>
      <c r="H48" s="16">
        <v>17</v>
      </c>
      <c r="I48" s="16">
        <f t="shared" si="2"/>
        <v>0</v>
      </c>
      <c r="J48" s="19">
        <f t="shared" si="3"/>
        <v>850</v>
      </c>
      <c r="K48" s="19">
        <f t="shared" si="4"/>
        <v>0.2361111111111111</v>
      </c>
      <c r="L48" s="19">
        <f t="shared" si="5"/>
        <v>54160</v>
      </c>
      <c r="M48" s="19">
        <f t="shared" si="6"/>
        <v>15.044444444444443</v>
      </c>
      <c r="N48" s="19">
        <v>1</v>
      </c>
      <c r="O48" s="19">
        <f t="shared" si="7"/>
        <v>16</v>
      </c>
      <c r="P48" s="19">
        <f t="shared" si="8"/>
        <v>16</v>
      </c>
      <c r="Q48" s="19">
        <f t="shared" si="9"/>
        <v>919</v>
      </c>
      <c r="R48" s="19">
        <f t="shared" si="13"/>
        <v>528</v>
      </c>
      <c r="S48" s="19">
        <f t="shared" si="10"/>
        <v>0.14666666666666667</v>
      </c>
      <c r="T48" s="19">
        <f t="shared" si="11"/>
        <v>8.496388888888891</v>
      </c>
      <c r="AH48" s="23" t="s">
        <v>1677</v>
      </c>
      <c r="AI48" s="24"/>
    </row>
    <row r="49" spans="1:35" ht="14.4" x14ac:dyDescent="0.3">
      <c r="A49" s="18">
        <v>210</v>
      </c>
      <c r="B49" s="18">
        <v>12</v>
      </c>
      <c r="C49">
        <f t="shared" si="0"/>
        <v>375</v>
      </c>
      <c r="D49" s="19">
        <v>219</v>
      </c>
      <c r="E49" s="19">
        <v>2</v>
      </c>
      <c r="F49" s="20">
        <f t="shared" si="1"/>
        <v>1024</v>
      </c>
      <c r="G49" s="16">
        <f t="shared" si="12"/>
        <v>210</v>
      </c>
      <c r="H49" s="16">
        <v>10</v>
      </c>
      <c r="I49" s="16">
        <f t="shared" si="2"/>
        <v>2</v>
      </c>
      <c r="J49" s="19">
        <f t="shared" si="3"/>
        <v>620</v>
      </c>
      <c r="K49" s="19">
        <f t="shared" si="4"/>
        <v>0.17222222222222222</v>
      </c>
      <c r="L49" s="19">
        <f t="shared" si="5"/>
        <v>54780</v>
      </c>
      <c r="M49" s="19">
        <f t="shared" si="6"/>
        <v>15.216666666666665</v>
      </c>
      <c r="N49" s="19">
        <v>2</v>
      </c>
      <c r="O49" s="19">
        <f t="shared" si="7"/>
        <v>5</v>
      </c>
      <c r="P49" s="19">
        <f t="shared" si="8"/>
        <v>10</v>
      </c>
      <c r="Q49" s="19">
        <f t="shared" si="9"/>
        <v>929</v>
      </c>
      <c r="R49" s="19">
        <f t="shared" si="13"/>
        <v>330</v>
      </c>
      <c r="S49" s="19">
        <f t="shared" si="10"/>
        <v>9.166666666666666E-2</v>
      </c>
      <c r="T49" s="19">
        <f t="shared" si="11"/>
        <v>8.5880555555555578</v>
      </c>
      <c r="AH49" s="32" t="s">
        <v>1678</v>
      </c>
      <c r="AI49" s="24"/>
    </row>
    <row r="50" spans="1:35" ht="14.4" x14ac:dyDescent="0.3">
      <c r="A50" s="18">
        <v>211</v>
      </c>
      <c r="B50" s="18">
        <v>15</v>
      </c>
      <c r="C50">
        <f t="shared" si="0"/>
        <v>376</v>
      </c>
      <c r="D50" s="19">
        <v>220</v>
      </c>
      <c r="E50" s="19">
        <v>1</v>
      </c>
      <c r="F50" s="20">
        <f t="shared" si="1"/>
        <v>1039</v>
      </c>
      <c r="G50" s="16">
        <f t="shared" si="12"/>
        <v>211</v>
      </c>
      <c r="H50" s="16">
        <v>15</v>
      </c>
      <c r="I50" s="16">
        <f t="shared" si="2"/>
        <v>0</v>
      </c>
      <c r="J50" s="19">
        <f t="shared" si="3"/>
        <v>750</v>
      </c>
      <c r="K50" s="19">
        <f t="shared" si="4"/>
        <v>0.20833333333333334</v>
      </c>
      <c r="L50" s="19">
        <f t="shared" si="5"/>
        <v>55530</v>
      </c>
      <c r="M50" s="19">
        <f t="shared" si="6"/>
        <v>15.424999999999999</v>
      </c>
      <c r="N50" s="19">
        <v>1</v>
      </c>
      <c r="O50" s="19">
        <f t="shared" si="7"/>
        <v>14</v>
      </c>
      <c r="P50" s="19">
        <f t="shared" si="8"/>
        <v>14</v>
      </c>
      <c r="Q50" s="19">
        <f t="shared" si="9"/>
        <v>943</v>
      </c>
      <c r="R50" s="19">
        <f t="shared" si="13"/>
        <v>462</v>
      </c>
      <c r="S50" s="19">
        <f t="shared" si="10"/>
        <v>0.12833333333333333</v>
      </c>
      <c r="T50" s="19">
        <f t="shared" si="11"/>
        <v>8.7163888888888916</v>
      </c>
      <c r="AH50" s="33" t="s">
        <v>1672</v>
      </c>
      <c r="AI50" s="26"/>
    </row>
    <row r="51" spans="1:35" ht="14.4" x14ac:dyDescent="0.3">
      <c r="A51" s="18">
        <v>212</v>
      </c>
      <c r="B51" s="18">
        <v>16</v>
      </c>
      <c r="C51">
        <f t="shared" si="0"/>
        <v>380</v>
      </c>
      <c r="D51" s="19">
        <v>222</v>
      </c>
      <c r="E51" s="19">
        <v>4</v>
      </c>
      <c r="F51" s="20">
        <f t="shared" si="1"/>
        <v>1055</v>
      </c>
      <c r="G51" s="16">
        <f t="shared" si="12"/>
        <v>212</v>
      </c>
      <c r="H51" s="16">
        <v>16</v>
      </c>
      <c r="I51" s="16">
        <f t="shared" si="2"/>
        <v>0</v>
      </c>
      <c r="J51" s="19">
        <f t="shared" si="3"/>
        <v>800</v>
      </c>
      <c r="K51" s="19">
        <f t="shared" si="4"/>
        <v>0.22222222222222221</v>
      </c>
      <c r="L51" s="19">
        <f t="shared" si="5"/>
        <v>56330</v>
      </c>
      <c r="M51" s="19">
        <f t="shared" si="6"/>
        <v>15.64722222222222</v>
      </c>
      <c r="N51" s="19">
        <v>1</v>
      </c>
      <c r="O51" s="19">
        <f t="shared" si="7"/>
        <v>15</v>
      </c>
      <c r="P51" s="19">
        <f t="shared" si="8"/>
        <v>15</v>
      </c>
      <c r="Q51" s="19">
        <f t="shared" si="9"/>
        <v>958</v>
      </c>
      <c r="R51" s="19">
        <f t="shared" si="13"/>
        <v>495</v>
      </c>
      <c r="S51" s="19">
        <f t="shared" si="10"/>
        <v>0.13750000000000001</v>
      </c>
      <c r="T51" s="19">
        <f t="shared" si="11"/>
        <v>8.8538888888888909</v>
      </c>
    </row>
    <row r="52" spans="1:35" ht="14.4" x14ac:dyDescent="0.3">
      <c r="A52" s="18">
        <v>213</v>
      </c>
      <c r="B52" s="18">
        <v>14</v>
      </c>
      <c r="C52">
        <f t="shared" si="0"/>
        <v>381</v>
      </c>
      <c r="D52" s="19">
        <v>223</v>
      </c>
      <c r="E52" s="19">
        <v>1</v>
      </c>
      <c r="F52" s="20">
        <f t="shared" si="1"/>
        <v>1069</v>
      </c>
      <c r="G52" s="16">
        <f t="shared" si="12"/>
        <v>213</v>
      </c>
      <c r="H52" s="16">
        <v>12</v>
      </c>
      <c r="I52" s="16">
        <f t="shared" si="2"/>
        <v>2</v>
      </c>
      <c r="J52" s="19">
        <f t="shared" si="3"/>
        <v>720</v>
      </c>
      <c r="K52" s="19">
        <f t="shared" si="4"/>
        <v>0.2</v>
      </c>
      <c r="L52" s="19">
        <f t="shared" si="5"/>
        <v>57050</v>
      </c>
      <c r="M52" s="19">
        <f t="shared" si="6"/>
        <v>15.84722222222222</v>
      </c>
      <c r="N52" s="19">
        <v>2</v>
      </c>
      <c r="O52" s="19">
        <f t="shared" si="7"/>
        <v>6</v>
      </c>
      <c r="P52" s="19">
        <f t="shared" si="8"/>
        <v>12</v>
      </c>
      <c r="Q52" s="19">
        <f t="shared" si="9"/>
        <v>970</v>
      </c>
      <c r="R52" s="19">
        <f t="shared" si="13"/>
        <v>396</v>
      </c>
      <c r="S52" s="19">
        <f t="shared" si="10"/>
        <v>0.11</v>
      </c>
      <c r="T52" s="19">
        <f t="shared" si="11"/>
        <v>8.9638888888888903</v>
      </c>
      <c r="AH52" s="34" t="s">
        <v>1679</v>
      </c>
      <c r="AI52" s="22"/>
    </row>
    <row r="53" spans="1:35" ht="14.4" x14ac:dyDescent="0.3">
      <c r="A53" s="18">
        <v>214</v>
      </c>
      <c r="B53" s="18">
        <v>12</v>
      </c>
      <c r="C53">
        <f t="shared" si="0"/>
        <v>384</v>
      </c>
      <c r="D53" s="19">
        <v>224</v>
      </c>
      <c r="E53" s="19">
        <v>3</v>
      </c>
      <c r="F53" s="20">
        <f t="shared" si="1"/>
        <v>1081</v>
      </c>
      <c r="G53" s="16">
        <f t="shared" si="12"/>
        <v>214</v>
      </c>
      <c r="H53" s="16">
        <v>10</v>
      </c>
      <c r="I53" s="16">
        <f t="shared" si="2"/>
        <v>2</v>
      </c>
      <c r="J53" s="19">
        <f t="shared" si="3"/>
        <v>620</v>
      </c>
      <c r="K53" s="19">
        <f t="shared" si="4"/>
        <v>0.17222222222222222</v>
      </c>
      <c r="L53" s="19">
        <f t="shared" si="5"/>
        <v>57670</v>
      </c>
      <c r="M53" s="19">
        <f t="shared" si="6"/>
        <v>16.019444444444442</v>
      </c>
      <c r="N53" s="19">
        <v>1</v>
      </c>
      <c r="O53" s="19">
        <f t="shared" si="7"/>
        <v>11</v>
      </c>
      <c r="P53" s="19">
        <f t="shared" si="8"/>
        <v>11</v>
      </c>
      <c r="Q53" s="19">
        <f t="shared" si="9"/>
        <v>981</v>
      </c>
      <c r="R53" s="19">
        <f t="shared" si="13"/>
        <v>363</v>
      </c>
      <c r="S53" s="19">
        <f t="shared" si="10"/>
        <v>0.10083333333333333</v>
      </c>
      <c r="T53" s="19">
        <f t="shared" si="11"/>
        <v>9.0647222222222243</v>
      </c>
      <c r="AH53" s="35" t="s">
        <v>1680</v>
      </c>
      <c r="AI53" s="36"/>
    </row>
    <row r="54" spans="1:35" ht="14.4" x14ac:dyDescent="0.3">
      <c r="A54" s="18">
        <v>215</v>
      </c>
      <c r="B54" s="18">
        <v>27</v>
      </c>
      <c r="C54">
        <f t="shared" si="0"/>
        <v>387</v>
      </c>
      <c r="D54" s="19">
        <v>229</v>
      </c>
      <c r="E54" s="19">
        <v>3</v>
      </c>
      <c r="F54" s="20">
        <f t="shared" si="1"/>
        <v>1108</v>
      </c>
      <c r="G54" s="16">
        <f t="shared" si="12"/>
        <v>215</v>
      </c>
      <c r="H54" s="16">
        <v>27</v>
      </c>
      <c r="I54" s="16">
        <f t="shared" si="2"/>
        <v>0</v>
      </c>
      <c r="J54" s="19">
        <f t="shared" si="3"/>
        <v>1350</v>
      </c>
      <c r="K54" s="19">
        <f t="shared" si="4"/>
        <v>0.375</v>
      </c>
      <c r="L54" s="19">
        <f t="shared" si="5"/>
        <v>59020</v>
      </c>
      <c r="M54" s="19">
        <f t="shared" si="6"/>
        <v>16.394444444444442</v>
      </c>
      <c r="N54" s="19">
        <v>1</v>
      </c>
      <c r="O54" s="19">
        <f t="shared" si="7"/>
        <v>26</v>
      </c>
      <c r="P54" s="19">
        <f t="shared" si="8"/>
        <v>26</v>
      </c>
      <c r="Q54" s="19">
        <f t="shared" si="9"/>
        <v>1007</v>
      </c>
      <c r="R54" s="19">
        <f t="shared" si="13"/>
        <v>858</v>
      </c>
      <c r="S54" s="19">
        <f t="shared" si="10"/>
        <v>0.23833333333333334</v>
      </c>
      <c r="T54" s="19">
        <f t="shared" si="11"/>
        <v>9.3030555555555576</v>
      </c>
      <c r="AH54" s="29" t="s">
        <v>1681</v>
      </c>
      <c r="AI54" s="26"/>
    </row>
    <row r="55" spans="1:35" ht="14.4" x14ac:dyDescent="0.3">
      <c r="A55" s="18">
        <v>216</v>
      </c>
      <c r="B55" s="18">
        <v>32</v>
      </c>
      <c r="C55">
        <f t="shared" si="0"/>
        <v>389</v>
      </c>
      <c r="D55" s="19">
        <v>230</v>
      </c>
      <c r="E55" s="19">
        <v>2</v>
      </c>
      <c r="F55" s="20">
        <f t="shared" si="1"/>
        <v>1140</v>
      </c>
      <c r="G55" s="16">
        <f t="shared" si="12"/>
        <v>216</v>
      </c>
      <c r="H55" s="16">
        <v>30</v>
      </c>
      <c r="I55" s="16">
        <f t="shared" si="2"/>
        <v>2</v>
      </c>
      <c r="J55" s="19">
        <f t="shared" si="3"/>
        <v>1620</v>
      </c>
      <c r="K55" s="19">
        <f t="shared" si="4"/>
        <v>0.45</v>
      </c>
      <c r="L55" s="19">
        <f t="shared" si="5"/>
        <v>60640</v>
      </c>
      <c r="M55" s="19">
        <f t="shared" si="6"/>
        <v>16.844444444444441</v>
      </c>
      <c r="N55" s="19">
        <v>1</v>
      </c>
      <c r="O55" s="19">
        <f t="shared" si="7"/>
        <v>31</v>
      </c>
      <c r="P55" s="19">
        <f t="shared" si="8"/>
        <v>31</v>
      </c>
      <c r="Q55" s="19">
        <f t="shared" si="9"/>
        <v>1038</v>
      </c>
      <c r="R55" s="19">
        <f t="shared" si="13"/>
        <v>1023</v>
      </c>
      <c r="S55" s="19">
        <f t="shared" si="10"/>
        <v>0.28416666666666668</v>
      </c>
      <c r="T55" s="19">
        <f t="shared" si="11"/>
        <v>9.5872222222222234</v>
      </c>
    </row>
    <row r="56" spans="1:35" ht="14.4" x14ac:dyDescent="0.3">
      <c r="A56" s="18">
        <v>217</v>
      </c>
      <c r="B56" s="18">
        <v>13</v>
      </c>
      <c r="C56">
        <f t="shared" si="0"/>
        <v>390</v>
      </c>
      <c r="D56" s="19">
        <v>231</v>
      </c>
      <c r="E56" s="19">
        <v>1</v>
      </c>
      <c r="F56" s="20">
        <f t="shared" si="1"/>
        <v>1153</v>
      </c>
      <c r="G56" s="16">
        <f t="shared" si="12"/>
        <v>217</v>
      </c>
      <c r="H56" s="16">
        <v>10</v>
      </c>
      <c r="I56" s="16">
        <f t="shared" si="2"/>
        <v>3</v>
      </c>
      <c r="J56" s="19">
        <f t="shared" si="3"/>
        <v>680</v>
      </c>
      <c r="K56" s="19">
        <f t="shared" si="4"/>
        <v>0.18888888888888888</v>
      </c>
      <c r="L56" s="19">
        <f t="shared" si="5"/>
        <v>61320</v>
      </c>
      <c r="M56" s="19">
        <f t="shared" si="6"/>
        <v>17.033333333333331</v>
      </c>
      <c r="N56" s="19">
        <v>2</v>
      </c>
      <c r="O56" s="19">
        <f t="shared" si="7"/>
        <v>5.5</v>
      </c>
      <c r="P56" s="19">
        <f t="shared" si="8"/>
        <v>11</v>
      </c>
      <c r="Q56" s="19">
        <f t="shared" si="9"/>
        <v>1049</v>
      </c>
      <c r="R56" s="19">
        <f t="shared" si="13"/>
        <v>363</v>
      </c>
      <c r="S56" s="19">
        <f t="shared" si="10"/>
        <v>0.10083333333333333</v>
      </c>
      <c r="T56" s="19">
        <f t="shared" si="11"/>
        <v>9.6880555555555574</v>
      </c>
    </row>
    <row r="57" spans="1:35" ht="14.4" x14ac:dyDescent="0.3">
      <c r="A57" s="18">
        <v>218</v>
      </c>
      <c r="B57" s="18">
        <v>22</v>
      </c>
      <c r="C57">
        <f t="shared" si="0"/>
        <v>391</v>
      </c>
      <c r="D57" s="19">
        <v>232</v>
      </c>
      <c r="E57" s="19">
        <v>1</v>
      </c>
      <c r="F57" s="20">
        <f t="shared" si="1"/>
        <v>1175</v>
      </c>
      <c r="G57" s="16">
        <f t="shared" si="12"/>
        <v>218</v>
      </c>
      <c r="H57" s="16">
        <v>20</v>
      </c>
      <c r="I57" s="16">
        <f t="shared" si="2"/>
        <v>2</v>
      </c>
      <c r="J57" s="19">
        <f t="shared" si="3"/>
        <v>1120</v>
      </c>
      <c r="K57" s="19">
        <f t="shared" si="4"/>
        <v>0.31111111111111112</v>
      </c>
      <c r="L57" s="19">
        <f t="shared" si="5"/>
        <v>62440</v>
      </c>
      <c r="M57" s="19">
        <f t="shared" si="6"/>
        <v>17.344444444444441</v>
      </c>
      <c r="N57" s="19">
        <v>1</v>
      </c>
      <c r="O57" s="19">
        <f t="shared" si="7"/>
        <v>21</v>
      </c>
      <c r="P57" s="19">
        <f t="shared" si="8"/>
        <v>21</v>
      </c>
      <c r="Q57" s="19">
        <f t="shared" si="9"/>
        <v>1070</v>
      </c>
      <c r="R57" s="19">
        <f t="shared" si="13"/>
        <v>693</v>
      </c>
      <c r="S57" s="19">
        <f t="shared" si="10"/>
        <v>0.1925</v>
      </c>
      <c r="T57" s="19">
        <f t="shared" si="11"/>
        <v>9.8805555555555582</v>
      </c>
    </row>
    <row r="58" spans="1:35" ht="14.4" x14ac:dyDescent="0.3">
      <c r="A58" s="18">
        <v>219</v>
      </c>
      <c r="B58" s="18">
        <v>23</v>
      </c>
      <c r="C58">
        <f t="shared" si="0"/>
        <v>393</v>
      </c>
      <c r="D58" s="19">
        <v>233</v>
      </c>
      <c r="E58" s="19">
        <v>2</v>
      </c>
      <c r="F58" s="20">
        <f t="shared" si="1"/>
        <v>1198</v>
      </c>
      <c r="G58" s="16">
        <f t="shared" si="12"/>
        <v>219</v>
      </c>
      <c r="H58" s="16">
        <v>21</v>
      </c>
      <c r="I58" s="16">
        <f t="shared" si="2"/>
        <v>2</v>
      </c>
      <c r="J58" s="19">
        <f t="shared" si="3"/>
        <v>1170</v>
      </c>
      <c r="K58" s="19">
        <f t="shared" si="4"/>
        <v>0.32500000000000001</v>
      </c>
      <c r="L58" s="19">
        <f t="shared" si="5"/>
        <v>63610</v>
      </c>
      <c r="M58" s="19">
        <f t="shared" si="6"/>
        <v>17.669444444444441</v>
      </c>
      <c r="N58" s="19">
        <v>2</v>
      </c>
      <c r="O58" s="19">
        <f t="shared" si="7"/>
        <v>10.5</v>
      </c>
      <c r="P58" s="19">
        <f t="shared" si="8"/>
        <v>21</v>
      </c>
      <c r="Q58" s="19">
        <f t="shared" si="9"/>
        <v>1091</v>
      </c>
      <c r="R58" s="19">
        <f t="shared" si="13"/>
        <v>693</v>
      </c>
      <c r="S58" s="19">
        <f t="shared" si="10"/>
        <v>0.1925</v>
      </c>
      <c r="T58" s="19">
        <f t="shared" si="11"/>
        <v>10.073055555555559</v>
      </c>
    </row>
    <row r="59" spans="1:35" ht="14.4" x14ac:dyDescent="0.3">
      <c r="A59" s="18">
        <v>220</v>
      </c>
      <c r="B59" s="18">
        <v>16</v>
      </c>
      <c r="C59">
        <f t="shared" si="0"/>
        <v>395</v>
      </c>
      <c r="D59" s="19">
        <v>234</v>
      </c>
      <c r="E59" s="19">
        <v>2</v>
      </c>
      <c r="F59" s="20">
        <f t="shared" si="1"/>
        <v>1214</v>
      </c>
      <c r="G59" s="16">
        <f t="shared" si="12"/>
        <v>220</v>
      </c>
      <c r="H59" s="16">
        <v>15</v>
      </c>
      <c r="I59" s="16">
        <f t="shared" si="2"/>
        <v>1</v>
      </c>
      <c r="J59" s="19">
        <f t="shared" si="3"/>
        <v>810</v>
      </c>
      <c r="K59" s="19">
        <f t="shared" si="4"/>
        <v>0.22500000000000001</v>
      </c>
      <c r="L59" s="19">
        <f t="shared" si="5"/>
        <v>64420</v>
      </c>
      <c r="M59" s="19">
        <f t="shared" si="6"/>
        <v>17.894444444444442</v>
      </c>
      <c r="N59" s="19">
        <v>1</v>
      </c>
      <c r="O59" s="19">
        <f t="shared" si="7"/>
        <v>15</v>
      </c>
      <c r="P59" s="19">
        <f t="shared" si="8"/>
        <v>15</v>
      </c>
      <c r="Q59" s="19">
        <f t="shared" si="9"/>
        <v>1106</v>
      </c>
      <c r="R59" s="19">
        <f t="shared" si="13"/>
        <v>495</v>
      </c>
      <c r="S59" s="19">
        <f t="shared" si="10"/>
        <v>0.13750000000000001</v>
      </c>
      <c r="T59" s="19">
        <f t="shared" si="11"/>
        <v>10.210555555555558</v>
      </c>
    </row>
    <row r="60" spans="1:35" ht="14.4" x14ac:dyDescent="0.3">
      <c r="A60" s="18">
        <v>221</v>
      </c>
      <c r="B60" s="18">
        <v>17</v>
      </c>
      <c r="C60">
        <f t="shared" si="0"/>
        <v>397</v>
      </c>
      <c r="D60" s="19">
        <v>236</v>
      </c>
      <c r="E60" s="19">
        <v>2</v>
      </c>
      <c r="F60" s="20">
        <f t="shared" si="1"/>
        <v>1231</v>
      </c>
      <c r="G60" s="16">
        <f t="shared" si="12"/>
        <v>221</v>
      </c>
      <c r="H60" s="16">
        <v>17</v>
      </c>
      <c r="I60" s="16">
        <f t="shared" si="2"/>
        <v>0</v>
      </c>
      <c r="J60" s="19">
        <f t="shared" si="3"/>
        <v>850</v>
      </c>
      <c r="K60" s="19">
        <f t="shared" si="4"/>
        <v>0.2361111111111111</v>
      </c>
      <c r="L60" s="19">
        <f t="shared" si="5"/>
        <v>65270</v>
      </c>
      <c r="M60" s="19">
        <f t="shared" si="6"/>
        <v>18.130555555555553</v>
      </c>
      <c r="N60" s="19">
        <v>2</v>
      </c>
      <c r="O60" s="19">
        <f t="shared" si="7"/>
        <v>7.5</v>
      </c>
      <c r="P60" s="19">
        <f t="shared" si="8"/>
        <v>15</v>
      </c>
      <c r="Q60" s="19">
        <f t="shared" si="9"/>
        <v>1121</v>
      </c>
      <c r="R60" s="19">
        <f t="shared" si="13"/>
        <v>495</v>
      </c>
      <c r="S60" s="19">
        <f t="shared" si="10"/>
        <v>0.13750000000000001</v>
      </c>
      <c r="T60" s="19">
        <f t="shared" si="11"/>
        <v>10.348055555555558</v>
      </c>
    </row>
    <row r="61" spans="1:35" ht="14.4" x14ac:dyDescent="0.3">
      <c r="A61" s="18">
        <v>222</v>
      </c>
      <c r="B61" s="18">
        <v>20</v>
      </c>
      <c r="C61">
        <f t="shared" si="0"/>
        <v>398</v>
      </c>
      <c r="D61" s="19">
        <v>237</v>
      </c>
      <c r="E61" s="19">
        <v>1</v>
      </c>
      <c r="F61" s="20">
        <f t="shared" si="1"/>
        <v>1251</v>
      </c>
      <c r="G61" s="16">
        <f t="shared" si="12"/>
        <v>222</v>
      </c>
      <c r="H61" s="16">
        <v>16</v>
      </c>
      <c r="I61" s="16">
        <f t="shared" si="2"/>
        <v>4</v>
      </c>
      <c r="J61" s="19">
        <f t="shared" si="3"/>
        <v>1040</v>
      </c>
      <c r="K61" s="19">
        <f t="shared" si="4"/>
        <v>0.28888888888888886</v>
      </c>
      <c r="L61" s="19">
        <f t="shared" si="5"/>
        <v>66310</v>
      </c>
      <c r="M61" s="19">
        <f t="shared" si="6"/>
        <v>18.419444444444441</v>
      </c>
      <c r="N61" s="19">
        <v>3</v>
      </c>
      <c r="O61" s="19">
        <f t="shared" si="7"/>
        <v>5.666666666666667</v>
      </c>
      <c r="P61" s="19">
        <f t="shared" si="8"/>
        <v>17</v>
      </c>
      <c r="Q61" s="19">
        <f t="shared" si="9"/>
        <v>1138</v>
      </c>
      <c r="R61" s="19">
        <f t="shared" si="13"/>
        <v>561</v>
      </c>
      <c r="S61" s="19">
        <f t="shared" si="10"/>
        <v>0.15583333333333332</v>
      </c>
      <c r="T61" s="19">
        <f t="shared" si="11"/>
        <v>10.503888888888891</v>
      </c>
    </row>
    <row r="62" spans="1:35" ht="14.4" x14ac:dyDescent="0.3">
      <c r="A62" s="18">
        <v>223</v>
      </c>
      <c r="B62" s="18">
        <v>30</v>
      </c>
      <c r="C62">
        <f t="shared" si="0"/>
        <v>399</v>
      </c>
      <c r="D62" s="19">
        <v>238</v>
      </c>
      <c r="E62" s="19">
        <v>1</v>
      </c>
      <c r="F62" s="20">
        <f t="shared" si="1"/>
        <v>1281</v>
      </c>
      <c r="G62" s="16">
        <f t="shared" si="12"/>
        <v>223</v>
      </c>
      <c r="H62" s="16">
        <v>29</v>
      </c>
      <c r="I62" s="16">
        <f t="shared" si="2"/>
        <v>1</v>
      </c>
      <c r="J62" s="19">
        <f t="shared" si="3"/>
        <v>1510</v>
      </c>
      <c r="K62" s="19">
        <f t="shared" si="4"/>
        <v>0.41944444444444445</v>
      </c>
      <c r="L62" s="19">
        <f t="shared" si="5"/>
        <v>67820</v>
      </c>
      <c r="M62" s="19">
        <f t="shared" si="6"/>
        <v>18.838888888888885</v>
      </c>
      <c r="N62" s="19">
        <v>1</v>
      </c>
      <c r="O62" s="19">
        <f t="shared" si="7"/>
        <v>29</v>
      </c>
      <c r="P62" s="19">
        <f t="shared" si="8"/>
        <v>29</v>
      </c>
      <c r="Q62" s="19">
        <f t="shared" si="9"/>
        <v>1167</v>
      </c>
      <c r="R62" s="19">
        <f t="shared" si="13"/>
        <v>957</v>
      </c>
      <c r="S62" s="19">
        <f t="shared" si="10"/>
        <v>0.26583333333333331</v>
      </c>
      <c r="T62" s="19">
        <f t="shared" si="11"/>
        <v>10.769722222222224</v>
      </c>
    </row>
    <row r="63" spans="1:35" ht="14.4" x14ac:dyDescent="0.3">
      <c r="A63" s="18">
        <v>224</v>
      </c>
      <c r="B63" s="18">
        <v>13</v>
      </c>
      <c r="C63">
        <f t="shared" si="0"/>
        <v>400</v>
      </c>
      <c r="D63" s="19">
        <v>240</v>
      </c>
      <c r="E63" s="19">
        <v>1</v>
      </c>
      <c r="F63" s="20">
        <f t="shared" si="1"/>
        <v>1294</v>
      </c>
      <c r="G63" s="16">
        <f t="shared" si="12"/>
        <v>224</v>
      </c>
      <c r="H63" s="16">
        <v>10</v>
      </c>
      <c r="I63" s="16">
        <f t="shared" si="2"/>
        <v>3</v>
      </c>
      <c r="J63" s="19">
        <f t="shared" si="3"/>
        <v>680</v>
      </c>
      <c r="K63" s="19">
        <f t="shared" si="4"/>
        <v>0.18888888888888888</v>
      </c>
      <c r="L63" s="19">
        <f t="shared" si="5"/>
        <v>68500</v>
      </c>
      <c r="M63" s="19">
        <f t="shared" si="6"/>
        <v>19.027777777777775</v>
      </c>
      <c r="N63" s="19">
        <v>2</v>
      </c>
      <c r="O63" s="19">
        <f t="shared" si="7"/>
        <v>5.5</v>
      </c>
      <c r="P63" s="19">
        <f t="shared" si="8"/>
        <v>11</v>
      </c>
      <c r="Q63" s="19">
        <f t="shared" si="9"/>
        <v>1178</v>
      </c>
      <c r="R63" s="19">
        <f t="shared" si="13"/>
        <v>363</v>
      </c>
      <c r="S63" s="19">
        <f t="shared" si="10"/>
        <v>0.10083333333333333</v>
      </c>
      <c r="T63" s="19">
        <f t="shared" si="11"/>
        <v>10.870555555555558</v>
      </c>
    </row>
    <row r="64" spans="1:35" ht="14.4" x14ac:dyDescent="0.3">
      <c r="A64" s="18">
        <v>225</v>
      </c>
      <c r="B64" s="18">
        <v>11</v>
      </c>
      <c r="C64">
        <f t="shared" si="0"/>
        <v>401</v>
      </c>
      <c r="D64" s="19">
        <v>251</v>
      </c>
      <c r="E64" s="19">
        <v>1</v>
      </c>
      <c r="F64" s="20">
        <f t="shared" si="1"/>
        <v>1305</v>
      </c>
      <c r="G64" s="16">
        <f t="shared" si="12"/>
        <v>225</v>
      </c>
      <c r="H64" s="16">
        <v>11</v>
      </c>
      <c r="I64" s="16">
        <f t="shared" si="2"/>
        <v>0</v>
      </c>
      <c r="J64" s="19">
        <f t="shared" si="3"/>
        <v>550</v>
      </c>
      <c r="K64" s="19">
        <f t="shared" si="4"/>
        <v>0.15277777777777779</v>
      </c>
      <c r="L64" s="19">
        <f t="shared" si="5"/>
        <v>69050</v>
      </c>
      <c r="M64" s="19">
        <f t="shared" si="6"/>
        <v>19.180555555555554</v>
      </c>
      <c r="N64" s="19">
        <v>1</v>
      </c>
      <c r="O64" s="19">
        <f t="shared" si="7"/>
        <v>10</v>
      </c>
      <c r="P64" s="19">
        <f t="shared" si="8"/>
        <v>10</v>
      </c>
      <c r="Q64" s="19">
        <f t="shared" si="9"/>
        <v>1188</v>
      </c>
      <c r="R64" s="19">
        <f t="shared" si="13"/>
        <v>330</v>
      </c>
      <c r="S64" s="19">
        <f t="shared" si="10"/>
        <v>9.166666666666666E-2</v>
      </c>
      <c r="T64" s="19">
        <f t="shared" si="11"/>
        <v>10.962222222222225</v>
      </c>
    </row>
    <row r="65" spans="1:20" ht="14.4" x14ac:dyDescent="0.3">
      <c r="A65" s="18">
        <v>226</v>
      </c>
      <c r="B65" s="18">
        <v>17</v>
      </c>
      <c r="D65" s="19"/>
      <c r="E65" s="19"/>
      <c r="F65" s="20">
        <f t="shared" si="1"/>
        <v>1322</v>
      </c>
      <c r="G65" s="16">
        <f t="shared" si="12"/>
        <v>226</v>
      </c>
      <c r="H65" s="16">
        <v>17</v>
      </c>
      <c r="I65" s="16">
        <f t="shared" si="2"/>
        <v>0</v>
      </c>
      <c r="J65" s="19">
        <f t="shared" si="3"/>
        <v>850</v>
      </c>
      <c r="K65" s="19">
        <f t="shared" si="4"/>
        <v>0.2361111111111111</v>
      </c>
      <c r="L65" s="19">
        <f t="shared" si="5"/>
        <v>69900</v>
      </c>
      <c r="M65" s="19">
        <f t="shared" si="6"/>
        <v>19.416666666666664</v>
      </c>
      <c r="N65" s="19">
        <v>3</v>
      </c>
      <c r="O65" s="19">
        <f t="shared" si="7"/>
        <v>4.666666666666667</v>
      </c>
      <c r="P65" s="19">
        <f t="shared" si="8"/>
        <v>14</v>
      </c>
      <c r="Q65" s="19">
        <f t="shared" si="9"/>
        <v>1202</v>
      </c>
      <c r="R65" s="19">
        <f t="shared" si="13"/>
        <v>462</v>
      </c>
      <c r="S65" s="19">
        <f t="shared" si="10"/>
        <v>0.12833333333333333</v>
      </c>
      <c r="T65" s="19">
        <f t="shared" si="11"/>
        <v>11.090555555555559</v>
      </c>
    </row>
    <row r="66" spans="1:20" ht="14.4" x14ac:dyDescent="0.3">
      <c r="A66" s="18">
        <v>227</v>
      </c>
      <c r="B66" s="18">
        <v>23</v>
      </c>
      <c r="D66" s="19"/>
      <c r="E66" s="19"/>
      <c r="F66" s="20">
        <f t="shared" si="1"/>
        <v>1345</v>
      </c>
      <c r="G66" s="16">
        <f t="shared" si="12"/>
        <v>227</v>
      </c>
      <c r="H66" s="16">
        <v>23</v>
      </c>
      <c r="I66" s="16">
        <f t="shared" si="2"/>
        <v>0</v>
      </c>
      <c r="J66" s="19">
        <f t="shared" si="3"/>
        <v>1150</v>
      </c>
      <c r="K66" s="19">
        <f t="shared" si="4"/>
        <v>0.31944444444444442</v>
      </c>
      <c r="L66" s="19">
        <f t="shared" si="5"/>
        <v>71050</v>
      </c>
      <c r="M66" s="19">
        <f t="shared" si="6"/>
        <v>19.736111111111107</v>
      </c>
      <c r="N66" s="19">
        <v>4</v>
      </c>
      <c r="O66" s="19">
        <f t="shared" si="7"/>
        <v>4.75</v>
      </c>
      <c r="P66" s="19">
        <f t="shared" si="8"/>
        <v>19</v>
      </c>
      <c r="Q66" s="19">
        <f t="shared" si="9"/>
        <v>1221</v>
      </c>
      <c r="R66" s="19">
        <f t="shared" si="13"/>
        <v>627</v>
      </c>
      <c r="S66" s="19">
        <f t="shared" si="10"/>
        <v>0.17416666666666666</v>
      </c>
      <c r="T66" s="19">
        <f t="shared" si="11"/>
        <v>11.264722222222225</v>
      </c>
    </row>
    <row r="67" spans="1:20" ht="14.4" x14ac:dyDescent="0.3">
      <c r="A67" s="18">
        <v>228</v>
      </c>
      <c r="B67" s="18">
        <v>23</v>
      </c>
      <c r="D67" s="19"/>
      <c r="E67" s="19"/>
      <c r="F67" s="20">
        <f t="shared" si="1"/>
        <v>1368</v>
      </c>
      <c r="G67" s="16">
        <f t="shared" si="12"/>
        <v>228</v>
      </c>
      <c r="H67" s="16">
        <v>23</v>
      </c>
      <c r="I67" s="16">
        <f t="shared" si="2"/>
        <v>0</v>
      </c>
      <c r="J67" s="19">
        <f t="shared" si="3"/>
        <v>1150</v>
      </c>
      <c r="K67" s="19">
        <f t="shared" si="4"/>
        <v>0.31944444444444442</v>
      </c>
      <c r="L67" s="19">
        <f t="shared" si="5"/>
        <v>72200</v>
      </c>
      <c r="M67" s="19">
        <f t="shared" si="6"/>
        <v>20.05555555555555</v>
      </c>
      <c r="N67" s="19">
        <v>1</v>
      </c>
      <c r="O67" s="19">
        <f t="shared" si="7"/>
        <v>22</v>
      </c>
      <c r="P67" s="19">
        <f t="shared" si="8"/>
        <v>22</v>
      </c>
      <c r="Q67" s="19">
        <f t="shared" si="9"/>
        <v>1243</v>
      </c>
      <c r="R67" s="19">
        <f t="shared" si="13"/>
        <v>726</v>
      </c>
      <c r="S67" s="19">
        <f t="shared" si="10"/>
        <v>0.20166666666666666</v>
      </c>
      <c r="T67" s="19">
        <f t="shared" si="11"/>
        <v>11.466388888888892</v>
      </c>
    </row>
    <row r="68" spans="1:20" ht="14.4" x14ac:dyDescent="0.3">
      <c r="A68" s="18">
        <v>229</v>
      </c>
      <c r="B68" s="18">
        <v>21</v>
      </c>
      <c r="D68" s="19"/>
      <c r="E68" s="19"/>
      <c r="F68" s="20">
        <f t="shared" si="1"/>
        <v>1389</v>
      </c>
      <c r="G68" s="16">
        <f t="shared" si="12"/>
        <v>229</v>
      </c>
      <c r="H68" s="16">
        <v>18</v>
      </c>
      <c r="I68" s="16">
        <f t="shared" si="2"/>
        <v>3</v>
      </c>
      <c r="J68" s="19">
        <f t="shared" si="3"/>
        <v>1080</v>
      </c>
      <c r="K68" s="19">
        <f t="shared" si="4"/>
        <v>0.3</v>
      </c>
      <c r="L68" s="19">
        <f t="shared" si="5"/>
        <v>73280</v>
      </c>
      <c r="M68" s="19">
        <f t="shared" si="6"/>
        <v>20.355555555555551</v>
      </c>
      <c r="N68" s="19">
        <v>3</v>
      </c>
      <c r="O68" s="19">
        <f t="shared" si="7"/>
        <v>6</v>
      </c>
      <c r="P68" s="19">
        <f t="shared" si="8"/>
        <v>18</v>
      </c>
      <c r="Q68" s="19">
        <f t="shared" si="9"/>
        <v>1261</v>
      </c>
      <c r="R68" s="19">
        <f t="shared" si="13"/>
        <v>594</v>
      </c>
      <c r="S68" s="19">
        <f t="shared" si="10"/>
        <v>0.16500000000000001</v>
      </c>
      <c r="T68" s="19">
        <f t="shared" si="11"/>
        <v>11.631388888888891</v>
      </c>
    </row>
    <row r="69" spans="1:20" ht="14.4" x14ac:dyDescent="0.3">
      <c r="A69" s="18">
        <v>230</v>
      </c>
      <c r="B69" s="18">
        <v>20</v>
      </c>
      <c r="D69" s="19"/>
      <c r="E69" s="19"/>
      <c r="F69" s="20">
        <f t="shared" si="1"/>
        <v>1409</v>
      </c>
      <c r="G69" s="16">
        <f t="shared" si="12"/>
        <v>230</v>
      </c>
      <c r="H69" s="16">
        <v>18</v>
      </c>
      <c r="I69" s="16">
        <f t="shared" si="2"/>
        <v>2</v>
      </c>
      <c r="J69" s="19">
        <f t="shared" si="3"/>
        <v>1020</v>
      </c>
      <c r="K69" s="19">
        <f t="shared" si="4"/>
        <v>0.28333333333333333</v>
      </c>
      <c r="L69" s="19">
        <f t="shared" si="5"/>
        <v>74300</v>
      </c>
      <c r="M69" s="19">
        <f t="shared" si="6"/>
        <v>20.638888888888886</v>
      </c>
      <c r="N69" s="19">
        <v>2</v>
      </c>
      <c r="O69" s="19">
        <f t="shared" si="7"/>
        <v>9</v>
      </c>
      <c r="P69" s="19">
        <f t="shared" si="8"/>
        <v>18</v>
      </c>
      <c r="Q69" s="19">
        <f t="shared" si="9"/>
        <v>1279</v>
      </c>
      <c r="R69" s="19">
        <f t="shared" si="13"/>
        <v>594</v>
      </c>
      <c r="S69" s="19">
        <f t="shared" si="10"/>
        <v>0.16500000000000001</v>
      </c>
      <c r="T69" s="19">
        <f t="shared" si="11"/>
        <v>11.79638888888889</v>
      </c>
    </row>
    <row r="70" spans="1:20" ht="14.4" x14ac:dyDescent="0.3">
      <c r="A70" s="18">
        <v>231</v>
      </c>
      <c r="B70" s="18">
        <v>13</v>
      </c>
      <c r="D70" s="19"/>
      <c r="E70" s="19"/>
      <c r="F70" s="20">
        <f t="shared" si="1"/>
        <v>1422</v>
      </c>
      <c r="G70" s="16">
        <f t="shared" si="12"/>
        <v>231</v>
      </c>
      <c r="H70" s="16">
        <v>12</v>
      </c>
      <c r="I70" s="16">
        <f t="shared" si="2"/>
        <v>1</v>
      </c>
      <c r="J70" s="19">
        <f t="shared" si="3"/>
        <v>660</v>
      </c>
      <c r="K70" s="19">
        <f t="shared" si="4"/>
        <v>0.18333333333333332</v>
      </c>
      <c r="L70" s="19">
        <f t="shared" si="5"/>
        <v>74960</v>
      </c>
      <c r="M70" s="19">
        <f t="shared" si="6"/>
        <v>20.822222222222219</v>
      </c>
      <c r="N70" s="19">
        <v>3</v>
      </c>
      <c r="O70" s="19">
        <f t="shared" si="7"/>
        <v>3.3333333333333335</v>
      </c>
      <c r="P70" s="19">
        <f t="shared" si="8"/>
        <v>10</v>
      </c>
      <c r="Q70" s="19">
        <f t="shared" si="9"/>
        <v>1289</v>
      </c>
      <c r="R70" s="19">
        <f t="shared" si="13"/>
        <v>330</v>
      </c>
      <c r="S70" s="19">
        <f t="shared" si="10"/>
        <v>9.166666666666666E-2</v>
      </c>
      <c r="T70" s="19">
        <f t="shared" si="11"/>
        <v>11.888055555555557</v>
      </c>
    </row>
    <row r="71" spans="1:20" ht="14.4" x14ac:dyDescent="0.3">
      <c r="A71" s="18">
        <v>232</v>
      </c>
      <c r="B71" s="18">
        <v>16</v>
      </c>
      <c r="D71" s="19"/>
      <c r="E71" s="19"/>
      <c r="F71" s="20">
        <f t="shared" si="1"/>
        <v>1438</v>
      </c>
      <c r="G71" s="16">
        <f t="shared" si="12"/>
        <v>232</v>
      </c>
      <c r="H71" s="16">
        <v>15</v>
      </c>
      <c r="I71" s="16">
        <f t="shared" si="2"/>
        <v>1</v>
      </c>
      <c r="J71" s="19">
        <f t="shared" si="3"/>
        <v>810</v>
      </c>
      <c r="K71" s="19">
        <f t="shared" si="4"/>
        <v>0.22500000000000001</v>
      </c>
      <c r="L71" s="19">
        <f t="shared" si="5"/>
        <v>75770</v>
      </c>
      <c r="M71" s="19">
        <f t="shared" si="6"/>
        <v>21.047222222222221</v>
      </c>
      <c r="N71" s="19">
        <v>2</v>
      </c>
      <c r="O71" s="19">
        <f t="shared" si="7"/>
        <v>7</v>
      </c>
      <c r="P71" s="19">
        <f t="shared" si="8"/>
        <v>14</v>
      </c>
      <c r="Q71" s="19">
        <f t="shared" si="9"/>
        <v>1303</v>
      </c>
      <c r="R71" s="19">
        <f t="shared" si="13"/>
        <v>462</v>
      </c>
      <c r="S71" s="19">
        <f t="shared" si="10"/>
        <v>0.12833333333333333</v>
      </c>
      <c r="T71" s="19">
        <f t="shared" si="11"/>
        <v>12.016388888888891</v>
      </c>
    </row>
    <row r="72" spans="1:20" ht="14.4" x14ac:dyDescent="0.3">
      <c r="A72" s="18">
        <v>233</v>
      </c>
      <c r="B72" s="18">
        <v>23</v>
      </c>
      <c r="D72" s="19"/>
      <c r="E72" s="19"/>
      <c r="F72" s="20">
        <f t="shared" si="1"/>
        <v>1461</v>
      </c>
      <c r="G72" s="16">
        <f t="shared" si="12"/>
        <v>233</v>
      </c>
      <c r="H72" s="16">
        <v>21</v>
      </c>
      <c r="I72" s="16">
        <f t="shared" si="2"/>
        <v>2</v>
      </c>
      <c r="J72" s="19">
        <f t="shared" si="3"/>
        <v>1170</v>
      </c>
      <c r="K72" s="19">
        <f t="shared" si="4"/>
        <v>0.32500000000000001</v>
      </c>
      <c r="L72" s="19">
        <f t="shared" si="5"/>
        <v>76940</v>
      </c>
      <c r="M72" s="19">
        <f t="shared" si="6"/>
        <v>21.37222222222222</v>
      </c>
      <c r="N72" s="19">
        <v>2</v>
      </c>
      <c r="O72" s="19">
        <f t="shared" si="7"/>
        <v>10.5</v>
      </c>
      <c r="P72" s="19">
        <f t="shared" si="8"/>
        <v>21</v>
      </c>
      <c r="Q72" s="19">
        <f t="shared" si="9"/>
        <v>1324</v>
      </c>
      <c r="R72" s="19">
        <f t="shared" si="13"/>
        <v>693</v>
      </c>
      <c r="S72" s="19">
        <f t="shared" si="10"/>
        <v>0.1925</v>
      </c>
      <c r="T72" s="19">
        <f t="shared" si="11"/>
        <v>12.208888888888891</v>
      </c>
    </row>
    <row r="73" spans="1:20" ht="14.4" x14ac:dyDescent="0.3">
      <c r="A73" s="18">
        <v>234</v>
      </c>
      <c r="B73" s="18">
        <v>20</v>
      </c>
      <c r="D73" s="19"/>
      <c r="E73" s="19"/>
      <c r="F73" s="20">
        <f t="shared" si="1"/>
        <v>1481</v>
      </c>
      <c r="G73" s="16">
        <f t="shared" si="12"/>
        <v>234</v>
      </c>
      <c r="H73" s="16">
        <v>18</v>
      </c>
      <c r="I73" s="16">
        <f t="shared" si="2"/>
        <v>2</v>
      </c>
      <c r="J73" s="19">
        <f t="shared" si="3"/>
        <v>1020</v>
      </c>
      <c r="K73" s="19">
        <f t="shared" si="4"/>
        <v>0.28333333333333333</v>
      </c>
      <c r="L73" s="19">
        <f t="shared" si="5"/>
        <v>77960</v>
      </c>
      <c r="M73" s="19">
        <f t="shared" si="6"/>
        <v>21.655555555555555</v>
      </c>
      <c r="N73" s="19">
        <v>1</v>
      </c>
      <c r="O73" s="19">
        <f t="shared" si="7"/>
        <v>19</v>
      </c>
      <c r="P73" s="19">
        <f t="shared" si="8"/>
        <v>19</v>
      </c>
      <c r="Q73" s="19">
        <f t="shared" si="9"/>
        <v>1343</v>
      </c>
      <c r="R73" s="19">
        <f t="shared" si="13"/>
        <v>627</v>
      </c>
      <c r="S73" s="19">
        <f t="shared" si="10"/>
        <v>0.17416666666666666</v>
      </c>
      <c r="T73" s="19">
        <f t="shared" si="11"/>
        <v>12.383055555555558</v>
      </c>
    </row>
    <row r="74" spans="1:20" ht="14.4" x14ac:dyDescent="0.3">
      <c r="A74" s="18">
        <v>235</v>
      </c>
      <c r="B74" s="18">
        <v>18</v>
      </c>
      <c r="D74" s="19"/>
      <c r="E74" s="19"/>
      <c r="F74" s="20">
        <f t="shared" si="1"/>
        <v>1499</v>
      </c>
      <c r="G74" s="16">
        <f t="shared" si="12"/>
        <v>235</v>
      </c>
      <c r="H74" s="16">
        <v>18</v>
      </c>
      <c r="I74" s="16">
        <f t="shared" si="2"/>
        <v>0</v>
      </c>
      <c r="J74" s="19">
        <f t="shared" si="3"/>
        <v>900</v>
      </c>
      <c r="K74" s="19">
        <f t="shared" si="4"/>
        <v>0.25</v>
      </c>
      <c r="L74" s="19">
        <f t="shared" si="5"/>
        <v>78860</v>
      </c>
      <c r="M74" s="19">
        <f t="shared" si="6"/>
        <v>21.905555555555555</v>
      </c>
      <c r="N74" s="19">
        <v>2</v>
      </c>
      <c r="O74" s="19">
        <f t="shared" si="7"/>
        <v>8</v>
      </c>
      <c r="P74" s="19">
        <f t="shared" si="8"/>
        <v>16</v>
      </c>
      <c r="Q74" s="19">
        <f t="shared" si="9"/>
        <v>1359</v>
      </c>
      <c r="R74" s="19">
        <f t="shared" si="13"/>
        <v>528</v>
      </c>
      <c r="S74" s="19">
        <f t="shared" si="10"/>
        <v>0.14666666666666667</v>
      </c>
      <c r="T74" s="19">
        <f t="shared" si="11"/>
        <v>12.529722222222224</v>
      </c>
    </row>
    <row r="75" spans="1:20" ht="14.4" x14ac:dyDescent="0.3">
      <c r="A75" s="18">
        <v>236</v>
      </c>
      <c r="B75" s="18">
        <v>16</v>
      </c>
      <c r="D75" s="19"/>
      <c r="E75" s="19"/>
      <c r="F75" s="20">
        <f t="shared" si="1"/>
        <v>1515</v>
      </c>
      <c r="G75" s="16">
        <f t="shared" si="12"/>
        <v>236</v>
      </c>
      <c r="H75" s="16">
        <v>14</v>
      </c>
      <c r="I75" s="16">
        <f t="shared" si="2"/>
        <v>2</v>
      </c>
      <c r="J75" s="19">
        <f t="shared" si="3"/>
        <v>820</v>
      </c>
      <c r="K75" s="19">
        <f t="shared" si="4"/>
        <v>0.22777777777777777</v>
      </c>
      <c r="L75" s="19">
        <f t="shared" si="5"/>
        <v>79680</v>
      </c>
      <c r="M75" s="19">
        <f t="shared" si="6"/>
        <v>22.133333333333333</v>
      </c>
      <c r="N75" s="19">
        <v>2</v>
      </c>
      <c r="O75" s="19">
        <f t="shared" si="7"/>
        <v>7</v>
      </c>
      <c r="P75" s="19">
        <f t="shared" si="8"/>
        <v>14</v>
      </c>
      <c r="Q75" s="19">
        <f t="shared" si="9"/>
        <v>1373</v>
      </c>
      <c r="R75" s="19">
        <f t="shared" si="13"/>
        <v>462</v>
      </c>
      <c r="S75" s="19">
        <f t="shared" si="10"/>
        <v>0.12833333333333333</v>
      </c>
      <c r="T75" s="19">
        <f t="shared" si="11"/>
        <v>12.658055555555558</v>
      </c>
    </row>
    <row r="76" spans="1:20" ht="14.4" x14ac:dyDescent="0.3">
      <c r="A76" s="18">
        <v>237</v>
      </c>
      <c r="B76" s="18">
        <v>24</v>
      </c>
      <c r="D76" s="19"/>
      <c r="E76" s="19"/>
      <c r="F76" s="20">
        <f t="shared" si="1"/>
        <v>1539</v>
      </c>
      <c r="G76" s="16">
        <f t="shared" si="12"/>
        <v>237</v>
      </c>
      <c r="H76" s="16">
        <v>23</v>
      </c>
      <c r="I76" s="16">
        <f t="shared" si="2"/>
        <v>1</v>
      </c>
      <c r="J76" s="19">
        <f t="shared" si="3"/>
        <v>1210</v>
      </c>
      <c r="K76" s="19">
        <f t="shared" si="4"/>
        <v>0.33611111111111114</v>
      </c>
      <c r="L76" s="19">
        <f t="shared" si="5"/>
        <v>80890</v>
      </c>
      <c r="M76" s="19">
        <f t="shared" si="6"/>
        <v>22.469444444444445</v>
      </c>
      <c r="N76" s="19">
        <v>2</v>
      </c>
      <c r="O76" s="19">
        <f t="shared" si="7"/>
        <v>11</v>
      </c>
      <c r="P76" s="19">
        <f t="shared" si="8"/>
        <v>22</v>
      </c>
      <c r="Q76" s="19">
        <f t="shared" si="9"/>
        <v>1395</v>
      </c>
      <c r="R76" s="19">
        <f t="shared" si="13"/>
        <v>726</v>
      </c>
      <c r="S76" s="19">
        <f t="shared" si="10"/>
        <v>0.20166666666666666</v>
      </c>
      <c r="T76" s="19">
        <f t="shared" si="11"/>
        <v>12.859722222222224</v>
      </c>
    </row>
    <row r="77" spans="1:20" ht="14.4" x14ac:dyDescent="0.3">
      <c r="A77" s="18">
        <v>238</v>
      </c>
      <c r="B77" s="18">
        <v>17</v>
      </c>
      <c r="D77" s="19"/>
      <c r="E77" s="19"/>
      <c r="F77" s="20">
        <f t="shared" si="1"/>
        <v>1556</v>
      </c>
      <c r="G77" s="16">
        <f t="shared" si="12"/>
        <v>238</v>
      </c>
      <c r="H77" s="16">
        <v>16</v>
      </c>
      <c r="I77" s="16">
        <f t="shared" si="2"/>
        <v>1</v>
      </c>
      <c r="J77" s="19">
        <f t="shared" si="3"/>
        <v>860</v>
      </c>
      <c r="K77" s="19">
        <f t="shared" si="4"/>
        <v>0.2388888888888889</v>
      </c>
      <c r="L77" s="19">
        <f t="shared" si="5"/>
        <v>81750</v>
      </c>
      <c r="M77" s="19">
        <f t="shared" si="6"/>
        <v>22.708333333333332</v>
      </c>
      <c r="N77" s="19">
        <v>0</v>
      </c>
      <c r="O77" s="19">
        <v>0</v>
      </c>
      <c r="P77" s="19">
        <v>0</v>
      </c>
      <c r="Q77" s="19">
        <f t="shared" si="9"/>
        <v>1395</v>
      </c>
      <c r="R77" s="19">
        <f t="shared" si="13"/>
        <v>0</v>
      </c>
      <c r="S77" s="19">
        <f t="shared" si="10"/>
        <v>0</v>
      </c>
      <c r="T77" s="19">
        <f t="shared" si="11"/>
        <v>12.859722222222224</v>
      </c>
    </row>
    <row r="78" spans="1:20" ht="14.4" x14ac:dyDescent="0.3">
      <c r="A78" s="18">
        <v>239</v>
      </c>
      <c r="B78" s="18">
        <v>12</v>
      </c>
      <c r="D78" s="19"/>
      <c r="E78" s="19"/>
      <c r="F78" s="20">
        <f t="shared" si="1"/>
        <v>1568</v>
      </c>
      <c r="G78" s="16">
        <f t="shared" si="12"/>
        <v>239</v>
      </c>
      <c r="H78" s="16">
        <v>12</v>
      </c>
      <c r="I78" s="16">
        <f t="shared" si="2"/>
        <v>0</v>
      </c>
      <c r="J78" s="19">
        <f t="shared" si="3"/>
        <v>600</v>
      </c>
      <c r="K78" s="19">
        <f t="shared" si="4"/>
        <v>0.16666666666666666</v>
      </c>
      <c r="L78" s="19">
        <f t="shared" si="5"/>
        <v>82350</v>
      </c>
      <c r="M78" s="19">
        <f t="shared" si="6"/>
        <v>22.875</v>
      </c>
      <c r="N78" s="19">
        <v>0</v>
      </c>
      <c r="O78" s="19">
        <v>0</v>
      </c>
      <c r="P78" s="19">
        <v>0</v>
      </c>
      <c r="Q78" s="19">
        <f t="shared" si="9"/>
        <v>1395</v>
      </c>
      <c r="R78" s="19">
        <f t="shared" si="13"/>
        <v>0</v>
      </c>
      <c r="S78" s="19">
        <f t="shared" si="10"/>
        <v>0</v>
      </c>
      <c r="T78" s="19">
        <f t="shared" si="11"/>
        <v>12.859722222222224</v>
      </c>
    </row>
    <row r="79" spans="1:20" ht="14.4" x14ac:dyDescent="0.3">
      <c r="A79" s="18">
        <v>240</v>
      </c>
      <c r="B79" s="18">
        <v>11</v>
      </c>
      <c r="D79" s="19"/>
      <c r="E79" s="19"/>
      <c r="F79" s="20">
        <f t="shared" si="1"/>
        <v>1579</v>
      </c>
      <c r="G79" s="16">
        <f t="shared" si="12"/>
        <v>240</v>
      </c>
      <c r="H79" s="16">
        <v>10</v>
      </c>
      <c r="I79" s="16">
        <f t="shared" si="2"/>
        <v>1</v>
      </c>
      <c r="J79" s="19">
        <f t="shared" si="3"/>
        <v>560</v>
      </c>
      <c r="K79" s="19">
        <f t="shared" si="4"/>
        <v>0.15555555555555556</v>
      </c>
      <c r="L79" s="19">
        <f t="shared" si="5"/>
        <v>82910</v>
      </c>
      <c r="M79" s="19">
        <f t="shared" si="6"/>
        <v>23.030555555555555</v>
      </c>
      <c r="N79" s="19">
        <v>0</v>
      </c>
      <c r="O79" s="19">
        <v>0</v>
      </c>
      <c r="P79" s="19">
        <v>0</v>
      </c>
      <c r="Q79" s="19">
        <f t="shared" si="9"/>
        <v>1395</v>
      </c>
      <c r="R79" s="19">
        <f t="shared" si="13"/>
        <v>0</v>
      </c>
      <c r="S79" s="19">
        <f t="shared" si="10"/>
        <v>0</v>
      </c>
      <c r="T79" s="19">
        <f t="shared" si="11"/>
        <v>12.859722222222224</v>
      </c>
    </row>
    <row r="80" spans="1:20" ht="14.4" x14ac:dyDescent="0.3">
      <c r="A80" s="18">
        <v>241</v>
      </c>
      <c r="B80" s="18">
        <v>13</v>
      </c>
      <c r="D80" s="19"/>
      <c r="E80" s="19"/>
      <c r="F80" s="20">
        <f t="shared" si="1"/>
        <v>1592</v>
      </c>
      <c r="G80" s="16">
        <f t="shared" si="12"/>
        <v>241</v>
      </c>
      <c r="H80" s="16">
        <v>13</v>
      </c>
      <c r="I80" s="16">
        <f t="shared" si="2"/>
        <v>0</v>
      </c>
      <c r="J80" s="19">
        <f t="shared" si="3"/>
        <v>650</v>
      </c>
      <c r="K80" s="19">
        <f t="shared" si="4"/>
        <v>0.18055555555555555</v>
      </c>
      <c r="L80" s="19">
        <f t="shared" si="5"/>
        <v>83560</v>
      </c>
      <c r="M80" s="19">
        <f t="shared" si="6"/>
        <v>23.211111111111112</v>
      </c>
      <c r="N80" s="19">
        <v>0</v>
      </c>
      <c r="O80" s="19">
        <v>0</v>
      </c>
      <c r="P80" s="19">
        <v>0</v>
      </c>
      <c r="Q80" s="19">
        <f t="shared" si="9"/>
        <v>1395</v>
      </c>
      <c r="R80" s="19">
        <f t="shared" si="13"/>
        <v>0</v>
      </c>
      <c r="S80" s="19">
        <f t="shared" si="10"/>
        <v>0</v>
      </c>
      <c r="T80" s="19">
        <f t="shared" si="11"/>
        <v>12.859722222222224</v>
      </c>
    </row>
    <row r="81" spans="1:20" ht="14.4" x14ac:dyDescent="0.3">
      <c r="A81" s="18">
        <v>242</v>
      </c>
      <c r="B81" s="18">
        <v>11</v>
      </c>
      <c r="D81" s="19"/>
      <c r="E81" s="19"/>
      <c r="F81" s="20">
        <f t="shared" si="1"/>
        <v>1603</v>
      </c>
      <c r="G81" s="16">
        <f t="shared" si="12"/>
        <v>242</v>
      </c>
      <c r="H81" s="16">
        <v>11</v>
      </c>
      <c r="I81" s="16">
        <f t="shared" si="2"/>
        <v>0</v>
      </c>
      <c r="J81" s="19">
        <f t="shared" si="3"/>
        <v>550</v>
      </c>
      <c r="K81" s="19">
        <f t="shared" si="4"/>
        <v>0.15277777777777779</v>
      </c>
      <c r="L81" s="19">
        <f t="shared" si="5"/>
        <v>84110</v>
      </c>
      <c r="M81" s="19">
        <f t="shared" si="6"/>
        <v>23.363888888888891</v>
      </c>
      <c r="N81" s="19">
        <v>0</v>
      </c>
      <c r="O81" s="19">
        <v>0</v>
      </c>
      <c r="P81" s="19">
        <v>0</v>
      </c>
      <c r="Q81" s="19">
        <f t="shared" si="9"/>
        <v>1395</v>
      </c>
      <c r="R81" s="19">
        <f t="shared" si="13"/>
        <v>0</v>
      </c>
      <c r="S81" s="19">
        <f t="shared" si="10"/>
        <v>0</v>
      </c>
      <c r="T81" s="19">
        <f t="shared" si="11"/>
        <v>12.859722222222224</v>
      </c>
    </row>
    <row r="82" spans="1:20" ht="14.4" x14ac:dyDescent="0.3">
      <c r="A82" s="18">
        <v>243</v>
      </c>
      <c r="B82" s="18">
        <v>13</v>
      </c>
      <c r="D82" s="19"/>
      <c r="E82" s="19"/>
      <c r="F82" s="20">
        <f t="shared" si="1"/>
        <v>1616</v>
      </c>
      <c r="G82" s="16">
        <f t="shared" si="12"/>
        <v>243</v>
      </c>
      <c r="H82" s="16">
        <v>13</v>
      </c>
      <c r="I82" s="16">
        <f t="shared" si="2"/>
        <v>0</v>
      </c>
      <c r="J82" s="19">
        <f t="shared" si="3"/>
        <v>650</v>
      </c>
      <c r="K82" s="19">
        <f t="shared" si="4"/>
        <v>0.18055555555555555</v>
      </c>
      <c r="L82" s="19">
        <f t="shared" si="5"/>
        <v>84760</v>
      </c>
      <c r="M82" s="19">
        <f t="shared" si="6"/>
        <v>23.544444444444448</v>
      </c>
      <c r="N82" s="19">
        <v>0</v>
      </c>
      <c r="O82" s="19">
        <v>0</v>
      </c>
      <c r="P82" s="19">
        <v>0</v>
      </c>
      <c r="Q82" s="19">
        <f t="shared" si="9"/>
        <v>1395</v>
      </c>
      <c r="R82" s="19">
        <f t="shared" si="13"/>
        <v>0</v>
      </c>
      <c r="S82" s="19">
        <f t="shared" si="10"/>
        <v>0</v>
      </c>
      <c r="T82" s="19">
        <f t="shared" si="11"/>
        <v>12.859722222222224</v>
      </c>
    </row>
    <row r="83" spans="1:20" ht="14.4" x14ac:dyDescent="0.3">
      <c r="A83" s="18">
        <v>244</v>
      </c>
      <c r="B83" s="18">
        <v>12</v>
      </c>
      <c r="D83" s="19"/>
      <c r="E83" s="19"/>
      <c r="F83" s="20">
        <f t="shared" si="1"/>
        <v>1628</v>
      </c>
      <c r="G83" s="16">
        <f t="shared" si="12"/>
        <v>244</v>
      </c>
      <c r="H83" s="16">
        <v>12</v>
      </c>
      <c r="I83" s="16">
        <f t="shared" si="2"/>
        <v>0</v>
      </c>
      <c r="J83" s="19">
        <f t="shared" si="3"/>
        <v>600</v>
      </c>
      <c r="K83" s="19">
        <f t="shared" si="4"/>
        <v>0.16666666666666666</v>
      </c>
      <c r="L83" s="19">
        <f t="shared" si="5"/>
        <v>85360</v>
      </c>
      <c r="M83" s="19">
        <f t="shared" si="6"/>
        <v>23.711111111111116</v>
      </c>
      <c r="N83" s="19">
        <v>0</v>
      </c>
      <c r="O83" s="19">
        <v>0</v>
      </c>
      <c r="P83" s="19">
        <v>0</v>
      </c>
      <c r="Q83" s="19">
        <f t="shared" si="9"/>
        <v>1395</v>
      </c>
      <c r="R83" s="19">
        <f t="shared" si="13"/>
        <v>0</v>
      </c>
      <c r="S83" s="19">
        <f t="shared" si="10"/>
        <v>0</v>
      </c>
      <c r="T83" s="19">
        <f t="shared" si="11"/>
        <v>12.859722222222224</v>
      </c>
    </row>
    <row r="84" spans="1:20" ht="14.4" x14ac:dyDescent="0.3">
      <c r="A84" s="18">
        <v>245</v>
      </c>
      <c r="B84" s="18">
        <v>10</v>
      </c>
      <c r="D84" s="19"/>
      <c r="E84" s="19"/>
      <c r="F84" s="20">
        <f t="shared" si="1"/>
        <v>1638</v>
      </c>
      <c r="G84" s="16">
        <f t="shared" si="12"/>
        <v>245</v>
      </c>
      <c r="H84" s="16">
        <v>10</v>
      </c>
      <c r="I84" s="16">
        <f t="shared" si="2"/>
        <v>0</v>
      </c>
      <c r="J84" s="19">
        <f t="shared" si="3"/>
        <v>500</v>
      </c>
      <c r="K84" s="19">
        <f t="shared" si="4"/>
        <v>0.1388888888888889</v>
      </c>
      <c r="L84" s="19">
        <f t="shared" si="5"/>
        <v>85860</v>
      </c>
      <c r="M84" s="19">
        <f t="shared" si="6"/>
        <v>23.850000000000005</v>
      </c>
      <c r="N84" s="19">
        <v>0</v>
      </c>
      <c r="O84" s="19">
        <v>0</v>
      </c>
      <c r="P84" s="19">
        <v>0</v>
      </c>
      <c r="Q84" s="19">
        <f t="shared" si="9"/>
        <v>1395</v>
      </c>
      <c r="R84" s="19">
        <f t="shared" si="13"/>
        <v>0</v>
      </c>
      <c r="S84" s="19">
        <f t="shared" si="10"/>
        <v>0</v>
      </c>
      <c r="T84" s="19">
        <f t="shared" si="11"/>
        <v>12.859722222222224</v>
      </c>
    </row>
    <row r="85" spans="1:20" ht="14.4" x14ac:dyDescent="0.3">
      <c r="A85" s="18">
        <v>246</v>
      </c>
      <c r="B85" s="18">
        <v>10</v>
      </c>
      <c r="D85" s="19"/>
      <c r="E85" s="19"/>
      <c r="F85" s="20">
        <f t="shared" si="1"/>
        <v>1648</v>
      </c>
      <c r="G85" s="16">
        <f t="shared" si="12"/>
        <v>246</v>
      </c>
      <c r="H85" s="16">
        <v>10</v>
      </c>
      <c r="I85" s="16">
        <f t="shared" si="2"/>
        <v>0</v>
      </c>
      <c r="J85" s="19">
        <f t="shared" si="3"/>
        <v>500</v>
      </c>
      <c r="K85" s="19">
        <f t="shared" si="4"/>
        <v>0.1388888888888889</v>
      </c>
      <c r="L85" s="19">
        <f t="shared" si="5"/>
        <v>86360</v>
      </c>
      <c r="M85" s="19">
        <f t="shared" si="6"/>
        <v>23.988888888888894</v>
      </c>
      <c r="N85" s="19">
        <v>0</v>
      </c>
      <c r="O85" s="19">
        <v>0</v>
      </c>
      <c r="P85" s="19">
        <v>0</v>
      </c>
      <c r="Q85" s="19">
        <f t="shared" si="9"/>
        <v>1395</v>
      </c>
      <c r="R85" s="19">
        <f t="shared" si="13"/>
        <v>0</v>
      </c>
      <c r="S85" s="19">
        <f t="shared" si="10"/>
        <v>0</v>
      </c>
      <c r="T85" s="19">
        <f t="shared" si="11"/>
        <v>12.859722222222224</v>
      </c>
    </row>
    <row r="86" spans="1:20" ht="14.4" x14ac:dyDescent="0.3">
      <c r="A86" s="18">
        <v>247</v>
      </c>
      <c r="B86" s="18">
        <v>12</v>
      </c>
      <c r="D86" s="19"/>
      <c r="E86" s="19"/>
      <c r="F86" s="20">
        <f t="shared" si="1"/>
        <v>1660</v>
      </c>
      <c r="G86" s="16">
        <f t="shared" si="12"/>
        <v>247</v>
      </c>
      <c r="H86" s="16">
        <v>12</v>
      </c>
      <c r="I86" s="16">
        <f t="shared" si="2"/>
        <v>0</v>
      </c>
      <c r="J86" s="19">
        <f t="shared" si="3"/>
        <v>600</v>
      </c>
      <c r="K86" s="19">
        <f t="shared" si="4"/>
        <v>0.16666666666666666</v>
      </c>
      <c r="L86" s="19">
        <f t="shared" si="5"/>
        <v>86960</v>
      </c>
      <c r="M86" s="19">
        <f t="shared" si="6"/>
        <v>24.155555555555562</v>
      </c>
      <c r="N86" s="19">
        <v>0</v>
      </c>
      <c r="O86" s="19">
        <v>0</v>
      </c>
      <c r="P86" s="19">
        <v>0</v>
      </c>
      <c r="Q86" s="19">
        <f t="shared" si="9"/>
        <v>1395</v>
      </c>
      <c r="R86" s="19">
        <f t="shared" si="13"/>
        <v>0</v>
      </c>
      <c r="S86" s="19">
        <f t="shared" si="10"/>
        <v>0</v>
      </c>
      <c r="T86" s="19">
        <f t="shared" si="11"/>
        <v>12.859722222222224</v>
      </c>
    </row>
    <row r="87" spans="1:20" ht="14.4" x14ac:dyDescent="0.3">
      <c r="A87" s="18">
        <v>248</v>
      </c>
      <c r="B87" s="18">
        <v>11</v>
      </c>
      <c r="D87" s="19"/>
      <c r="E87" s="19"/>
      <c r="F87" s="20">
        <f t="shared" si="1"/>
        <v>1671</v>
      </c>
      <c r="G87" s="16">
        <f t="shared" si="12"/>
        <v>248</v>
      </c>
      <c r="H87" s="16">
        <v>11</v>
      </c>
      <c r="I87" s="16">
        <f t="shared" si="2"/>
        <v>0</v>
      </c>
      <c r="J87" s="19">
        <f t="shared" si="3"/>
        <v>550</v>
      </c>
      <c r="K87" s="19">
        <f t="shared" si="4"/>
        <v>0.15277777777777779</v>
      </c>
      <c r="L87" s="19">
        <f t="shared" si="5"/>
        <v>87510</v>
      </c>
      <c r="M87" s="19">
        <f t="shared" si="6"/>
        <v>24.308333333333341</v>
      </c>
      <c r="N87" s="19">
        <v>0</v>
      </c>
      <c r="O87" s="19">
        <v>0</v>
      </c>
      <c r="P87" s="19">
        <v>0</v>
      </c>
      <c r="Q87" s="19">
        <f t="shared" si="9"/>
        <v>1395</v>
      </c>
      <c r="R87" s="19">
        <f t="shared" si="13"/>
        <v>0</v>
      </c>
      <c r="S87" s="19">
        <f t="shared" si="10"/>
        <v>0</v>
      </c>
      <c r="T87" s="19">
        <f t="shared" si="11"/>
        <v>12.859722222222224</v>
      </c>
    </row>
    <row r="88" spans="1:20" ht="14.4" x14ac:dyDescent="0.3">
      <c r="A88" s="18">
        <v>249</v>
      </c>
      <c r="B88" s="18">
        <v>14</v>
      </c>
      <c r="D88" s="19"/>
      <c r="E88" s="19"/>
      <c r="F88" s="20">
        <f t="shared" si="1"/>
        <v>1685</v>
      </c>
      <c r="G88" s="16">
        <f t="shared" si="12"/>
        <v>249</v>
      </c>
      <c r="H88" s="16">
        <v>14</v>
      </c>
      <c r="I88" s="16">
        <f t="shared" si="2"/>
        <v>0</v>
      </c>
      <c r="J88" s="19">
        <f t="shared" si="3"/>
        <v>700</v>
      </c>
      <c r="K88" s="19">
        <f t="shared" si="4"/>
        <v>0.19444444444444445</v>
      </c>
      <c r="L88" s="19">
        <f t="shared" si="5"/>
        <v>88210</v>
      </c>
      <c r="M88" s="19">
        <f t="shared" si="6"/>
        <v>24.502777777777784</v>
      </c>
      <c r="N88" s="19">
        <v>0</v>
      </c>
      <c r="O88" s="19">
        <v>0</v>
      </c>
      <c r="P88" s="19">
        <v>0</v>
      </c>
      <c r="Q88" s="19">
        <f t="shared" si="9"/>
        <v>1395</v>
      </c>
      <c r="R88" s="19">
        <f t="shared" si="13"/>
        <v>0</v>
      </c>
      <c r="S88" s="19">
        <f t="shared" si="10"/>
        <v>0</v>
      </c>
      <c r="T88" s="19">
        <f t="shared" si="11"/>
        <v>12.859722222222224</v>
      </c>
    </row>
    <row r="89" spans="1:20" ht="14.4" x14ac:dyDescent="0.3">
      <c r="A89" s="18">
        <v>250</v>
      </c>
      <c r="B89" s="18">
        <v>18</v>
      </c>
      <c r="D89" s="19"/>
      <c r="E89" s="19"/>
      <c r="F89" s="20">
        <f t="shared" si="1"/>
        <v>1703</v>
      </c>
      <c r="G89" s="16">
        <f t="shared" si="12"/>
        <v>250</v>
      </c>
      <c r="H89" s="16">
        <v>18</v>
      </c>
      <c r="I89" s="16">
        <f t="shared" si="2"/>
        <v>0</v>
      </c>
      <c r="J89" s="19">
        <f t="shared" si="3"/>
        <v>900</v>
      </c>
      <c r="K89" s="19">
        <f t="shared" si="4"/>
        <v>0.25</v>
      </c>
      <c r="L89" s="19">
        <f t="shared" si="5"/>
        <v>89110</v>
      </c>
      <c r="M89" s="19">
        <f t="shared" si="6"/>
        <v>24.752777777777784</v>
      </c>
      <c r="N89" s="19">
        <v>0</v>
      </c>
      <c r="O89" s="19">
        <v>0</v>
      </c>
      <c r="P89" s="19">
        <v>0</v>
      </c>
      <c r="Q89" s="19">
        <f t="shared" si="9"/>
        <v>1395</v>
      </c>
      <c r="R89" s="19">
        <f t="shared" si="13"/>
        <v>0</v>
      </c>
      <c r="S89" s="19">
        <f t="shared" si="10"/>
        <v>0</v>
      </c>
      <c r="T89" s="19">
        <f t="shared" si="11"/>
        <v>12.859722222222224</v>
      </c>
    </row>
    <row r="90" spans="1:20" ht="14.4" x14ac:dyDescent="0.3">
      <c r="A90" s="18">
        <v>251</v>
      </c>
      <c r="B90" s="18">
        <v>7</v>
      </c>
      <c r="D90" s="19"/>
      <c r="E90" s="19"/>
      <c r="F90" s="20">
        <f t="shared" si="1"/>
        <v>1710</v>
      </c>
      <c r="G90" s="16">
        <f t="shared" si="12"/>
        <v>251</v>
      </c>
      <c r="H90" s="16">
        <v>6</v>
      </c>
      <c r="I90" s="16">
        <f t="shared" si="2"/>
        <v>1</v>
      </c>
      <c r="J90" s="19">
        <f t="shared" si="3"/>
        <v>360</v>
      </c>
      <c r="K90" s="19">
        <f t="shared" si="4"/>
        <v>0.1</v>
      </c>
      <c r="L90" s="19">
        <f t="shared" si="5"/>
        <v>89470</v>
      </c>
      <c r="M90" s="19">
        <f t="shared" si="6"/>
        <v>24.852777777777785</v>
      </c>
      <c r="N90" s="19">
        <v>0</v>
      </c>
      <c r="O90" s="19">
        <v>0</v>
      </c>
      <c r="P90" s="19">
        <v>0</v>
      </c>
      <c r="Q90" s="19">
        <f t="shared" si="9"/>
        <v>1395</v>
      </c>
      <c r="R90" s="19">
        <f t="shared" si="13"/>
        <v>0</v>
      </c>
      <c r="S90" s="19">
        <f t="shared" si="10"/>
        <v>0</v>
      </c>
      <c r="T90" s="19">
        <f t="shared" si="11"/>
        <v>12.859722222222224</v>
      </c>
    </row>
    <row r="91" spans="1:20" ht="14.4" x14ac:dyDescent="0.3">
      <c r="A91" s="18">
        <v>252</v>
      </c>
      <c r="B91" s="18">
        <v>5</v>
      </c>
      <c r="D91" s="19"/>
      <c r="E91" s="19"/>
      <c r="F91" s="20">
        <f t="shared" si="1"/>
        <v>1715</v>
      </c>
      <c r="G91" s="16">
        <f t="shared" si="12"/>
        <v>252</v>
      </c>
      <c r="H91" s="16">
        <v>5</v>
      </c>
      <c r="I91" s="16">
        <f t="shared" si="2"/>
        <v>0</v>
      </c>
      <c r="J91" s="19">
        <f t="shared" si="3"/>
        <v>250</v>
      </c>
      <c r="K91" s="19">
        <f t="shared" si="4"/>
        <v>6.9444444444444448E-2</v>
      </c>
      <c r="L91" s="19">
        <f t="shared" si="5"/>
        <v>89720</v>
      </c>
      <c r="M91" s="19">
        <f t="shared" si="6"/>
        <v>24.922222222222228</v>
      </c>
      <c r="N91" s="19">
        <v>0</v>
      </c>
      <c r="O91" s="19">
        <v>0</v>
      </c>
      <c r="P91" s="19">
        <v>0</v>
      </c>
      <c r="Q91" s="19">
        <f t="shared" si="9"/>
        <v>1395</v>
      </c>
      <c r="R91" s="19">
        <f t="shared" si="13"/>
        <v>0</v>
      </c>
      <c r="S91" s="19">
        <f t="shared" si="10"/>
        <v>0</v>
      </c>
      <c r="T91" s="19">
        <f t="shared" si="11"/>
        <v>12.859722222222224</v>
      </c>
    </row>
    <row r="92" spans="1:20" ht="14.4" x14ac:dyDescent="0.3">
      <c r="A92" s="18">
        <v>253</v>
      </c>
      <c r="B92" s="18">
        <v>6</v>
      </c>
      <c r="D92" s="19"/>
      <c r="E92" s="19"/>
      <c r="F92" s="20">
        <f t="shared" si="1"/>
        <v>1721</v>
      </c>
      <c r="G92" s="16">
        <f t="shared" si="12"/>
        <v>253</v>
      </c>
      <c r="H92" s="16">
        <v>6</v>
      </c>
      <c r="I92" s="16">
        <f t="shared" si="2"/>
        <v>0</v>
      </c>
      <c r="J92" s="19">
        <f t="shared" si="3"/>
        <v>300</v>
      </c>
      <c r="K92" s="19">
        <f t="shared" si="4"/>
        <v>8.3333333333333329E-2</v>
      </c>
      <c r="L92" s="19">
        <f t="shared" si="5"/>
        <v>90020</v>
      </c>
      <c r="M92" s="19">
        <f t="shared" si="6"/>
        <v>25.00555555555556</v>
      </c>
      <c r="N92" s="19">
        <v>0</v>
      </c>
      <c r="O92" s="19">
        <v>0</v>
      </c>
      <c r="P92" s="19">
        <v>0</v>
      </c>
      <c r="Q92" s="19">
        <f t="shared" si="9"/>
        <v>1395</v>
      </c>
      <c r="R92" s="19">
        <f t="shared" si="13"/>
        <v>0</v>
      </c>
      <c r="S92" s="19">
        <f t="shared" si="10"/>
        <v>0</v>
      </c>
      <c r="T92" s="19">
        <f t="shared" si="11"/>
        <v>12.859722222222224</v>
      </c>
    </row>
    <row r="93" spans="1:20" ht="14.4" x14ac:dyDescent="0.3">
      <c r="A93" s="18">
        <v>254</v>
      </c>
      <c r="B93" s="18">
        <v>4</v>
      </c>
      <c r="D93" s="19"/>
      <c r="E93" s="19"/>
      <c r="F93" s="20">
        <f t="shared" si="1"/>
        <v>1725</v>
      </c>
      <c r="G93" s="16">
        <f t="shared" si="12"/>
        <v>254</v>
      </c>
      <c r="H93" s="16">
        <v>4</v>
      </c>
      <c r="I93" s="16">
        <f t="shared" si="2"/>
        <v>0</v>
      </c>
      <c r="J93" s="19">
        <f t="shared" si="3"/>
        <v>200</v>
      </c>
      <c r="K93" s="19">
        <f t="shared" si="4"/>
        <v>5.5555555555555552E-2</v>
      </c>
      <c r="L93" s="19">
        <f t="shared" si="5"/>
        <v>90220</v>
      </c>
      <c r="M93" s="19">
        <f t="shared" si="6"/>
        <v>25.061111111111117</v>
      </c>
      <c r="N93" s="19">
        <v>0</v>
      </c>
      <c r="O93" s="19">
        <v>0</v>
      </c>
      <c r="P93" s="19">
        <v>0</v>
      </c>
      <c r="Q93" s="19">
        <f t="shared" si="9"/>
        <v>1395</v>
      </c>
      <c r="R93" s="19">
        <f t="shared" si="13"/>
        <v>0</v>
      </c>
      <c r="S93" s="19">
        <f t="shared" si="10"/>
        <v>0</v>
      </c>
      <c r="T93" s="19">
        <f t="shared" si="11"/>
        <v>12.859722222222224</v>
      </c>
    </row>
    <row r="94" spans="1:20" ht="14.4" x14ac:dyDescent="0.3">
      <c r="A94" s="18">
        <v>255</v>
      </c>
      <c r="B94" s="18">
        <v>8</v>
      </c>
      <c r="D94" s="19"/>
      <c r="E94" s="19"/>
      <c r="F94" s="20">
        <f t="shared" si="1"/>
        <v>1733</v>
      </c>
      <c r="G94" s="16">
        <f t="shared" si="12"/>
        <v>255</v>
      </c>
      <c r="H94" s="16">
        <v>8</v>
      </c>
      <c r="I94" s="16">
        <f t="shared" si="2"/>
        <v>0</v>
      </c>
      <c r="J94" s="19">
        <f t="shared" si="3"/>
        <v>400</v>
      </c>
      <c r="K94" s="19">
        <f t="shared" si="4"/>
        <v>0.1111111111111111</v>
      </c>
      <c r="L94" s="19">
        <f t="shared" si="5"/>
        <v>90620</v>
      </c>
      <c r="M94" s="19">
        <f t="shared" si="6"/>
        <v>25.172222222222228</v>
      </c>
      <c r="N94" s="19">
        <v>0</v>
      </c>
      <c r="O94" s="19">
        <v>0</v>
      </c>
      <c r="P94" s="19">
        <v>0</v>
      </c>
      <c r="Q94" s="19">
        <f t="shared" si="9"/>
        <v>1395</v>
      </c>
      <c r="R94" s="19">
        <f t="shared" si="13"/>
        <v>0</v>
      </c>
      <c r="S94" s="19">
        <f t="shared" si="10"/>
        <v>0</v>
      </c>
      <c r="T94" s="19">
        <f t="shared" si="11"/>
        <v>12.859722222222224</v>
      </c>
    </row>
    <row r="95" spans="1:20" ht="13.2" x14ac:dyDescent="0.25">
      <c r="A95" s="37"/>
      <c r="B95" s="37"/>
      <c r="D95" s="19"/>
      <c r="E95" s="19"/>
      <c r="G95" s="16"/>
      <c r="H95" s="16"/>
      <c r="I95" s="16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ht="13.2" x14ac:dyDescent="0.25">
      <c r="A96" s="37"/>
      <c r="B96" s="37"/>
      <c r="D96" s="19"/>
      <c r="E96" s="19"/>
      <c r="G96" s="16"/>
      <c r="H96" s="16"/>
      <c r="I96" s="16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ht="13.2" x14ac:dyDescent="0.25">
      <c r="A97" s="37"/>
      <c r="B97" s="37"/>
      <c r="D97" s="19"/>
      <c r="E97" s="19"/>
      <c r="G97" s="16"/>
      <c r="H97" s="16"/>
      <c r="I97" s="16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ht="13.2" x14ac:dyDescent="0.25">
      <c r="A98" s="37"/>
      <c r="B98" s="37"/>
      <c r="D98" s="19"/>
      <c r="E98" s="19"/>
      <c r="G98" s="16"/>
      <c r="H98" s="16"/>
      <c r="I98" s="16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ht="13.2" x14ac:dyDescent="0.25">
      <c r="A99" s="37"/>
      <c r="B99" s="37"/>
      <c r="D99" s="19"/>
      <c r="E99" s="19"/>
      <c r="G99" s="16"/>
      <c r="H99" s="16"/>
      <c r="I99" s="16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ht="13.2" x14ac:dyDescent="0.25">
      <c r="A100" s="37"/>
      <c r="B100" s="37"/>
      <c r="D100" s="19"/>
      <c r="E100" s="19"/>
      <c r="G100" s="16"/>
      <c r="H100" s="16"/>
      <c r="I100" s="16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ht="13.2" x14ac:dyDescent="0.25">
      <c r="A101" s="37"/>
      <c r="B101" s="37"/>
      <c r="D101" s="19"/>
      <c r="E101" s="19"/>
      <c r="G101" s="16"/>
      <c r="H101" s="16"/>
      <c r="I101" s="16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ht="13.2" x14ac:dyDescent="0.25">
      <c r="A102" s="37"/>
      <c r="B102" s="37"/>
      <c r="D102" s="19"/>
      <c r="E102" s="19"/>
      <c r="G102" s="16"/>
      <c r="H102" s="16"/>
      <c r="I102" s="16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ht="13.2" x14ac:dyDescent="0.25">
      <c r="A103" s="37"/>
      <c r="B103" s="37"/>
      <c r="D103" s="19"/>
      <c r="E103" s="19"/>
      <c r="G103" s="16"/>
      <c r="H103" s="16"/>
      <c r="I103" s="16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ht="13.2" x14ac:dyDescent="0.25">
      <c r="A104" s="37"/>
      <c r="B104" s="37"/>
      <c r="D104" s="19"/>
      <c r="E104" s="19"/>
      <c r="G104" s="16"/>
      <c r="H104" s="16"/>
      <c r="I104" s="16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ht="13.2" x14ac:dyDescent="0.25">
      <c r="A105" s="37"/>
      <c r="B105" s="37"/>
      <c r="D105" s="19"/>
      <c r="E105" s="19"/>
      <c r="G105" s="16"/>
      <c r="H105" s="16"/>
      <c r="I105" s="16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ht="13.2" x14ac:dyDescent="0.25">
      <c r="A106" s="37"/>
      <c r="B106" s="37"/>
      <c r="D106" s="19"/>
      <c r="E106" s="19"/>
      <c r="G106" s="16"/>
      <c r="H106" s="16"/>
      <c r="I106" s="16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ht="13.2" x14ac:dyDescent="0.25">
      <c r="A107" s="37"/>
      <c r="B107" s="37"/>
      <c r="D107" s="19"/>
      <c r="E107" s="19"/>
      <c r="G107" s="16"/>
      <c r="H107" s="16"/>
      <c r="I107" s="16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ht="13.2" x14ac:dyDescent="0.25">
      <c r="A108" s="37"/>
      <c r="B108" s="37"/>
      <c r="D108" s="19"/>
      <c r="E108" s="19"/>
      <c r="G108" s="16"/>
      <c r="H108" s="16"/>
      <c r="I108" s="16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3.2" x14ac:dyDescent="0.25">
      <c r="A109" s="37"/>
      <c r="B109" s="37"/>
      <c r="D109" s="19"/>
      <c r="E109" s="19"/>
      <c r="G109" s="16"/>
      <c r="H109" s="16"/>
      <c r="I109" s="16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3.2" x14ac:dyDescent="0.25">
      <c r="A110" s="37"/>
      <c r="B110" s="37"/>
      <c r="D110" s="19"/>
      <c r="E110" s="19"/>
      <c r="G110" s="16"/>
      <c r="H110" s="16"/>
      <c r="I110" s="16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3.2" x14ac:dyDescent="0.25">
      <c r="A111" s="37"/>
      <c r="B111" s="37"/>
      <c r="D111" s="19"/>
      <c r="E111" s="19"/>
      <c r="G111" s="16"/>
      <c r="H111" s="16"/>
      <c r="I111" s="16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3.2" x14ac:dyDescent="0.25">
      <c r="A112" s="37"/>
      <c r="B112" s="37"/>
      <c r="D112" s="19"/>
      <c r="E112" s="19"/>
      <c r="G112" s="16"/>
      <c r="H112" s="16"/>
      <c r="I112" s="16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1:20" ht="13.2" x14ac:dyDescent="0.25">
      <c r="A113" s="37"/>
      <c r="B113" s="37"/>
      <c r="D113" s="19"/>
      <c r="E113" s="19"/>
      <c r="G113" s="16"/>
      <c r="H113" s="16"/>
      <c r="I113" s="16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1:20" ht="13.2" x14ac:dyDescent="0.25">
      <c r="A114" s="37"/>
      <c r="B114" s="37"/>
      <c r="D114" s="19"/>
      <c r="E114" s="19"/>
      <c r="G114" s="16"/>
      <c r="H114" s="16"/>
      <c r="I114" s="16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1:20" ht="13.2" x14ac:dyDescent="0.25">
      <c r="A115" s="37"/>
      <c r="B115" s="37"/>
      <c r="D115" s="19"/>
      <c r="E115" s="19"/>
      <c r="G115" s="16"/>
      <c r="H115" s="16"/>
      <c r="I115" s="16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1:20" ht="13.2" x14ac:dyDescent="0.25">
      <c r="A116" s="37"/>
      <c r="B116" s="37"/>
      <c r="D116" s="19"/>
      <c r="E116" s="19"/>
      <c r="G116" s="16"/>
      <c r="H116" s="16"/>
      <c r="I116" s="16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1:20" ht="13.2" x14ac:dyDescent="0.25">
      <c r="A117" s="37"/>
      <c r="B117" s="37"/>
      <c r="D117" s="19"/>
      <c r="E117" s="19"/>
      <c r="G117" s="16"/>
      <c r="H117" s="16"/>
      <c r="I117" s="16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1:20" ht="13.2" x14ac:dyDescent="0.25">
      <c r="A118" s="37"/>
      <c r="B118" s="37"/>
      <c r="D118" s="19"/>
      <c r="E118" s="19"/>
      <c r="G118" s="16"/>
      <c r="H118" s="16"/>
      <c r="I118" s="16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1:20" ht="13.2" x14ac:dyDescent="0.25">
      <c r="A119" s="37"/>
      <c r="B119" s="37"/>
      <c r="D119" s="19"/>
      <c r="E119" s="19"/>
      <c r="G119" s="16"/>
      <c r="H119" s="16"/>
      <c r="I119" s="16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1:20" ht="13.2" x14ac:dyDescent="0.25">
      <c r="A120" s="37"/>
      <c r="B120" s="37"/>
      <c r="D120" s="19"/>
      <c r="E120" s="19"/>
      <c r="G120" s="16"/>
      <c r="H120" s="16"/>
      <c r="I120" s="16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1:20" ht="13.2" x14ac:dyDescent="0.25">
      <c r="A121" s="37"/>
      <c r="B121" s="37"/>
      <c r="D121" s="19"/>
      <c r="E121" s="19"/>
      <c r="G121" s="16"/>
      <c r="H121" s="16"/>
      <c r="I121" s="16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1:20" ht="13.2" x14ac:dyDescent="0.25">
      <c r="A122" s="37"/>
      <c r="B122" s="37"/>
      <c r="D122" s="19"/>
      <c r="E122" s="19"/>
      <c r="G122" s="16"/>
      <c r="H122" s="16"/>
      <c r="I122" s="16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1:20" ht="13.2" x14ac:dyDescent="0.25">
      <c r="A123" s="37"/>
      <c r="B123" s="37"/>
      <c r="D123" s="19"/>
      <c r="E123" s="19"/>
      <c r="G123" s="16"/>
      <c r="H123" s="16"/>
      <c r="I123" s="16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1:20" ht="13.2" x14ac:dyDescent="0.25">
      <c r="A124" s="37"/>
      <c r="B124" s="37"/>
      <c r="D124" s="19"/>
      <c r="E124" s="19"/>
      <c r="G124" s="16"/>
      <c r="H124" s="16"/>
      <c r="I124" s="16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1:20" ht="13.2" x14ac:dyDescent="0.25">
      <c r="A125" s="37"/>
      <c r="B125" s="37"/>
      <c r="D125" s="19"/>
      <c r="E125" s="19"/>
      <c r="G125" s="16"/>
      <c r="H125" s="16"/>
      <c r="I125" s="16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1:20" ht="13.2" x14ac:dyDescent="0.25">
      <c r="A126" s="37"/>
      <c r="B126" s="37"/>
      <c r="D126" s="19"/>
      <c r="E126" s="19"/>
      <c r="G126" s="16"/>
      <c r="H126" s="16"/>
      <c r="I126" s="16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1:20" ht="13.2" x14ac:dyDescent="0.25">
      <c r="A127" s="37"/>
      <c r="B127" s="37"/>
      <c r="D127" s="19"/>
      <c r="E127" s="19"/>
      <c r="G127" s="16"/>
      <c r="H127" s="16"/>
      <c r="I127" s="16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1:20" ht="13.2" x14ac:dyDescent="0.25">
      <c r="A128" s="37"/>
      <c r="B128" s="37"/>
      <c r="D128" s="19"/>
      <c r="E128" s="19"/>
      <c r="G128" s="16"/>
      <c r="H128" s="16"/>
      <c r="I128" s="16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1:20" ht="13.2" x14ac:dyDescent="0.25">
      <c r="A129" s="37"/>
      <c r="B129" s="37"/>
      <c r="D129" s="19"/>
      <c r="E129" s="19"/>
      <c r="G129" s="16"/>
      <c r="H129" s="16"/>
      <c r="I129" s="16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1:20" ht="13.2" x14ac:dyDescent="0.25">
      <c r="A130" s="37"/>
      <c r="B130" s="37"/>
      <c r="D130" s="19"/>
      <c r="E130" s="19"/>
      <c r="G130" s="16"/>
      <c r="H130" s="16"/>
      <c r="I130" s="16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1:20" ht="13.2" x14ac:dyDescent="0.25">
      <c r="A131" s="37"/>
      <c r="B131" s="37"/>
      <c r="D131" s="19"/>
      <c r="E131" s="19"/>
      <c r="G131" s="16"/>
      <c r="H131" s="16"/>
      <c r="I131" s="16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1:20" ht="13.2" x14ac:dyDescent="0.25">
      <c r="A132" s="37"/>
      <c r="B132" s="37"/>
      <c r="D132" s="19"/>
      <c r="E132" s="19"/>
      <c r="G132" s="16"/>
      <c r="H132" s="16"/>
      <c r="I132" s="16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1:20" ht="13.2" x14ac:dyDescent="0.25">
      <c r="A133" s="37"/>
      <c r="B133" s="37"/>
      <c r="D133" s="19"/>
      <c r="E133" s="19"/>
      <c r="G133" s="16"/>
      <c r="H133" s="16"/>
      <c r="I133" s="16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1:20" ht="13.2" x14ac:dyDescent="0.25">
      <c r="A134" s="37"/>
      <c r="B134" s="37"/>
      <c r="D134" s="19"/>
      <c r="E134" s="19"/>
      <c r="G134" s="16"/>
      <c r="H134" s="16"/>
      <c r="I134" s="16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1:20" ht="13.2" x14ac:dyDescent="0.25">
      <c r="A135" s="37"/>
      <c r="B135" s="37"/>
      <c r="D135" s="19"/>
      <c r="E135" s="19"/>
      <c r="G135" s="16"/>
      <c r="H135" s="16"/>
      <c r="I135" s="16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1:20" ht="13.2" x14ac:dyDescent="0.25">
      <c r="A136" s="37"/>
      <c r="B136" s="37"/>
      <c r="D136" s="19"/>
      <c r="E136" s="19"/>
      <c r="G136" s="16"/>
      <c r="H136" s="16"/>
      <c r="I136" s="16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1:20" ht="13.2" x14ac:dyDescent="0.25">
      <c r="A137" s="37"/>
      <c r="B137" s="37"/>
      <c r="D137" s="19"/>
      <c r="E137" s="19"/>
      <c r="G137" s="16"/>
      <c r="H137" s="16"/>
      <c r="I137" s="16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1:20" ht="13.2" x14ac:dyDescent="0.25">
      <c r="A138" s="37"/>
      <c r="B138" s="37"/>
      <c r="D138" s="19"/>
      <c r="E138" s="19"/>
      <c r="G138" s="16"/>
      <c r="H138" s="16"/>
      <c r="I138" s="16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1:20" ht="13.2" x14ac:dyDescent="0.25">
      <c r="A139" s="37"/>
      <c r="B139" s="37"/>
      <c r="D139" s="19"/>
      <c r="E139" s="19"/>
      <c r="G139" s="16"/>
      <c r="H139" s="16"/>
      <c r="I139" s="16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1:20" ht="13.2" x14ac:dyDescent="0.25">
      <c r="A140" s="37"/>
      <c r="B140" s="37"/>
      <c r="D140" s="19"/>
      <c r="E140" s="19"/>
      <c r="G140" s="16"/>
      <c r="H140" s="16"/>
      <c r="I140" s="16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1:20" ht="13.2" x14ac:dyDescent="0.25">
      <c r="A141" s="37"/>
      <c r="B141" s="37"/>
      <c r="D141" s="19"/>
      <c r="E141" s="19"/>
      <c r="G141" s="16"/>
      <c r="H141" s="16"/>
      <c r="I141" s="16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1:20" ht="13.2" x14ac:dyDescent="0.25">
      <c r="A142" s="37"/>
      <c r="B142" s="37"/>
      <c r="D142" s="19"/>
      <c r="E142" s="19"/>
      <c r="G142" s="16"/>
      <c r="H142" s="16"/>
      <c r="I142" s="16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1:20" ht="13.2" x14ac:dyDescent="0.25">
      <c r="A143" s="37"/>
      <c r="B143" s="37"/>
      <c r="D143" s="19"/>
      <c r="E143" s="19"/>
      <c r="G143" s="16"/>
      <c r="H143" s="16"/>
      <c r="I143" s="16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1:20" ht="13.2" x14ac:dyDescent="0.25">
      <c r="A144" s="37"/>
      <c r="B144" s="37"/>
      <c r="D144" s="19"/>
      <c r="E144" s="19"/>
      <c r="G144" s="16"/>
      <c r="H144" s="16"/>
      <c r="I144" s="16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1:20" ht="13.2" x14ac:dyDescent="0.25">
      <c r="A145" s="37"/>
      <c r="B145" s="37"/>
      <c r="D145" s="19"/>
      <c r="E145" s="19"/>
      <c r="G145" s="16"/>
      <c r="H145" s="16"/>
      <c r="I145" s="16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1:20" ht="13.2" x14ac:dyDescent="0.25">
      <c r="A146" s="37"/>
      <c r="B146" s="37"/>
      <c r="D146" s="19"/>
      <c r="E146" s="19"/>
      <c r="G146" s="16"/>
      <c r="H146" s="16"/>
      <c r="I146" s="16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1:20" ht="13.2" x14ac:dyDescent="0.25">
      <c r="A147" s="37"/>
      <c r="B147" s="37"/>
      <c r="D147" s="19"/>
      <c r="E147" s="19"/>
      <c r="G147" s="16"/>
      <c r="H147" s="16"/>
      <c r="I147" s="16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1:20" ht="13.2" x14ac:dyDescent="0.25">
      <c r="A148" s="37"/>
      <c r="B148" s="37"/>
      <c r="D148" s="19"/>
      <c r="E148" s="19"/>
      <c r="G148" s="16"/>
      <c r="H148" s="16"/>
      <c r="I148" s="16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1:20" ht="13.2" x14ac:dyDescent="0.25">
      <c r="A149" s="37"/>
      <c r="B149" s="37"/>
      <c r="D149" s="19"/>
      <c r="E149" s="19"/>
      <c r="G149" s="16"/>
      <c r="H149" s="16"/>
      <c r="I149" s="16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1:20" ht="13.2" x14ac:dyDescent="0.25">
      <c r="A150" s="37"/>
      <c r="B150" s="37"/>
      <c r="D150" s="19"/>
      <c r="E150" s="19"/>
      <c r="G150" s="16"/>
      <c r="H150" s="16"/>
      <c r="I150" s="16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1:20" ht="13.2" x14ac:dyDescent="0.25">
      <c r="A151" s="37"/>
      <c r="B151" s="37"/>
      <c r="D151" s="19"/>
      <c r="E151" s="19"/>
      <c r="G151" s="16"/>
      <c r="H151" s="16"/>
      <c r="I151" s="16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1:20" ht="13.2" x14ac:dyDescent="0.25">
      <c r="A152" s="37"/>
      <c r="B152" s="37"/>
      <c r="D152" s="19"/>
      <c r="E152" s="19"/>
      <c r="G152" s="16"/>
      <c r="H152" s="16"/>
      <c r="I152" s="16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1:20" ht="13.2" x14ac:dyDescent="0.25">
      <c r="A153" s="38"/>
      <c r="B153" s="38"/>
      <c r="D153" s="19"/>
      <c r="E153" s="19"/>
      <c r="G153" s="16"/>
      <c r="H153" s="16"/>
      <c r="I153" s="16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1:20" ht="13.2" x14ac:dyDescent="0.25">
      <c r="A154" s="39"/>
      <c r="B154" s="37"/>
      <c r="D154" s="19"/>
      <c r="E154" s="19"/>
      <c r="G154" s="16"/>
      <c r="H154" s="16"/>
      <c r="I154" s="16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1:20" ht="13.2" x14ac:dyDescent="0.25">
      <c r="A155" s="39"/>
      <c r="B155" s="37"/>
      <c r="D155" s="19"/>
      <c r="E155" s="19"/>
      <c r="G155" s="16"/>
      <c r="H155" s="16"/>
      <c r="I155" s="16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1:20" ht="13.2" x14ac:dyDescent="0.25">
      <c r="A156" s="39"/>
      <c r="B156" s="37"/>
      <c r="D156" s="19"/>
      <c r="E156" s="19"/>
      <c r="G156" s="16"/>
      <c r="H156" s="16"/>
      <c r="I156" s="16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1:20" ht="13.2" x14ac:dyDescent="0.25">
      <c r="A157" s="39"/>
      <c r="B157" s="37"/>
      <c r="D157" s="19"/>
      <c r="E157" s="19"/>
      <c r="G157" s="16"/>
      <c r="H157" s="16"/>
      <c r="I157" s="16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1:20" ht="13.2" x14ac:dyDescent="0.25">
      <c r="A158" s="39"/>
      <c r="B158" s="37"/>
      <c r="D158" s="19"/>
      <c r="E158" s="19"/>
      <c r="G158" s="16"/>
      <c r="H158" s="16"/>
      <c r="I158" s="16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1:20" ht="13.2" x14ac:dyDescent="0.25">
      <c r="A159" s="39"/>
      <c r="B159" s="37"/>
      <c r="D159" s="19"/>
      <c r="E159" s="19"/>
      <c r="G159" s="16"/>
      <c r="H159" s="16"/>
      <c r="I159" s="16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1:20" ht="13.2" x14ac:dyDescent="0.25">
      <c r="A160" s="39"/>
      <c r="B160" s="37"/>
      <c r="D160" s="19"/>
      <c r="E160" s="19"/>
      <c r="G160" s="16"/>
      <c r="H160" s="16"/>
      <c r="I160" s="16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1:20" ht="13.2" x14ac:dyDescent="0.25">
      <c r="A161" s="39"/>
      <c r="B161" s="37"/>
      <c r="D161" s="19"/>
      <c r="E161" s="19"/>
      <c r="G161" s="16"/>
      <c r="H161" s="16"/>
      <c r="I161" s="16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1:20" ht="13.2" x14ac:dyDescent="0.25">
      <c r="A162" s="39"/>
      <c r="B162" s="37"/>
      <c r="D162" s="19"/>
      <c r="E162" s="19"/>
      <c r="G162" s="16"/>
      <c r="H162" s="16"/>
      <c r="I162" s="16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1:20" ht="13.2" x14ac:dyDescent="0.25">
      <c r="A163" s="39"/>
      <c r="B163" s="37"/>
      <c r="D163" s="19"/>
      <c r="E163" s="19"/>
      <c r="G163" s="16"/>
      <c r="H163" s="16"/>
      <c r="I163" s="16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1:20" ht="13.2" x14ac:dyDescent="0.25">
      <c r="A164" s="39"/>
      <c r="B164" s="37"/>
      <c r="D164" s="19"/>
      <c r="E164" s="19"/>
      <c r="G164" s="16"/>
      <c r="H164" s="16"/>
      <c r="I164" s="16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1:20" ht="13.2" x14ac:dyDescent="0.25">
      <c r="A165" s="39"/>
      <c r="B165" s="37"/>
      <c r="D165" s="19"/>
      <c r="E165" s="19"/>
      <c r="G165" s="16"/>
      <c r="H165" s="16"/>
      <c r="I165" s="16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1:20" ht="13.2" x14ac:dyDescent="0.25">
      <c r="A166" s="39"/>
      <c r="B166" s="37"/>
      <c r="D166" s="19"/>
      <c r="E166" s="19"/>
      <c r="G166" s="16"/>
      <c r="H166" s="16"/>
      <c r="I166" s="16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1:20" ht="13.2" x14ac:dyDescent="0.25">
      <c r="A167" s="39"/>
      <c r="B167" s="37"/>
      <c r="D167" s="19"/>
      <c r="E167" s="19"/>
      <c r="G167" s="16"/>
      <c r="H167" s="16"/>
      <c r="I167" s="16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1:20" ht="13.2" x14ac:dyDescent="0.25">
      <c r="A168" s="39"/>
      <c r="B168" s="37"/>
      <c r="D168" s="19"/>
      <c r="E168" s="19"/>
      <c r="G168" s="16"/>
      <c r="H168" s="16"/>
      <c r="I168" s="16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1:20" ht="13.2" x14ac:dyDescent="0.25">
      <c r="A169" s="39"/>
      <c r="B169" s="37"/>
      <c r="D169" s="19"/>
      <c r="E169" s="19"/>
      <c r="G169" s="16"/>
      <c r="H169" s="16"/>
      <c r="I169" s="16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1:20" ht="13.2" x14ac:dyDescent="0.25">
      <c r="A170" s="39"/>
      <c r="B170" s="37"/>
      <c r="D170" s="19"/>
      <c r="E170" s="19"/>
      <c r="G170" s="16"/>
      <c r="H170" s="16"/>
      <c r="I170" s="16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1:20" ht="13.2" x14ac:dyDescent="0.25">
      <c r="A171" s="39"/>
      <c r="B171" s="37"/>
      <c r="D171" s="19"/>
      <c r="E171" s="19"/>
      <c r="G171" s="16"/>
      <c r="H171" s="16"/>
      <c r="I171" s="16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1:20" ht="13.2" x14ac:dyDescent="0.25">
      <c r="A172" s="39"/>
      <c r="B172" s="37"/>
      <c r="D172" s="19"/>
      <c r="E172" s="19"/>
      <c r="G172" s="16"/>
      <c r="H172" s="16"/>
      <c r="I172" s="16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1:20" ht="13.2" x14ac:dyDescent="0.25">
      <c r="A173" s="39"/>
      <c r="B173" s="37"/>
      <c r="D173" s="19"/>
      <c r="E173" s="19"/>
      <c r="G173" s="16"/>
      <c r="H173" s="16"/>
      <c r="I173" s="16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1:20" ht="13.2" x14ac:dyDescent="0.25">
      <c r="A174" s="39"/>
      <c r="B174" s="37"/>
      <c r="D174" s="19"/>
      <c r="E174" s="19"/>
      <c r="G174" s="16"/>
      <c r="H174" s="16"/>
      <c r="I174" s="16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1:20" ht="13.2" x14ac:dyDescent="0.25">
      <c r="A175" s="39"/>
      <c r="B175" s="37"/>
      <c r="D175" s="19"/>
      <c r="E175" s="19"/>
      <c r="G175" s="16"/>
      <c r="H175" s="16"/>
      <c r="I175" s="16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1:20" ht="13.2" x14ac:dyDescent="0.25">
      <c r="A176" s="39"/>
      <c r="B176" s="37"/>
      <c r="D176" s="19"/>
      <c r="E176" s="19"/>
      <c r="G176" s="16"/>
      <c r="H176" s="16"/>
      <c r="I176" s="16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1:20" ht="13.2" x14ac:dyDescent="0.25">
      <c r="A177" s="39"/>
      <c r="B177" s="37"/>
      <c r="D177" s="19"/>
      <c r="E177" s="19"/>
      <c r="G177" s="16"/>
      <c r="H177" s="16"/>
      <c r="I177" s="16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1:20" ht="13.2" x14ac:dyDescent="0.25">
      <c r="A178" s="39"/>
      <c r="B178" s="37"/>
      <c r="D178" s="19"/>
      <c r="E178" s="19"/>
      <c r="G178" s="16"/>
      <c r="H178" s="16"/>
      <c r="I178" s="16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1:20" ht="13.2" x14ac:dyDescent="0.25">
      <c r="A179" s="39"/>
      <c r="B179" s="37"/>
      <c r="D179" s="19"/>
      <c r="E179" s="19"/>
      <c r="G179" s="16"/>
      <c r="H179" s="16"/>
      <c r="I179" s="16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1:20" ht="13.2" x14ac:dyDescent="0.25">
      <c r="A180" s="39"/>
      <c r="B180" s="37"/>
      <c r="D180" s="19"/>
      <c r="E180" s="19"/>
      <c r="G180" s="16"/>
      <c r="H180" s="16"/>
      <c r="I180" s="16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1:20" ht="13.2" x14ac:dyDescent="0.25">
      <c r="A181" s="39"/>
      <c r="B181" s="37"/>
      <c r="D181" s="19"/>
      <c r="E181" s="19"/>
      <c r="G181" s="16"/>
      <c r="H181" s="16"/>
      <c r="I181" s="16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1:20" ht="13.2" x14ac:dyDescent="0.25">
      <c r="A182" s="39"/>
      <c r="B182" s="37"/>
      <c r="D182" s="19"/>
      <c r="E182" s="19"/>
      <c r="G182" s="16"/>
      <c r="H182" s="16"/>
      <c r="I182" s="16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1:20" ht="13.2" x14ac:dyDescent="0.25">
      <c r="A183" s="39"/>
      <c r="B183" s="37"/>
      <c r="D183" s="19"/>
      <c r="E183" s="19"/>
      <c r="G183" s="16"/>
      <c r="H183" s="16"/>
      <c r="I183" s="16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1:20" ht="13.2" x14ac:dyDescent="0.25">
      <c r="A184" s="39"/>
      <c r="B184" s="37"/>
      <c r="D184" s="19"/>
      <c r="E184" s="19"/>
      <c r="G184" s="16"/>
      <c r="H184" s="16"/>
      <c r="I184" s="16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1:20" ht="13.2" x14ac:dyDescent="0.25">
      <c r="A185" s="39"/>
      <c r="B185" s="37"/>
      <c r="D185" s="19"/>
      <c r="E185" s="19"/>
      <c r="G185" s="16"/>
      <c r="H185" s="16"/>
      <c r="I185" s="16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1:20" ht="13.2" x14ac:dyDescent="0.25">
      <c r="A186" s="39"/>
      <c r="B186" s="37"/>
      <c r="D186" s="19"/>
      <c r="E186" s="19"/>
      <c r="G186" s="16"/>
      <c r="H186" s="16"/>
      <c r="I186" s="16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1:20" ht="13.2" x14ac:dyDescent="0.25">
      <c r="A187" s="39"/>
      <c r="B187" s="37"/>
      <c r="D187" s="19"/>
      <c r="E187" s="19"/>
      <c r="G187" s="16"/>
      <c r="H187" s="16"/>
      <c r="I187" s="16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1:20" ht="13.2" x14ac:dyDescent="0.25">
      <c r="A188" s="39"/>
      <c r="B188" s="37"/>
      <c r="D188" s="19"/>
      <c r="E188" s="19"/>
      <c r="G188" s="16"/>
      <c r="H188" s="16"/>
      <c r="I188" s="16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1:20" ht="13.2" x14ac:dyDescent="0.25">
      <c r="A189" s="39"/>
      <c r="B189" s="37"/>
      <c r="D189" s="19"/>
      <c r="E189" s="19"/>
      <c r="G189" s="16"/>
      <c r="H189" s="16"/>
      <c r="I189" s="16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1:20" ht="13.2" x14ac:dyDescent="0.25">
      <c r="A190" s="39"/>
      <c r="B190" s="37"/>
      <c r="D190" s="19"/>
      <c r="E190" s="19"/>
      <c r="G190" s="16"/>
      <c r="H190" s="16"/>
      <c r="I190" s="16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1:20" ht="13.2" x14ac:dyDescent="0.25">
      <c r="A191" s="39"/>
      <c r="B191" s="37"/>
      <c r="D191" s="19"/>
      <c r="E191" s="19"/>
      <c r="G191" s="16"/>
      <c r="H191" s="16"/>
      <c r="I191" s="16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1:20" ht="13.2" x14ac:dyDescent="0.25">
      <c r="A192" s="39"/>
      <c r="B192" s="37"/>
      <c r="D192" s="19"/>
      <c r="E192" s="19"/>
      <c r="G192" s="16"/>
      <c r="H192" s="16"/>
      <c r="I192" s="16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1:20" ht="13.2" x14ac:dyDescent="0.25">
      <c r="A193" s="39"/>
      <c r="B193" s="37"/>
      <c r="D193" s="19"/>
      <c r="E193" s="19"/>
      <c r="G193" s="16"/>
      <c r="H193" s="16"/>
      <c r="I193" s="16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1:20" ht="13.2" x14ac:dyDescent="0.25">
      <c r="A194" s="39"/>
      <c r="B194" s="37"/>
      <c r="D194" s="19"/>
      <c r="E194" s="19"/>
      <c r="G194" s="16"/>
      <c r="H194" s="16"/>
      <c r="I194" s="16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1:20" ht="13.2" x14ac:dyDescent="0.25">
      <c r="A195" s="39"/>
      <c r="B195" s="37"/>
      <c r="D195" s="19"/>
      <c r="E195" s="19"/>
      <c r="G195" s="16"/>
      <c r="H195" s="16"/>
      <c r="I195" s="16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1:20" ht="13.2" x14ac:dyDescent="0.25">
      <c r="A196" s="39"/>
      <c r="B196" s="37"/>
      <c r="D196" s="19"/>
      <c r="E196" s="19"/>
      <c r="G196" s="16"/>
      <c r="H196" s="16"/>
      <c r="I196" s="16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1:20" ht="13.2" x14ac:dyDescent="0.25">
      <c r="A197" s="39"/>
      <c r="B197" s="37"/>
      <c r="D197" s="19"/>
      <c r="E197" s="19"/>
      <c r="G197" s="16"/>
      <c r="H197" s="16"/>
      <c r="I197" s="16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1:20" ht="13.2" x14ac:dyDescent="0.25">
      <c r="A198" s="39"/>
      <c r="B198" s="37"/>
      <c r="D198" s="19"/>
      <c r="E198" s="19"/>
      <c r="G198" s="16"/>
      <c r="H198" s="16"/>
      <c r="I198" s="16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1:20" ht="13.2" x14ac:dyDescent="0.25">
      <c r="A199" s="39"/>
      <c r="B199" s="37"/>
      <c r="D199" s="19"/>
      <c r="E199" s="19"/>
      <c r="G199" s="16"/>
      <c r="H199" s="16"/>
      <c r="I199" s="16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1:20" ht="13.2" x14ac:dyDescent="0.25">
      <c r="A200" s="39"/>
      <c r="B200" s="37"/>
      <c r="D200" s="19"/>
      <c r="E200" s="19"/>
      <c r="G200" s="16"/>
      <c r="H200" s="16"/>
      <c r="I200" s="16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1:20" ht="13.2" x14ac:dyDescent="0.25">
      <c r="A201" s="39"/>
      <c r="B201" s="37"/>
      <c r="D201" s="19"/>
      <c r="E201" s="19"/>
      <c r="G201" s="16"/>
      <c r="H201" s="16"/>
      <c r="I201" s="16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1:20" ht="13.2" x14ac:dyDescent="0.25">
      <c r="A202" s="39"/>
      <c r="B202" s="37"/>
      <c r="D202" s="19"/>
      <c r="E202" s="19"/>
      <c r="G202" s="16"/>
      <c r="H202" s="16"/>
      <c r="I202" s="16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1:20" ht="13.2" x14ac:dyDescent="0.25">
      <c r="A203" s="39"/>
      <c r="B203" s="37"/>
      <c r="D203" s="19"/>
      <c r="E203" s="19"/>
      <c r="G203" s="16"/>
      <c r="H203" s="16"/>
      <c r="I203" s="16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1:20" ht="13.2" x14ac:dyDescent="0.25">
      <c r="A204" s="39"/>
      <c r="B204" s="37"/>
      <c r="D204" s="19"/>
      <c r="E204" s="19"/>
      <c r="G204" s="16"/>
      <c r="H204" s="16"/>
      <c r="I204" s="16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1:20" ht="13.2" x14ac:dyDescent="0.25">
      <c r="A205" s="39"/>
      <c r="B205" s="37"/>
      <c r="D205" s="19"/>
      <c r="E205" s="19"/>
      <c r="G205" s="16"/>
      <c r="H205" s="16"/>
      <c r="I205" s="16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1:20" ht="13.2" x14ac:dyDescent="0.25">
      <c r="A206" s="39"/>
      <c r="B206" s="37"/>
      <c r="D206" s="19"/>
      <c r="E206" s="19"/>
      <c r="G206" s="16"/>
      <c r="H206" s="16"/>
      <c r="I206" s="16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1:20" ht="13.2" x14ac:dyDescent="0.25">
      <c r="A207" s="39"/>
      <c r="B207" s="37"/>
      <c r="D207" s="19"/>
      <c r="E207" s="19"/>
      <c r="G207" s="16"/>
      <c r="H207" s="16"/>
      <c r="I207" s="16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1:20" ht="13.2" x14ac:dyDescent="0.25">
      <c r="A208" s="39"/>
      <c r="B208" s="37"/>
      <c r="D208" s="19"/>
      <c r="E208" s="19"/>
      <c r="G208" s="16"/>
      <c r="H208" s="16"/>
      <c r="I208" s="16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1:20" ht="13.2" x14ac:dyDescent="0.25">
      <c r="A209" s="39"/>
      <c r="B209" s="37"/>
      <c r="D209" s="19"/>
      <c r="E209" s="19"/>
      <c r="G209" s="16"/>
      <c r="H209" s="16"/>
      <c r="I209" s="16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1:20" ht="13.2" x14ac:dyDescent="0.25">
      <c r="A210" s="39"/>
      <c r="B210" s="37"/>
      <c r="D210" s="19"/>
      <c r="E210" s="19"/>
      <c r="G210" s="16"/>
      <c r="H210" s="16"/>
      <c r="I210" s="16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1:20" ht="13.2" x14ac:dyDescent="0.25">
      <c r="A211" s="39"/>
      <c r="B211" s="37"/>
      <c r="D211" s="19"/>
      <c r="E211" s="19"/>
      <c r="G211" s="16"/>
      <c r="H211" s="16"/>
      <c r="I211" s="16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1:20" ht="13.2" x14ac:dyDescent="0.25">
      <c r="A212" s="39"/>
      <c r="B212" s="37"/>
      <c r="D212" s="19"/>
      <c r="E212" s="19"/>
      <c r="G212" s="16"/>
      <c r="H212" s="16"/>
      <c r="I212" s="16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1:20" ht="13.2" x14ac:dyDescent="0.25">
      <c r="A213" s="39"/>
      <c r="B213" s="37"/>
      <c r="D213" s="19"/>
      <c r="E213" s="19"/>
      <c r="G213" s="16"/>
      <c r="H213" s="16"/>
      <c r="I213" s="16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1:20" ht="13.2" x14ac:dyDescent="0.25">
      <c r="A214" s="39"/>
      <c r="B214" s="37"/>
      <c r="D214" s="19"/>
      <c r="E214" s="19"/>
      <c r="G214" s="16"/>
      <c r="H214" s="16"/>
      <c r="I214" s="16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1:20" ht="13.2" x14ac:dyDescent="0.25">
      <c r="A215" s="39"/>
      <c r="B215" s="37"/>
      <c r="D215" s="19"/>
      <c r="E215" s="19"/>
      <c r="G215" s="16"/>
      <c r="H215" s="16"/>
      <c r="I215" s="16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1:20" ht="13.2" x14ac:dyDescent="0.25">
      <c r="A216" s="39"/>
      <c r="B216" s="37"/>
      <c r="D216" s="19"/>
      <c r="E216" s="19"/>
      <c r="G216" s="16"/>
      <c r="H216" s="16"/>
      <c r="I216" s="16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1:20" ht="13.2" x14ac:dyDescent="0.25">
      <c r="A217" s="39"/>
      <c r="B217" s="37"/>
      <c r="D217" s="19"/>
      <c r="E217" s="19"/>
      <c r="G217" s="16"/>
      <c r="H217" s="16"/>
      <c r="I217" s="16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1:20" ht="13.2" x14ac:dyDescent="0.25">
      <c r="A218" s="39"/>
      <c r="B218" s="37"/>
      <c r="D218" s="19"/>
      <c r="E218" s="19"/>
      <c r="G218" s="16"/>
      <c r="H218" s="16"/>
      <c r="I218" s="16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1:20" ht="13.2" x14ac:dyDescent="0.25">
      <c r="A219" s="39"/>
      <c r="B219" s="37"/>
      <c r="D219" s="19"/>
      <c r="E219" s="19"/>
      <c r="G219" s="16"/>
      <c r="H219" s="16"/>
      <c r="I219" s="16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1:20" ht="13.2" x14ac:dyDescent="0.25">
      <c r="A220" s="39"/>
      <c r="B220" s="37"/>
      <c r="D220" s="19"/>
      <c r="E220" s="19"/>
      <c r="G220" s="16"/>
      <c r="H220" s="16"/>
      <c r="I220" s="16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1:20" ht="13.2" x14ac:dyDescent="0.25">
      <c r="A221" s="39"/>
      <c r="B221" s="37"/>
      <c r="D221" s="19"/>
      <c r="E221" s="19"/>
      <c r="G221" s="16"/>
      <c r="H221" s="16"/>
      <c r="I221" s="16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1:20" ht="13.2" x14ac:dyDescent="0.25">
      <c r="A222" s="39"/>
      <c r="B222" s="37"/>
      <c r="D222" s="19"/>
      <c r="E222" s="19"/>
      <c r="G222" s="16"/>
      <c r="H222" s="16"/>
      <c r="I222" s="16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1:20" ht="13.2" x14ac:dyDescent="0.25">
      <c r="A223" s="39"/>
      <c r="B223" s="37"/>
      <c r="D223" s="19"/>
      <c r="E223" s="19"/>
      <c r="G223" s="16"/>
      <c r="H223" s="16"/>
      <c r="I223" s="16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1:20" ht="13.2" x14ac:dyDescent="0.25">
      <c r="A224" s="39"/>
      <c r="B224" s="37"/>
      <c r="D224" s="19"/>
      <c r="E224" s="19"/>
      <c r="G224" s="16"/>
      <c r="H224" s="16"/>
      <c r="I224" s="16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1:20" ht="13.2" x14ac:dyDescent="0.25">
      <c r="A225" s="39"/>
      <c r="B225" s="37"/>
      <c r="D225" s="19"/>
      <c r="E225" s="19"/>
      <c r="G225" s="16"/>
      <c r="H225" s="16"/>
      <c r="I225" s="16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1:20" ht="13.2" x14ac:dyDescent="0.25">
      <c r="A226" s="39"/>
      <c r="B226" s="37"/>
      <c r="D226" s="19"/>
      <c r="E226" s="19"/>
      <c r="G226" s="16"/>
      <c r="H226" s="16"/>
      <c r="I226" s="16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1:20" ht="13.2" x14ac:dyDescent="0.25">
      <c r="A227" s="39"/>
      <c r="B227" s="37"/>
      <c r="D227" s="19"/>
      <c r="E227" s="19"/>
      <c r="G227" s="16"/>
      <c r="H227" s="16"/>
      <c r="I227" s="16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1:20" ht="13.2" x14ac:dyDescent="0.25">
      <c r="A228" s="39"/>
      <c r="B228" s="37"/>
      <c r="D228" s="19"/>
      <c r="E228" s="19"/>
      <c r="G228" s="16"/>
      <c r="H228" s="16"/>
      <c r="I228" s="16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1:20" ht="13.2" x14ac:dyDescent="0.25">
      <c r="A229" s="39"/>
      <c r="B229" s="37"/>
      <c r="D229" s="19"/>
      <c r="E229" s="19"/>
      <c r="G229" s="16"/>
      <c r="H229" s="16"/>
      <c r="I229" s="16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1:20" ht="13.2" x14ac:dyDescent="0.25">
      <c r="A230" s="39"/>
      <c r="B230" s="37"/>
      <c r="D230" s="19"/>
      <c r="E230" s="19"/>
      <c r="G230" s="16"/>
      <c r="H230" s="16"/>
      <c r="I230" s="16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1:20" ht="13.2" x14ac:dyDescent="0.25">
      <c r="A231" s="39"/>
      <c r="B231" s="37"/>
      <c r="D231" s="19"/>
      <c r="E231" s="19"/>
      <c r="G231" s="16"/>
      <c r="H231" s="16"/>
      <c r="I231" s="16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1:20" ht="13.2" x14ac:dyDescent="0.25">
      <c r="A232" s="39"/>
      <c r="B232" s="37"/>
      <c r="D232" s="19"/>
      <c r="E232" s="19"/>
      <c r="G232" s="16"/>
      <c r="H232" s="16"/>
      <c r="I232" s="16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1:20" ht="13.2" x14ac:dyDescent="0.25">
      <c r="A233" s="39"/>
      <c r="B233" s="37"/>
      <c r="D233" s="19"/>
      <c r="E233" s="19"/>
      <c r="G233" s="16"/>
      <c r="H233" s="16"/>
      <c r="I233" s="16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1:20" ht="13.2" x14ac:dyDescent="0.25">
      <c r="A234" s="39"/>
      <c r="B234" s="37"/>
      <c r="D234" s="19"/>
      <c r="E234" s="19"/>
      <c r="G234" s="16"/>
      <c r="H234" s="16"/>
      <c r="I234" s="16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1:20" ht="13.2" x14ac:dyDescent="0.25">
      <c r="A235" s="39"/>
      <c r="B235" s="37"/>
      <c r="D235" s="19"/>
      <c r="E235" s="19"/>
      <c r="G235" s="16"/>
      <c r="H235" s="16"/>
      <c r="I235" s="16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1:20" ht="13.2" x14ac:dyDescent="0.25">
      <c r="A236" s="39"/>
      <c r="B236" s="37"/>
      <c r="D236" s="19"/>
      <c r="E236" s="19"/>
      <c r="G236" s="16"/>
      <c r="H236" s="16"/>
      <c r="I236" s="16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1:20" ht="13.2" x14ac:dyDescent="0.25">
      <c r="A237" s="39"/>
      <c r="B237" s="37"/>
      <c r="D237" s="19"/>
      <c r="E237" s="19"/>
      <c r="G237" s="16"/>
      <c r="H237" s="16"/>
      <c r="I237" s="16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1:20" ht="13.2" x14ac:dyDescent="0.25">
      <c r="A238" s="39"/>
      <c r="B238" s="37"/>
      <c r="D238" s="19"/>
      <c r="E238" s="19"/>
      <c r="G238" s="16"/>
      <c r="H238" s="16"/>
      <c r="I238" s="16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1:20" ht="13.2" x14ac:dyDescent="0.25">
      <c r="A239" s="39"/>
      <c r="B239" s="37"/>
      <c r="D239" s="19"/>
      <c r="E239" s="19"/>
      <c r="G239" s="16"/>
      <c r="H239" s="16"/>
      <c r="I239" s="16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1:20" ht="13.2" x14ac:dyDescent="0.25">
      <c r="A240" s="39"/>
      <c r="B240" s="37"/>
      <c r="D240" s="19"/>
      <c r="E240" s="19"/>
      <c r="G240" s="16"/>
      <c r="H240" s="16"/>
      <c r="I240" s="16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1:20" ht="13.2" x14ac:dyDescent="0.25">
      <c r="A241" s="39"/>
      <c r="B241" s="37"/>
      <c r="D241" s="19"/>
      <c r="E241" s="19"/>
      <c r="G241" s="16"/>
      <c r="H241" s="16"/>
      <c r="I241" s="16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1:20" ht="13.2" x14ac:dyDescent="0.25">
      <c r="A242" s="39"/>
      <c r="B242" s="37"/>
      <c r="D242" s="19"/>
      <c r="E242" s="19"/>
      <c r="G242" s="16"/>
      <c r="H242" s="16"/>
      <c r="I242" s="16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1:20" ht="13.2" x14ac:dyDescent="0.25">
      <c r="A243" s="39"/>
      <c r="B243" s="37"/>
      <c r="D243" s="19"/>
      <c r="E243" s="19"/>
      <c r="G243" s="16"/>
      <c r="H243" s="16"/>
      <c r="I243" s="16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1:20" ht="13.2" x14ac:dyDescent="0.25">
      <c r="A244" s="39"/>
      <c r="B244" s="37"/>
      <c r="D244" s="19"/>
      <c r="E244" s="19"/>
      <c r="G244" s="16"/>
      <c r="H244" s="16"/>
      <c r="I244" s="16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1:20" ht="13.2" x14ac:dyDescent="0.25">
      <c r="A245" s="39"/>
      <c r="B245" s="37"/>
      <c r="D245" s="19"/>
      <c r="E245" s="19"/>
      <c r="G245" s="16"/>
      <c r="H245" s="16"/>
      <c r="I245" s="16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1:20" ht="13.2" x14ac:dyDescent="0.25">
      <c r="A246" s="39"/>
      <c r="B246" s="37"/>
      <c r="D246" s="19"/>
      <c r="E246" s="19"/>
      <c r="G246" s="16"/>
      <c r="H246" s="16"/>
      <c r="I246" s="16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1:20" ht="13.2" x14ac:dyDescent="0.25">
      <c r="A247" s="39"/>
      <c r="B247" s="37"/>
      <c r="D247" s="19"/>
      <c r="E247" s="19"/>
      <c r="G247" s="16"/>
      <c r="H247" s="16"/>
      <c r="I247" s="16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1:20" ht="13.2" x14ac:dyDescent="0.25">
      <c r="A248" s="39"/>
      <c r="B248" s="37"/>
      <c r="D248" s="19"/>
      <c r="E248" s="19"/>
      <c r="G248" s="16"/>
      <c r="H248" s="16"/>
      <c r="I248" s="16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1:20" ht="13.2" x14ac:dyDescent="0.25">
      <c r="A249" s="39"/>
      <c r="B249" s="37"/>
      <c r="D249" s="19"/>
      <c r="E249" s="19"/>
      <c r="G249" s="16"/>
      <c r="H249" s="16"/>
      <c r="I249" s="16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1:20" ht="13.2" x14ac:dyDescent="0.25">
      <c r="A250" s="39"/>
      <c r="B250" s="37"/>
      <c r="D250" s="19"/>
      <c r="E250" s="19"/>
      <c r="G250" s="16"/>
      <c r="H250" s="16"/>
      <c r="I250" s="16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1:20" ht="13.2" x14ac:dyDescent="0.25">
      <c r="A251" s="39"/>
      <c r="B251" s="37"/>
      <c r="D251" s="19"/>
      <c r="E251" s="19"/>
      <c r="G251" s="16"/>
      <c r="H251" s="16"/>
      <c r="I251" s="16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1:20" ht="13.2" x14ac:dyDescent="0.25">
      <c r="A252" s="39"/>
      <c r="B252" s="37"/>
      <c r="D252" s="19"/>
      <c r="E252" s="19"/>
      <c r="G252" s="16"/>
      <c r="H252" s="16"/>
      <c r="I252" s="16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1:20" ht="13.2" x14ac:dyDescent="0.25">
      <c r="A253" s="39"/>
      <c r="B253" s="37"/>
      <c r="D253" s="19"/>
      <c r="E253" s="19"/>
      <c r="G253" s="16"/>
      <c r="H253" s="16"/>
      <c r="I253" s="16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1:20" ht="13.2" x14ac:dyDescent="0.25">
      <c r="A254" s="39"/>
      <c r="B254" s="37"/>
      <c r="D254" s="19"/>
      <c r="E254" s="19"/>
      <c r="G254" s="16"/>
      <c r="H254" s="16"/>
      <c r="I254" s="16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1:20" ht="13.2" x14ac:dyDescent="0.25">
      <c r="A255" s="39"/>
      <c r="B255" s="37"/>
      <c r="D255" s="19"/>
      <c r="E255" s="19"/>
      <c r="G255" s="16"/>
      <c r="H255" s="16"/>
      <c r="I255" s="16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1:20" ht="13.2" x14ac:dyDescent="0.25">
      <c r="A256" s="39"/>
      <c r="B256" s="37"/>
      <c r="D256" s="19"/>
      <c r="E256" s="19"/>
      <c r="G256" s="16"/>
      <c r="H256" s="16"/>
      <c r="I256" s="16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1:20" ht="13.2" x14ac:dyDescent="0.25">
      <c r="A257" s="39"/>
      <c r="B257" s="37"/>
      <c r="D257" s="19"/>
      <c r="E257" s="19"/>
      <c r="G257" s="16"/>
      <c r="H257" s="16"/>
      <c r="I257" s="16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1:20" ht="13.2" x14ac:dyDescent="0.25">
      <c r="A258" s="39"/>
      <c r="B258" s="37"/>
      <c r="D258" s="19"/>
      <c r="E258" s="19"/>
      <c r="G258" s="16"/>
      <c r="H258" s="16"/>
      <c r="I258" s="16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1:20" ht="13.2" x14ac:dyDescent="0.25">
      <c r="A259" s="39"/>
      <c r="B259" s="37"/>
      <c r="D259" s="19"/>
      <c r="E259" s="19"/>
      <c r="G259" s="16"/>
      <c r="H259" s="16"/>
      <c r="I259" s="16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1:20" ht="13.2" x14ac:dyDescent="0.25">
      <c r="A260" s="39"/>
      <c r="B260" s="37"/>
      <c r="D260" s="19"/>
      <c r="E260" s="19"/>
      <c r="G260" s="16"/>
      <c r="H260" s="16"/>
      <c r="I260" s="16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1:20" ht="13.2" x14ac:dyDescent="0.25">
      <c r="A261" s="39"/>
      <c r="B261" s="37"/>
      <c r="D261" s="19"/>
      <c r="E261" s="19"/>
      <c r="G261" s="16"/>
      <c r="H261" s="16"/>
      <c r="I261" s="16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1:20" ht="13.2" x14ac:dyDescent="0.25">
      <c r="A262" s="39"/>
      <c r="B262" s="37"/>
      <c r="D262" s="19"/>
      <c r="E262" s="19"/>
      <c r="G262" s="16"/>
      <c r="H262" s="16"/>
      <c r="I262" s="16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1:20" ht="13.2" x14ac:dyDescent="0.25">
      <c r="A263" s="39"/>
      <c r="B263" s="37"/>
      <c r="D263" s="19"/>
      <c r="E263" s="19"/>
      <c r="G263" s="16"/>
      <c r="H263" s="16"/>
      <c r="I263" s="16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1:20" ht="13.2" x14ac:dyDescent="0.25">
      <c r="A264" s="39"/>
      <c r="B264" s="37"/>
      <c r="D264" s="19"/>
      <c r="E264" s="19"/>
      <c r="G264" s="16"/>
      <c r="H264" s="16"/>
      <c r="I264" s="16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1:20" ht="13.2" x14ac:dyDescent="0.25">
      <c r="A265" s="39"/>
      <c r="B265" s="37"/>
      <c r="D265" s="19"/>
      <c r="E265" s="19"/>
      <c r="G265" s="16"/>
      <c r="H265" s="16"/>
      <c r="I265" s="16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1:20" ht="13.2" x14ac:dyDescent="0.25">
      <c r="A266" s="39"/>
      <c r="B266" s="37"/>
      <c r="D266" s="19"/>
      <c r="E266" s="19"/>
      <c r="G266" s="16"/>
      <c r="H266" s="16"/>
      <c r="I266" s="16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1:20" ht="13.2" x14ac:dyDescent="0.25">
      <c r="A267" s="39"/>
      <c r="B267" s="37"/>
      <c r="D267" s="19"/>
      <c r="E267" s="19"/>
      <c r="G267" s="16"/>
      <c r="H267" s="16"/>
      <c r="I267" s="16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1:20" ht="13.2" x14ac:dyDescent="0.25">
      <c r="A268" s="39"/>
      <c r="B268" s="37"/>
      <c r="D268" s="19"/>
      <c r="E268" s="19"/>
      <c r="G268" s="16"/>
      <c r="H268" s="16"/>
      <c r="I268" s="16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1:20" ht="13.2" x14ac:dyDescent="0.25">
      <c r="A269" s="39"/>
      <c r="B269" s="37"/>
      <c r="D269" s="19"/>
      <c r="E269" s="19"/>
      <c r="G269" s="16"/>
      <c r="H269" s="16"/>
      <c r="I269" s="16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1:20" ht="13.2" x14ac:dyDescent="0.25">
      <c r="A270" s="39"/>
      <c r="B270" s="37"/>
      <c r="D270" s="19"/>
      <c r="E270" s="19"/>
      <c r="G270" s="16"/>
      <c r="H270" s="16"/>
      <c r="I270" s="16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1:20" ht="13.2" x14ac:dyDescent="0.25">
      <c r="A271" s="39"/>
      <c r="B271" s="37"/>
      <c r="D271" s="19"/>
      <c r="E271" s="19"/>
      <c r="G271" s="16"/>
      <c r="H271" s="16"/>
      <c r="I271" s="16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1:20" ht="13.2" x14ac:dyDescent="0.25">
      <c r="A272" s="39"/>
      <c r="B272" s="37"/>
      <c r="D272" s="19"/>
      <c r="E272" s="19"/>
      <c r="G272" s="16"/>
      <c r="H272" s="16"/>
      <c r="I272" s="16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1:20" ht="13.2" x14ac:dyDescent="0.25">
      <c r="A273" s="39"/>
      <c r="B273" s="37"/>
      <c r="D273" s="19"/>
      <c r="E273" s="19"/>
      <c r="G273" s="16"/>
      <c r="H273" s="16"/>
      <c r="I273" s="16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1:20" ht="13.2" x14ac:dyDescent="0.25">
      <c r="A274" s="39"/>
      <c r="B274" s="37"/>
      <c r="D274" s="19"/>
      <c r="E274" s="19"/>
      <c r="G274" s="16"/>
      <c r="H274" s="16"/>
      <c r="I274" s="16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1:20" ht="13.2" x14ac:dyDescent="0.25">
      <c r="A275" s="39"/>
      <c r="B275" s="37"/>
      <c r="D275" s="19"/>
      <c r="E275" s="19"/>
      <c r="G275" s="16"/>
      <c r="H275" s="16"/>
      <c r="I275" s="16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1:20" ht="13.2" x14ac:dyDescent="0.25">
      <c r="A276" s="39"/>
      <c r="B276" s="37"/>
      <c r="D276" s="19"/>
      <c r="E276" s="19"/>
      <c r="G276" s="16"/>
      <c r="H276" s="16"/>
      <c r="I276" s="16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1:20" ht="13.2" x14ac:dyDescent="0.25">
      <c r="A277" s="39"/>
      <c r="B277" s="37"/>
      <c r="D277" s="19"/>
      <c r="E277" s="19"/>
      <c r="G277" s="16"/>
      <c r="H277" s="16"/>
      <c r="I277" s="16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1:20" ht="13.2" x14ac:dyDescent="0.25">
      <c r="A278" s="39"/>
      <c r="B278" s="37"/>
      <c r="D278" s="19"/>
      <c r="E278" s="19"/>
      <c r="G278" s="16"/>
      <c r="H278" s="16"/>
      <c r="I278" s="16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1:20" ht="13.2" x14ac:dyDescent="0.25">
      <c r="A279" s="39"/>
      <c r="B279" s="37"/>
      <c r="D279" s="19"/>
      <c r="E279" s="19"/>
      <c r="G279" s="16"/>
      <c r="H279" s="16"/>
      <c r="I279" s="16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1:20" ht="13.2" x14ac:dyDescent="0.25">
      <c r="A280" s="39"/>
      <c r="B280" s="37"/>
      <c r="D280" s="19"/>
      <c r="E280" s="19"/>
      <c r="G280" s="16"/>
      <c r="H280" s="16"/>
      <c r="I280" s="16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1:20" ht="13.2" x14ac:dyDescent="0.25">
      <c r="A281" s="39"/>
      <c r="B281" s="37"/>
      <c r="D281" s="19"/>
      <c r="E281" s="19"/>
      <c r="G281" s="16"/>
      <c r="H281" s="16"/>
      <c r="I281" s="16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1:20" ht="13.2" x14ac:dyDescent="0.25">
      <c r="A282" s="39"/>
      <c r="B282" s="37"/>
      <c r="D282" s="19"/>
      <c r="E282" s="19"/>
      <c r="G282" s="16"/>
      <c r="H282" s="16"/>
      <c r="I282" s="16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1:20" ht="13.2" x14ac:dyDescent="0.25">
      <c r="A283" s="39"/>
      <c r="B283" s="37"/>
      <c r="D283" s="19"/>
      <c r="E283" s="19"/>
      <c r="G283" s="16"/>
      <c r="H283" s="16"/>
      <c r="I283" s="16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1:20" ht="13.2" x14ac:dyDescent="0.25">
      <c r="A284" s="39"/>
      <c r="B284" s="37"/>
      <c r="D284" s="19"/>
      <c r="E284" s="19"/>
      <c r="G284" s="16"/>
      <c r="H284" s="16"/>
      <c r="I284" s="16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1:20" ht="13.2" x14ac:dyDescent="0.25">
      <c r="A285" s="39"/>
      <c r="B285" s="37"/>
      <c r="D285" s="19"/>
      <c r="E285" s="19"/>
      <c r="G285" s="16"/>
      <c r="H285" s="16"/>
      <c r="I285" s="16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1:20" ht="13.2" x14ac:dyDescent="0.25">
      <c r="A286" s="39"/>
      <c r="B286" s="37"/>
      <c r="D286" s="19"/>
      <c r="E286" s="19"/>
      <c r="G286" s="16"/>
      <c r="H286" s="16"/>
      <c r="I286" s="16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1:20" ht="13.2" x14ac:dyDescent="0.25">
      <c r="A287" s="39"/>
      <c r="B287" s="37"/>
      <c r="D287" s="19"/>
      <c r="E287" s="19"/>
      <c r="G287" s="16"/>
      <c r="H287" s="16"/>
      <c r="I287" s="16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1:20" ht="13.2" x14ac:dyDescent="0.25">
      <c r="A288" s="39"/>
      <c r="B288" s="37"/>
      <c r="D288" s="19"/>
      <c r="E288" s="19"/>
      <c r="G288" s="16"/>
      <c r="H288" s="16"/>
      <c r="I288" s="16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1:20" ht="13.2" x14ac:dyDescent="0.25">
      <c r="A289" s="39"/>
      <c r="B289" s="37"/>
      <c r="D289" s="19"/>
      <c r="E289" s="19"/>
      <c r="G289" s="16"/>
      <c r="H289" s="16"/>
      <c r="I289" s="16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1:20" ht="13.2" x14ac:dyDescent="0.25">
      <c r="A290" s="39"/>
      <c r="B290" s="37"/>
      <c r="D290" s="19"/>
      <c r="E290" s="19"/>
      <c r="G290" s="16"/>
      <c r="H290" s="16"/>
      <c r="I290" s="16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1:20" ht="13.2" x14ac:dyDescent="0.25">
      <c r="A291" s="39"/>
      <c r="B291" s="37"/>
      <c r="D291" s="19"/>
      <c r="E291" s="19"/>
      <c r="G291" s="16"/>
      <c r="H291" s="16"/>
      <c r="I291" s="16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1:20" ht="13.2" x14ac:dyDescent="0.25">
      <c r="A292" s="39"/>
      <c r="B292" s="37"/>
      <c r="D292" s="19"/>
      <c r="E292" s="19"/>
      <c r="G292" s="16"/>
      <c r="H292" s="16"/>
      <c r="I292" s="16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1:20" ht="13.2" x14ac:dyDescent="0.25">
      <c r="A293" s="39"/>
      <c r="B293" s="37"/>
      <c r="D293" s="19"/>
      <c r="E293" s="19"/>
      <c r="G293" s="16"/>
      <c r="H293" s="16"/>
      <c r="I293" s="16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1:20" ht="13.2" x14ac:dyDescent="0.25">
      <c r="A294" s="39"/>
      <c r="B294" s="37"/>
      <c r="D294" s="19"/>
      <c r="E294" s="19"/>
      <c r="G294" s="16"/>
      <c r="H294" s="16"/>
      <c r="I294" s="16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1:20" ht="13.2" x14ac:dyDescent="0.25">
      <c r="A295" s="39"/>
      <c r="B295" s="37"/>
      <c r="D295" s="19"/>
      <c r="E295" s="19"/>
      <c r="G295" s="16"/>
      <c r="H295" s="16"/>
      <c r="I295" s="16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1:20" ht="13.2" x14ac:dyDescent="0.25">
      <c r="A296" s="39"/>
      <c r="B296" s="37"/>
      <c r="D296" s="19"/>
      <c r="E296" s="19"/>
      <c r="G296" s="16"/>
      <c r="H296" s="16"/>
      <c r="I296" s="16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1:20" ht="13.2" x14ac:dyDescent="0.25">
      <c r="A297" s="39"/>
      <c r="B297" s="37"/>
      <c r="D297" s="19"/>
      <c r="E297" s="19"/>
      <c r="G297" s="16"/>
      <c r="H297" s="16"/>
      <c r="I297" s="16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1:20" ht="13.2" x14ac:dyDescent="0.25">
      <c r="A298" s="39"/>
      <c r="B298" s="37"/>
      <c r="D298" s="19"/>
      <c r="E298" s="19"/>
      <c r="G298" s="16"/>
      <c r="H298" s="16"/>
      <c r="I298" s="16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1:20" ht="13.2" x14ac:dyDescent="0.25">
      <c r="A299" s="39"/>
      <c r="B299" s="37"/>
      <c r="D299" s="19"/>
      <c r="E299" s="19"/>
      <c r="G299" s="16"/>
      <c r="H299" s="16"/>
      <c r="I299" s="16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1:20" ht="13.2" x14ac:dyDescent="0.25">
      <c r="A300" s="39"/>
      <c r="B300" s="37"/>
      <c r="D300" s="19"/>
      <c r="E300" s="19"/>
      <c r="G300" s="16"/>
      <c r="H300" s="16"/>
      <c r="I300" s="16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1:20" ht="13.2" x14ac:dyDescent="0.25">
      <c r="A301" s="39"/>
      <c r="B301" s="37"/>
      <c r="D301" s="19"/>
      <c r="E301" s="19"/>
      <c r="G301" s="16"/>
      <c r="H301" s="16"/>
      <c r="I301" s="16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1:20" ht="13.2" x14ac:dyDescent="0.25">
      <c r="A302" s="39"/>
      <c r="B302" s="37"/>
      <c r="D302" s="19"/>
      <c r="E302" s="19"/>
      <c r="G302" s="16"/>
      <c r="H302" s="16"/>
      <c r="I302" s="16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1:20" ht="13.2" x14ac:dyDescent="0.25">
      <c r="A303" s="39"/>
      <c r="B303" s="37"/>
      <c r="D303" s="19"/>
      <c r="E303" s="19"/>
      <c r="G303" s="16"/>
      <c r="H303" s="16"/>
      <c r="I303" s="16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1:20" ht="13.2" x14ac:dyDescent="0.25">
      <c r="A304" s="39"/>
      <c r="B304" s="37"/>
      <c r="D304" s="19"/>
      <c r="E304" s="19"/>
      <c r="G304" s="16"/>
      <c r="H304" s="16"/>
      <c r="I304" s="16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1:20" ht="13.2" x14ac:dyDescent="0.25">
      <c r="A305" s="39"/>
      <c r="B305" s="37"/>
      <c r="D305" s="19"/>
      <c r="E305" s="19"/>
      <c r="G305" s="16"/>
      <c r="H305" s="16"/>
      <c r="I305" s="16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1:20" ht="13.2" x14ac:dyDescent="0.25">
      <c r="A306" s="39"/>
      <c r="B306" s="37"/>
      <c r="D306" s="19"/>
      <c r="E306" s="19"/>
      <c r="G306" s="16"/>
      <c r="H306" s="16"/>
      <c r="I306" s="16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1:20" ht="13.2" x14ac:dyDescent="0.25">
      <c r="A307" s="39"/>
      <c r="B307" s="37"/>
      <c r="D307" s="19"/>
      <c r="E307" s="19"/>
      <c r="G307" s="16"/>
      <c r="H307" s="16"/>
      <c r="I307" s="16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1:20" ht="13.2" x14ac:dyDescent="0.25">
      <c r="A308" s="39"/>
      <c r="B308" s="37"/>
      <c r="D308" s="19"/>
      <c r="E308" s="19"/>
      <c r="G308" s="16"/>
      <c r="H308" s="16"/>
      <c r="I308" s="16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1:20" ht="13.2" x14ac:dyDescent="0.25">
      <c r="A309" s="39"/>
      <c r="B309" s="37"/>
      <c r="D309" s="19"/>
      <c r="E309" s="19"/>
      <c r="G309" s="16"/>
      <c r="H309" s="16"/>
      <c r="I309" s="16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1:20" ht="13.2" x14ac:dyDescent="0.25">
      <c r="A310" s="39"/>
      <c r="B310" s="37"/>
      <c r="D310" s="19"/>
      <c r="E310" s="19"/>
      <c r="G310" s="16"/>
      <c r="H310" s="16"/>
      <c r="I310" s="16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1:20" ht="13.2" x14ac:dyDescent="0.25">
      <c r="A311" s="39"/>
      <c r="B311" s="37"/>
      <c r="D311" s="19"/>
      <c r="E311" s="19"/>
      <c r="G311" s="16"/>
      <c r="H311" s="16"/>
      <c r="I311" s="16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1:20" ht="13.2" x14ac:dyDescent="0.25">
      <c r="A312" s="39"/>
      <c r="B312" s="37"/>
      <c r="D312" s="19"/>
      <c r="E312" s="19"/>
      <c r="G312" s="16"/>
      <c r="H312" s="16"/>
      <c r="I312" s="16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1:20" ht="13.2" x14ac:dyDescent="0.25">
      <c r="A313" s="39"/>
      <c r="B313" s="37"/>
      <c r="D313" s="19"/>
      <c r="E313" s="19"/>
      <c r="G313" s="16"/>
      <c r="H313" s="16"/>
      <c r="I313" s="16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1:20" ht="13.2" x14ac:dyDescent="0.25">
      <c r="A314" s="39"/>
      <c r="B314" s="37"/>
      <c r="D314" s="19"/>
      <c r="E314" s="19"/>
      <c r="G314" s="16"/>
      <c r="H314" s="16"/>
      <c r="I314" s="16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1:20" ht="13.2" x14ac:dyDescent="0.25">
      <c r="A315" s="39"/>
      <c r="B315" s="37"/>
      <c r="D315" s="19"/>
      <c r="E315" s="19"/>
      <c r="G315" s="16"/>
      <c r="H315" s="16"/>
      <c r="I315" s="16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1:20" ht="13.2" x14ac:dyDescent="0.25">
      <c r="A316" s="39"/>
      <c r="B316" s="37"/>
      <c r="D316" s="19"/>
      <c r="E316" s="19"/>
      <c r="G316" s="16"/>
      <c r="H316" s="16"/>
      <c r="I316" s="16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1:20" ht="13.2" x14ac:dyDescent="0.25">
      <c r="A317" s="39"/>
      <c r="B317" s="37"/>
      <c r="D317" s="19"/>
      <c r="E317" s="19"/>
      <c r="G317" s="16"/>
      <c r="H317" s="16"/>
      <c r="I317" s="16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1:20" ht="13.2" x14ac:dyDescent="0.25">
      <c r="A318" s="39"/>
      <c r="B318" s="37"/>
      <c r="D318" s="19"/>
      <c r="E318" s="19"/>
      <c r="G318" s="16"/>
      <c r="H318" s="16"/>
      <c r="I318" s="16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1:20" ht="13.2" x14ac:dyDescent="0.25">
      <c r="A319" s="39"/>
      <c r="B319" s="37"/>
      <c r="D319" s="19"/>
      <c r="E319" s="19"/>
      <c r="G319" s="16"/>
      <c r="H319" s="16"/>
      <c r="I319" s="16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1:20" ht="13.2" x14ac:dyDescent="0.25">
      <c r="A320" s="39"/>
      <c r="B320" s="37"/>
      <c r="D320" s="19"/>
      <c r="E320" s="19"/>
      <c r="G320" s="16"/>
      <c r="H320" s="16"/>
      <c r="I320" s="16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1:20" ht="13.2" x14ac:dyDescent="0.25">
      <c r="A321" s="39"/>
      <c r="B321" s="37"/>
      <c r="D321" s="19"/>
      <c r="E321" s="19"/>
      <c r="G321" s="16"/>
      <c r="H321" s="16"/>
      <c r="I321" s="16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1:20" ht="13.2" x14ac:dyDescent="0.25">
      <c r="A322" s="39"/>
      <c r="B322" s="37"/>
      <c r="D322" s="19"/>
      <c r="E322" s="19"/>
      <c r="G322" s="16"/>
      <c r="H322" s="16"/>
      <c r="I322" s="16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1:20" ht="13.2" x14ac:dyDescent="0.25">
      <c r="A323" s="39"/>
      <c r="B323" s="37"/>
      <c r="D323" s="19"/>
      <c r="E323" s="19"/>
      <c r="G323" s="16"/>
      <c r="H323" s="16"/>
      <c r="I323" s="16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1:20" ht="13.2" x14ac:dyDescent="0.25">
      <c r="A324" s="39"/>
      <c r="B324" s="37"/>
      <c r="D324" s="19"/>
      <c r="E324" s="19"/>
      <c r="G324" s="16"/>
      <c r="H324" s="16"/>
      <c r="I324" s="16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1:20" ht="13.2" x14ac:dyDescent="0.25">
      <c r="A325" s="39"/>
      <c r="B325" s="37"/>
      <c r="D325" s="19"/>
      <c r="E325" s="19"/>
      <c r="G325" s="16"/>
      <c r="H325" s="16"/>
      <c r="I325" s="16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1:20" ht="13.2" x14ac:dyDescent="0.25">
      <c r="A326" s="39"/>
      <c r="B326" s="37"/>
      <c r="D326" s="19"/>
      <c r="E326" s="19"/>
      <c r="G326" s="16"/>
      <c r="H326" s="16"/>
      <c r="I326" s="16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1:20" ht="13.2" x14ac:dyDescent="0.25">
      <c r="A327" s="39"/>
      <c r="B327" s="37"/>
      <c r="D327" s="19"/>
      <c r="E327" s="19"/>
      <c r="G327" s="16"/>
      <c r="H327" s="16"/>
      <c r="I327" s="16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1:20" ht="13.2" x14ac:dyDescent="0.25">
      <c r="A328" s="39"/>
      <c r="B328" s="37"/>
      <c r="D328" s="19"/>
      <c r="E328" s="19"/>
      <c r="G328" s="16"/>
      <c r="H328" s="16"/>
      <c r="I328" s="16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1:20" ht="13.2" x14ac:dyDescent="0.25">
      <c r="A329" s="39"/>
      <c r="B329" s="37"/>
      <c r="D329" s="19"/>
      <c r="E329" s="19"/>
      <c r="G329" s="16"/>
      <c r="H329" s="16"/>
      <c r="I329" s="16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1:20" ht="13.2" x14ac:dyDescent="0.25">
      <c r="A330" s="39"/>
      <c r="B330" s="37"/>
      <c r="D330" s="19"/>
      <c r="E330" s="19"/>
      <c r="G330" s="16"/>
      <c r="H330" s="16"/>
      <c r="I330" s="16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1:20" ht="13.2" x14ac:dyDescent="0.25">
      <c r="A331" s="39"/>
      <c r="B331" s="37"/>
      <c r="D331" s="19"/>
      <c r="E331" s="19"/>
      <c r="G331" s="16"/>
      <c r="H331" s="16"/>
      <c r="I331" s="16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1:20" ht="13.2" x14ac:dyDescent="0.25">
      <c r="A332" s="39"/>
      <c r="B332" s="37"/>
      <c r="D332" s="19"/>
      <c r="E332" s="19"/>
      <c r="G332" s="16"/>
      <c r="H332" s="16"/>
      <c r="I332" s="16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1:20" ht="13.2" x14ac:dyDescent="0.25">
      <c r="A333" s="39"/>
      <c r="B333" s="37"/>
      <c r="D333" s="19"/>
      <c r="E333" s="19"/>
      <c r="G333" s="16"/>
      <c r="H333" s="16"/>
      <c r="I333" s="16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1:20" ht="13.2" x14ac:dyDescent="0.25">
      <c r="A334" s="39"/>
      <c r="B334" s="37"/>
      <c r="D334" s="19"/>
      <c r="E334" s="19"/>
      <c r="G334" s="16"/>
      <c r="H334" s="16"/>
      <c r="I334" s="16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1:20" ht="13.2" x14ac:dyDescent="0.25">
      <c r="A335" s="39"/>
      <c r="B335" s="37"/>
      <c r="D335" s="19"/>
      <c r="E335" s="19"/>
      <c r="G335" s="16"/>
      <c r="H335" s="16"/>
      <c r="I335" s="16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1:20" ht="13.2" x14ac:dyDescent="0.25">
      <c r="A336" s="39"/>
      <c r="B336" s="37"/>
      <c r="D336" s="19"/>
      <c r="E336" s="19"/>
      <c r="G336" s="16"/>
      <c r="H336" s="16"/>
      <c r="I336" s="16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1:20" ht="13.2" x14ac:dyDescent="0.25">
      <c r="A337" s="39"/>
      <c r="B337" s="37"/>
      <c r="D337" s="19"/>
      <c r="E337" s="19"/>
      <c r="G337" s="16"/>
      <c r="H337" s="16"/>
      <c r="I337" s="16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1:20" ht="13.2" x14ac:dyDescent="0.25">
      <c r="A338" s="39"/>
      <c r="B338" s="37"/>
      <c r="D338" s="19"/>
      <c r="E338" s="19"/>
      <c r="G338" s="16"/>
      <c r="H338" s="16"/>
      <c r="I338" s="16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1:20" ht="13.2" x14ac:dyDescent="0.25">
      <c r="A339" s="39"/>
      <c r="B339" s="37"/>
      <c r="D339" s="19"/>
      <c r="E339" s="19"/>
      <c r="G339" s="16"/>
      <c r="H339" s="16"/>
      <c r="I339" s="16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1:20" ht="13.2" x14ac:dyDescent="0.25">
      <c r="A340" s="39"/>
      <c r="B340" s="37"/>
      <c r="D340" s="19"/>
      <c r="E340" s="19"/>
      <c r="G340" s="16"/>
      <c r="H340" s="16"/>
      <c r="I340" s="16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1:20" ht="13.2" x14ac:dyDescent="0.25">
      <c r="A341" s="39"/>
      <c r="B341" s="37"/>
      <c r="D341" s="19"/>
      <c r="E341" s="19"/>
      <c r="G341" s="16"/>
      <c r="H341" s="16"/>
      <c r="I341" s="16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1:20" ht="13.2" x14ac:dyDescent="0.25">
      <c r="A342" s="39"/>
      <c r="B342" s="37"/>
      <c r="D342" s="19"/>
      <c r="E342" s="19"/>
      <c r="G342" s="16"/>
      <c r="H342" s="16"/>
      <c r="I342" s="16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1:20" ht="13.2" x14ac:dyDescent="0.25">
      <c r="A343" s="39"/>
      <c r="B343" s="37"/>
      <c r="D343" s="19"/>
      <c r="E343" s="19"/>
      <c r="G343" s="16"/>
      <c r="H343" s="16"/>
      <c r="I343" s="16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1:20" ht="13.2" x14ac:dyDescent="0.25">
      <c r="A344" s="39"/>
      <c r="B344" s="37"/>
      <c r="D344" s="19"/>
      <c r="E344" s="19"/>
      <c r="G344" s="16"/>
      <c r="H344" s="16"/>
      <c r="I344" s="16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1:20" ht="13.2" x14ac:dyDescent="0.25">
      <c r="A345" s="39"/>
      <c r="B345" s="37"/>
      <c r="D345" s="19"/>
      <c r="E345" s="19"/>
      <c r="G345" s="16"/>
      <c r="H345" s="16"/>
      <c r="I345" s="16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1:20" ht="13.2" x14ac:dyDescent="0.25">
      <c r="A346" s="39"/>
      <c r="B346" s="37"/>
      <c r="D346" s="19"/>
      <c r="E346" s="19"/>
      <c r="G346" s="16"/>
      <c r="H346" s="16"/>
      <c r="I346" s="16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1:20" ht="13.2" x14ac:dyDescent="0.25">
      <c r="A347" s="39"/>
      <c r="B347" s="37"/>
      <c r="D347" s="19"/>
      <c r="E347" s="19"/>
      <c r="G347" s="16"/>
      <c r="H347" s="16"/>
      <c r="I347" s="16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1:20" ht="13.2" x14ac:dyDescent="0.25">
      <c r="A348" s="39"/>
      <c r="B348" s="37"/>
      <c r="D348" s="19"/>
      <c r="E348" s="19"/>
      <c r="G348" s="16"/>
      <c r="H348" s="16"/>
      <c r="I348" s="16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1:20" ht="13.2" x14ac:dyDescent="0.25">
      <c r="A349" s="39"/>
      <c r="B349" s="37"/>
      <c r="D349" s="19"/>
      <c r="E349" s="19"/>
      <c r="G349" s="16"/>
      <c r="H349" s="16"/>
      <c r="I349" s="16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1:20" ht="13.2" x14ac:dyDescent="0.25">
      <c r="A350" s="39"/>
      <c r="B350" s="37"/>
      <c r="D350" s="19"/>
      <c r="E350" s="19"/>
      <c r="G350" s="16"/>
      <c r="H350" s="16"/>
      <c r="I350" s="16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1:20" ht="13.2" x14ac:dyDescent="0.25">
      <c r="A351" s="39"/>
      <c r="B351" s="37"/>
      <c r="D351" s="19"/>
      <c r="E351" s="19"/>
      <c r="G351" s="16"/>
      <c r="H351" s="16"/>
      <c r="I351" s="16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1:20" ht="13.2" x14ac:dyDescent="0.25">
      <c r="A352" s="39"/>
      <c r="B352" s="37"/>
      <c r="D352" s="19"/>
      <c r="E352" s="19"/>
      <c r="G352" s="16"/>
      <c r="H352" s="16"/>
      <c r="I352" s="16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1:20" ht="13.2" x14ac:dyDescent="0.25">
      <c r="A353" s="39"/>
      <c r="B353" s="37"/>
      <c r="D353" s="19"/>
      <c r="E353" s="19"/>
      <c r="G353" s="16"/>
      <c r="H353" s="16"/>
      <c r="I353" s="16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1:20" ht="13.2" x14ac:dyDescent="0.25">
      <c r="A354" s="39"/>
      <c r="B354" s="37"/>
      <c r="D354" s="19"/>
      <c r="E354" s="19"/>
      <c r="G354" s="16"/>
      <c r="H354" s="16"/>
      <c r="I354" s="16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1:20" ht="13.2" x14ac:dyDescent="0.25">
      <c r="A355" s="39"/>
      <c r="B355" s="37"/>
      <c r="D355" s="19"/>
      <c r="E355" s="19"/>
      <c r="G355" s="16"/>
      <c r="H355" s="16"/>
      <c r="I355" s="16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1:20" ht="13.2" x14ac:dyDescent="0.25">
      <c r="A356" s="39"/>
      <c r="B356" s="37"/>
      <c r="D356" s="19"/>
      <c r="E356" s="19"/>
      <c r="G356" s="16"/>
      <c r="H356" s="16"/>
      <c r="I356" s="16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1:20" ht="13.2" x14ac:dyDescent="0.25">
      <c r="A357" s="39"/>
      <c r="B357" s="37"/>
      <c r="D357" s="19"/>
      <c r="E357" s="19"/>
      <c r="G357" s="16"/>
      <c r="H357" s="16"/>
      <c r="I357" s="16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1:20" ht="13.2" x14ac:dyDescent="0.25">
      <c r="A358" s="39"/>
      <c r="B358" s="37"/>
      <c r="D358" s="19"/>
      <c r="E358" s="19"/>
      <c r="G358" s="16"/>
      <c r="H358" s="16"/>
      <c r="I358" s="16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1:20" ht="13.2" x14ac:dyDescent="0.25">
      <c r="A359" s="39"/>
      <c r="B359" s="37"/>
      <c r="D359" s="19"/>
      <c r="E359" s="19"/>
      <c r="G359" s="16"/>
      <c r="H359" s="16"/>
      <c r="I359" s="16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1:20" ht="13.2" x14ac:dyDescent="0.25">
      <c r="A360" s="39"/>
      <c r="B360" s="37"/>
      <c r="D360" s="19"/>
      <c r="E360" s="19"/>
      <c r="G360" s="16"/>
      <c r="H360" s="16"/>
      <c r="I360" s="16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1:20" ht="13.2" x14ac:dyDescent="0.25">
      <c r="A361" s="39"/>
      <c r="B361" s="37"/>
      <c r="D361" s="19"/>
      <c r="E361" s="19"/>
      <c r="G361" s="16"/>
      <c r="H361" s="16"/>
      <c r="I361" s="16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1:20" ht="13.2" x14ac:dyDescent="0.25">
      <c r="A362" s="39"/>
      <c r="B362" s="37"/>
      <c r="D362" s="19"/>
      <c r="E362" s="19"/>
      <c r="G362" s="16"/>
      <c r="H362" s="16"/>
      <c r="I362" s="16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1:20" ht="13.2" x14ac:dyDescent="0.25">
      <c r="A363" s="39"/>
      <c r="B363" s="37"/>
      <c r="D363" s="19"/>
      <c r="E363" s="19"/>
      <c r="G363" s="16"/>
      <c r="H363" s="16"/>
      <c r="I363" s="16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1:20" ht="13.2" x14ac:dyDescent="0.25">
      <c r="A364" s="39"/>
      <c r="B364" s="37"/>
      <c r="D364" s="19"/>
      <c r="E364" s="19"/>
      <c r="G364" s="16"/>
      <c r="H364" s="16"/>
      <c r="I364" s="16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1:20" ht="13.2" x14ac:dyDescent="0.25">
      <c r="A365" s="39"/>
      <c r="B365" s="37"/>
      <c r="D365" s="19"/>
      <c r="E365" s="19"/>
      <c r="G365" s="16"/>
      <c r="H365" s="16"/>
      <c r="I365" s="16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1:20" ht="13.2" x14ac:dyDescent="0.25">
      <c r="A366" s="39"/>
      <c r="B366" s="37"/>
      <c r="D366" s="19"/>
      <c r="E366" s="19"/>
      <c r="G366" s="16"/>
      <c r="H366" s="16"/>
      <c r="I366" s="16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1:20" ht="13.2" x14ac:dyDescent="0.25">
      <c r="A367" s="39"/>
      <c r="B367" s="37"/>
      <c r="D367" s="19"/>
      <c r="E367" s="19"/>
      <c r="G367" s="16"/>
      <c r="H367" s="16"/>
      <c r="I367" s="16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1:20" ht="13.2" x14ac:dyDescent="0.25">
      <c r="A368" s="39"/>
      <c r="B368" s="37"/>
      <c r="D368" s="19"/>
      <c r="E368" s="19"/>
      <c r="G368" s="16"/>
      <c r="H368" s="16"/>
      <c r="I368" s="16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1:20" ht="13.2" x14ac:dyDescent="0.25">
      <c r="A369" s="39"/>
      <c r="B369" s="37"/>
      <c r="D369" s="19"/>
      <c r="E369" s="19"/>
      <c r="G369" s="16"/>
      <c r="H369" s="16"/>
      <c r="I369" s="16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1:20" ht="13.2" x14ac:dyDescent="0.25">
      <c r="A370" s="39"/>
      <c r="B370" s="37"/>
      <c r="D370" s="19"/>
      <c r="E370" s="19"/>
      <c r="G370" s="16"/>
      <c r="H370" s="16"/>
      <c r="I370" s="16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1:20" ht="13.2" x14ac:dyDescent="0.25">
      <c r="A371" s="39"/>
      <c r="B371" s="37"/>
      <c r="D371" s="19"/>
      <c r="E371" s="19"/>
      <c r="G371" s="16"/>
      <c r="H371" s="16"/>
      <c r="I371" s="16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1:20" ht="13.2" x14ac:dyDescent="0.25">
      <c r="A372" s="39"/>
      <c r="B372" s="37"/>
      <c r="D372" s="19"/>
      <c r="E372" s="19"/>
      <c r="G372" s="16"/>
      <c r="H372" s="16"/>
      <c r="I372" s="16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1:20" ht="13.2" x14ac:dyDescent="0.25">
      <c r="A373" s="39"/>
      <c r="B373" s="37"/>
      <c r="D373" s="19"/>
      <c r="E373" s="19"/>
      <c r="G373" s="16"/>
      <c r="H373" s="16"/>
      <c r="I373" s="16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1:20" ht="13.2" x14ac:dyDescent="0.25">
      <c r="A374" s="39"/>
      <c r="B374" s="37"/>
      <c r="D374" s="19"/>
      <c r="E374" s="19"/>
      <c r="G374" s="16"/>
      <c r="H374" s="16"/>
      <c r="I374" s="16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1:20" ht="13.2" x14ac:dyDescent="0.25">
      <c r="A375" s="39"/>
      <c r="B375" s="37"/>
      <c r="D375" s="19"/>
      <c r="E375" s="19"/>
      <c r="G375" s="16"/>
      <c r="H375" s="16"/>
      <c r="I375" s="16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1:20" ht="13.2" x14ac:dyDescent="0.25">
      <c r="A376" s="39"/>
      <c r="B376" s="37"/>
      <c r="D376" s="19"/>
      <c r="E376" s="19"/>
      <c r="G376" s="16"/>
      <c r="H376" s="16"/>
      <c r="I376" s="16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1:20" ht="13.2" x14ac:dyDescent="0.25">
      <c r="A377" s="39"/>
      <c r="B377" s="37"/>
      <c r="D377" s="19"/>
      <c r="E377" s="19"/>
      <c r="G377" s="16"/>
      <c r="H377" s="16"/>
      <c r="I377" s="16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1:20" ht="13.2" x14ac:dyDescent="0.25">
      <c r="A378" s="39"/>
      <c r="B378" s="37"/>
      <c r="D378" s="19"/>
      <c r="E378" s="19"/>
      <c r="G378" s="16"/>
      <c r="H378" s="16"/>
      <c r="I378" s="16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1:20" ht="13.2" x14ac:dyDescent="0.25">
      <c r="A379" s="39"/>
      <c r="B379" s="37"/>
      <c r="D379" s="19"/>
      <c r="E379" s="19"/>
      <c r="G379" s="16"/>
      <c r="H379" s="16"/>
      <c r="I379" s="16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1:20" ht="13.2" x14ac:dyDescent="0.25">
      <c r="A380" s="39"/>
      <c r="B380" s="37"/>
      <c r="D380" s="19"/>
      <c r="E380" s="19"/>
      <c r="G380" s="16"/>
      <c r="H380" s="16"/>
      <c r="I380" s="16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1:20" ht="13.2" x14ac:dyDescent="0.25">
      <c r="A381" s="39"/>
      <c r="B381" s="37"/>
      <c r="D381" s="19"/>
      <c r="E381" s="19"/>
      <c r="G381" s="16"/>
      <c r="H381" s="16"/>
      <c r="I381" s="16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1:20" ht="13.2" x14ac:dyDescent="0.25">
      <c r="A382" s="39"/>
      <c r="B382" s="37"/>
      <c r="D382" s="19"/>
      <c r="E382" s="19"/>
      <c r="G382" s="16"/>
      <c r="H382" s="16"/>
      <c r="I382" s="16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1:20" ht="13.2" x14ac:dyDescent="0.25">
      <c r="A383" s="39"/>
      <c r="B383" s="37"/>
      <c r="D383" s="19"/>
      <c r="E383" s="19"/>
      <c r="G383" s="16"/>
      <c r="H383" s="16"/>
      <c r="I383" s="16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1:20" ht="13.2" x14ac:dyDescent="0.25">
      <c r="A384" s="39"/>
      <c r="B384" s="37"/>
      <c r="D384" s="19"/>
      <c r="E384" s="19"/>
      <c r="G384" s="16"/>
      <c r="H384" s="16"/>
      <c r="I384" s="16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1:20" ht="13.2" x14ac:dyDescent="0.25">
      <c r="A385" s="39"/>
      <c r="B385" s="37"/>
      <c r="D385" s="19"/>
      <c r="E385" s="19"/>
      <c r="G385" s="16"/>
      <c r="H385" s="16"/>
      <c r="I385" s="16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1:20" ht="13.2" x14ac:dyDescent="0.25">
      <c r="A386" s="39"/>
      <c r="B386" s="37"/>
      <c r="D386" s="19"/>
      <c r="E386" s="19"/>
      <c r="G386" s="16"/>
      <c r="H386" s="16"/>
      <c r="I386" s="16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1:20" ht="13.2" x14ac:dyDescent="0.25">
      <c r="A387" s="39"/>
      <c r="B387" s="37"/>
      <c r="D387" s="19"/>
      <c r="E387" s="19"/>
      <c r="G387" s="16"/>
      <c r="H387" s="16"/>
      <c r="I387" s="16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1:20" ht="13.2" x14ac:dyDescent="0.25">
      <c r="A388" s="39"/>
      <c r="B388" s="37"/>
      <c r="D388" s="19"/>
      <c r="E388" s="19"/>
      <c r="G388" s="16"/>
      <c r="H388" s="16"/>
      <c r="I388" s="16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1:20" ht="13.2" x14ac:dyDescent="0.25">
      <c r="A389" s="39"/>
      <c r="B389" s="37"/>
      <c r="D389" s="19"/>
      <c r="E389" s="19"/>
      <c r="G389" s="16"/>
      <c r="H389" s="16"/>
      <c r="I389" s="16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1:20" ht="13.2" x14ac:dyDescent="0.25">
      <c r="A390" s="39"/>
      <c r="B390" s="37"/>
      <c r="D390" s="19"/>
      <c r="E390" s="19"/>
      <c r="G390" s="16"/>
      <c r="H390" s="16"/>
      <c r="I390" s="16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1:20" ht="13.2" x14ac:dyDescent="0.25">
      <c r="A391" s="39"/>
      <c r="B391" s="37"/>
      <c r="D391" s="19"/>
      <c r="E391" s="19"/>
      <c r="G391" s="16"/>
      <c r="H391" s="16"/>
      <c r="I391" s="16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1:20" ht="13.2" x14ac:dyDescent="0.25">
      <c r="A392" s="39"/>
      <c r="B392" s="37"/>
      <c r="D392" s="19"/>
      <c r="E392" s="19"/>
      <c r="G392" s="16"/>
      <c r="H392" s="16"/>
      <c r="I392" s="16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1:20" ht="13.2" x14ac:dyDescent="0.25">
      <c r="A393" s="39"/>
      <c r="B393" s="37"/>
      <c r="D393" s="19"/>
      <c r="E393" s="19"/>
      <c r="G393" s="16"/>
      <c r="H393" s="16"/>
      <c r="I393" s="16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1:20" ht="13.2" x14ac:dyDescent="0.25">
      <c r="A394" s="39"/>
      <c r="B394" s="37"/>
      <c r="D394" s="19"/>
      <c r="E394" s="19"/>
      <c r="G394" s="16"/>
      <c r="H394" s="16"/>
      <c r="I394" s="16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1:20" ht="13.2" x14ac:dyDescent="0.25">
      <c r="A395" s="39"/>
      <c r="B395" s="37"/>
      <c r="D395" s="19"/>
      <c r="E395" s="19"/>
      <c r="G395" s="16"/>
      <c r="H395" s="16"/>
      <c r="I395" s="16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1:20" ht="13.2" x14ac:dyDescent="0.25">
      <c r="A396" s="39"/>
      <c r="B396" s="37"/>
      <c r="D396" s="19"/>
      <c r="E396" s="19"/>
      <c r="G396" s="16"/>
      <c r="H396" s="16"/>
      <c r="I396" s="16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1:20" ht="13.2" x14ac:dyDescent="0.25">
      <c r="A397" s="39"/>
      <c r="B397" s="37"/>
      <c r="D397" s="19"/>
      <c r="E397" s="19"/>
      <c r="G397" s="16"/>
      <c r="H397" s="16"/>
      <c r="I397" s="16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1:20" ht="13.2" x14ac:dyDescent="0.25">
      <c r="A398" s="39"/>
      <c r="B398" s="37"/>
      <c r="D398" s="19"/>
      <c r="E398" s="19"/>
      <c r="G398" s="16"/>
      <c r="H398" s="16"/>
      <c r="I398" s="16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1:20" ht="13.2" x14ac:dyDescent="0.25">
      <c r="A399" s="39"/>
      <c r="B399" s="37"/>
      <c r="D399" s="19"/>
      <c r="E399" s="19"/>
      <c r="G399" s="16"/>
      <c r="H399" s="16"/>
      <c r="I399" s="16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1:20" ht="13.2" x14ac:dyDescent="0.25">
      <c r="A400" s="39"/>
      <c r="B400" s="37"/>
      <c r="D400" s="19"/>
      <c r="E400" s="19"/>
      <c r="G400" s="16"/>
      <c r="H400" s="16"/>
      <c r="I400" s="16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1:20" ht="13.2" x14ac:dyDescent="0.25">
      <c r="A401" s="39"/>
      <c r="B401" s="37"/>
      <c r="D401" s="19"/>
      <c r="E401" s="19"/>
      <c r="G401" s="16"/>
      <c r="H401" s="16"/>
      <c r="I401" s="16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1:20" ht="13.2" x14ac:dyDescent="0.25">
      <c r="A402" s="39"/>
      <c r="B402" s="37"/>
      <c r="D402" s="19"/>
      <c r="E402" s="19"/>
      <c r="G402" s="16"/>
      <c r="H402" s="16"/>
      <c r="I402" s="16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1:20" ht="13.2" x14ac:dyDescent="0.25">
      <c r="A403" s="39"/>
      <c r="B403" s="37"/>
      <c r="D403" s="19"/>
      <c r="E403" s="19"/>
      <c r="G403" s="16"/>
      <c r="H403" s="16"/>
      <c r="I403" s="16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1:20" ht="13.2" x14ac:dyDescent="0.25">
      <c r="A404" s="39"/>
      <c r="B404" s="37"/>
      <c r="D404" s="19"/>
      <c r="E404" s="19"/>
      <c r="G404" s="16"/>
      <c r="H404" s="16"/>
      <c r="I404" s="16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1:20" ht="13.2" x14ac:dyDescent="0.25">
      <c r="A405" s="39"/>
      <c r="B405" s="37"/>
      <c r="D405" s="19"/>
      <c r="E405" s="19"/>
      <c r="G405" s="16"/>
      <c r="H405" s="16"/>
      <c r="I405" s="16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1:20" ht="13.2" x14ac:dyDescent="0.25">
      <c r="A406" s="39"/>
      <c r="B406" s="37"/>
      <c r="D406" s="19"/>
      <c r="E406" s="19"/>
      <c r="G406" s="16"/>
      <c r="H406" s="16"/>
      <c r="I406" s="16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1:20" ht="13.2" x14ac:dyDescent="0.25">
      <c r="A407" s="39"/>
      <c r="B407" s="37"/>
      <c r="D407" s="19"/>
      <c r="E407" s="19"/>
      <c r="G407" s="16"/>
      <c r="H407" s="16"/>
      <c r="I407" s="16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1:20" ht="13.2" x14ac:dyDescent="0.25">
      <c r="A408" s="39"/>
      <c r="B408" s="37"/>
      <c r="D408" s="19"/>
      <c r="E408" s="19"/>
      <c r="G408" s="16"/>
      <c r="H408" s="16"/>
      <c r="I408" s="16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1:20" ht="13.2" x14ac:dyDescent="0.25">
      <c r="A409" s="39"/>
      <c r="B409" s="37"/>
      <c r="D409" s="19"/>
      <c r="E409" s="19"/>
      <c r="G409" s="16"/>
      <c r="H409" s="16"/>
      <c r="I409" s="16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1:20" ht="13.2" x14ac:dyDescent="0.25">
      <c r="A410" s="39"/>
      <c r="B410" s="37"/>
      <c r="D410" s="19"/>
      <c r="E410" s="19"/>
      <c r="G410" s="16"/>
      <c r="H410" s="16"/>
      <c r="I410" s="16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1:20" ht="13.2" x14ac:dyDescent="0.25">
      <c r="A411" s="39"/>
      <c r="B411" s="37"/>
      <c r="D411" s="19"/>
      <c r="E411" s="19"/>
      <c r="G411" s="16"/>
      <c r="H411" s="16"/>
      <c r="I411" s="16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1:20" ht="13.2" x14ac:dyDescent="0.25">
      <c r="A412" s="39"/>
      <c r="B412" s="37"/>
      <c r="D412" s="19"/>
      <c r="E412" s="19"/>
      <c r="G412" s="16"/>
      <c r="H412" s="16"/>
      <c r="I412" s="16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1:20" ht="13.2" x14ac:dyDescent="0.25">
      <c r="A413" s="39"/>
      <c r="B413" s="37"/>
      <c r="D413" s="19"/>
      <c r="E413" s="19"/>
      <c r="G413" s="16"/>
      <c r="H413" s="16"/>
      <c r="I413" s="16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1:20" ht="13.2" x14ac:dyDescent="0.25">
      <c r="A414" s="39"/>
      <c r="B414" s="37"/>
      <c r="D414" s="19"/>
      <c r="E414" s="19"/>
      <c r="G414" s="16"/>
      <c r="H414" s="16"/>
      <c r="I414" s="16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1:20" ht="13.2" x14ac:dyDescent="0.25">
      <c r="A415" s="39"/>
      <c r="B415" s="37"/>
      <c r="D415" s="19"/>
      <c r="E415" s="19"/>
      <c r="G415" s="16"/>
      <c r="H415" s="16"/>
      <c r="I415" s="16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1:20" ht="13.2" x14ac:dyDescent="0.25">
      <c r="A416" s="39"/>
      <c r="B416" s="37"/>
      <c r="D416" s="19"/>
      <c r="E416" s="19"/>
      <c r="G416" s="16"/>
      <c r="H416" s="16"/>
      <c r="I416" s="16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1:20" ht="13.2" x14ac:dyDescent="0.25">
      <c r="A417" s="39"/>
      <c r="B417" s="37"/>
      <c r="D417" s="19"/>
      <c r="E417" s="19"/>
      <c r="G417" s="16"/>
      <c r="H417" s="16"/>
      <c r="I417" s="16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1:20" ht="13.2" x14ac:dyDescent="0.25">
      <c r="A418" s="39"/>
      <c r="B418" s="37"/>
      <c r="D418" s="19"/>
      <c r="E418" s="19"/>
      <c r="G418" s="16"/>
      <c r="H418" s="16"/>
      <c r="I418" s="16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1:20" ht="13.2" x14ac:dyDescent="0.25">
      <c r="A419" s="39"/>
      <c r="B419" s="37"/>
      <c r="D419" s="19"/>
      <c r="E419" s="19"/>
      <c r="G419" s="16"/>
      <c r="H419" s="16"/>
      <c r="I419" s="16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1:20" ht="13.2" x14ac:dyDescent="0.25">
      <c r="A420" s="39"/>
      <c r="B420" s="37"/>
      <c r="D420" s="19"/>
      <c r="E420" s="19"/>
      <c r="G420" s="16"/>
      <c r="H420" s="16"/>
      <c r="I420" s="16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1:20" ht="13.2" x14ac:dyDescent="0.25">
      <c r="A421" s="39"/>
      <c r="B421" s="37"/>
      <c r="D421" s="19"/>
      <c r="E421" s="19"/>
      <c r="G421" s="16"/>
      <c r="H421" s="16"/>
      <c r="I421" s="16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1:20" ht="13.2" x14ac:dyDescent="0.25">
      <c r="A422" s="39"/>
      <c r="B422" s="37"/>
      <c r="D422" s="19"/>
      <c r="E422" s="19"/>
      <c r="G422" s="16"/>
      <c r="H422" s="16"/>
      <c r="I422" s="16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1:20" ht="13.2" x14ac:dyDescent="0.25">
      <c r="A423" s="39"/>
      <c r="B423" s="37"/>
      <c r="D423" s="19"/>
      <c r="E423" s="19"/>
      <c r="G423" s="16"/>
      <c r="H423" s="16"/>
      <c r="I423" s="16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1:20" ht="13.2" x14ac:dyDescent="0.25">
      <c r="A424" s="39"/>
      <c r="B424" s="37"/>
      <c r="D424" s="19"/>
      <c r="E424" s="19"/>
      <c r="G424" s="16"/>
      <c r="H424" s="16"/>
      <c r="I424" s="16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1:20" ht="13.2" x14ac:dyDescent="0.25">
      <c r="A425" s="39"/>
      <c r="B425" s="37"/>
      <c r="D425" s="19"/>
      <c r="E425" s="19"/>
      <c r="G425" s="16"/>
      <c r="H425" s="16"/>
      <c r="I425" s="16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1:20" ht="13.2" x14ac:dyDescent="0.25">
      <c r="A426" s="39"/>
      <c r="B426" s="37"/>
      <c r="D426" s="19"/>
      <c r="E426" s="19"/>
      <c r="G426" s="16"/>
      <c r="H426" s="16"/>
      <c r="I426" s="16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1:20" ht="13.2" x14ac:dyDescent="0.25">
      <c r="A427" s="39"/>
      <c r="B427" s="37"/>
      <c r="D427" s="19"/>
      <c r="E427" s="19"/>
      <c r="G427" s="16"/>
      <c r="H427" s="16"/>
      <c r="I427" s="16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1:20" ht="13.2" x14ac:dyDescent="0.25">
      <c r="A428" s="39"/>
      <c r="B428" s="37"/>
      <c r="D428" s="19"/>
      <c r="E428" s="19"/>
      <c r="G428" s="16"/>
      <c r="H428" s="16"/>
      <c r="I428" s="16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1:20" ht="13.2" x14ac:dyDescent="0.25">
      <c r="A429" s="39"/>
      <c r="B429" s="37"/>
      <c r="D429" s="19"/>
      <c r="E429" s="19"/>
      <c r="G429" s="16"/>
      <c r="H429" s="16"/>
      <c r="I429" s="16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1:20" ht="13.2" x14ac:dyDescent="0.25">
      <c r="A430" s="39"/>
      <c r="B430" s="37"/>
      <c r="D430" s="19"/>
      <c r="E430" s="19"/>
      <c r="G430" s="16"/>
      <c r="H430" s="16"/>
      <c r="I430" s="16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1:20" ht="13.2" x14ac:dyDescent="0.25">
      <c r="A431" s="39"/>
      <c r="B431" s="37"/>
      <c r="D431" s="19"/>
      <c r="E431" s="19"/>
      <c r="G431" s="16"/>
      <c r="H431" s="16"/>
      <c r="I431" s="16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1:20" ht="13.2" x14ac:dyDescent="0.25">
      <c r="A432" s="39"/>
      <c r="B432" s="37"/>
      <c r="D432" s="19"/>
      <c r="E432" s="19"/>
      <c r="G432" s="16"/>
      <c r="H432" s="16"/>
      <c r="I432" s="16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1:20" ht="13.2" x14ac:dyDescent="0.25">
      <c r="A433" s="39"/>
      <c r="B433" s="37"/>
      <c r="D433" s="19"/>
      <c r="E433" s="19"/>
      <c r="G433" s="16"/>
      <c r="H433" s="16"/>
      <c r="I433" s="16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1:20" ht="13.2" x14ac:dyDescent="0.25">
      <c r="A434" s="39"/>
      <c r="B434" s="37"/>
      <c r="D434" s="19"/>
      <c r="E434" s="19"/>
      <c r="G434" s="16"/>
      <c r="H434" s="16"/>
      <c r="I434" s="16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1:20" ht="13.2" x14ac:dyDescent="0.25">
      <c r="A435" s="39"/>
      <c r="B435" s="37"/>
      <c r="D435" s="19"/>
      <c r="E435" s="19"/>
      <c r="G435" s="16"/>
      <c r="H435" s="16"/>
      <c r="I435" s="16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1:20" ht="13.2" x14ac:dyDescent="0.25">
      <c r="A436" s="39"/>
      <c r="B436" s="37"/>
      <c r="D436" s="19"/>
      <c r="E436" s="19"/>
      <c r="G436" s="16"/>
      <c r="H436" s="16"/>
      <c r="I436" s="16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1:20" ht="13.2" x14ac:dyDescent="0.25">
      <c r="A437" s="39"/>
      <c r="B437" s="37"/>
      <c r="D437" s="19"/>
      <c r="E437" s="19"/>
      <c r="G437" s="16"/>
      <c r="H437" s="16"/>
      <c r="I437" s="16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1:20" ht="13.2" x14ac:dyDescent="0.25">
      <c r="A438" s="39"/>
      <c r="B438" s="37"/>
      <c r="D438" s="19"/>
      <c r="E438" s="19"/>
      <c r="G438" s="16"/>
      <c r="H438" s="16"/>
      <c r="I438" s="16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1:20" ht="13.2" x14ac:dyDescent="0.25">
      <c r="A439" s="39"/>
      <c r="B439" s="37"/>
      <c r="D439" s="19"/>
      <c r="E439" s="19"/>
      <c r="G439" s="16"/>
      <c r="H439" s="16"/>
      <c r="I439" s="16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1:20" ht="13.2" x14ac:dyDescent="0.25">
      <c r="A440" s="39"/>
      <c r="B440" s="37"/>
      <c r="D440" s="19"/>
      <c r="E440" s="19"/>
      <c r="G440" s="16"/>
      <c r="H440" s="16"/>
      <c r="I440" s="16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1:20" ht="13.2" x14ac:dyDescent="0.25">
      <c r="A441" s="39"/>
      <c r="B441" s="37"/>
      <c r="D441" s="19"/>
      <c r="E441" s="19"/>
      <c r="G441" s="16"/>
      <c r="H441" s="16"/>
      <c r="I441" s="16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1:20" ht="13.2" x14ac:dyDescent="0.25">
      <c r="A442" s="39"/>
      <c r="B442" s="37"/>
      <c r="D442" s="19"/>
      <c r="E442" s="19"/>
      <c r="G442" s="16"/>
      <c r="H442" s="16"/>
      <c r="I442" s="16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1:20" ht="13.2" x14ac:dyDescent="0.25">
      <c r="A443" s="39"/>
      <c r="B443" s="37"/>
      <c r="D443" s="19"/>
      <c r="E443" s="19"/>
      <c r="G443" s="16"/>
      <c r="H443" s="16"/>
      <c r="I443" s="16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1:20" ht="13.2" x14ac:dyDescent="0.25">
      <c r="A444" s="39"/>
      <c r="B444" s="37"/>
      <c r="D444" s="19"/>
      <c r="E444" s="19"/>
      <c r="G444" s="16"/>
      <c r="H444" s="16"/>
      <c r="I444" s="16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1:20" ht="13.2" x14ac:dyDescent="0.25">
      <c r="A445" s="39"/>
      <c r="B445" s="37"/>
      <c r="D445" s="19"/>
      <c r="E445" s="19"/>
      <c r="G445" s="16"/>
      <c r="H445" s="16"/>
      <c r="I445" s="16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1:20" ht="13.2" x14ac:dyDescent="0.25">
      <c r="A446" s="39"/>
      <c r="B446" s="37"/>
      <c r="D446" s="19"/>
      <c r="E446" s="19"/>
      <c r="G446" s="16"/>
      <c r="H446" s="16"/>
      <c r="I446" s="16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1:20" ht="13.2" x14ac:dyDescent="0.25">
      <c r="A447" s="39"/>
      <c r="B447" s="37"/>
      <c r="D447" s="19"/>
      <c r="E447" s="19"/>
      <c r="G447" s="16"/>
      <c r="H447" s="16"/>
      <c r="I447" s="16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1:20" ht="13.2" x14ac:dyDescent="0.25">
      <c r="A448" s="39"/>
      <c r="B448" s="37"/>
      <c r="D448" s="19"/>
      <c r="E448" s="19"/>
      <c r="G448" s="16"/>
      <c r="H448" s="16"/>
      <c r="I448" s="16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1:20" ht="13.2" x14ac:dyDescent="0.25">
      <c r="A449" s="39"/>
      <c r="B449" s="37"/>
      <c r="D449" s="19"/>
      <c r="E449" s="19"/>
      <c r="G449" s="16"/>
      <c r="H449" s="16"/>
      <c r="I449" s="16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1:20" ht="13.2" x14ac:dyDescent="0.25">
      <c r="A450" s="39"/>
      <c r="B450" s="37"/>
      <c r="D450" s="19"/>
      <c r="E450" s="19"/>
      <c r="G450" s="16"/>
      <c r="H450" s="16"/>
      <c r="I450" s="16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1:20" ht="13.2" x14ac:dyDescent="0.25">
      <c r="A451" s="39"/>
      <c r="B451" s="37"/>
      <c r="D451" s="19"/>
      <c r="E451" s="19"/>
      <c r="G451" s="16"/>
      <c r="H451" s="16"/>
      <c r="I451" s="16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1:20" ht="13.2" x14ac:dyDescent="0.25">
      <c r="A452" s="39"/>
      <c r="B452" s="37"/>
      <c r="D452" s="19"/>
      <c r="E452" s="19"/>
      <c r="G452" s="16"/>
      <c r="H452" s="16"/>
      <c r="I452" s="16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1:20" ht="13.2" x14ac:dyDescent="0.25">
      <c r="A453" s="39"/>
      <c r="B453" s="37"/>
      <c r="D453" s="19"/>
      <c r="E453" s="19"/>
      <c r="G453" s="16"/>
      <c r="H453" s="16"/>
      <c r="I453" s="16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1:20" ht="13.2" x14ac:dyDescent="0.25">
      <c r="A454" s="39"/>
      <c r="B454" s="37"/>
      <c r="D454" s="19"/>
      <c r="E454" s="19"/>
      <c r="G454" s="16"/>
      <c r="H454" s="16"/>
      <c r="I454" s="16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1:20" ht="13.2" x14ac:dyDescent="0.25">
      <c r="A455" s="39"/>
      <c r="B455" s="37"/>
      <c r="D455" s="19"/>
      <c r="E455" s="19"/>
      <c r="G455" s="16"/>
      <c r="H455" s="16"/>
      <c r="I455" s="16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1:20" ht="13.2" x14ac:dyDescent="0.25">
      <c r="A456" s="39"/>
      <c r="B456" s="37"/>
      <c r="D456" s="19"/>
      <c r="E456" s="19"/>
      <c r="G456" s="16"/>
      <c r="H456" s="16"/>
      <c r="I456" s="16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1:20" ht="13.2" x14ac:dyDescent="0.25">
      <c r="A457" s="39"/>
      <c r="B457" s="37"/>
      <c r="D457" s="19"/>
      <c r="E457" s="19"/>
      <c r="G457" s="16"/>
      <c r="H457" s="16"/>
      <c r="I457" s="16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1:20" ht="13.2" x14ac:dyDescent="0.25">
      <c r="A458" s="39"/>
      <c r="B458" s="37"/>
      <c r="D458" s="19"/>
      <c r="E458" s="19"/>
      <c r="G458" s="16"/>
      <c r="H458" s="16"/>
      <c r="I458" s="16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1:20" ht="13.2" x14ac:dyDescent="0.25">
      <c r="A459" s="39"/>
      <c r="B459" s="37"/>
      <c r="D459" s="19"/>
      <c r="E459" s="19"/>
      <c r="G459" s="16"/>
      <c r="H459" s="16"/>
      <c r="I459" s="16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1:20" ht="13.2" x14ac:dyDescent="0.25">
      <c r="A460" s="39"/>
      <c r="B460" s="37"/>
      <c r="D460" s="19"/>
      <c r="E460" s="19"/>
      <c r="G460" s="16"/>
      <c r="H460" s="16"/>
      <c r="I460" s="16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1:20" ht="13.2" x14ac:dyDescent="0.25">
      <c r="A461" s="39"/>
      <c r="B461" s="37"/>
      <c r="D461" s="19"/>
      <c r="E461" s="19"/>
      <c r="G461" s="16"/>
      <c r="H461" s="16"/>
      <c r="I461" s="16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1:20" ht="13.2" x14ac:dyDescent="0.25">
      <c r="A462" s="39"/>
      <c r="B462" s="37"/>
      <c r="D462" s="19"/>
      <c r="E462" s="19"/>
      <c r="G462" s="16"/>
      <c r="H462" s="16"/>
      <c r="I462" s="16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1:20" ht="13.2" x14ac:dyDescent="0.25">
      <c r="A463" s="39"/>
      <c r="B463" s="37"/>
      <c r="D463" s="19"/>
      <c r="E463" s="19"/>
      <c r="G463" s="16"/>
      <c r="H463" s="16"/>
      <c r="I463" s="16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1:20" ht="13.2" x14ac:dyDescent="0.25">
      <c r="A464" s="39"/>
      <c r="B464" s="37"/>
      <c r="D464" s="19"/>
      <c r="E464" s="19"/>
      <c r="G464" s="16"/>
      <c r="H464" s="16"/>
      <c r="I464" s="16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1:20" ht="13.2" x14ac:dyDescent="0.25">
      <c r="A465" s="39"/>
      <c r="B465" s="37"/>
      <c r="D465" s="19"/>
      <c r="E465" s="19"/>
      <c r="G465" s="16"/>
      <c r="H465" s="16"/>
      <c r="I465" s="16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1:20" ht="13.2" x14ac:dyDescent="0.25">
      <c r="A466" s="39"/>
      <c r="B466" s="37"/>
      <c r="D466" s="19"/>
      <c r="E466" s="19"/>
      <c r="G466" s="16"/>
      <c r="H466" s="16"/>
      <c r="I466" s="16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1:20" ht="13.2" x14ac:dyDescent="0.25">
      <c r="A467" s="39"/>
      <c r="B467" s="37"/>
      <c r="D467" s="19"/>
      <c r="E467" s="19"/>
      <c r="G467" s="16"/>
      <c r="H467" s="16"/>
      <c r="I467" s="16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1:20" ht="13.2" x14ac:dyDescent="0.25">
      <c r="A468" s="39"/>
      <c r="B468" s="37"/>
      <c r="D468" s="19"/>
      <c r="E468" s="19"/>
      <c r="G468" s="16"/>
      <c r="H468" s="16"/>
      <c r="I468" s="16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1:20" ht="13.2" x14ac:dyDescent="0.25">
      <c r="A469" s="39"/>
      <c r="B469" s="37"/>
      <c r="D469" s="19"/>
      <c r="E469" s="19"/>
      <c r="G469" s="16"/>
      <c r="H469" s="16"/>
      <c r="I469" s="16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1:20" ht="13.2" x14ac:dyDescent="0.25">
      <c r="A470" s="39"/>
      <c r="B470" s="37"/>
      <c r="D470" s="19"/>
      <c r="E470" s="19"/>
      <c r="G470" s="16"/>
      <c r="H470" s="16"/>
      <c r="I470" s="16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1:20" ht="13.2" x14ac:dyDescent="0.25">
      <c r="A471" s="39"/>
      <c r="B471" s="37"/>
      <c r="D471" s="19"/>
      <c r="E471" s="19"/>
      <c r="G471" s="16"/>
      <c r="H471" s="16"/>
      <c r="I471" s="16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1:20" ht="13.2" x14ac:dyDescent="0.25">
      <c r="A472" s="39"/>
      <c r="B472" s="37"/>
      <c r="D472" s="19"/>
      <c r="E472" s="19"/>
      <c r="G472" s="16"/>
      <c r="H472" s="16"/>
      <c r="I472" s="16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1:20" ht="13.2" x14ac:dyDescent="0.25">
      <c r="A473" s="39"/>
      <c r="B473" s="37"/>
      <c r="D473" s="19"/>
      <c r="E473" s="19"/>
      <c r="G473" s="16"/>
      <c r="H473" s="16"/>
      <c r="I473" s="16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1:20" ht="13.2" x14ac:dyDescent="0.25">
      <c r="A474" s="39"/>
      <c r="B474" s="37"/>
      <c r="D474" s="19"/>
      <c r="E474" s="19"/>
      <c r="G474" s="16"/>
      <c r="H474" s="16"/>
      <c r="I474" s="16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1:20" ht="13.2" x14ac:dyDescent="0.25">
      <c r="A475" s="39"/>
      <c r="B475" s="37"/>
      <c r="D475" s="19"/>
      <c r="E475" s="19"/>
      <c r="G475" s="16"/>
      <c r="H475" s="16"/>
      <c r="I475" s="16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1:20" ht="13.2" x14ac:dyDescent="0.25">
      <c r="A476" s="39"/>
      <c r="B476" s="37"/>
      <c r="D476" s="19"/>
      <c r="E476" s="19"/>
      <c r="G476" s="16"/>
      <c r="H476" s="16"/>
      <c r="I476" s="16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1:20" ht="13.2" x14ac:dyDescent="0.25">
      <c r="A477" s="39"/>
      <c r="B477" s="37"/>
      <c r="D477" s="19"/>
      <c r="E477" s="19"/>
      <c r="G477" s="16"/>
      <c r="H477" s="16"/>
      <c r="I477" s="16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1:20" ht="13.2" x14ac:dyDescent="0.25">
      <c r="A478" s="39"/>
      <c r="B478" s="37"/>
      <c r="D478" s="19"/>
      <c r="E478" s="19"/>
      <c r="G478" s="16"/>
      <c r="H478" s="16"/>
      <c r="I478" s="16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1:20" ht="13.2" x14ac:dyDescent="0.25">
      <c r="A479" s="39"/>
      <c r="B479" s="37"/>
      <c r="D479" s="19"/>
      <c r="E479" s="19"/>
      <c r="G479" s="16"/>
      <c r="H479" s="16"/>
      <c r="I479" s="16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1:20" ht="13.2" x14ac:dyDescent="0.25">
      <c r="A480" s="39"/>
      <c r="B480" s="37"/>
      <c r="D480" s="19"/>
      <c r="E480" s="19"/>
      <c r="G480" s="16"/>
      <c r="H480" s="16"/>
      <c r="I480" s="16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1:20" ht="13.2" x14ac:dyDescent="0.25">
      <c r="A481" s="39"/>
      <c r="B481" s="37"/>
      <c r="D481" s="19"/>
      <c r="E481" s="19"/>
      <c r="G481" s="16"/>
      <c r="H481" s="16"/>
      <c r="I481" s="16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1:20" ht="13.2" x14ac:dyDescent="0.25">
      <c r="A482" s="39"/>
      <c r="B482" s="37"/>
      <c r="D482" s="19"/>
      <c r="E482" s="19"/>
      <c r="G482" s="16"/>
      <c r="H482" s="16"/>
      <c r="I482" s="16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1:20" ht="13.2" x14ac:dyDescent="0.25">
      <c r="A483" s="39"/>
      <c r="B483" s="37"/>
      <c r="D483" s="19"/>
      <c r="E483" s="19"/>
      <c r="G483" s="16"/>
      <c r="H483" s="16"/>
      <c r="I483" s="16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1:20" ht="13.2" x14ac:dyDescent="0.25">
      <c r="A484" s="39"/>
      <c r="B484" s="37"/>
      <c r="D484" s="19"/>
      <c r="E484" s="19"/>
      <c r="G484" s="16"/>
      <c r="H484" s="16"/>
      <c r="I484" s="16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1:20" ht="13.2" x14ac:dyDescent="0.25">
      <c r="A485" s="39"/>
      <c r="B485" s="37"/>
      <c r="D485" s="19"/>
      <c r="E485" s="19"/>
      <c r="G485" s="16"/>
      <c r="H485" s="16"/>
      <c r="I485" s="16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1:20" ht="13.2" x14ac:dyDescent="0.25">
      <c r="A486" s="39"/>
      <c r="B486" s="37"/>
      <c r="D486" s="19"/>
      <c r="E486" s="19"/>
      <c r="G486" s="16"/>
      <c r="H486" s="16"/>
      <c r="I486" s="16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1:20" ht="13.2" x14ac:dyDescent="0.25">
      <c r="A487" s="39"/>
      <c r="B487" s="37"/>
      <c r="D487" s="19"/>
      <c r="E487" s="19"/>
      <c r="G487" s="16"/>
      <c r="H487" s="16"/>
      <c r="I487" s="16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1:20" ht="13.2" x14ac:dyDescent="0.25">
      <c r="A488" s="39"/>
      <c r="B488" s="37"/>
      <c r="D488" s="19"/>
      <c r="E488" s="19"/>
      <c r="G488" s="16"/>
      <c r="H488" s="16"/>
      <c r="I488" s="16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1:20" ht="13.2" x14ac:dyDescent="0.25">
      <c r="A489" s="39"/>
      <c r="B489" s="37"/>
      <c r="D489" s="19"/>
      <c r="E489" s="19"/>
      <c r="G489" s="16"/>
      <c r="H489" s="16"/>
      <c r="I489" s="16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1:20" ht="13.2" x14ac:dyDescent="0.25">
      <c r="A490" s="39"/>
      <c r="B490" s="37"/>
      <c r="D490" s="19"/>
      <c r="E490" s="19"/>
      <c r="G490" s="16"/>
      <c r="H490" s="16"/>
      <c r="I490" s="16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1:20" ht="13.2" x14ac:dyDescent="0.25">
      <c r="A491" s="39"/>
      <c r="B491" s="37"/>
      <c r="D491" s="19"/>
      <c r="E491" s="19"/>
      <c r="G491" s="16"/>
      <c r="H491" s="16"/>
      <c r="I491" s="16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1:20" ht="13.2" x14ac:dyDescent="0.25">
      <c r="A492" s="39"/>
      <c r="B492" s="37"/>
      <c r="D492" s="19"/>
      <c r="E492" s="19"/>
      <c r="G492" s="16"/>
      <c r="H492" s="16"/>
      <c r="I492" s="16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1:20" ht="13.2" x14ac:dyDescent="0.25">
      <c r="A493" s="39"/>
      <c r="B493" s="37"/>
      <c r="D493" s="19"/>
      <c r="E493" s="19"/>
      <c r="G493" s="16"/>
      <c r="H493" s="16"/>
      <c r="I493" s="16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1:20" ht="13.2" x14ac:dyDescent="0.25">
      <c r="A494" s="39"/>
      <c r="B494" s="37"/>
      <c r="D494" s="19"/>
      <c r="E494" s="19"/>
      <c r="G494" s="16"/>
      <c r="H494" s="16"/>
      <c r="I494" s="16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1:20" ht="13.2" x14ac:dyDescent="0.25">
      <c r="A495" s="39"/>
      <c r="B495" s="37"/>
      <c r="D495" s="19"/>
      <c r="E495" s="19"/>
      <c r="G495" s="16"/>
      <c r="H495" s="16"/>
      <c r="I495" s="16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1:20" ht="13.2" x14ac:dyDescent="0.25">
      <c r="A496" s="39"/>
      <c r="B496" s="37"/>
      <c r="D496" s="19"/>
      <c r="E496" s="19"/>
      <c r="G496" s="16"/>
      <c r="H496" s="16"/>
      <c r="I496" s="16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1:20" ht="13.2" x14ac:dyDescent="0.25">
      <c r="A497" s="39"/>
      <c r="B497" s="37"/>
      <c r="D497" s="19"/>
      <c r="E497" s="19"/>
      <c r="G497" s="16"/>
      <c r="H497" s="16"/>
      <c r="I497" s="16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1:20" ht="13.2" x14ac:dyDescent="0.25">
      <c r="A498" s="39"/>
      <c r="B498" s="37"/>
      <c r="D498" s="19"/>
      <c r="E498" s="19"/>
      <c r="G498" s="16"/>
      <c r="H498" s="16"/>
      <c r="I498" s="16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1:20" ht="13.2" x14ac:dyDescent="0.25">
      <c r="A499" s="39"/>
      <c r="B499" s="37"/>
      <c r="D499" s="19"/>
      <c r="E499" s="19"/>
      <c r="G499" s="16"/>
      <c r="H499" s="16"/>
      <c r="I499" s="16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1:20" ht="13.2" x14ac:dyDescent="0.25">
      <c r="A500" s="39"/>
      <c r="B500" s="37"/>
      <c r="D500" s="19"/>
      <c r="E500" s="19"/>
      <c r="G500" s="16"/>
      <c r="H500" s="16"/>
      <c r="I500" s="16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1:20" ht="13.2" x14ac:dyDescent="0.25">
      <c r="A501" s="39"/>
      <c r="B501" s="37"/>
      <c r="D501" s="19"/>
      <c r="E501" s="19"/>
      <c r="G501" s="16"/>
      <c r="H501" s="16"/>
      <c r="I501" s="16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1:20" ht="13.2" x14ac:dyDescent="0.25">
      <c r="A502" s="39"/>
      <c r="B502" s="37"/>
      <c r="D502" s="19"/>
      <c r="E502" s="19"/>
      <c r="G502" s="16"/>
      <c r="H502" s="16"/>
      <c r="I502" s="16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1:20" ht="13.2" x14ac:dyDescent="0.25">
      <c r="A503" s="39"/>
      <c r="B503" s="37"/>
      <c r="D503" s="19"/>
      <c r="E503" s="19"/>
      <c r="G503" s="16"/>
      <c r="H503" s="16"/>
      <c r="I503" s="16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1:20" ht="13.2" x14ac:dyDescent="0.25">
      <c r="A504" s="39"/>
      <c r="B504" s="37"/>
      <c r="D504" s="19"/>
      <c r="E504" s="19"/>
      <c r="G504" s="16"/>
      <c r="H504" s="16"/>
      <c r="I504" s="16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1:20" ht="13.2" x14ac:dyDescent="0.25">
      <c r="A505" s="39"/>
      <c r="B505" s="37"/>
      <c r="D505" s="19"/>
      <c r="E505" s="19"/>
      <c r="G505" s="16"/>
      <c r="H505" s="16"/>
      <c r="I505" s="16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1:20" ht="13.2" x14ac:dyDescent="0.25">
      <c r="A506" s="39"/>
      <c r="B506" s="37"/>
      <c r="D506" s="19"/>
      <c r="E506" s="19"/>
      <c r="G506" s="16"/>
      <c r="H506" s="16"/>
      <c r="I506" s="16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1:20" ht="13.2" x14ac:dyDescent="0.25">
      <c r="A507" s="39"/>
      <c r="B507" s="37"/>
      <c r="D507" s="19"/>
      <c r="E507" s="19"/>
      <c r="G507" s="16"/>
      <c r="H507" s="16"/>
      <c r="I507" s="16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1:20" ht="13.2" x14ac:dyDescent="0.25">
      <c r="A508" s="39"/>
      <c r="B508" s="37"/>
      <c r="D508" s="19"/>
      <c r="E508" s="19"/>
      <c r="G508" s="16"/>
      <c r="H508" s="16"/>
      <c r="I508" s="16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1:20" ht="13.2" x14ac:dyDescent="0.25">
      <c r="A509" s="39"/>
      <c r="B509" s="37"/>
      <c r="D509" s="19"/>
      <c r="E509" s="19"/>
      <c r="G509" s="16"/>
      <c r="H509" s="16"/>
      <c r="I509" s="16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1:20" ht="13.2" x14ac:dyDescent="0.25">
      <c r="A510" s="39"/>
      <c r="B510" s="37"/>
      <c r="D510" s="19"/>
      <c r="E510" s="19"/>
      <c r="G510" s="16"/>
      <c r="H510" s="16"/>
      <c r="I510" s="16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1:20" ht="13.2" x14ac:dyDescent="0.25">
      <c r="A511" s="39"/>
      <c r="B511" s="37"/>
      <c r="D511" s="19"/>
      <c r="E511" s="19"/>
      <c r="G511" s="16"/>
      <c r="H511" s="16"/>
      <c r="I511" s="16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1:20" ht="13.2" x14ac:dyDescent="0.25">
      <c r="A512" s="39"/>
      <c r="B512" s="37"/>
      <c r="D512" s="19"/>
      <c r="E512" s="19"/>
      <c r="G512" s="16"/>
      <c r="H512" s="16"/>
      <c r="I512" s="16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1:20" ht="13.2" x14ac:dyDescent="0.25">
      <c r="A513" s="39"/>
      <c r="B513" s="37"/>
      <c r="D513" s="19"/>
      <c r="E513" s="19"/>
      <c r="G513" s="16"/>
      <c r="H513" s="16"/>
      <c r="I513" s="16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1:20" ht="13.2" x14ac:dyDescent="0.25">
      <c r="A514" s="39"/>
      <c r="B514" s="37"/>
      <c r="D514" s="19"/>
      <c r="E514" s="19"/>
      <c r="G514" s="16"/>
      <c r="H514" s="16"/>
      <c r="I514" s="16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1:20" ht="13.2" x14ac:dyDescent="0.25">
      <c r="A515" s="39"/>
      <c r="B515" s="37"/>
      <c r="D515" s="19"/>
      <c r="E515" s="19"/>
      <c r="G515" s="16"/>
      <c r="H515" s="16"/>
      <c r="I515" s="16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1:20" ht="13.2" x14ac:dyDescent="0.25">
      <c r="A516" s="39"/>
      <c r="B516" s="37"/>
      <c r="D516" s="19"/>
      <c r="E516" s="19"/>
      <c r="G516" s="16"/>
      <c r="H516" s="16"/>
      <c r="I516" s="16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1:20" ht="13.2" x14ac:dyDescent="0.25">
      <c r="A517" s="39"/>
      <c r="B517" s="37"/>
      <c r="D517" s="19"/>
      <c r="E517" s="19"/>
      <c r="G517" s="16"/>
      <c r="H517" s="16"/>
      <c r="I517" s="16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1:20" ht="13.2" x14ac:dyDescent="0.25">
      <c r="A518" s="39"/>
      <c r="B518" s="37"/>
      <c r="D518" s="19"/>
      <c r="E518" s="19"/>
      <c r="G518" s="16"/>
      <c r="H518" s="16"/>
      <c r="I518" s="16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1:20" ht="13.2" x14ac:dyDescent="0.25">
      <c r="A519" s="39"/>
      <c r="B519" s="37"/>
      <c r="D519" s="19"/>
      <c r="E519" s="19"/>
      <c r="G519" s="16"/>
      <c r="H519" s="16"/>
      <c r="I519" s="16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1:20" ht="13.2" x14ac:dyDescent="0.25">
      <c r="A520" s="39"/>
      <c r="B520" s="37"/>
      <c r="D520" s="19"/>
      <c r="E520" s="19"/>
      <c r="G520" s="16"/>
      <c r="H520" s="16"/>
      <c r="I520" s="16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1:20" ht="13.2" x14ac:dyDescent="0.25">
      <c r="A521" s="39"/>
      <c r="B521" s="37"/>
      <c r="D521" s="19"/>
      <c r="E521" s="19"/>
      <c r="G521" s="16"/>
      <c r="H521" s="16"/>
      <c r="I521" s="16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1:20" ht="13.2" x14ac:dyDescent="0.25">
      <c r="A522" s="39"/>
      <c r="B522" s="37"/>
      <c r="D522" s="19"/>
      <c r="E522" s="19"/>
      <c r="G522" s="16"/>
      <c r="H522" s="16"/>
      <c r="I522" s="16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1:20" ht="13.2" x14ac:dyDescent="0.25">
      <c r="A523" s="39"/>
      <c r="B523" s="37"/>
      <c r="D523" s="19"/>
      <c r="E523" s="19"/>
      <c r="G523" s="16"/>
      <c r="H523" s="16"/>
      <c r="I523" s="16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1:20" ht="13.2" x14ac:dyDescent="0.25">
      <c r="A524" s="39"/>
      <c r="B524" s="37"/>
      <c r="D524" s="19"/>
      <c r="E524" s="19"/>
      <c r="G524" s="16"/>
      <c r="H524" s="16"/>
      <c r="I524" s="16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1:20" ht="13.2" x14ac:dyDescent="0.25">
      <c r="A525" s="39"/>
      <c r="B525" s="37"/>
      <c r="D525" s="19"/>
      <c r="E525" s="19"/>
      <c r="G525" s="16"/>
      <c r="H525" s="16"/>
      <c r="I525" s="16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1:20" ht="13.2" x14ac:dyDescent="0.25">
      <c r="A526" s="39"/>
      <c r="B526" s="37"/>
      <c r="D526" s="19"/>
      <c r="E526" s="19"/>
      <c r="G526" s="16"/>
      <c r="H526" s="16"/>
      <c r="I526" s="16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1:20" ht="13.2" x14ac:dyDescent="0.25">
      <c r="A527" s="39"/>
      <c r="B527" s="37"/>
      <c r="D527" s="19"/>
      <c r="E527" s="19"/>
      <c r="G527" s="16"/>
      <c r="H527" s="16"/>
      <c r="I527" s="16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1:20" ht="13.2" x14ac:dyDescent="0.25">
      <c r="A528" s="39"/>
      <c r="B528" s="37"/>
      <c r="D528" s="19"/>
      <c r="E528" s="19"/>
      <c r="G528" s="16"/>
      <c r="H528" s="16"/>
      <c r="I528" s="16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1:20" ht="13.2" x14ac:dyDescent="0.25">
      <c r="A529" s="39"/>
      <c r="B529" s="37"/>
      <c r="D529" s="19"/>
      <c r="E529" s="19"/>
      <c r="G529" s="16"/>
      <c r="H529" s="16"/>
      <c r="I529" s="16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1:20" ht="13.2" x14ac:dyDescent="0.25">
      <c r="A530" s="39"/>
      <c r="B530" s="37"/>
      <c r="D530" s="19"/>
      <c r="E530" s="19"/>
      <c r="G530" s="16"/>
      <c r="H530" s="16"/>
      <c r="I530" s="16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1:20" ht="13.2" x14ac:dyDescent="0.25">
      <c r="A531" s="39"/>
      <c r="B531" s="37"/>
      <c r="D531" s="19"/>
      <c r="E531" s="19"/>
      <c r="G531" s="16"/>
      <c r="H531" s="16"/>
      <c r="I531" s="16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1:20" ht="13.2" x14ac:dyDescent="0.25">
      <c r="A532" s="39"/>
      <c r="B532" s="37"/>
      <c r="D532" s="19"/>
      <c r="E532" s="19"/>
      <c r="G532" s="16"/>
      <c r="H532" s="16"/>
      <c r="I532" s="16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1:20" ht="13.2" x14ac:dyDescent="0.25">
      <c r="A533" s="39"/>
      <c r="B533" s="37"/>
      <c r="D533" s="19"/>
      <c r="E533" s="19"/>
      <c r="G533" s="16"/>
      <c r="H533" s="16"/>
      <c r="I533" s="16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1:20" ht="13.2" x14ac:dyDescent="0.25">
      <c r="A534" s="39"/>
      <c r="B534" s="37"/>
      <c r="D534" s="19"/>
      <c r="E534" s="19"/>
      <c r="G534" s="16"/>
      <c r="H534" s="16"/>
      <c r="I534" s="16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1:20" ht="13.2" x14ac:dyDescent="0.25">
      <c r="A535" s="39"/>
      <c r="B535" s="37"/>
      <c r="D535" s="19"/>
      <c r="E535" s="19"/>
      <c r="G535" s="16"/>
      <c r="H535" s="16"/>
      <c r="I535" s="16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1:20" ht="13.2" x14ac:dyDescent="0.25">
      <c r="A536" s="39"/>
      <c r="B536" s="37"/>
      <c r="D536" s="19"/>
      <c r="E536" s="19"/>
      <c r="G536" s="16"/>
      <c r="H536" s="16"/>
      <c r="I536" s="16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1:20" ht="13.2" x14ac:dyDescent="0.25">
      <c r="A537" s="39"/>
      <c r="B537" s="37"/>
      <c r="D537" s="19"/>
      <c r="E537" s="19"/>
      <c r="G537" s="16"/>
      <c r="H537" s="16"/>
      <c r="I537" s="16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1:20" ht="13.2" x14ac:dyDescent="0.25">
      <c r="A538" s="39"/>
      <c r="B538" s="37"/>
      <c r="D538" s="19"/>
      <c r="E538" s="19"/>
      <c r="G538" s="16"/>
      <c r="H538" s="16"/>
      <c r="I538" s="16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1:20" ht="13.2" x14ac:dyDescent="0.25">
      <c r="A539" s="39"/>
      <c r="B539" s="37"/>
      <c r="D539" s="19"/>
      <c r="E539" s="19"/>
      <c r="G539" s="16"/>
      <c r="H539" s="16"/>
      <c r="I539" s="16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1:20" ht="13.2" x14ac:dyDescent="0.25">
      <c r="A540" s="39"/>
      <c r="B540" s="37"/>
      <c r="D540" s="19"/>
      <c r="E540" s="19"/>
      <c r="G540" s="16"/>
      <c r="H540" s="16"/>
      <c r="I540" s="16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1:20" ht="13.2" x14ac:dyDescent="0.25">
      <c r="A541" s="39"/>
      <c r="B541" s="37"/>
      <c r="D541" s="19"/>
      <c r="E541" s="19"/>
      <c r="G541" s="16"/>
      <c r="H541" s="16"/>
      <c r="I541" s="16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1:20" ht="13.2" x14ac:dyDescent="0.25">
      <c r="A542" s="39"/>
      <c r="B542" s="37"/>
      <c r="D542" s="19"/>
      <c r="E542" s="19"/>
      <c r="G542" s="16"/>
      <c r="H542" s="16"/>
      <c r="I542" s="16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1:20" ht="13.2" x14ac:dyDescent="0.25">
      <c r="A543" s="39"/>
      <c r="B543" s="37"/>
      <c r="D543" s="19"/>
      <c r="E543" s="19"/>
      <c r="G543" s="16"/>
      <c r="H543" s="16"/>
      <c r="I543" s="16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1:20" ht="13.2" x14ac:dyDescent="0.25">
      <c r="A544" s="39"/>
      <c r="B544" s="37"/>
      <c r="D544" s="19"/>
      <c r="E544" s="19"/>
      <c r="G544" s="16"/>
      <c r="H544" s="16"/>
      <c r="I544" s="16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1:20" ht="13.2" x14ac:dyDescent="0.25">
      <c r="A545" s="39"/>
      <c r="B545" s="37"/>
      <c r="D545" s="19"/>
      <c r="E545" s="19"/>
      <c r="G545" s="16"/>
      <c r="H545" s="16"/>
      <c r="I545" s="16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1:20" ht="13.2" x14ac:dyDescent="0.25">
      <c r="A546" s="39"/>
      <c r="B546" s="37"/>
      <c r="D546" s="19"/>
      <c r="E546" s="19"/>
      <c r="G546" s="16"/>
      <c r="H546" s="16"/>
      <c r="I546" s="16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1:20" ht="13.2" x14ac:dyDescent="0.25">
      <c r="A547" s="39"/>
      <c r="B547" s="37"/>
      <c r="D547" s="19"/>
      <c r="E547" s="19"/>
      <c r="G547" s="16"/>
      <c r="H547" s="16"/>
      <c r="I547" s="16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1:20" ht="13.2" x14ac:dyDescent="0.25">
      <c r="A548" s="39"/>
      <c r="B548" s="37"/>
      <c r="D548" s="19"/>
      <c r="E548" s="19"/>
      <c r="G548" s="16"/>
      <c r="H548" s="16"/>
      <c r="I548" s="16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1:20" ht="13.2" x14ac:dyDescent="0.25">
      <c r="A549" s="39"/>
      <c r="B549" s="37"/>
      <c r="D549" s="19"/>
      <c r="E549" s="19"/>
      <c r="G549" s="16"/>
      <c r="H549" s="16"/>
      <c r="I549" s="16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1:20" ht="13.2" x14ac:dyDescent="0.25">
      <c r="A550" s="39"/>
      <c r="B550" s="37"/>
      <c r="D550" s="19"/>
      <c r="E550" s="19"/>
      <c r="G550" s="16"/>
      <c r="H550" s="16"/>
      <c r="I550" s="16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1:20" ht="13.2" x14ac:dyDescent="0.25">
      <c r="A551" s="39"/>
      <c r="B551" s="37"/>
      <c r="D551" s="19"/>
      <c r="E551" s="19"/>
      <c r="G551" s="16"/>
      <c r="H551" s="16"/>
      <c r="I551" s="16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1:20" ht="13.2" x14ac:dyDescent="0.25">
      <c r="A552" s="39"/>
      <c r="B552" s="37"/>
      <c r="D552" s="19"/>
      <c r="E552" s="19"/>
      <c r="G552" s="16"/>
      <c r="H552" s="16"/>
      <c r="I552" s="16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1:20" ht="13.2" x14ac:dyDescent="0.25">
      <c r="A553" s="39"/>
      <c r="B553" s="37"/>
      <c r="D553" s="19"/>
      <c r="E553" s="19"/>
      <c r="G553" s="16"/>
      <c r="H553" s="16"/>
      <c r="I553" s="16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1:20" ht="13.2" x14ac:dyDescent="0.25">
      <c r="A554" s="39"/>
      <c r="B554" s="37"/>
      <c r="D554" s="19"/>
      <c r="E554" s="19"/>
      <c r="G554" s="16"/>
      <c r="H554" s="16"/>
      <c r="I554" s="16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1:20" ht="13.2" x14ac:dyDescent="0.25">
      <c r="A555" s="39"/>
      <c r="B555" s="37"/>
      <c r="D555" s="19"/>
      <c r="E555" s="19"/>
      <c r="G555" s="16"/>
      <c r="H555" s="16"/>
      <c r="I555" s="16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1:20" ht="13.2" x14ac:dyDescent="0.25">
      <c r="A556" s="39"/>
      <c r="B556" s="37"/>
      <c r="D556" s="19"/>
      <c r="E556" s="19"/>
      <c r="G556" s="16"/>
      <c r="H556" s="16"/>
      <c r="I556" s="16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1:20" ht="13.2" x14ac:dyDescent="0.25">
      <c r="A557" s="39"/>
      <c r="B557" s="37"/>
      <c r="D557" s="19"/>
      <c r="E557" s="19"/>
      <c r="G557" s="16"/>
      <c r="H557" s="16"/>
      <c r="I557" s="16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1:20" ht="13.2" x14ac:dyDescent="0.25">
      <c r="A558" s="39"/>
      <c r="B558" s="37"/>
      <c r="D558" s="19"/>
      <c r="E558" s="19"/>
      <c r="G558" s="16"/>
      <c r="H558" s="16"/>
      <c r="I558" s="16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1:20" ht="13.2" x14ac:dyDescent="0.25">
      <c r="A559" s="39"/>
      <c r="B559" s="37"/>
      <c r="D559" s="19"/>
      <c r="E559" s="19"/>
      <c r="G559" s="16"/>
      <c r="H559" s="16"/>
      <c r="I559" s="16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1:20" ht="13.2" x14ac:dyDescent="0.25">
      <c r="A560" s="39"/>
      <c r="B560" s="37"/>
      <c r="D560" s="19"/>
      <c r="E560" s="19"/>
      <c r="G560" s="16"/>
      <c r="H560" s="16"/>
      <c r="I560" s="16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1:20" ht="13.2" x14ac:dyDescent="0.25">
      <c r="A561" s="39"/>
      <c r="B561" s="37"/>
      <c r="D561" s="19"/>
      <c r="E561" s="19"/>
      <c r="G561" s="16"/>
      <c r="H561" s="16"/>
      <c r="I561" s="16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1:20" ht="13.2" x14ac:dyDescent="0.25">
      <c r="A562" s="39"/>
      <c r="B562" s="37"/>
      <c r="D562" s="19"/>
      <c r="E562" s="19"/>
      <c r="G562" s="16"/>
      <c r="H562" s="16"/>
      <c r="I562" s="16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1:20" ht="13.2" x14ac:dyDescent="0.25">
      <c r="A563" s="39"/>
      <c r="B563" s="37"/>
      <c r="D563" s="19"/>
      <c r="E563" s="19"/>
      <c r="G563" s="16"/>
      <c r="H563" s="16"/>
      <c r="I563" s="16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1:20" ht="13.2" x14ac:dyDescent="0.25">
      <c r="A564" s="39"/>
      <c r="B564" s="37"/>
      <c r="D564" s="19"/>
      <c r="E564" s="19"/>
      <c r="G564" s="16"/>
      <c r="H564" s="16"/>
      <c r="I564" s="16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1:20" ht="13.2" x14ac:dyDescent="0.25">
      <c r="A565" s="39"/>
      <c r="B565" s="37"/>
      <c r="D565" s="19"/>
      <c r="E565" s="19"/>
      <c r="G565" s="16"/>
      <c r="H565" s="16"/>
      <c r="I565" s="16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1:20" ht="13.2" x14ac:dyDescent="0.25">
      <c r="A566" s="39"/>
      <c r="B566" s="37"/>
      <c r="D566" s="19"/>
      <c r="E566" s="19"/>
      <c r="G566" s="16"/>
      <c r="H566" s="16"/>
      <c r="I566" s="16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1:20" ht="13.2" x14ac:dyDescent="0.25">
      <c r="A567" s="39"/>
      <c r="B567" s="37"/>
      <c r="D567" s="19"/>
      <c r="E567" s="19"/>
      <c r="G567" s="16"/>
      <c r="H567" s="16"/>
      <c r="I567" s="16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1:20" ht="13.2" x14ac:dyDescent="0.25">
      <c r="A568" s="39"/>
      <c r="B568" s="37"/>
      <c r="D568" s="19"/>
      <c r="E568" s="19"/>
      <c r="G568" s="16"/>
      <c r="H568" s="16"/>
      <c r="I568" s="16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1:20" ht="13.2" x14ac:dyDescent="0.25">
      <c r="A569" s="39"/>
      <c r="B569" s="37"/>
      <c r="D569" s="19"/>
      <c r="E569" s="19"/>
      <c r="G569" s="16"/>
      <c r="H569" s="16"/>
      <c r="I569" s="16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1:20" ht="13.2" x14ac:dyDescent="0.25">
      <c r="A570" s="39"/>
      <c r="B570" s="37"/>
      <c r="D570" s="19"/>
      <c r="E570" s="19"/>
      <c r="G570" s="16"/>
      <c r="H570" s="16"/>
      <c r="I570" s="16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1:20" ht="13.2" x14ac:dyDescent="0.25">
      <c r="A571" s="39"/>
      <c r="B571" s="37"/>
      <c r="D571" s="19"/>
      <c r="E571" s="19"/>
      <c r="G571" s="16"/>
      <c r="H571" s="16"/>
      <c r="I571" s="16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1:20" ht="13.2" x14ac:dyDescent="0.25">
      <c r="A572" s="39"/>
      <c r="B572" s="37"/>
      <c r="D572" s="19"/>
      <c r="E572" s="19"/>
      <c r="G572" s="16"/>
      <c r="H572" s="16"/>
      <c r="I572" s="16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1:20" ht="13.2" x14ac:dyDescent="0.25">
      <c r="A573" s="39"/>
      <c r="B573" s="37"/>
      <c r="D573" s="19"/>
      <c r="E573" s="19"/>
      <c r="G573" s="16"/>
      <c r="H573" s="16"/>
      <c r="I573" s="16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1:20" ht="13.2" x14ac:dyDescent="0.25">
      <c r="A574" s="39"/>
      <c r="B574" s="37"/>
      <c r="D574" s="19"/>
      <c r="E574" s="19"/>
      <c r="G574" s="16"/>
      <c r="H574" s="16"/>
      <c r="I574" s="16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1:20" ht="13.2" x14ac:dyDescent="0.25">
      <c r="A575" s="39"/>
      <c r="B575" s="37"/>
      <c r="D575" s="19"/>
      <c r="E575" s="19"/>
      <c r="G575" s="16"/>
      <c r="H575" s="16"/>
      <c r="I575" s="16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1:20" ht="13.2" x14ac:dyDescent="0.25">
      <c r="A576" s="39"/>
      <c r="B576" s="37"/>
      <c r="D576" s="19"/>
      <c r="E576" s="19"/>
      <c r="G576" s="16"/>
      <c r="H576" s="16"/>
      <c r="I576" s="16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1:20" ht="13.2" x14ac:dyDescent="0.25">
      <c r="A577" s="39"/>
      <c r="B577" s="37"/>
      <c r="D577" s="19"/>
      <c r="E577" s="19"/>
      <c r="G577" s="16"/>
      <c r="H577" s="16"/>
      <c r="I577" s="16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1:20" ht="13.2" x14ac:dyDescent="0.25">
      <c r="A578" s="39"/>
      <c r="B578" s="37"/>
      <c r="D578" s="19"/>
      <c r="E578" s="19"/>
      <c r="G578" s="16"/>
      <c r="H578" s="16"/>
      <c r="I578" s="16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1:20" ht="13.2" x14ac:dyDescent="0.25">
      <c r="A579" s="39"/>
      <c r="B579" s="37"/>
      <c r="D579" s="19"/>
      <c r="E579" s="19"/>
      <c r="G579" s="16"/>
      <c r="H579" s="16"/>
      <c r="I579" s="16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1:20" ht="13.2" x14ac:dyDescent="0.25">
      <c r="A580" s="39"/>
      <c r="B580" s="37"/>
      <c r="D580" s="19"/>
      <c r="E580" s="19"/>
      <c r="G580" s="16"/>
      <c r="H580" s="16"/>
      <c r="I580" s="16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1:20" ht="13.2" x14ac:dyDescent="0.25">
      <c r="A581" s="39"/>
      <c r="B581" s="37"/>
      <c r="D581" s="19"/>
      <c r="E581" s="19"/>
      <c r="G581" s="16"/>
      <c r="H581" s="16"/>
      <c r="I581" s="16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1:20" ht="13.2" x14ac:dyDescent="0.25">
      <c r="A582" s="39"/>
      <c r="B582" s="37"/>
      <c r="D582" s="19"/>
      <c r="E582" s="19"/>
      <c r="G582" s="16"/>
      <c r="H582" s="16"/>
      <c r="I582" s="16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1:20" ht="13.2" x14ac:dyDescent="0.25">
      <c r="A583" s="39"/>
      <c r="B583" s="37"/>
      <c r="D583" s="19"/>
      <c r="E583" s="19"/>
      <c r="G583" s="16"/>
      <c r="H583" s="16"/>
      <c r="I583" s="16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1:20" ht="13.2" x14ac:dyDescent="0.25">
      <c r="A584" s="39"/>
      <c r="B584" s="37"/>
      <c r="D584" s="19"/>
      <c r="E584" s="19"/>
      <c r="G584" s="16"/>
      <c r="H584" s="16"/>
      <c r="I584" s="16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1:20" ht="13.2" x14ac:dyDescent="0.25">
      <c r="A585" s="39"/>
      <c r="B585" s="37"/>
      <c r="D585" s="19"/>
      <c r="E585" s="19"/>
      <c r="G585" s="16"/>
      <c r="H585" s="16"/>
      <c r="I585" s="16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1:20" ht="13.2" x14ac:dyDescent="0.25">
      <c r="A586" s="39"/>
      <c r="B586" s="37"/>
      <c r="D586" s="19"/>
      <c r="E586" s="19"/>
      <c r="G586" s="16"/>
      <c r="H586" s="16"/>
      <c r="I586" s="16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1:20" ht="13.2" x14ac:dyDescent="0.25">
      <c r="A587" s="39"/>
      <c r="B587" s="37"/>
      <c r="D587" s="19"/>
      <c r="E587" s="19"/>
      <c r="G587" s="16"/>
      <c r="H587" s="16"/>
      <c r="I587" s="16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1:20" ht="13.2" x14ac:dyDescent="0.25">
      <c r="A588" s="39"/>
      <c r="B588" s="37"/>
      <c r="D588" s="19"/>
      <c r="E588" s="19"/>
      <c r="G588" s="16"/>
      <c r="H588" s="16"/>
      <c r="I588" s="16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1:20" ht="13.2" x14ac:dyDescent="0.25">
      <c r="A589" s="39"/>
      <c r="B589" s="37"/>
      <c r="D589" s="19"/>
      <c r="E589" s="19"/>
      <c r="G589" s="16"/>
      <c r="H589" s="16"/>
      <c r="I589" s="16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1:20" ht="13.2" x14ac:dyDescent="0.25">
      <c r="A590" s="39"/>
      <c r="B590" s="37"/>
      <c r="D590" s="19"/>
      <c r="E590" s="19"/>
      <c r="G590" s="16"/>
      <c r="H590" s="16"/>
      <c r="I590" s="16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1:20" ht="13.2" x14ac:dyDescent="0.25">
      <c r="A591" s="39"/>
      <c r="B591" s="37"/>
      <c r="D591" s="19"/>
      <c r="E591" s="19"/>
      <c r="G591" s="16"/>
      <c r="H591" s="16"/>
      <c r="I591" s="16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1:20" ht="13.2" x14ac:dyDescent="0.25">
      <c r="A592" s="39"/>
      <c r="B592" s="37"/>
      <c r="D592" s="19"/>
      <c r="E592" s="19"/>
      <c r="G592" s="16"/>
      <c r="H592" s="16"/>
      <c r="I592" s="16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1:20" ht="13.2" x14ac:dyDescent="0.25">
      <c r="A593" s="39"/>
      <c r="B593" s="37"/>
      <c r="D593" s="19"/>
      <c r="E593" s="19"/>
      <c r="G593" s="16"/>
      <c r="H593" s="16"/>
      <c r="I593" s="16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1:20" ht="13.2" x14ac:dyDescent="0.25">
      <c r="A594" s="39"/>
      <c r="B594" s="37"/>
      <c r="D594" s="19"/>
      <c r="E594" s="19"/>
      <c r="G594" s="16"/>
      <c r="H594" s="16"/>
      <c r="I594" s="16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1:20" ht="13.2" x14ac:dyDescent="0.25">
      <c r="A595" s="39"/>
      <c r="B595" s="37"/>
      <c r="D595" s="19"/>
      <c r="E595" s="19"/>
      <c r="G595" s="16"/>
      <c r="H595" s="16"/>
      <c r="I595" s="16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1:20" ht="13.2" x14ac:dyDescent="0.25">
      <c r="A596" s="39"/>
      <c r="B596" s="37"/>
      <c r="D596" s="19"/>
      <c r="E596" s="19"/>
      <c r="G596" s="16"/>
      <c r="H596" s="16"/>
      <c r="I596" s="16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1:20" ht="13.2" x14ac:dyDescent="0.25">
      <c r="A597" s="39"/>
      <c r="B597" s="37"/>
      <c r="D597" s="19"/>
      <c r="E597" s="19"/>
      <c r="G597" s="16"/>
      <c r="H597" s="16"/>
      <c r="I597" s="16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1:20" ht="13.2" x14ac:dyDescent="0.25">
      <c r="A598" s="39"/>
      <c r="B598" s="37"/>
      <c r="D598" s="19"/>
      <c r="E598" s="19"/>
      <c r="G598" s="16"/>
      <c r="H598" s="16"/>
      <c r="I598" s="16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1:20" ht="13.2" x14ac:dyDescent="0.25">
      <c r="A599" s="39"/>
      <c r="B599" s="37"/>
      <c r="D599" s="19"/>
      <c r="E599" s="19"/>
      <c r="G599" s="16"/>
      <c r="H599" s="16"/>
      <c r="I599" s="16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1:20" ht="13.2" x14ac:dyDescent="0.25">
      <c r="A600" s="39"/>
      <c r="B600" s="37"/>
      <c r="D600" s="19"/>
      <c r="E600" s="19"/>
      <c r="G600" s="16"/>
      <c r="H600" s="16"/>
      <c r="I600" s="16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1:20" ht="13.2" x14ac:dyDescent="0.25">
      <c r="A601" s="39"/>
      <c r="B601" s="37"/>
      <c r="D601" s="19"/>
      <c r="E601" s="19"/>
      <c r="G601" s="16"/>
      <c r="H601" s="16"/>
      <c r="I601" s="16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1:20" ht="13.2" x14ac:dyDescent="0.25">
      <c r="A602" s="39"/>
      <c r="B602" s="37"/>
      <c r="D602" s="19"/>
      <c r="E602" s="19"/>
      <c r="G602" s="16"/>
      <c r="H602" s="16"/>
      <c r="I602" s="16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1:20" ht="13.2" x14ac:dyDescent="0.25">
      <c r="A603" s="39"/>
      <c r="B603" s="37"/>
      <c r="D603" s="19"/>
      <c r="E603" s="19"/>
      <c r="G603" s="16"/>
      <c r="H603" s="16"/>
      <c r="I603" s="16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1:20" ht="13.2" x14ac:dyDescent="0.25">
      <c r="A604" s="39"/>
      <c r="B604" s="37"/>
      <c r="D604" s="19"/>
      <c r="E604" s="19"/>
      <c r="G604" s="16"/>
      <c r="H604" s="16"/>
      <c r="I604" s="16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1:20" ht="13.2" x14ac:dyDescent="0.25">
      <c r="A605" s="39"/>
      <c r="B605" s="37"/>
      <c r="D605" s="19"/>
      <c r="E605" s="19"/>
      <c r="G605" s="16"/>
      <c r="H605" s="16"/>
      <c r="I605" s="16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1:20" ht="13.2" x14ac:dyDescent="0.25">
      <c r="A606" s="39"/>
      <c r="B606" s="37"/>
      <c r="D606" s="19"/>
      <c r="E606" s="19"/>
      <c r="G606" s="16"/>
      <c r="H606" s="16"/>
      <c r="I606" s="16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1:20" ht="13.2" x14ac:dyDescent="0.25">
      <c r="A607" s="39"/>
      <c r="B607" s="37"/>
      <c r="D607" s="19"/>
      <c r="E607" s="19"/>
      <c r="G607" s="16"/>
      <c r="H607" s="16"/>
      <c r="I607" s="16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1:20" ht="13.2" x14ac:dyDescent="0.25">
      <c r="A608" s="39"/>
      <c r="B608" s="37"/>
      <c r="D608" s="19"/>
      <c r="E608" s="19"/>
      <c r="G608" s="16"/>
      <c r="H608" s="16"/>
      <c r="I608" s="16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1:20" ht="13.2" x14ac:dyDescent="0.25">
      <c r="A609" s="39"/>
      <c r="B609" s="37"/>
      <c r="D609" s="19"/>
      <c r="E609" s="19"/>
      <c r="G609" s="16"/>
      <c r="H609" s="16"/>
      <c r="I609" s="16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1:20" ht="13.2" x14ac:dyDescent="0.25">
      <c r="A610" s="39"/>
      <c r="B610" s="37"/>
      <c r="D610" s="19"/>
      <c r="E610" s="19"/>
      <c r="G610" s="16"/>
      <c r="H610" s="16"/>
      <c r="I610" s="16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1:20" ht="13.2" x14ac:dyDescent="0.25">
      <c r="A611" s="39"/>
      <c r="B611" s="37"/>
      <c r="D611" s="19"/>
      <c r="E611" s="19"/>
      <c r="G611" s="16"/>
      <c r="H611" s="16"/>
      <c r="I611" s="16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1:20" ht="13.2" x14ac:dyDescent="0.25">
      <c r="A612" s="39"/>
      <c r="B612" s="37"/>
      <c r="D612" s="19"/>
      <c r="E612" s="19"/>
      <c r="G612" s="16"/>
      <c r="H612" s="16"/>
      <c r="I612" s="16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1:20" ht="13.2" x14ac:dyDescent="0.25">
      <c r="A613" s="39"/>
      <c r="B613" s="37"/>
      <c r="D613" s="19"/>
      <c r="E613" s="19"/>
      <c r="G613" s="16"/>
      <c r="H613" s="16"/>
      <c r="I613" s="16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1:20" ht="13.2" x14ac:dyDescent="0.25">
      <c r="A614" s="39"/>
      <c r="B614" s="37"/>
      <c r="D614" s="19"/>
      <c r="E614" s="19"/>
      <c r="G614" s="16"/>
      <c r="H614" s="16"/>
      <c r="I614" s="16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1:20" ht="13.2" x14ac:dyDescent="0.25">
      <c r="A615" s="39"/>
      <c r="B615" s="37"/>
      <c r="D615" s="19"/>
      <c r="E615" s="19"/>
      <c r="G615" s="16"/>
      <c r="H615" s="16"/>
      <c r="I615" s="16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1:20" ht="13.2" x14ac:dyDescent="0.25">
      <c r="A616" s="39"/>
      <c r="B616" s="37"/>
      <c r="D616" s="19"/>
      <c r="E616" s="19"/>
      <c r="G616" s="16"/>
      <c r="H616" s="16"/>
      <c r="I616" s="16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1:20" ht="13.2" x14ac:dyDescent="0.25">
      <c r="A617" s="39"/>
      <c r="B617" s="37"/>
      <c r="D617" s="19"/>
      <c r="E617" s="19"/>
      <c r="G617" s="16"/>
      <c r="H617" s="16"/>
      <c r="I617" s="16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1:20" ht="13.2" x14ac:dyDescent="0.25">
      <c r="A618" s="39"/>
      <c r="B618" s="37"/>
      <c r="D618" s="19"/>
      <c r="E618" s="19"/>
      <c r="G618" s="16"/>
      <c r="H618" s="16"/>
      <c r="I618" s="16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1:20" ht="13.2" x14ac:dyDescent="0.25">
      <c r="A619" s="39"/>
      <c r="B619" s="37"/>
      <c r="D619" s="19"/>
      <c r="E619" s="19"/>
      <c r="G619" s="16"/>
      <c r="H619" s="16"/>
      <c r="I619" s="16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1:20" ht="13.2" x14ac:dyDescent="0.25">
      <c r="A620" s="39"/>
      <c r="B620" s="37"/>
      <c r="D620" s="19"/>
      <c r="E620" s="19"/>
      <c r="G620" s="16"/>
      <c r="H620" s="16"/>
      <c r="I620" s="16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1:20" ht="13.2" x14ac:dyDescent="0.25">
      <c r="A621" s="39"/>
      <c r="B621" s="37"/>
      <c r="D621" s="19"/>
      <c r="E621" s="19"/>
      <c r="G621" s="16"/>
      <c r="H621" s="16"/>
      <c r="I621" s="16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1:20" ht="13.2" x14ac:dyDescent="0.25">
      <c r="A622" s="39"/>
      <c r="B622" s="37"/>
      <c r="D622" s="19"/>
      <c r="E622" s="19"/>
      <c r="G622" s="16"/>
      <c r="H622" s="16"/>
      <c r="I622" s="16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1:20" ht="13.2" x14ac:dyDescent="0.25">
      <c r="A623" s="39"/>
      <c r="B623" s="37"/>
      <c r="D623" s="19"/>
      <c r="E623" s="19"/>
      <c r="G623" s="16"/>
      <c r="H623" s="16"/>
      <c r="I623" s="16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1:20" ht="13.2" x14ac:dyDescent="0.25">
      <c r="A624" s="39"/>
      <c r="B624" s="37"/>
      <c r="D624" s="19"/>
      <c r="E624" s="19"/>
      <c r="G624" s="16"/>
      <c r="H624" s="16"/>
      <c r="I624" s="16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1:20" ht="13.2" x14ac:dyDescent="0.25">
      <c r="A625" s="39"/>
      <c r="B625" s="37"/>
      <c r="D625" s="19"/>
      <c r="E625" s="19"/>
      <c r="G625" s="16"/>
      <c r="H625" s="16"/>
      <c r="I625" s="16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1:20" ht="13.2" x14ac:dyDescent="0.25">
      <c r="A626" s="39"/>
      <c r="B626" s="37"/>
      <c r="D626" s="19"/>
      <c r="E626" s="19"/>
      <c r="G626" s="16"/>
      <c r="H626" s="16"/>
      <c r="I626" s="16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1:20" ht="13.2" x14ac:dyDescent="0.25">
      <c r="A627" s="39"/>
      <c r="B627" s="37"/>
      <c r="D627" s="19"/>
      <c r="E627" s="19"/>
      <c r="G627" s="16"/>
      <c r="H627" s="16"/>
      <c r="I627" s="16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1:20" ht="13.2" x14ac:dyDescent="0.25">
      <c r="A628" s="39"/>
      <c r="B628" s="37"/>
      <c r="D628" s="19"/>
      <c r="E628" s="19"/>
      <c r="G628" s="16"/>
      <c r="H628" s="16"/>
      <c r="I628" s="16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1:20" ht="13.2" x14ac:dyDescent="0.25">
      <c r="A629" s="39"/>
      <c r="B629" s="37"/>
      <c r="D629" s="19"/>
      <c r="E629" s="19"/>
      <c r="G629" s="16"/>
      <c r="H629" s="16"/>
      <c r="I629" s="16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1:20" ht="13.2" x14ac:dyDescent="0.25">
      <c r="A630" s="39"/>
      <c r="B630" s="37"/>
      <c r="D630" s="19"/>
      <c r="E630" s="19"/>
      <c r="G630" s="16"/>
      <c r="H630" s="16"/>
      <c r="I630" s="16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1:20" ht="13.2" x14ac:dyDescent="0.25">
      <c r="A631" s="39"/>
      <c r="B631" s="37"/>
      <c r="D631" s="19"/>
      <c r="E631" s="19"/>
      <c r="G631" s="16"/>
      <c r="H631" s="16"/>
      <c r="I631" s="16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1:20" ht="13.2" x14ac:dyDescent="0.25">
      <c r="A632" s="39"/>
      <c r="B632" s="37"/>
      <c r="D632" s="19"/>
      <c r="E632" s="19"/>
      <c r="G632" s="16"/>
      <c r="H632" s="16"/>
      <c r="I632" s="16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1:20" ht="13.2" x14ac:dyDescent="0.25">
      <c r="A633" s="39"/>
      <c r="B633" s="37"/>
      <c r="D633" s="19"/>
      <c r="E633" s="19"/>
      <c r="G633" s="16"/>
      <c r="H633" s="16"/>
      <c r="I633" s="16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1:20" ht="13.2" x14ac:dyDescent="0.25">
      <c r="A634" s="39"/>
      <c r="B634" s="37"/>
      <c r="D634" s="19"/>
      <c r="E634" s="19"/>
      <c r="G634" s="16"/>
      <c r="H634" s="16"/>
      <c r="I634" s="16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1:20" ht="13.2" x14ac:dyDescent="0.25">
      <c r="A635" s="39"/>
      <c r="B635" s="37"/>
      <c r="D635" s="19"/>
      <c r="E635" s="19"/>
      <c r="G635" s="16"/>
      <c r="H635" s="16"/>
      <c r="I635" s="16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1:20" ht="13.2" x14ac:dyDescent="0.25">
      <c r="A636" s="39"/>
      <c r="B636" s="37"/>
      <c r="D636" s="19"/>
      <c r="E636" s="19"/>
      <c r="G636" s="16"/>
      <c r="H636" s="16"/>
      <c r="I636" s="16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1:20" ht="13.2" x14ac:dyDescent="0.25">
      <c r="A637" s="39"/>
      <c r="B637" s="37"/>
      <c r="D637" s="19"/>
      <c r="E637" s="19"/>
      <c r="G637" s="16"/>
      <c r="H637" s="16"/>
      <c r="I637" s="16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1:20" ht="13.2" x14ac:dyDescent="0.25">
      <c r="A638" s="39"/>
      <c r="B638" s="37"/>
      <c r="D638" s="19"/>
      <c r="E638" s="19"/>
      <c r="G638" s="16"/>
      <c r="H638" s="16"/>
      <c r="I638" s="16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1:20" ht="13.2" x14ac:dyDescent="0.25">
      <c r="A639" s="39"/>
      <c r="B639" s="37"/>
      <c r="D639" s="19"/>
      <c r="E639" s="19"/>
      <c r="G639" s="16"/>
      <c r="H639" s="16"/>
      <c r="I639" s="16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1:20" ht="13.2" x14ac:dyDescent="0.25">
      <c r="A640" s="39"/>
      <c r="B640" s="37"/>
      <c r="D640" s="19"/>
      <c r="E640" s="19"/>
      <c r="G640" s="16"/>
      <c r="H640" s="16"/>
      <c r="I640" s="16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1:20" ht="13.2" x14ac:dyDescent="0.25">
      <c r="A641" s="39"/>
      <c r="B641" s="37"/>
      <c r="D641" s="19"/>
      <c r="E641" s="19"/>
      <c r="G641" s="16"/>
      <c r="H641" s="16"/>
      <c r="I641" s="16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1:20" ht="13.2" x14ac:dyDescent="0.25">
      <c r="A642" s="39"/>
      <c r="B642" s="37"/>
      <c r="D642" s="19"/>
      <c r="E642" s="19"/>
      <c r="G642" s="16"/>
      <c r="H642" s="16"/>
      <c r="I642" s="16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1:20" ht="13.2" x14ac:dyDescent="0.25">
      <c r="A643" s="39"/>
      <c r="B643" s="37"/>
      <c r="D643" s="19"/>
      <c r="E643" s="19"/>
      <c r="G643" s="16"/>
      <c r="H643" s="16"/>
      <c r="I643" s="16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1:20" ht="13.2" x14ac:dyDescent="0.25">
      <c r="A644" s="39"/>
      <c r="B644" s="37"/>
      <c r="D644" s="19"/>
      <c r="E644" s="19"/>
      <c r="G644" s="16"/>
      <c r="H644" s="16"/>
      <c r="I644" s="16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1:20" ht="13.2" x14ac:dyDescent="0.25">
      <c r="A645" s="39"/>
      <c r="B645" s="37"/>
      <c r="D645" s="19"/>
      <c r="E645" s="19"/>
      <c r="G645" s="16"/>
      <c r="H645" s="16"/>
      <c r="I645" s="16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1:20" ht="13.2" x14ac:dyDescent="0.25">
      <c r="A646" s="39"/>
      <c r="B646" s="37"/>
      <c r="D646" s="19"/>
      <c r="E646" s="19"/>
      <c r="G646" s="16"/>
      <c r="H646" s="16"/>
      <c r="I646" s="16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1:20" ht="13.2" x14ac:dyDescent="0.25">
      <c r="A647" s="39"/>
      <c r="B647" s="37"/>
      <c r="D647" s="19"/>
      <c r="E647" s="19"/>
      <c r="G647" s="16"/>
      <c r="H647" s="16"/>
      <c r="I647" s="16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1:20" ht="13.2" x14ac:dyDescent="0.25">
      <c r="A648" s="39"/>
      <c r="B648" s="37"/>
      <c r="D648" s="19"/>
      <c r="E648" s="19"/>
      <c r="G648" s="16"/>
      <c r="H648" s="16"/>
      <c r="I648" s="16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1:20" ht="13.2" x14ac:dyDescent="0.25">
      <c r="A649" s="39"/>
      <c r="B649" s="37"/>
      <c r="D649" s="19"/>
      <c r="E649" s="19"/>
      <c r="G649" s="16"/>
      <c r="H649" s="16"/>
      <c r="I649" s="16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1:20" ht="13.2" x14ac:dyDescent="0.25">
      <c r="A650" s="39"/>
      <c r="B650" s="37"/>
      <c r="D650" s="19"/>
      <c r="E650" s="19"/>
      <c r="G650" s="16"/>
      <c r="H650" s="16"/>
      <c r="I650" s="16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1:20" ht="13.2" x14ac:dyDescent="0.25">
      <c r="A651" s="39"/>
      <c r="B651" s="37"/>
      <c r="D651" s="19"/>
      <c r="E651" s="19"/>
      <c r="G651" s="16"/>
      <c r="H651" s="16"/>
      <c r="I651" s="16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1:20" ht="13.2" x14ac:dyDescent="0.25">
      <c r="A652" s="39"/>
      <c r="B652" s="37"/>
      <c r="D652" s="19"/>
      <c r="E652" s="19"/>
      <c r="G652" s="16"/>
      <c r="H652" s="16"/>
      <c r="I652" s="16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1:20" ht="13.2" x14ac:dyDescent="0.25">
      <c r="A653" s="39"/>
      <c r="B653" s="37"/>
      <c r="D653" s="19"/>
      <c r="E653" s="19"/>
      <c r="G653" s="16"/>
      <c r="H653" s="16"/>
      <c r="I653" s="16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1:20" ht="13.2" x14ac:dyDescent="0.25">
      <c r="A654" s="39"/>
      <c r="B654" s="37"/>
      <c r="D654" s="19"/>
      <c r="E654" s="19"/>
      <c r="G654" s="16"/>
      <c r="H654" s="16"/>
      <c r="I654" s="16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1:20" ht="13.2" x14ac:dyDescent="0.25">
      <c r="A655" s="39"/>
      <c r="B655" s="37"/>
      <c r="D655" s="19"/>
      <c r="E655" s="19"/>
      <c r="G655" s="16"/>
      <c r="H655" s="16"/>
      <c r="I655" s="16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1:20" ht="13.2" x14ac:dyDescent="0.25">
      <c r="A656" s="39"/>
      <c r="B656" s="37"/>
      <c r="D656" s="19"/>
      <c r="E656" s="19"/>
      <c r="G656" s="16"/>
      <c r="H656" s="16"/>
      <c r="I656" s="16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1:20" ht="13.2" x14ac:dyDescent="0.25">
      <c r="A657" s="39"/>
      <c r="B657" s="37"/>
      <c r="D657" s="19"/>
      <c r="E657" s="19"/>
      <c r="G657" s="16"/>
      <c r="H657" s="16"/>
      <c r="I657" s="16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1:20" ht="13.2" x14ac:dyDescent="0.25">
      <c r="A658" s="39"/>
      <c r="B658" s="37"/>
      <c r="D658" s="19"/>
      <c r="E658" s="19"/>
      <c r="G658" s="16"/>
      <c r="H658" s="16"/>
      <c r="I658" s="16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1:20" ht="13.2" x14ac:dyDescent="0.25">
      <c r="A659" s="39"/>
      <c r="B659" s="37"/>
      <c r="D659" s="19"/>
      <c r="E659" s="19"/>
      <c r="G659" s="16"/>
      <c r="H659" s="16"/>
      <c r="I659" s="16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1:20" ht="13.2" x14ac:dyDescent="0.25">
      <c r="A660" s="39"/>
      <c r="B660" s="37"/>
      <c r="D660" s="19"/>
      <c r="E660" s="19"/>
      <c r="G660" s="16"/>
      <c r="H660" s="16"/>
      <c r="I660" s="16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1:20" ht="13.2" x14ac:dyDescent="0.25">
      <c r="A661" s="39"/>
      <c r="B661" s="37"/>
      <c r="D661" s="19"/>
      <c r="E661" s="19"/>
      <c r="G661" s="16"/>
      <c r="H661" s="16"/>
      <c r="I661" s="16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1:20" ht="13.2" x14ac:dyDescent="0.25">
      <c r="A662" s="39"/>
      <c r="B662" s="37"/>
      <c r="D662" s="19"/>
      <c r="E662" s="19"/>
      <c r="G662" s="16"/>
      <c r="H662" s="16"/>
      <c r="I662" s="16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1:20" ht="13.2" x14ac:dyDescent="0.25">
      <c r="A663" s="39"/>
      <c r="B663" s="37"/>
      <c r="D663" s="19"/>
      <c r="E663" s="19"/>
      <c r="G663" s="16"/>
      <c r="H663" s="16"/>
      <c r="I663" s="16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1:20" ht="13.2" x14ac:dyDescent="0.25">
      <c r="A664" s="39"/>
      <c r="B664" s="37"/>
      <c r="D664" s="19"/>
      <c r="E664" s="19"/>
      <c r="G664" s="16"/>
      <c r="H664" s="16"/>
      <c r="I664" s="16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1:20" ht="13.2" x14ac:dyDescent="0.25">
      <c r="A665" s="39"/>
      <c r="B665" s="37"/>
      <c r="D665" s="19"/>
      <c r="E665" s="19"/>
      <c r="G665" s="16"/>
      <c r="H665" s="16"/>
      <c r="I665" s="16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1:20" ht="13.2" x14ac:dyDescent="0.25">
      <c r="A666" s="39"/>
      <c r="B666" s="37"/>
      <c r="D666" s="19"/>
      <c r="E666" s="19"/>
      <c r="G666" s="16"/>
      <c r="H666" s="16"/>
      <c r="I666" s="16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1:20" ht="13.2" x14ac:dyDescent="0.25">
      <c r="A667" s="39"/>
      <c r="B667" s="37"/>
      <c r="D667" s="19"/>
      <c r="E667" s="19"/>
      <c r="G667" s="16"/>
      <c r="H667" s="16"/>
      <c r="I667" s="16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1:20" ht="13.2" x14ac:dyDescent="0.25">
      <c r="A668" s="39"/>
      <c r="B668" s="37"/>
      <c r="D668" s="19"/>
      <c r="E668" s="19"/>
      <c r="G668" s="16"/>
      <c r="H668" s="16"/>
      <c r="I668" s="16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1:20" ht="13.2" x14ac:dyDescent="0.25">
      <c r="A669" s="39"/>
      <c r="B669" s="37"/>
      <c r="D669" s="19"/>
      <c r="E669" s="19"/>
      <c r="G669" s="16"/>
      <c r="H669" s="16"/>
      <c r="I669" s="16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1:20" ht="13.2" x14ac:dyDescent="0.25">
      <c r="A670" s="39"/>
      <c r="B670" s="37"/>
      <c r="D670" s="19"/>
      <c r="E670" s="19"/>
      <c r="G670" s="16"/>
      <c r="H670" s="16"/>
      <c r="I670" s="16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1:20" ht="13.2" x14ac:dyDescent="0.25">
      <c r="A671" s="39"/>
      <c r="B671" s="37"/>
      <c r="D671" s="19"/>
      <c r="E671" s="19"/>
      <c r="G671" s="16"/>
      <c r="H671" s="16"/>
      <c r="I671" s="16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1:20" ht="13.2" x14ac:dyDescent="0.25">
      <c r="A672" s="39"/>
      <c r="B672" s="37"/>
      <c r="D672" s="19"/>
      <c r="E672" s="19"/>
      <c r="G672" s="16"/>
      <c r="H672" s="16"/>
      <c r="I672" s="16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1:20" ht="13.2" x14ac:dyDescent="0.25">
      <c r="A673" s="39"/>
      <c r="B673" s="37"/>
      <c r="D673" s="19"/>
      <c r="E673" s="19"/>
      <c r="G673" s="16"/>
      <c r="H673" s="16"/>
      <c r="I673" s="16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1:20" ht="13.2" x14ac:dyDescent="0.25">
      <c r="A674" s="39"/>
      <c r="B674" s="37"/>
      <c r="D674" s="19"/>
      <c r="E674" s="19"/>
      <c r="G674" s="16"/>
      <c r="H674" s="16"/>
      <c r="I674" s="16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1:20" ht="13.2" x14ac:dyDescent="0.25">
      <c r="A675" s="39"/>
      <c r="B675" s="37"/>
      <c r="D675" s="19"/>
      <c r="E675" s="19"/>
      <c r="G675" s="16"/>
      <c r="H675" s="16"/>
      <c r="I675" s="16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1:20" ht="13.2" x14ac:dyDescent="0.25">
      <c r="A676" s="39"/>
      <c r="B676" s="37"/>
      <c r="D676" s="19"/>
      <c r="E676" s="19"/>
      <c r="G676" s="16"/>
      <c r="H676" s="16"/>
      <c r="I676" s="16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1:20" ht="13.2" x14ac:dyDescent="0.25">
      <c r="A677" s="39"/>
      <c r="B677" s="37"/>
      <c r="D677" s="19"/>
      <c r="E677" s="19"/>
      <c r="G677" s="16"/>
      <c r="H677" s="16"/>
      <c r="I677" s="16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1:20" ht="13.2" x14ac:dyDescent="0.25">
      <c r="A678" s="39"/>
      <c r="B678" s="37"/>
      <c r="D678" s="19"/>
      <c r="E678" s="19"/>
      <c r="G678" s="16"/>
      <c r="H678" s="16"/>
      <c r="I678" s="16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1:20" ht="13.2" x14ac:dyDescent="0.25">
      <c r="A679" s="39"/>
      <c r="B679" s="37"/>
      <c r="D679" s="19"/>
      <c r="E679" s="19"/>
      <c r="G679" s="16"/>
      <c r="H679" s="16"/>
      <c r="I679" s="16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1:20" ht="13.2" x14ac:dyDescent="0.25">
      <c r="A680" s="39"/>
      <c r="B680" s="37"/>
      <c r="D680" s="19"/>
      <c r="E680" s="19"/>
      <c r="G680" s="16"/>
      <c r="H680" s="16"/>
      <c r="I680" s="16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1:20" ht="13.2" x14ac:dyDescent="0.25">
      <c r="A681" s="39"/>
      <c r="B681" s="37"/>
      <c r="D681" s="19"/>
      <c r="E681" s="19"/>
      <c r="G681" s="16"/>
      <c r="H681" s="16"/>
      <c r="I681" s="16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1:20" ht="13.2" x14ac:dyDescent="0.25">
      <c r="A682" s="39"/>
      <c r="B682" s="37"/>
      <c r="D682" s="19"/>
      <c r="E682" s="19"/>
      <c r="G682" s="16"/>
      <c r="H682" s="16"/>
      <c r="I682" s="16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1:20" ht="13.2" x14ac:dyDescent="0.25">
      <c r="A683" s="39"/>
      <c r="B683" s="37"/>
      <c r="D683" s="19"/>
      <c r="E683" s="19"/>
      <c r="G683" s="16"/>
      <c r="H683" s="16"/>
      <c r="I683" s="16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1:20" ht="13.2" x14ac:dyDescent="0.25">
      <c r="A684" s="39"/>
      <c r="B684" s="37"/>
      <c r="D684" s="19"/>
      <c r="E684" s="19"/>
      <c r="G684" s="16"/>
      <c r="H684" s="16"/>
      <c r="I684" s="16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1:20" ht="13.2" x14ac:dyDescent="0.25">
      <c r="A685" s="39"/>
      <c r="B685" s="37"/>
      <c r="D685" s="19"/>
      <c r="E685" s="19"/>
      <c r="G685" s="16"/>
      <c r="H685" s="16"/>
      <c r="I685" s="16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1:20" ht="13.2" x14ac:dyDescent="0.25">
      <c r="A686" s="39"/>
      <c r="B686" s="37"/>
      <c r="D686" s="19"/>
      <c r="E686" s="19"/>
      <c r="G686" s="16"/>
      <c r="H686" s="16"/>
      <c r="I686" s="16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1:20" ht="13.2" x14ac:dyDescent="0.25">
      <c r="A687" s="39"/>
      <c r="B687" s="37"/>
      <c r="D687" s="19"/>
      <c r="E687" s="19"/>
      <c r="G687" s="16"/>
      <c r="H687" s="16"/>
      <c r="I687" s="16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1:20" ht="13.2" x14ac:dyDescent="0.25">
      <c r="A688" s="39"/>
      <c r="B688" s="37"/>
      <c r="D688" s="19"/>
      <c r="E688" s="19"/>
      <c r="G688" s="16"/>
      <c r="H688" s="16"/>
      <c r="I688" s="16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1:20" ht="13.2" x14ac:dyDescent="0.25">
      <c r="A689" s="39"/>
      <c r="B689" s="37"/>
      <c r="D689" s="19"/>
      <c r="E689" s="19"/>
      <c r="G689" s="16"/>
      <c r="H689" s="16"/>
      <c r="I689" s="16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1:20" ht="13.2" x14ac:dyDescent="0.25">
      <c r="A690" s="39"/>
      <c r="B690" s="37"/>
      <c r="D690" s="19"/>
      <c r="E690" s="19"/>
      <c r="G690" s="16"/>
      <c r="H690" s="16"/>
      <c r="I690" s="16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1:20" ht="13.2" x14ac:dyDescent="0.25">
      <c r="A691" s="39"/>
      <c r="B691" s="37"/>
      <c r="D691" s="19"/>
      <c r="E691" s="19"/>
      <c r="G691" s="16"/>
      <c r="H691" s="16"/>
      <c r="I691" s="16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1:20" ht="13.2" x14ac:dyDescent="0.25">
      <c r="A692" s="39"/>
      <c r="B692" s="37"/>
      <c r="D692" s="19"/>
      <c r="E692" s="19"/>
      <c r="G692" s="16"/>
      <c r="H692" s="16"/>
      <c r="I692" s="16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1:20" ht="13.2" x14ac:dyDescent="0.25">
      <c r="A693" s="39"/>
      <c r="B693" s="37"/>
      <c r="D693" s="19"/>
      <c r="E693" s="19"/>
      <c r="G693" s="16"/>
      <c r="H693" s="16"/>
      <c r="I693" s="16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1:20" ht="13.2" x14ac:dyDescent="0.25">
      <c r="A694" s="39"/>
      <c r="B694" s="37"/>
      <c r="D694" s="19"/>
      <c r="E694" s="19"/>
      <c r="G694" s="16"/>
      <c r="H694" s="16"/>
      <c r="I694" s="16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1:20" ht="13.2" x14ac:dyDescent="0.25">
      <c r="A695" s="39"/>
      <c r="B695" s="37"/>
      <c r="D695" s="19"/>
      <c r="E695" s="19"/>
      <c r="G695" s="16"/>
      <c r="H695" s="16"/>
      <c r="I695" s="16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1:20" ht="13.2" x14ac:dyDescent="0.25">
      <c r="A696" s="39"/>
      <c r="B696" s="37"/>
      <c r="D696" s="19"/>
      <c r="E696" s="19"/>
      <c r="G696" s="16"/>
      <c r="H696" s="16"/>
      <c r="I696" s="16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1:20" ht="13.2" x14ac:dyDescent="0.25">
      <c r="A697" s="39"/>
      <c r="B697" s="37"/>
      <c r="D697" s="19"/>
      <c r="E697" s="19"/>
      <c r="G697" s="16"/>
      <c r="H697" s="16"/>
      <c r="I697" s="16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1:20" ht="13.2" x14ac:dyDescent="0.25">
      <c r="A698" s="39"/>
      <c r="B698" s="37"/>
      <c r="D698" s="19"/>
      <c r="E698" s="19"/>
      <c r="G698" s="16"/>
      <c r="H698" s="16"/>
      <c r="I698" s="16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1:20" ht="13.2" x14ac:dyDescent="0.25">
      <c r="A699" s="39"/>
      <c r="B699" s="37"/>
      <c r="D699" s="19"/>
      <c r="E699" s="19"/>
      <c r="G699" s="16"/>
      <c r="H699" s="16"/>
      <c r="I699" s="16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1:20" ht="13.2" x14ac:dyDescent="0.25">
      <c r="A700" s="39"/>
      <c r="B700" s="37"/>
      <c r="D700" s="19"/>
      <c r="E700" s="19"/>
      <c r="G700" s="16"/>
      <c r="H700" s="16"/>
      <c r="I700" s="16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1:20" ht="13.2" x14ac:dyDescent="0.25">
      <c r="A701" s="39"/>
      <c r="B701" s="37"/>
      <c r="D701" s="19"/>
      <c r="E701" s="19"/>
      <c r="G701" s="16"/>
      <c r="H701" s="16"/>
      <c r="I701" s="16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1:20" ht="13.2" x14ac:dyDescent="0.25">
      <c r="A702" s="39"/>
      <c r="B702" s="37"/>
      <c r="D702" s="19"/>
      <c r="E702" s="19"/>
      <c r="G702" s="16"/>
      <c r="H702" s="16"/>
      <c r="I702" s="16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1:20" ht="13.2" x14ac:dyDescent="0.25">
      <c r="A703" s="39"/>
      <c r="B703" s="37"/>
      <c r="D703" s="19"/>
      <c r="E703" s="19"/>
      <c r="G703" s="16"/>
      <c r="H703" s="16"/>
      <c r="I703" s="16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1:20" ht="13.2" x14ac:dyDescent="0.25">
      <c r="A704" s="39"/>
      <c r="B704" s="37"/>
      <c r="D704" s="19"/>
      <c r="E704" s="19"/>
      <c r="G704" s="16"/>
      <c r="H704" s="16"/>
      <c r="I704" s="16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1:20" ht="13.2" x14ac:dyDescent="0.25">
      <c r="A705" s="39"/>
      <c r="B705" s="37"/>
      <c r="D705" s="19"/>
      <c r="E705" s="19"/>
      <c r="G705" s="16"/>
      <c r="H705" s="16"/>
      <c r="I705" s="16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1:20" ht="13.2" x14ac:dyDescent="0.25">
      <c r="A706" s="39"/>
      <c r="B706" s="37"/>
      <c r="D706" s="19"/>
      <c r="E706" s="19"/>
      <c r="G706" s="16"/>
      <c r="H706" s="16"/>
      <c r="I706" s="16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1:20" ht="13.2" x14ac:dyDescent="0.25">
      <c r="A707" s="39"/>
      <c r="B707" s="37"/>
      <c r="D707" s="19"/>
      <c r="E707" s="19"/>
      <c r="G707" s="16"/>
      <c r="H707" s="16"/>
      <c r="I707" s="16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1:20" ht="13.2" x14ac:dyDescent="0.25">
      <c r="A708" s="39"/>
      <c r="B708" s="37"/>
      <c r="D708" s="19"/>
      <c r="E708" s="19"/>
      <c r="G708" s="16"/>
      <c r="H708" s="16"/>
      <c r="I708" s="16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1:20" ht="13.2" x14ac:dyDescent="0.25">
      <c r="A709" s="39"/>
      <c r="B709" s="37"/>
      <c r="D709" s="19"/>
      <c r="E709" s="19"/>
      <c r="G709" s="16"/>
      <c r="H709" s="16"/>
      <c r="I709" s="16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1:20" ht="13.2" x14ac:dyDescent="0.25">
      <c r="A710" s="39"/>
      <c r="B710" s="37"/>
      <c r="D710" s="19"/>
      <c r="E710" s="19"/>
      <c r="G710" s="16"/>
      <c r="H710" s="16"/>
      <c r="I710" s="16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1:20" ht="13.2" x14ac:dyDescent="0.25">
      <c r="A711" s="39"/>
      <c r="B711" s="37"/>
      <c r="D711" s="19"/>
      <c r="E711" s="19"/>
      <c r="G711" s="16"/>
      <c r="H711" s="16"/>
      <c r="I711" s="16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1:20" ht="13.2" x14ac:dyDescent="0.25">
      <c r="A712" s="39"/>
      <c r="B712" s="37"/>
      <c r="D712" s="19"/>
      <c r="E712" s="19"/>
      <c r="G712" s="16"/>
      <c r="H712" s="16"/>
      <c r="I712" s="16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1:20" ht="13.2" x14ac:dyDescent="0.25">
      <c r="A713" s="39"/>
      <c r="B713" s="37"/>
      <c r="D713" s="19"/>
      <c r="E713" s="19"/>
      <c r="G713" s="16"/>
      <c r="H713" s="16"/>
      <c r="I713" s="16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1:20" ht="13.2" x14ac:dyDescent="0.25">
      <c r="A714" s="39"/>
      <c r="B714" s="37"/>
      <c r="D714" s="19"/>
      <c r="E714" s="19"/>
      <c r="G714" s="16"/>
      <c r="H714" s="16"/>
      <c r="I714" s="16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1:20" ht="13.2" x14ac:dyDescent="0.25">
      <c r="A715" s="39"/>
      <c r="B715" s="37"/>
      <c r="D715" s="19"/>
      <c r="E715" s="19"/>
      <c r="G715" s="16"/>
      <c r="H715" s="16"/>
      <c r="I715" s="16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1:20" ht="13.2" x14ac:dyDescent="0.25">
      <c r="A716" s="39"/>
      <c r="B716" s="37"/>
      <c r="D716" s="19"/>
      <c r="E716" s="19"/>
      <c r="G716" s="16"/>
      <c r="H716" s="16"/>
      <c r="I716" s="16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1:20" ht="13.2" x14ac:dyDescent="0.25">
      <c r="A717" s="39"/>
      <c r="B717" s="37"/>
      <c r="D717" s="19"/>
      <c r="E717" s="19"/>
      <c r="G717" s="16"/>
      <c r="H717" s="16"/>
      <c r="I717" s="16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1:20" ht="13.2" x14ac:dyDescent="0.25">
      <c r="A718" s="39"/>
      <c r="B718" s="37"/>
      <c r="D718" s="19"/>
      <c r="E718" s="19"/>
      <c r="G718" s="16"/>
      <c r="H718" s="16"/>
      <c r="I718" s="16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1:20" ht="13.2" x14ac:dyDescent="0.25">
      <c r="A719" s="39"/>
      <c r="B719" s="37"/>
      <c r="D719" s="19"/>
      <c r="E719" s="19"/>
      <c r="G719" s="16"/>
      <c r="H719" s="16"/>
      <c r="I719" s="16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1:20" ht="13.2" x14ac:dyDescent="0.25">
      <c r="A720" s="39"/>
      <c r="B720" s="37"/>
      <c r="D720" s="19"/>
      <c r="E720" s="19"/>
      <c r="G720" s="16"/>
      <c r="H720" s="16"/>
      <c r="I720" s="16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1:20" ht="13.2" x14ac:dyDescent="0.25">
      <c r="A721" s="39"/>
      <c r="B721" s="37"/>
      <c r="D721" s="19"/>
      <c r="E721" s="19"/>
      <c r="G721" s="16"/>
      <c r="H721" s="16"/>
      <c r="I721" s="16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1:20" ht="13.2" x14ac:dyDescent="0.25">
      <c r="A722" s="39"/>
      <c r="B722" s="37"/>
      <c r="D722" s="19"/>
      <c r="E722" s="19"/>
      <c r="G722" s="16"/>
      <c r="H722" s="16"/>
      <c r="I722" s="16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1:20" ht="13.2" x14ac:dyDescent="0.25">
      <c r="A723" s="39"/>
      <c r="B723" s="37"/>
      <c r="D723" s="19"/>
      <c r="E723" s="19"/>
      <c r="G723" s="16"/>
      <c r="H723" s="16"/>
      <c r="I723" s="16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1:20" ht="13.2" x14ac:dyDescent="0.25">
      <c r="A724" s="39"/>
      <c r="B724" s="37"/>
      <c r="D724" s="19"/>
      <c r="E724" s="19"/>
      <c r="G724" s="16"/>
      <c r="H724" s="16"/>
      <c r="I724" s="16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1:20" ht="13.2" x14ac:dyDescent="0.25">
      <c r="A725" s="39"/>
      <c r="B725" s="37"/>
      <c r="D725" s="19"/>
      <c r="E725" s="19"/>
      <c r="G725" s="16"/>
      <c r="H725" s="16"/>
      <c r="I725" s="16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1:20" ht="13.2" x14ac:dyDescent="0.25">
      <c r="A726" s="39"/>
      <c r="B726" s="37"/>
      <c r="D726" s="19"/>
      <c r="E726" s="19"/>
      <c r="G726" s="16"/>
      <c r="H726" s="16"/>
      <c r="I726" s="16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1:20" ht="13.2" x14ac:dyDescent="0.25">
      <c r="A727" s="39"/>
      <c r="B727" s="37"/>
      <c r="D727" s="19"/>
      <c r="E727" s="19"/>
      <c r="G727" s="16"/>
      <c r="H727" s="16"/>
      <c r="I727" s="16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1:20" ht="13.2" x14ac:dyDescent="0.25">
      <c r="A728" s="39"/>
      <c r="B728" s="37"/>
      <c r="D728" s="19"/>
      <c r="E728" s="19"/>
      <c r="G728" s="16"/>
      <c r="H728" s="16"/>
      <c r="I728" s="16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1:20" ht="13.2" x14ac:dyDescent="0.25">
      <c r="A729" s="39"/>
      <c r="B729" s="37"/>
      <c r="D729" s="19"/>
      <c r="E729" s="19"/>
      <c r="G729" s="16"/>
      <c r="H729" s="16"/>
      <c r="I729" s="16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1:20" ht="13.2" x14ac:dyDescent="0.25">
      <c r="A730" s="39"/>
      <c r="B730" s="37"/>
      <c r="D730" s="19"/>
      <c r="E730" s="19"/>
      <c r="G730" s="16"/>
      <c r="H730" s="16"/>
      <c r="I730" s="16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1:20" ht="13.2" x14ac:dyDescent="0.25">
      <c r="A731" s="39"/>
      <c r="B731" s="37"/>
      <c r="D731" s="19"/>
      <c r="E731" s="19"/>
      <c r="G731" s="16"/>
      <c r="H731" s="16"/>
      <c r="I731" s="16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1:20" ht="13.2" x14ac:dyDescent="0.25">
      <c r="A732" s="39"/>
      <c r="B732" s="37"/>
      <c r="D732" s="19"/>
      <c r="E732" s="19"/>
      <c r="G732" s="16"/>
      <c r="H732" s="16"/>
      <c r="I732" s="16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1:20" ht="13.2" x14ac:dyDescent="0.25">
      <c r="A733" s="39"/>
      <c r="B733" s="37"/>
      <c r="D733" s="19"/>
      <c r="E733" s="19"/>
      <c r="G733" s="16"/>
      <c r="H733" s="16"/>
      <c r="I733" s="16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1:20" ht="13.2" x14ac:dyDescent="0.25">
      <c r="A734" s="39"/>
      <c r="B734" s="37"/>
      <c r="D734" s="19"/>
      <c r="E734" s="19"/>
      <c r="G734" s="16"/>
      <c r="H734" s="16"/>
      <c r="I734" s="16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1:20" ht="13.2" x14ac:dyDescent="0.25">
      <c r="A735" s="39"/>
      <c r="B735" s="37"/>
      <c r="D735" s="19"/>
      <c r="E735" s="19"/>
      <c r="G735" s="16"/>
      <c r="H735" s="16"/>
      <c r="I735" s="16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1:20" ht="13.2" x14ac:dyDescent="0.25">
      <c r="A736" s="39"/>
      <c r="B736" s="37"/>
      <c r="D736" s="19"/>
      <c r="E736" s="19"/>
      <c r="G736" s="16"/>
      <c r="H736" s="16"/>
      <c r="I736" s="16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1:20" ht="13.2" x14ac:dyDescent="0.25">
      <c r="A737" s="39"/>
      <c r="B737" s="37"/>
      <c r="D737" s="19"/>
      <c r="E737" s="19"/>
      <c r="G737" s="16"/>
      <c r="H737" s="16"/>
      <c r="I737" s="16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1:20" ht="13.2" x14ac:dyDescent="0.25">
      <c r="A738" s="39"/>
      <c r="B738" s="37"/>
      <c r="D738" s="19"/>
      <c r="E738" s="19"/>
      <c r="G738" s="16"/>
      <c r="H738" s="16"/>
      <c r="I738" s="16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1:20" ht="13.2" x14ac:dyDescent="0.25">
      <c r="A739" s="39"/>
      <c r="B739" s="37"/>
      <c r="D739" s="19"/>
      <c r="E739" s="19"/>
      <c r="G739" s="16"/>
      <c r="H739" s="16"/>
      <c r="I739" s="16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1:20" ht="13.2" x14ac:dyDescent="0.25">
      <c r="A740" s="39"/>
      <c r="B740" s="37"/>
      <c r="D740" s="19"/>
      <c r="E740" s="19"/>
      <c r="G740" s="16"/>
      <c r="H740" s="16"/>
      <c r="I740" s="16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1:20" ht="13.2" x14ac:dyDescent="0.25">
      <c r="A741" s="39"/>
      <c r="B741" s="37"/>
      <c r="D741" s="19"/>
      <c r="E741" s="19"/>
      <c r="G741" s="16"/>
      <c r="H741" s="16"/>
      <c r="I741" s="16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1:20" ht="13.2" x14ac:dyDescent="0.25">
      <c r="A742" s="39"/>
      <c r="B742" s="37"/>
      <c r="D742" s="19"/>
      <c r="E742" s="19"/>
      <c r="G742" s="16"/>
      <c r="H742" s="16"/>
      <c r="I742" s="16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1:20" ht="13.2" x14ac:dyDescent="0.25">
      <c r="A743" s="39"/>
      <c r="B743" s="37"/>
      <c r="D743" s="19"/>
      <c r="E743" s="19"/>
      <c r="G743" s="16"/>
      <c r="H743" s="16"/>
      <c r="I743" s="16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1:20" ht="13.2" x14ac:dyDescent="0.25">
      <c r="A744" s="39"/>
      <c r="B744" s="37"/>
      <c r="D744" s="19"/>
      <c r="E744" s="19"/>
      <c r="G744" s="16"/>
      <c r="H744" s="16"/>
      <c r="I744" s="16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1:20" ht="13.2" x14ac:dyDescent="0.25">
      <c r="A745" s="39"/>
      <c r="B745" s="37"/>
      <c r="D745" s="19"/>
      <c r="E745" s="19"/>
      <c r="G745" s="16"/>
      <c r="H745" s="16"/>
      <c r="I745" s="16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1:20" ht="13.2" x14ac:dyDescent="0.25">
      <c r="A746" s="39"/>
      <c r="B746" s="37"/>
      <c r="D746" s="19"/>
      <c r="E746" s="19"/>
      <c r="G746" s="16"/>
      <c r="H746" s="16"/>
      <c r="I746" s="16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1:20" ht="13.2" x14ac:dyDescent="0.25">
      <c r="A747" s="39"/>
      <c r="B747" s="37"/>
      <c r="D747" s="19"/>
      <c r="E747" s="19"/>
      <c r="G747" s="16"/>
      <c r="H747" s="16"/>
      <c r="I747" s="16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1:20" ht="13.2" x14ac:dyDescent="0.25">
      <c r="A748" s="39"/>
      <c r="B748" s="37"/>
      <c r="D748" s="19"/>
      <c r="E748" s="19"/>
      <c r="G748" s="16"/>
      <c r="H748" s="16"/>
      <c r="I748" s="16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1:20" ht="13.2" x14ac:dyDescent="0.25">
      <c r="A749" s="39"/>
      <c r="B749" s="37"/>
      <c r="D749" s="19"/>
      <c r="E749" s="19"/>
      <c r="G749" s="16"/>
      <c r="H749" s="16"/>
      <c r="I749" s="16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1:20" ht="13.2" x14ac:dyDescent="0.25">
      <c r="A750" s="39"/>
      <c r="B750" s="37"/>
      <c r="D750" s="19"/>
      <c r="E750" s="19"/>
      <c r="G750" s="16"/>
      <c r="H750" s="16"/>
      <c r="I750" s="16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1:20" ht="13.2" x14ac:dyDescent="0.25">
      <c r="A751" s="39"/>
      <c r="B751" s="37"/>
      <c r="D751" s="19"/>
      <c r="E751" s="19"/>
      <c r="G751" s="16"/>
      <c r="H751" s="16"/>
      <c r="I751" s="16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1:20" ht="13.2" x14ac:dyDescent="0.25">
      <c r="A752" s="39"/>
      <c r="B752" s="37"/>
      <c r="D752" s="19"/>
      <c r="E752" s="19"/>
      <c r="G752" s="16"/>
      <c r="H752" s="16"/>
      <c r="I752" s="16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1:20" ht="13.2" x14ac:dyDescent="0.25">
      <c r="A753" s="39"/>
      <c r="B753" s="37"/>
      <c r="D753" s="19"/>
      <c r="E753" s="19"/>
      <c r="G753" s="16"/>
      <c r="H753" s="16"/>
      <c r="I753" s="16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1:20" ht="13.2" x14ac:dyDescent="0.25">
      <c r="A754" s="39"/>
      <c r="B754" s="37"/>
      <c r="D754" s="19"/>
      <c r="E754" s="19"/>
      <c r="G754" s="16"/>
      <c r="H754" s="16"/>
      <c r="I754" s="16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1:20" ht="13.2" x14ac:dyDescent="0.25">
      <c r="A755" s="39"/>
      <c r="B755" s="37"/>
      <c r="D755" s="19"/>
      <c r="E755" s="19"/>
      <c r="G755" s="16"/>
      <c r="H755" s="16"/>
      <c r="I755" s="16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1:20" ht="13.2" x14ac:dyDescent="0.25">
      <c r="A756" s="39"/>
      <c r="B756" s="37"/>
      <c r="D756" s="19"/>
      <c r="E756" s="19"/>
      <c r="G756" s="16"/>
      <c r="H756" s="16"/>
      <c r="I756" s="16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1:20" ht="13.2" x14ac:dyDescent="0.25">
      <c r="A757" s="39"/>
      <c r="B757" s="37"/>
      <c r="D757" s="19"/>
      <c r="E757" s="19"/>
      <c r="G757" s="16"/>
      <c r="H757" s="16"/>
      <c r="I757" s="16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1:20" ht="13.2" x14ac:dyDescent="0.25">
      <c r="A758" s="39"/>
      <c r="B758" s="37"/>
      <c r="D758" s="19"/>
      <c r="E758" s="19"/>
      <c r="G758" s="16"/>
      <c r="H758" s="16"/>
      <c r="I758" s="16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1:20" ht="13.2" x14ac:dyDescent="0.25">
      <c r="A759" s="39"/>
      <c r="B759" s="37"/>
      <c r="D759" s="19"/>
      <c r="E759" s="19"/>
      <c r="G759" s="16"/>
      <c r="H759" s="16"/>
      <c r="I759" s="16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1:20" ht="13.2" x14ac:dyDescent="0.25">
      <c r="A760" s="39"/>
      <c r="B760" s="37"/>
      <c r="D760" s="19"/>
      <c r="E760" s="19"/>
      <c r="G760" s="16"/>
      <c r="H760" s="16"/>
      <c r="I760" s="16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1:20" ht="13.2" x14ac:dyDescent="0.25">
      <c r="A761" s="39"/>
      <c r="B761" s="37"/>
      <c r="D761" s="19"/>
      <c r="E761" s="19"/>
      <c r="G761" s="16"/>
      <c r="H761" s="16"/>
      <c r="I761" s="16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1:20" ht="13.2" x14ac:dyDescent="0.25">
      <c r="A762" s="39"/>
      <c r="B762" s="37"/>
      <c r="D762" s="19"/>
      <c r="E762" s="19"/>
      <c r="G762" s="16"/>
      <c r="H762" s="16"/>
      <c r="I762" s="16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1:20" ht="13.2" x14ac:dyDescent="0.25">
      <c r="A763" s="39"/>
      <c r="B763" s="37"/>
      <c r="D763" s="19"/>
      <c r="E763" s="19"/>
      <c r="G763" s="16"/>
      <c r="H763" s="16"/>
      <c r="I763" s="16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1:20" ht="13.2" x14ac:dyDescent="0.25">
      <c r="A764" s="39"/>
      <c r="B764" s="37"/>
      <c r="D764" s="19"/>
      <c r="E764" s="19"/>
      <c r="G764" s="16"/>
      <c r="H764" s="16"/>
      <c r="I764" s="16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1:20" ht="13.2" x14ac:dyDescent="0.25">
      <c r="A765" s="39"/>
      <c r="B765" s="37"/>
      <c r="D765" s="19"/>
      <c r="E765" s="19"/>
      <c r="G765" s="16"/>
      <c r="H765" s="16"/>
      <c r="I765" s="16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1:20" ht="13.2" x14ac:dyDescent="0.25">
      <c r="A766" s="39"/>
      <c r="B766" s="37"/>
      <c r="D766" s="19"/>
      <c r="E766" s="19"/>
      <c r="G766" s="16"/>
      <c r="H766" s="16"/>
      <c r="I766" s="16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1:20" ht="13.2" x14ac:dyDescent="0.25">
      <c r="A767" s="39"/>
      <c r="B767" s="37"/>
      <c r="D767" s="19"/>
      <c r="E767" s="19"/>
      <c r="G767" s="16"/>
      <c r="H767" s="16"/>
      <c r="I767" s="16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1:20" ht="13.2" x14ac:dyDescent="0.25">
      <c r="A768" s="39"/>
      <c r="B768" s="37"/>
      <c r="D768" s="19"/>
      <c r="E768" s="19"/>
      <c r="G768" s="16"/>
      <c r="H768" s="16"/>
      <c r="I768" s="16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1:20" ht="13.2" x14ac:dyDescent="0.25">
      <c r="A769" s="39"/>
      <c r="B769" s="37"/>
      <c r="D769" s="19"/>
      <c r="E769" s="19"/>
      <c r="G769" s="16"/>
      <c r="H769" s="16"/>
      <c r="I769" s="16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1:20" ht="13.2" x14ac:dyDescent="0.25">
      <c r="A770" s="39"/>
      <c r="B770" s="37"/>
      <c r="D770" s="19"/>
      <c r="E770" s="19"/>
      <c r="G770" s="16"/>
      <c r="H770" s="16"/>
      <c r="I770" s="16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1:20" ht="13.2" x14ac:dyDescent="0.25">
      <c r="A771" s="39"/>
      <c r="B771" s="37"/>
      <c r="D771" s="19"/>
      <c r="E771" s="19"/>
      <c r="G771" s="16"/>
      <c r="H771" s="16"/>
      <c r="I771" s="16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1:20" ht="13.2" x14ac:dyDescent="0.25">
      <c r="A772" s="39"/>
      <c r="B772" s="37"/>
      <c r="D772" s="19"/>
      <c r="E772" s="19"/>
      <c r="G772" s="16"/>
      <c r="H772" s="16"/>
      <c r="I772" s="16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1:20" ht="13.2" x14ac:dyDescent="0.25">
      <c r="A773" s="39"/>
      <c r="B773" s="37"/>
      <c r="D773" s="19"/>
      <c r="E773" s="19"/>
      <c r="G773" s="16"/>
      <c r="H773" s="16"/>
      <c r="I773" s="16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1:20" ht="13.2" x14ac:dyDescent="0.25">
      <c r="A774" s="39"/>
      <c r="B774" s="37"/>
      <c r="D774" s="19"/>
      <c r="E774" s="19"/>
      <c r="G774" s="16"/>
      <c r="H774" s="16"/>
      <c r="I774" s="16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1:20" ht="13.2" x14ac:dyDescent="0.25">
      <c r="A775" s="39"/>
      <c r="B775" s="37"/>
      <c r="D775" s="19"/>
      <c r="E775" s="19"/>
      <c r="G775" s="16"/>
      <c r="H775" s="16"/>
      <c r="I775" s="16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1:20" ht="13.2" x14ac:dyDescent="0.25">
      <c r="A776" s="39"/>
      <c r="B776" s="37"/>
      <c r="D776" s="19"/>
      <c r="E776" s="19"/>
      <c r="G776" s="16"/>
      <c r="H776" s="16"/>
      <c r="I776" s="16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1:20" ht="13.2" x14ac:dyDescent="0.25">
      <c r="A777" s="39"/>
      <c r="B777" s="37"/>
      <c r="D777" s="19"/>
      <c r="E777" s="19"/>
      <c r="G777" s="16"/>
      <c r="H777" s="16"/>
      <c r="I777" s="16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1:20" ht="13.2" x14ac:dyDescent="0.25">
      <c r="A778" s="39"/>
      <c r="B778" s="37"/>
      <c r="D778" s="19"/>
      <c r="E778" s="19"/>
      <c r="G778" s="16"/>
      <c r="H778" s="16"/>
      <c r="I778" s="16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1:20" ht="13.2" x14ac:dyDescent="0.25">
      <c r="A779" s="39"/>
      <c r="B779" s="37"/>
      <c r="D779" s="19"/>
      <c r="E779" s="19"/>
      <c r="G779" s="16"/>
      <c r="H779" s="16"/>
      <c r="I779" s="16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1:20" ht="13.2" x14ac:dyDescent="0.25">
      <c r="A780" s="39"/>
      <c r="B780" s="37"/>
      <c r="D780" s="19"/>
      <c r="E780" s="19"/>
      <c r="G780" s="16"/>
      <c r="H780" s="16"/>
      <c r="I780" s="16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1:20" ht="13.2" x14ac:dyDescent="0.25">
      <c r="A781" s="39"/>
      <c r="B781" s="37"/>
      <c r="D781" s="19"/>
      <c r="E781" s="19"/>
      <c r="G781" s="16"/>
      <c r="H781" s="16"/>
      <c r="I781" s="16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1:20" ht="13.2" x14ac:dyDescent="0.25">
      <c r="A782" s="39"/>
      <c r="B782" s="37"/>
      <c r="D782" s="19"/>
      <c r="E782" s="19"/>
      <c r="G782" s="16"/>
      <c r="H782" s="16"/>
      <c r="I782" s="16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1:20" ht="13.2" x14ac:dyDescent="0.25">
      <c r="A783" s="39"/>
      <c r="B783" s="37"/>
      <c r="D783" s="19"/>
      <c r="E783" s="19"/>
      <c r="G783" s="16"/>
      <c r="H783" s="16"/>
      <c r="I783" s="16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1:20" ht="13.2" x14ac:dyDescent="0.25">
      <c r="A784" s="39"/>
      <c r="B784" s="37"/>
      <c r="D784" s="19"/>
      <c r="E784" s="19"/>
      <c r="G784" s="16"/>
      <c r="H784" s="16"/>
      <c r="I784" s="16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1:20" ht="13.2" x14ac:dyDescent="0.25">
      <c r="A785" s="39"/>
      <c r="B785" s="37"/>
      <c r="D785" s="19"/>
      <c r="E785" s="19"/>
      <c r="G785" s="16"/>
      <c r="H785" s="16"/>
      <c r="I785" s="16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1:20" ht="13.2" x14ac:dyDescent="0.25">
      <c r="A786" s="39"/>
      <c r="B786" s="37"/>
      <c r="D786" s="19"/>
      <c r="E786" s="19"/>
      <c r="G786" s="16"/>
      <c r="H786" s="16"/>
      <c r="I786" s="16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1:20" ht="13.2" x14ac:dyDescent="0.25">
      <c r="A787" s="39"/>
      <c r="B787" s="37"/>
      <c r="D787" s="19"/>
      <c r="E787" s="19"/>
      <c r="G787" s="16"/>
      <c r="H787" s="16"/>
      <c r="I787" s="16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1:20" ht="13.2" x14ac:dyDescent="0.25">
      <c r="A788" s="39"/>
      <c r="B788" s="37"/>
      <c r="D788" s="19"/>
      <c r="E788" s="19"/>
      <c r="G788" s="16"/>
      <c r="H788" s="16"/>
      <c r="I788" s="16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1:20" ht="13.2" x14ac:dyDescent="0.25">
      <c r="A789" s="39"/>
      <c r="B789" s="37"/>
      <c r="D789" s="19"/>
      <c r="E789" s="19"/>
      <c r="G789" s="16"/>
      <c r="H789" s="16"/>
      <c r="I789" s="16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1:20" ht="13.2" x14ac:dyDescent="0.25">
      <c r="A790" s="39"/>
      <c r="B790" s="37"/>
      <c r="D790" s="19"/>
      <c r="E790" s="19"/>
      <c r="G790" s="16"/>
      <c r="H790" s="16"/>
      <c r="I790" s="16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1:20" ht="13.2" x14ac:dyDescent="0.25">
      <c r="A791" s="39"/>
      <c r="B791" s="37"/>
      <c r="D791" s="19"/>
      <c r="E791" s="19"/>
      <c r="G791" s="16"/>
      <c r="H791" s="16"/>
      <c r="I791" s="16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1:20" ht="13.2" x14ac:dyDescent="0.25">
      <c r="A792" s="39"/>
      <c r="B792" s="37"/>
      <c r="D792" s="19"/>
      <c r="E792" s="19"/>
      <c r="G792" s="16"/>
      <c r="H792" s="16"/>
      <c r="I792" s="16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1:20" ht="13.2" x14ac:dyDescent="0.25">
      <c r="A793" s="39"/>
      <c r="B793" s="37"/>
      <c r="D793" s="19"/>
      <c r="E793" s="19"/>
      <c r="G793" s="16"/>
      <c r="H793" s="16"/>
      <c r="I793" s="16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1:20" ht="13.2" x14ac:dyDescent="0.25">
      <c r="A794" s="39"/>
      <c r="B794" s="37"/>
      <c r="D794" s="19"/>
      <c r="E794" s="19"/>
      <c r="G794" s="16"/>
      <c r="H794" s="16"/>
      <c r="I794" s="16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1:20" ht="13.2" x14ac:dyDescent="0.25">
      <c r="A795" s="39"/>
      <c r="B795" s="37"/>
      <c r="D795" s="19"/>
      <c r="E795" s="19"/>
      <c r="G795" s="16"/>
      <c r="H795" s="16"/>
      <c r="I795" s="16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1:20" ht="13.2" x14ac:dyDescent="0.25">
      <c r="A796" s="39"/>
      <c r="B796" s="37"/>
      <c r="D796" s="19"/>
      <c r="E796" s="19"/>
      <c r="G796" s="16"/>
      <c r="H796" s="16"/>
      <c r="I796" s="16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1:20" ht="13.2" x14ac:dyDescent="0.25">
      <c r="A797" s="39"/>
      <c r="B797" s="37"/>
      <c r="D797" s="19"/>
      <c r="E797" s="19"/>
      <c r="G797" s="16"/>
      <c r="H797" s="16"/>
      <c r="I797" s="16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1:20" ht="13.2" x14ac:dyDescent="0.25">
      <c r="A798" s="39"/>
      <c r="B798" s="37"/>
      <c r="D798" s="19"/>
      <c r="E798" s="19"/>
      <c r="G798" s="16"/>
      <c r="H798" s="16"/>
      <c r="I798" s="16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1:20" ht="13.2" x14ac:dyDescent="0.25">
      <c r="A799" s="39"/>
      <c r="B799" s="37"/>
      <c r="D799" s="19"/>
      <c r="E799" s="19"/>
      <c r="G799" s="16"/>
      <c r="H799" s="16"/>
      <c r="I799" s="16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1:20" ht="13.2" x14ac:dyDescent="0.25">
      <c r="A800" s="39"/>
      <c r="B800" s="37"/>
      <c r="D800" s="19"/>
      <c r="E800" s="19"/>
      <c r="G800" s="16"/>
      <c r="H800" s="16"/>
      <c r="I800" s="16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1:20" ht="13.2" x14ac:dyDescent="0.25">
      <c r="A801" s="39"/>
      <c r="B801" s="37"/>
      <c r="D801" s="19"/>
      <c r="E801" s="19"/>
      <c r="G801" s="16"/>
      <c r="H801" s="16"/>
      <c r="I801" s="16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1:20" ht="13.2" x14ac:dyDescent="0.25">
      <c r="A802" s="39"/>
      <c r="B802" s="37"/>
      <c r="D802" s="19"/>
      <c r="E802" s="19"/>
      <c r="G802" s="16"/>
      <c r="H802" s="16"/>
      <c r="I802" s="16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1:20" ht="13.2" x14ac:dyDescent="0.25">
      <c r="A803" s="39"/>
      <c r="B803" s="37"/>
      <c r="D803" s="19"/>
      <c r="E803" s="19"/>
      <c r="G803" s="16"/>
      <c r="H803" s="16"/>
      <c r="I803" s="16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1:20" ht="13.2" x14ac:dyDescent="0.25">
      <c r="A804" s="39"/>
      <c r="B804" s="37"/>
      <c r="D804" s="19"/>
      <c r="E804" s="19"/>
      <c r="G804" s="16"/>
      <c r="H804" s="16"/>
      <c r="I804" s="16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1:20" ht="13.2" x14ac:dyDescent="0.25">
      <c r="A805" s="39"/>
      <c r="B805" s="37"/>
      <c r="D805" s="19"/>
      <c r="E805" s="19"/>
      <c r="G805" s="16"/>
      <c r="H805" s="16"/>
      <c r="I805" s="16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1:20" ht="13.2" x14ac:dyDescent="0.25">
      <c r="A806" s="39"/>
      <c r="B806" s="37"/>
      <c r="D806" s="19"/>
      <c r="E806" s="19"/>
      <c r="G806" s="16"/>
      <c r="H806" s="16"/>
      <c r="I806" s="16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1:20" ht="13.2" x14ac:dyDescent="0.25">
      <c r="A807" s="39"/>
      <c r="B807" s="37"/>
      <c r="D807" s="19"/>
      <c r="E807" s="19"/>
      <c r="G807" s="16"/>
      <c r="H807" s="16"/>
      <c r="I807" s="16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1:20" ht="13.2" x14ac:dyDescent="0.25">
      <c r="A808" s="39"/>
      <c r="B808" s="37"/>
      <c r="D808" s="19"/>
      <c r="E808" s="19"/>
      <c r="G808" s="16"/>
      <c r="H808" s="16"/>
      <c r="I808" s="16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1:20" ht="13.2" x14ac:dyDescent="0.25">
      <c r="A809" s="39"/>
      <c r="B809" s="37"/>
      <c r="D809" s="19"/>
      <c r="E809" s="19"/>
      <c r="G809" s="16"/>
      <c r="H809" s="16"/>
      <c r="I809" s="16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1:20" ht="13.2" x14ac:dyDescent="0.25">
      <c r="A810" s="39"/>
      <c r="B810" s="37"/>
      <c r="D810" s="19"/>
      <c r="E810" s="19"/>
      <c r="G810" s="16"/>
      <c r="H810" s="16"/>
      <c r="I810" s="16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1:20" ht="13.2" x14ac:dyDescent="0.25">
      <c r="A811" s="39"/>
      <c r="B811" s="37"/>
      <c r="D811" s="19"/>
      <c r="E811" s="19"/>
      <c r="G811" s="16"/>
      <c r="H811" s="16"/>
      <c r="I811" s="16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1:20" ht="13.2" x14ac:dyDescent="0.25">
      <c r="A812" s="39"/>
      <c r="B812" s="37"/>
      <c r="D812" s="19"/>
      <c r="E812" s="19"/>
      <c r="G812" s="16"/>
      <c r="H812" s="16"/>
      <c r="I812" s="16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1:20" ht="13.2" x14ac:dyDescent="0.25">
      <c r="A813" s="39"/>
      <c r="B813" s="37"/>
      <c r="D813" s="19"/>
      <c r="E813" s="19"/>
      <c r="G813" s="16"/>
      <c r="H813" s="16"/>
      <c r="I813" s="16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1:20" ht="13.2" x14ac:dyDescent="0.25">
      <c r="A814" s="39"/>
      <c r="B814" s="37"/>
      <c r="D814" s="19"/>
      <c r="E814" s="19"/>
      <c r="G814" s="16"/>
      <c r="H814" s="16"/>
      <c r="I814" s="16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1:20" ht="13.2" x14ac:dyDescent="0.25">
      <c r="A815" s="39"/>
      <c r="B815" s="37"/>
      <c r="D815" s="19"/>
      <c r="E815" s="19"/>
      <c r="G815" s="16"/>
      <c r="H815" s="16"/>
      <c r="I815" s="16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1:20" ht="13.2" x14ac:dyDescent="0.25">
      <c r="A816" s="39"/>
      <c r="B816" s="37"/>
      <c r="D816" s="19"/>
      <c r="E816" s="19"/>
      <c r="G816" s="16"/>
      <c r="H816" s="16"/>
      <c r="I816" s="16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1:20" ht="13.2" x14ac:dyDescent="0.25">
      <c r="A817" s="39"/>
      <c r="B817" s="37"/>
      <c r="D817" s="19"/>
      <c r="E817" s="19"/>
      <c r="G817" s="16"/>
      <c r="H817" s="16"/>
      <c r="I817" s="16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1:20" ht="13.2" x14ac:dyDescent="0.25">
      <c r="A818" s="39"/>
      <c r="B818" s="37"/>
      <c r="D818" s="19"/>
      <c r="E818" s="19"/>
      <c r="G818" s="16"/>
      <c r="H818" s="16"/>
      <c r="I818" s="16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1:20" ht="13.2" x14ac:dyDescent="0.25">
      <c r="A819" s="39"/>
      <c r="B819" s="37"/>
      <c r="D819" s="19"/>
      <c r="E819" s="19"/>
      <c r="G819" s="16"/>
      <c r="H819" s="16"/>
      <c r="I819" s="16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1:20" ht="13.2" x14ac:dyDescent="0.25">
      <c r="A820" s="39"/>
      <c r="B820" s="37"/>
      <c r="D820" s="19"/>
      <c r="E820" s="19"/>
      <c r="G820" s="16"/>
      <c r="H820" s="16"/>
      <c r="I820" s="16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1:20" ht="13.2" x14ac:dyDescent="0.25">
      <c r="A821" s="39"/>
      <c r="B821" s="37"/>
      <c r="D821" s="19"/>
      <c r="E821" s="19"/>
      <c r="G821" s="16"/>
      <c r="H821" s="16"/>
      <c r="I821" s="16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1:20" ht="13.2" x14ac:dyDescent="0.25">
      <c r="A822" s="39"/>
      <c r="B822" s="37"/>
      <c r="D822" s="19"/>
      <c r="E822" s="19"/>
      <c r="G822" s="16"/>
      <c r="H822" s="16"/>
      <c r="I822" s="16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1:20" ht="13.2" x14ac:dyDescent="0.25">
      <c r="A823" s="39"/>
      <c r="B823" s="37"/>
      <c r="D823" s="19"/>
      <c r="E823" s="19"/>
      <c r="G823" s="16"/>
      <c r="H823" s="16"/>
      <c r="I823" s="16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1:20" ht="13.2" x14ac:dyDescent="0.25">
      <c r="A824" s="39"/>
      <c r="B824" s="37"/>
      <c r="D824" s="19"/>
      <c r="E824" s="19"/>
      <c r="G824" s="16"/>
      <c r="H824" s="16"/>
      <c r="I824" s="16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1:20" ht="13.2" x14ac:dyDescent="0.25">
      <c r="A825" s="39"/>
      <c r="B825" s="37"/>
      <c r="D825" s="19"/>
      <c r="E825" s="19"/>
      <c r="G825" s="16"/>
      <c r="H825" s="16"/>
      <c r="I825" s="16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1:20" ht="13.2" x14ac:dyDescent="0.25">
      <c r="A826" s="39"/>
      <c r="B826" s="37"/>
      <c r="D826" s="19"/>
      <c r="E826" s="19"/>
      <c r="G826" s="16"/>
      <c r="H826" s="16"/>
      <c r="I826" s="16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1:20" ht="13.2" x14ac:dyDescent="0.25">
      <c r="A827" s="39"/>
      <c r="B827" s="37"/>
      <c r="D827" s="19"/>
      <c r="E827" s="19"/>
      <c r="G827" s="16"/>
      <c r="H827" s="16"/>
      <c r="I827" s="16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1:20" ht="13.2" x14ac:dyDescent="0.25">
      <c r="A828" s="39"/>
      <c r="B828" s="37"/>
      <c r="D828" s="19"/>
      <c r="E828" s="19"/>
      <c r="G828" s="16"/>
      <c r="H828" s="16"/>
      <c r="I828" s="16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1:20" ht="13.2" x14ac:dyDescent="0.25">
      <c r="A829" s="39"/>
      <c r="B829" s="37"/>
      <c r="D829" s="19"/>
      <c r="E829" s="19"/>
      <c r="G829" s="16"/>
      <c r="H829" s="16"/>
      <c r="I829" s="16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1:20" ht="13.2" x14ac:dyDescent="0.25">
      <c r="A830" s="39"/>
      <c r="B830" s="37"/>
      <c r="D830" s="19"/>
      <c r="E830" s="19"/>
      <c r="G830" s="16"/>
      <c r="H830" s="16"/>
      <c r="I830" s="16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1:20" ht="13.2" x14ac:dyDescent="0.25">
      <c r="A831" s="39"/>
      <c r="B831" s="37"/>
      <c r="D831" s="19"/>
      <c r="E831" s="19"/>
      <c r="G831" s="16"/>
      <c r="H831" s="16"/>
      <c r="I831" s="16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1:20" ht="13.2" x14ac:dyDescent="0.25">
      <c r="A832" s="39"/>
      <c r="B832" s="37"/>
      <c r="D832" s="19"/>
      <c r="E832" s="19"/>
      <c r="G832" s="16"/>
      <c r="H832" s="16"/>
      <c r="I832" s="16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1:20" ht="13.2" x14ac:dyDescent="0.25">
      <c r="A833" s="39"/>
      <c r="B833" s="37"/>
      <c r="D833" s="19"/>
      <c r="E833" s="19"/>
      <c r="G833" s="16"/>
      <c r="H833" s="16"/>
      <c r="I833" s="16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1:20" ht="13.2" x14ac:dyDescent="0.25">
      <c r="A834" s="39"/>
      <c r="B834" s="37"/>
      <c r="D834" s="19"/>
      <c r="E834" s="19"/>
      <c r="G834" s="16"/>
      <c r="H834" s="16"/>
      <c r="I834" s="16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1:20" ht="13.2" x14ac:dyDescent="0.25">
      <c r="A835" s="39"/>
      <c r="B835" s="37"/>
      <c r="D835" s="19"/>
      <c r="E835" s="19"/>
      <c r="G835" s="16"/>
      <c r="H835" s="16"/>
      <c r="I835" s="16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1:20" ht="13.2" x14ac:dyDescent="0.25">
      <c r="A836" s="39"/>
      <c r="B836" s="37"/>
      <c r="D836" s="19"/>
      <c r="E836" s="19"/>
      <c r="G836" s="16"/>
      <c r="H836" s="16"/>
      <c r="I836" s="16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1:20" ht="13.2" x14ac:dyDescent="0.25">
      <c r="A837" s="39"/>
      <c r="B837" s="37"/>
      <c r="D837" s="19"/>
      <c r="E837" s="19"/>
      <c r="G837" s="16"/>
      <c r="H837" s="16"/>
      <c r="I837" s="16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1:20" ht="13.2" x14ac:dyDescent="0.25">
      <c r="A838" s="39"/>
      <c r="B838" s="37"/>
      <c r="D838" s="19"/>
      <c r="E838" s="19"/>
      <c r="G838" s="16"/>
      <c r="H838" s="16"/>
      <c r="I838" s="16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1:20" ht="13.2" x14ac:dyDescent="0.25">
      <c r="A839" s="39"/>
      <c r="B839" s="37"/>
      <c r="D839" s="19"/>
      <c r="E839" s="19"/>
      <c r="G839" s="16"/>
      <c r="H839" s="16"/>
      <c r="I839" s="16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1:20" ht="13.2" x14ac:dyDescent="0.25">
      <c r="A840" s="39"/>
      <c r="B840" s="37"/>
      <c r="D840" s="19"/>
      <c r="E840" s="19"/>
      <c r="G840" s="16"/>
      <c r="H840" s="16"/>
      <c r="I840" s="16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1:20" ht="13.2" x14ac:dyDescent="0.25">
      <c r="A841" s="39"/>
      <c r="B841" s="37"/>
      <c r="D841" s="19"/>
      <c r="E841" s="19"/>
      <c r="G841" s="16"/>
      <c r="H841" s="16"/>
      <c r="I841" s="16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1:20" ht="13.2" x14ac:dyDescent="0.25">
      <c r="A842" s="39"/>
      <c r="B842" s="37"/>
      <c r="D842" s="19"/>
      <c r="E842" s="19"/>
      <c r="G842" s="16"/>
      <c r="H842" s="16"/>
      <c r="I842" s="16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1:20" ht="13.2" x14ac:dyDescent="0.25">
      <c r="A843" s="39"/>
      <c r="B843" s="37"/>
      <c r="D843" s="19"/>
      <c r="E843" s="19"/>
      <c r="G843" s="16"/>
      <c r="H843" s="16"/>
      <c r="I843" s="16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1:20" ht="13.2" x14ac:dyDescent="0.25">
      <c r="A844" s="39"/>
      <c r="B844" s="37"/>
      <c r="D844" s="19"/>
      <c r="E844" s="19"/>
      <c r="G844" s="16"/>
      <c r="H844" s="16"/>
      <c r="I844" s="16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1:20" ht="13.2" x14ac:dyDescent="0.25">
      <c r="A845" s="39"/>
      <c r="B845" s="37"/>
      <c r="D845" s="19"/>
      <c r="E845" s="19"/>
      <c r="G845" s="16"/>
      <c r="H845" s="16"/>
      <c r="I845" s="16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1:20" ht="13.2" x14ac:dyDescent="0.25">
      <c r="A846" s="39"/>
      <c r="B846" s="37"/>
      <c r="D846" s="19"/>
      <c r="E846" s="19"/>
      <c r="G846" s="16"/>
      <c r="H846" s="16"/>
      <c r="I846" s="16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1:20" ht="13.2" x14ac:dyDescent="0.25">
      <c r="A847" s="39"/>
      <c r="B847" s="37"/>
      <c r="D847" s="19"/>
      <c r="E847" s="19"/>
      <c r="G847" s="16"/>
      <c r="H847" s="16"/>
      <c r="I847" s="16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1:20" ht="13.2" x14ac:dyDescent="0.25">
      <c r="A848" s="39"/>
      <c r="B848" s="37"/>
      <c r="D848" s="19"/>
      <c r="E848" s="19"/>
      <c r="G848" s="16"/>
      <c r="H848" s="16"/>
      <c r="I848" s="16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1:20" ht="13.2" x14ac:dyDescent="0.25">
      <c r="A849" s="39"/>
      <c r="B849" s="37"/>
      <c r="D849" s="19"/>
      <c r="E849" s="19"/>
      <c r="G849" s="16"/>
      <c r="H849" s="16"/>
      <c r="I849" s="16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1:20" ht="13.2" x14ac:dyDescent="0.25">
      <c r="A850" s="39"/>
      <c r="B850" s="37"/>
      <c r="D850" s="19"/>
      <c r="E850" s="19"/>
      <c r="G850" s="16"/>
      <c r="H850" s="16"/>
      <c r="I850" s="16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1:20" ht="13.2" x14ac:dyDescent="0.25">
      <c r="A851" s="39"/>
      <c r="B851" s="37"/>
      <c r="D851" s="19"/>
      <c r="E851" s="19"/>
      <c r="G851" s="16"/>
      <c r="H851" s="16"/>
      <c r="I851" s="16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1:20" ht="13.2" x14ac:dyDescent="0.25">
      <c r="A852" s="39"/>
      <c r="B852" s="37"/>
      <c r="D852" s="19"/>
      <c r="E852" s="19"/>
      <c r="G852" s="16"/>
      <c r="H852" s="16"/>
      <c r="I852" s="16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1:20" ht="13.2" x14ac:dyDescent="0.25">
      <c r="A853" s="39"/>
      <c r="B853" s="37"/>
      <c r="D853" s="19"/>
      <c r="E853" s="19"/>
      <c r="G853" s="16"/>
      <c r="H853" s="16"/>
      <c r="I853" s="16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1:20" ht="13.2" x14ac:dyDescent="0.25">
      <c r="A854" s="39"/>
      <c r="B854" s="37"/>
      <c r="D854" s="19"/>
      <c r="E854" s="19"/>
      <c r="G854" s="16"/>
      <c r="H854" s="16"/>
      <c r="I854" s="16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1:20" ht="13.2" x14ac:dyDescent="0.25">
      <c r="A855" s="39"/>
      <c r="B855" s="37"/>
      <c r="D855" s="19"/>
      <c r="E855" s="19"/>
      <c r="G855" s="16"/>
      <c r="H855" s="16"/>
      <c r="I855" s="16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1:20" ht="13.2" x14ac:dyDescent="0.25">
      <c r="A856" s="39"/>
      <c r="B856" s="37"/>
      <c r="D856" s="19"/>
      <c r="E856" s="19"/>
      <c r="G856" s="16"/>
      <c r="H856" s="16"/>
      <c r="I856" s="16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1:20" ht="13.2" x14ac:dyDescent="0.25">
      <c r="A857" s="39"/>
      <c r="B857" s="37"/>
      <c r="D857" s="19"/>
      <c r="E857" s="19"/>
      <c r="G857" s="16"/>
      <c r="H857" s="16"/>
      <c r="I857" s="16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1:20" ht="13.2" x14ac:dyDescent="0.25">
      <c r="A858" s="39"/>
      <c r="B858" s="37"/>
      <c r="D858" s="19"/>
      <c r="E858" s="19"/>
      <c r="G858" s="16"/>
      <c r="H858" s="16"/>
      <c r="I858" s="16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1:20" ht="13.2" x14ac:dyDescent="0.25">
      <c r="A859" s="39"/>
      <c r="B859" s="37"/>
      <c r="D859" s="19"/>
      <c r="E859" s="19"/>
      <c r="G859" s="16"/>
      <c r="H859" s="16"/>
      <c r="I859" s="16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1:20" ht="13.2" x14ac:dyDescent="0.25">
      <c r="A860" s="39"/>
      <c r="B860" s="37"/>
      <c r="D860" s="19"/>
      <c r="E860" s="19"/>
      <c r="G860" s="16"/>
      <c r="H860" s="16"/>
      <c r="I860" s="16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1:20" ht="13.2" x14ac:dyDescent="0.25">
      <c r="A861" s="39"/>
      <c r="B861" s="37"/>
      <c r="D861" s="19"/>
      <c r="E861" s="19"/>
      <c r="G861" s="16"/>
      <c r="H861" s="16"/>
      <c r="I861" s="16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1:20" ht="13.2" x14ac:dyDescent="0.25">
      <c r="A862" s="39"/>
      <c r="B862" s="37"/>
      <c r="D862" s="19"/>
      <c r="E862" s="19"/>
      <c r="G862" s="16"/>
      <c r="H862" s="16"/>
      <c r="I862" s="16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1:20" ht="13.2" x14ac:dyDescent="0.25">
      <c r="A863" s="39"/>
      <c r="B863" s="37"/>
      <c r="D863" s="19"/>
      <c r="E863" s="19"/>
      <c r="G863" s="16"/>
      <c r="H863" s="16"/>
      <c r="I863" s="16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1:20" ht="13.2" x14ac:dyDescent="0.25">
      <c r="A864" s="39"/>
      <c r="B864" s="37"/>
      <c r="D864" s="19"/>
      <c r="E864" s="19"/>
      <c r="G864" s="16"/>
      <c r="H864" s="16"/>
      <c r="I864" s="16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1:20" ht="13.2" x14ac:dyDescent="0.25">
      <c r="A865" s="39"/>
      <c r="B865" s="37"/>
      <c r="D865" s="19"/>
      <c r="E865" s="19"/>
      <c r="G865" s="16"/>
      <c r="H865" s="16"/>
      <c r="I865" s="16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1:20" ht="13.2" x14ac:dyDescent="0.25">
      <c r="A866" s="39"/>
      <c r="B866" s="37"/>
      <c r="D866" s="19"/>
      <c r="E866" s="19"/>
      <c r="G866" s="16"/>
      <c r="H866" s="16"/>
      <c r="I866" s="16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1:20" ht="13.2" x14ac:dyDescent="0.25">
      <c r="A867" s="39"/>
      <c r="B867" s="37"/>
      <c r="D867" s="19"/>
      <c r="E867" s="19"/>
      <c r="G867" s="16"/>
      <c r="H867" s="16"/>
      <c r="I867" s="16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1:20" ht="13.2" x14ac:dyDescent="0.25">
      <c r="A868" s="39"/>
      <c r="B868" s="37"/>
      <c r="D868" s="19"/>
      <c r="E868" s="19"/>
      <c r="G868" s="16"/>
      <c r="H868" s="16"/>
      <c r="I868" s="16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1:20" ht="13.2" x14ac:dyDescent="0.25">
      <c r="A869" s="39"/>
      <c r="B869" s="37"/>
      <c r="D869" s="19"/>
      <c r="E869" s="19"/>
      <c r="G869" s="16"/>
      <c r="H869" s="16"/>
      <c r="I869" s="16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1:20" ht="13.2" x14ac:dyDescent="0.25">
      <c r="A870" s="39"/>
      <c r="B870" s="37"/>
      <c r="D870" s="19"/>
      <c r="E870" s="19"/>
      <c r="G870" s="16"/>
      <c r="H870" s="16"/>
      <c r="I870" s="16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1:20" ht="13.2" x14ac:dyDescent="0.25">
      <c r="A871" s="39"/>
      <c r="B871" s="37"/>
      <c r="D871" s="19"/>
      <c r="E871" s="19"/>
      <c r="G871" s="16"/>
      <c r="H871" s="16"/>
      <c r="I871" s="16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1:20" ht="13.2" x14ac:dyDescent="0.25">
      <c r="A872" s="39"/>
      <c r="B872" s="37"/>
      <c r="D872" s="19"/>
      <c r="E872" s="19"/>
      <c r="G872" s="16"/>
      <c r="H872" s="16"/>
      <c r="I872" s="16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1:20" ht="13.2" x14ac:dyDescent="0.25">
      <c r="A873" s="39"/>
      <c r="B873" s="37"/>
      <c r="D873" s="19"/>
      <c r="E873" s="19"/>
      <c r="G873" s="16"/>
      <c r="H873" s="16"/>
      <c r="I873" s="16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1:20" ht="13.2" x14ac:dyDescent="0.25">
      <c r="A874" s="39"/>
      <c r="B874" s="37"/>
      <c r="D874" s="19"/>
      <c r="E874" s="19"/>
      <c r="G874" s="16"/>
      <c r="H874" s="16"/>
      <c r="I874" s="16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1:20" ht="13.2" x14ac:dyDescent="0.25">
      <c r="A875" s="39"/>
      <c r="B875" s="37"/>
      <c r="D875" s="19"/>
      <c r="E875" s="19"/>
      <c r="G875" s="16"/>
      <c r="H875" s="16"/>
      <c r="I875" s="16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1:20" ht="13.2" x14ac:dyDescent="0.25">
      <c r="A876" s="39"/>
      <c r="B876" s="37"/>
      <c r="D876" s="19"/>
      <c r="E876" s="19"/>
      <c r="G876" s="16"/>
      <c r="H876" s="16"/>
      <c r="I876" s="16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1:20" ht="13.2" x14ac:dyDescent="0.25">
      <c r="A877" s="39"/>
      <c r="B877" s="37"/>
      <c r="D877" s="19"/>
      <c r="E877" s="19"/>
      <c r="G877" s="16"/>
      <c r="H877" s="16"/>
      <c r="I877" s="16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1:20" ht="13.2" x14ac:dyDescent="0.25">
      <c r="A878" s="39"/>
      <c r="B878" s="37"/>
      <c r="D878" s="19"/>
      <c r="E878" s="19"/>
      <c r="G878" s="16"/>
      <c r="H878" s="16"/>
      <c r="I878" s="16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1:20" ht="13.2" x14ac:dyDescent="0.25">
      <c r="A879" s="39"/>
      <c r="B879" s="37"/>
      <c r="D879" s="19"/>
      <c r="E879" s="19"/>
      <c r="G879" s="16"/>
      <c r="H879" s="16"/>
      <c r="I879" s="16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1:20" ht="13.2" x14ac:dyDescent="0.25">
      <c r="A880" s="39"/>
      <c r="B880" s="37"/>
      <c r="D880" s="19"/>
      <c r="E880" s="19"/>
      <c r="G880" s="16"/>
      <c r="H880" s="16"/>
      <c r="I880" s="16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1:20" ht="13.2" x14ac:dyDescent="0.25">
      <c r="A881" s="39"/>
      <c r="B881" s="37"/>
      <c r="D881" s="19"/>
      <c r="E881" s="19"/>
      <c r="G881" s="16"/>
      <c r="H881" s="16"/>
      <c r="I881" s="16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1:20" ht="13.2" x14ac:dyDescent="0.25">
      <c r="A882" s="39"/>
      <c r="B882" s="37"/>
      <c r="D882" s="19"/>
      <c r="E882" s="19"/>
      <c r="G882" s="16"/>
      <c r="H882" s="16"/>
      <c r="I882" s="16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1:20" ht="13.2" x14ac:dyDescent="0.25">
      <c r="A883" s="39"/>
      <c r="B883" s="37"/>
      <c r="D883" s="19"/>
      <c r="E883" s="19"/>
      <c r="G883" s="16"/>
      <c r="H883" s="16"/>
      <c r="I883" s="16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1:20" ht="13.2" x14ac:dyDescent="0.25">
      <c r="A884" s="39"/>
      <c r="B884" s="37"/>
      <c r="D884" s="19"/>
      <c r="E884" s="19"/>
      <c r="G884" s="16"/>
      <c r="H884" s="16"/>
      <c r="I884" s="16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1:20" ht="13.2" x14ac:dyDescent="0.25">
      <c r="A885" s="39"/>
      <c r="B885" s="37"/>
      <c r="D885" s="19"/>
      <c r="E885" s="19"/>
      <c r="G885" s="16"/>
      <c r="H885" s="16"/>
      <c r="I885" s="16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1:20" ht="13.2" x14ac:dyDescent="0.25">
      <c r="A886" s="39"/>
      <c r="B886" s="37"/>
      <c r="D886" s="19"/>
      <c r="E886" s="19"/>
      <c r="G886" s="16"/>
      <c r="H886" s="16"/>
      <c r="I886" s="16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1:20" ht="13.2" x14ac:dyDescent="0.25">
      <c r="A887" s="39"/>
      <c r="B887" s="37"/>
      <c r="D887" s="19"/>
      <c r="E887" s="19"/>
      <c r="G887" s="16"/>
      <c r="H887" s="16"/>
      <c r="I887" s="16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1:20" ht="13.2" x14ac:dyDescent="0.25">
      <c r="A888" s="39"/>
      <c r="B888" s="37"/>
      <c r="D888" s="19"/>
      <c r="E888" s="19"/>
      <c r="G888" s="16"/>
      <c r="H888" s="16"/>
      <c r="I888" s="16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1:20" ht="13.2" x14ac:dyDescent="0.25">
      <c r="A889" s="39"/>
      <c r="B889" s="37"/>
      <c r="D889" s="19"/>
      <c r="E889" s="19"/>
      <c r="G889" s="16"/>
      <c r="H889" s="16"/>
      <c r="I889" s="16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1:20" ht="13.2" x14ac:dyDescent="0.25">
      <c r="A890" s="39"/>
      <c r="B890" s="37"/>
      <c r="D890" s="19"/>
      <c r="E890" s="19"/>
      <c r="G890" s="16"/>
      <c r="H890" s="16"/>
      <c r="I890" s="16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1:20" ht="13.2" x14ac:dyDescent="0.25">
      <c r="A891" s="39"/>
      <c r="B891" s="37"/>
      <c r="D891" s="19"/>
      <c r="E891" s="19"/>
      <c r="G891" s="16"/>
      <c r="H891" s="16"/>
      <c r="I891" s="16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1:20" ht="13.2" x14ac:dyDescent="0.25">
      <c r="A892" s="39"/>
      <c r="B892" s="37"/>
      <c r="D892" s="19"/>
      <c r="E892" s="19"/>
      <c r="G892" s="16"/>
      <c r="H892" s="16"/>
      <c r="I892" s="16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1:20" ht="13.2" x14ac:dyDescent="0.25">
      <c r="A893" s="39"/>
      <c r="B893" s="37"/>
      <c r="D893" s="19"/>
      <c r="E893" s="19"/>
      <c r="G893" s="16"/>
      <c r="H893" s="16"/>
      <c r="I893" s="16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1:20" ht="13.2" x14ac:dyDescent="0.25">
      <c r="A894" s="39"/>
      <c r="B894" s="37"/>
      <c r="D894" s="19"/>
      <c r="E894" s="19"/>
      <c r="G894" s="16"/>
      <c r="H894" s="16"/>
      <c r="I894" s="16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1:20" ht="13.2" x14ac:dyDescent="0.25">
      <c r="A895" s="39"/>
      <c r="B895" s="37"/>
      <c r="D895" s="19"/>
      <c r="E895" s="19"/>
      <c r="G895" s="16"/>
      <c r="H895" s="16"/>
      <c r="I895" s="16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1:20" ht="13.2" x14ac:dyDescent="0.25">
      <c r="A896" s="39"/>
      <c r="B896" s="37"/>
      <c r="D896" s="19"/>
      <c r="E896" s="19"/>
      <c r="G896" s="16"/>
      <c r="H896" s="16"/>
      <c r="I896" s="16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1:20" ht="13.2" x14ac:dyDescent="0.25">
      <c r="A897" s="39"/>
      <c r="B897" s="37"/>
      <c r="D897" s="19"/>
      <c r="E897" s="19"/>
      <c r="G897" s="16"/>
      <c r="H897" s="16"/>
      <c r="I897" s="16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1:20" ht="13.2" x14ac:dyDescent="0.25">
      <c r="A898" s="39"/>
      <c r="B898" s="37"/>
      <c r="D898" s="19"/>
      <c r="E898" s="19"/>
      <c r="G898" s="16"/>
      <c r="H898" s="16"/>
      <c r="I898" s="16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1:20" ht="13.2" x14ac:dyDescent="0.25">
      <c r="A899" s="39"/>
      <c r="B899" s="37"/>
      <c r="D899" s="19"/>
      <c r="E899" s="19"/>
      <c r="G899" s="16"/>
      <c r="H899" s="16"/>
      <c r="I899" s="16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1:20" ht="13.2" x14ac:dyDescent="0.25">
      <c r="A900" s="39"/>
      <c r="B900" s="37"/>
      <c r="D900" s="19"/>
      <c r="E900" s="19"/>
      <c r="G900" s="16"/>
      <c r="H900" s="16"/>
      <c r="I900" s="16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1:20" ht="13.2" x14ac:dyDescent="0.25">
      <c r="A901" s="39"/>
      <c r="B901" s="37"/>
      <c r="D901" s="19"/>
      <c r="E901" s="19"/>
      <c r="G901" s="16"/>
      <c r="H901" s="16"/>
      <c r="I901" s="16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1:20" ht="13.2" x14ac:dyDescent="0.25">
      <c r="A902" s="39"/>
      <c r="B902" s="37"/>
      <c r="D902" s="19"/>
      <c r="E902" s="19"/>
      <c r="G902" s="16"/>
      <c r="H902" s="16"/>
      <c r="I902" s="16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1:20" ht="13.2" x14ac:dyDescent="0.25">
      <c r="A903" s="39"/>
      <c r="B903" s="37"/>
      <c r="D903" s="19"/>
      <c r="E903" s="19"/>
      <c r="G903" s="16"/>
      <c r="H903" s="16"/>
      <c r="I903" s="16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1:20" ht="13.2" x14ac:dyDescent="0.25">
      <c r="A904" s="39"/>
      <c r="B904" s="37"/>
      <c r="D904" s="19"/>
      <c r="E904" s="19"/>
      <c r="G904" s="16"/>
      <c r="H904" s="16"/>
      <c r="I904" s="16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1:20" ht="13.2" x14ac:dyDescent="0.25">
      <c r="A905" s="39"/>
      <c r="B905" s="37"/>
      <c r="D905" s="19"/>
      <c r="E905" s="19"/>
      <c r="G905" s="16"/>
      <c r="H905" s="16"/>
      <c r="I905" s="16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1:20" ht="13.2" x14ac:dyDescent="0.25">
      <c r="A906" s="39"/>
      <c r="B906" s="37"/>
      <c r="D906" s="19"/>
      <c r="E906" s="19"/>
      <c r="G906" s="16"/>
      <c r="H906" s="16"/>
      <c r="I906" s="16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1:20" ht="13.2" x14ac:dyDescent="0.25">
      <c r="A907" s="39"/>
      <c r="B907" s="37"/>
      <c r="D907" s="19"/>
      <c r="E907" s="19"/>
      <c r="G907" s="16"/>
      <c r="H907" s="16"/>
      <c r="I907" s="16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1:20" ht="13.2" x14ac:dyDescent="0.25">
      <c r="A908" s="39"/>
      <c r="B908" s="37"/>
      <c r="D908" s="19"/>
      <c r="E908" s="19"/>
      <c r="G908" s="16"/>
      <c r="H908" s="16"/>
      <c r="I908" s="16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1:20" ht="13.2" x14ac:dyDescent="0.25">
      <c r="A909" s="39"/>
      <c r="B909" s="37"/>
      <c r="D909" s="19"/>
      <c r="E909" s="19"/>
      <c r="G909" s="16"/>
      <c r="H909" s="16"/>
      <c r="I909" s="16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1:20" ht="13.2" x14ac:dyDescent="0.25">
      <c r="A910" s="39"/>
      <c r="B910" s="37"/>
      <c r="D910" s="19"/>
      <c r="E910" s="19"/>
      <c r="G910" s="16"/>
      <c r="H910" s="16"/>
      <c r="I910" s="16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1:20" ht="13.2" x14ac:dyDescent="0.25">
      <c r="A911" s="39"/>
      <c r="B911" s="37"/>
      <c r="D911" s="19"/>
      <c r="E911" s="19"/>
      <c r="G911" s="16"/>
      <c r="H911" s="16"/>
      <c r="I911" s="16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1:20" ht="13.2" x14ac:dyDescent="0.25">
      <c r="A912" s="39"/>
      <c r="B912" s="37"/>
      <c r="D912" s="19"/>
      <c r="E912" s="19"/>
      <c r="G912" s="16"/>
      <c r="H912" s="16"/>
      <c r="I912" s="16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1:20" ht="13.2" x14ac:dyDescent="0.25">
      <c r="A913" s="39"/>
      <c r="B913" s="37"/>
      <c r="D913" s="19"/>
      <c r="E913" s="19"/>
      <c r="G913" s="16"/>
      <c r="H913" s="16"/>
      <c r="I913" s="16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1:20" ht="13.2" x14ac:dyDescent="0.25">
      <c r="A914" s="39"/>
      <c r="B914" s="37"/>
      <c r="D914" s="19"/>
      <c r="E914" s="19"/>
      <c r="G914" s="16"/>
      <c r="H914" s="16"/>
      <c r="I914" s="16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1:20" ht="13.2" x14ac:dyDescent="0.25">
      <c r="A915" s="39"/>
      <c r="B915" s="37"/>
      <c r="D915" s="19"/>
      <c r="E915" s="19"/>
      <c r="G915" s="16"/>
      <c r="H915" s="16"/>
      <c r="I915" s="16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1:20" ht="13.2" x14ac:dyDescent="0.25">
      <c r="A916" s="39"/>
      <c r="B916" s="37"/>
      <c r="D916" s="19"/>
      <c r="E916" s="19"/>
      <c r="G916" s="16"/>
      <c r="H916" s="16"/>
      <c r="I916" s="16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1:20" ht="13.2" x14ac:dyDescent="0.25">
      <c r="A917" s="39"/>
      <c r="B917" s="37"/>
      <c r="D917" s="19"/>
      <c r="E917" s="19"/>
      <c r="G917" s="16"/>
      <c r="H917" s="16"/>
      <c r="I917" s="16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1:20" ht="13.2" x14ac:dyDescent="0.25">
      <c r="A918" s="39"/>
      <c r="B918" s="37"/>
      <c r="D918" s="19"/>
      <c r="E918" s="19"/>
      <c r="G918" s="16"/>
      <c r="H918" s="16"/>
      <c r="I918" s="16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1:20" ht="13.2" x14ac:dyDescent="0.25">
      <c r="A919" s="39"/>
      <c r="B919" s="37"/>
      <c r="D919" s="19"/>
      <c r="E919" s="19"/>
      <c r="G919" s="16"/>
      <c r="H919" s="16"/>
      <c r="I919" s="16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1:20" ht="13.2" x14ac:dyDescent="0.25">
      <c r="A920" s="39"/>
      <c r="B920" s="37"/>
      <c r="D920" s="19"/>
      <c r="E920" s="19"/>
      <c r="G920" s="16"/>
      <c r="H920" s="16"/>
      <c r="I920" s="16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1:20" ht="13.2" x14ac:dyDescent="0.25">
      <c r="A921" s="39"/>
      <c r="B921" s="37"/>
      <c r="D921" s="19"/>
      <c r="E921" s="19"/>
      <c r="G921" s="16"/>
      <c r="H921" s="16"/>
      <c r="I921" s="16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1:20" ht="13.2" x14ac:dyDescent="0.25">
      <c r="A922" s="39"/>
      <c r="B922" s="37"/>
      <c r="D922" s="19"/>
      <c r="E922" s="19"/>
      <c r="G922" s="16"/>
      <c r="H922" s="16"/>
      <c r="I922" s="16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1:20" ht="13.2" x14ac:dyDescent="0.25">
      <c r="A923" s="39"/>
      <c r="B923" s="37"/>
      <c r="D923" s="19"/>
      <c r="E923" s="19"/>
      <c r="G923" s="16"/>
      <c r="H923" s="16"/>
      <c r="I923" s="16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1:20" ht="13.2" x14ac:dyDescent="0.25">
      <c r="A924" s="39"/>
      <c r="B924" s="37"/>
      <c r="D924" s="19"/>
      <c r="E924" s="19"/>
      <c r="G924" s="16"/>
      <c r="H924" s="16"/>
      <c r="I924" s="16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1:20" ht="13.2" x14ac:dyDescent="0.25">
      <c r="A925" s="39"/>
      <c r="B925" s="37"/>
      <c r="D925" s="19"/>
      <c r="E925" s="19"/>
      <c r="G925" s="16"/>
      <c r="H925" s="16"/>
      <c r="I925" s="16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1:20" ht="13.2" x14ac:dyDescent="0.25">
      <c r="A926" s="39"/>
      <c r="B926" s="37"/>
      <c r="D926" s="19"/>
      <c r="E926" s="19"/>
      <c r="G926" s="16"/>
      <c r="H926" s="16"/>
      <c r="I926" s="16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1:20" ht="13.2" x14ac:dyDescent="0.25">
      <c r="A927" s="39"/>
      <c r="B927" s="37"/>
      <c r="D927" s="19"/>
      <c r="E927" s="19"/>
      <c r="G927" s="16"/>
      <c r="H927" s="16"/>
      <c r="I927" s="16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1:20" ht="13.2" x14ac:dyDescent="0.25">
      <c r="A928" s="39"/>
      <c r="B928" s="37"/>
      <c r="D928" s="19"/>
      <c r="E928" s="19"/>
      <c r="G928" s="16"/>
      <c r="H928" s="16"/>
      <c r="I928" s="16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1:20" ht="13.2" x14ac:dyDescent="0.25">
      <c r="A929" s="39"/>
      <c r="B929" s="37"/>
      <c r="D929" s="19"/>
      <c r="E929" s="19"/>
      <c r="G929" s="16"/>
      <c r="H929" s="16"/>
      <c r="I929" s="16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1:20" ht="13.2" x14ac:dyDescent="0.25">
      <c r="A930" s="39"/>
      <c r="B930" s="37"/>
      <c r="D930" s="19"/>
      <c r="E930" s="19"/>
      <c r="G930" s="16"/>
      <c r="H930" s="16"/>
      <c r="I930" s="16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1:20" ht="13.2" x14ac:dyDescent="0.25">
      <c r="A931" s="39"/>
      <c r="B931" s="37"/>
      <c r="D931" s="19"/>
      <c r="E931" s="19"/>
      <c r="G931" s="16"/>
      <c r="H931" s="16"/>
      <c r="I931" s="16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1:20" ht="13.2" x14ac:dyDescent="0.25">
      <c r="A932" s="39"/>
      <c r="B932" s="37"/>
      <c r="D932" s="19"/>
      <c r="E932" s="19"/>
      <c r="G932" s="16"/>
      <c r="H932" s="16"/>
      <c r="I932" s="16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1:20" ht="13.2" x14ac:dyDescent="0.25">
      <c r="A933" s="39"/>
      <c r="B933" s="37"/>
      <c r="D933" s="19"/>
      <c r="E933" s="19"/>
      <c r="G933" s="16"/>
      <c r="H933" s="16"/>
      <c r="I933" s="16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1:20" ht="13.2" x14ac:dyDescent="0.25">
      <c r="A934" s="39"/>
      <c r="B934" s="37"/>
      <c r="D934" s="19"/>
      <c r="E934" s="19"/>
      <c r="G934" s="16"/>
      <c r="H934" s="16"/>
      <c r="I934" s="16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1:20" ht="13.2" x14ac:dyDescent="0.25">
      <c r="A935" s="39"/>
      <c r="B935" s="37"/>
      <c r="D935" s="19"/>
      <c r="E935" s="19"/>
      <c r="G935" s="16"/>
      <c r="H935" s="16"/>
      <c r="I935" s="16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1:20" ht="13.2" x14ac:dyDescent="0.25">
      <c r="A936" s="39"/>
      <c r="B936" s="37"/>
      <c r="D936" s="19"/>
      <c r="E936" s="19"/>
      <c r="G936" s="16"/>
      <c r="H936" s="16"/>
      <c r="I936" s="16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1:20" ht="13.2" x14ac:dyDescent="0.25">
      <c r="A937" s="39"/>
      <c r="B937" s="37"/>
      <c r="D937" s="19"/>
      <c r="E937" s="19"/>
      <c r="G937" s="16"/>
      <c r="H937" s="16"/>
      <c r="I937" s="16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1:20" ht="13.2" x14ac:dyDescent="0.25">
      <c r="A938" s="39"/>
      <c r="B938" s="37"/>
      <c r="D938" s="19"/>
      <c r="E938" s="19"/>
      <c r="G938" s="16"/>
      <c r="H938" s="16"/>
      <c r="I938" s="16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1:20" ht="13.2" x14ac:dyDescent="0.25">
      <c r="A939" s="39"/>
      <c r="B939" s="37"/>
      <c r="D939" s="19"/>
      <c r="E939" s="19"/>
      <c r="G939" s="16"/>
      <c r="H939" s="16"/>
      <c r="I939" s="16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1:20" ht="13.2" x14ac:dyDescent="0.25">
      <c r="A940" s="39"/>
      <c r="B940" s="37"/>
      <c r="D940" s="19"/>
      <c r="E940" s="19"/>
      <c r="G940" s="16"/>
      <c r="H940" s="16"/>
      <c r="I940" s="16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1:20" ht="13.2" x14ac:dyDescent="0.25">
      <c r="A941" s="39"/>
      <c r="B941" s="37"/>
      <c r="D941" s="19"/>
      <c r="E941" s="19"/>
      <c r="G941" s="16"/>
      <c r="H941" s="16"/>
      <c r="I941" s="16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1:20" ht="13.2" x14ac:dyDescent="0.25">
      <c r="A942" s="39"/>
      <c r="B942" s="37"/>
      <c r="D942" s="19"/>
      <c r="E942" s="19"/>
      <c r="G942" s="16"/>
      <c r="H942" s="16"/>
      <c r="I942" s="16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1:20" ht="13.2" x14ac:dyDescent="0.25">
      <c r="A943" s="39"/>
      <c r="B943" s="37"/>
      <c r="D943" s="19"/>
      <c r="E943" s="19"/>
      <c r="G943" s="16"/>
      <c r="H943" s="16"/>
      <c r="I943" s="16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1:20" ht="13.2" x14ac:dyDescent="0.25">
      <c r="A944" s="39"/>
      <c r="B944" s="37"/>
      <c r="D944" s="19"/>
      <c r="E944" s="19"/>
      <c r="G944" s="16"/>
      <c r="H944" s="16"/>
      <c r="I944" s="16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1:20" ht="13.2" x14ac:dyDescent="0.25">
      <c r="A945" s="39"/>
      <c r="B945" s="37"/>
      <c r="D945" s="19"/>
      <c r="E945" s="19"/>
      <c r="G945" s="16"/>
      <c r="H945" s="16"/>
      <c r="I945" s="16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1:20" ht="13.2" x14ac:dyDescent="0.25">
      <c r="A946" s="39"/>
      <c r="B946" s="37"/>
      <c r="D946" s="19"/>
      <c r="E946" s="19"/>
      <c r="G946" s="16"/>
      <c r="H946" s="16"/>
      <c r="I946" s="16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1:20" ht="13.2" x14ac:dyDescent="0.25">
      <c r="A947" s="39"/>
      <c r="B947" s="37"/>
      <c r="D947" s="19"/>
      <c r="E947" s="19"/>
      <c r="G947" s="16"/>
      <c r="H947" s="16"/>
      <c r="I947" s="16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1:20" ht="13.2" x14ac:dyDescent="0.25">
      <c r="A948" s="39"/>
      <c r="B948" s="37"/>
      <c r="D948" s="19"/>
      <c r="E948" s="19"/>
      <c r="G948" s="16"/>
      <c r="H948" s="16"/>
      <c r="I948" s="16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1:20" ht="13.2" x14ac:dyDescent="0.25">
      <c r="A949" s="39"/>
      <c r="B949" s="37"/>
      <c r="D949" s="19"/>
      <c r="E949" s="19"/>
      <c r="G949" s="16"/>
      <c r="H949" s="16"/>
      <c r="I949" s="16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1:20" ht="13.2" x14ac:dyDescent="0.25">
      <c r="A950" s="39"/>
      <c r="B950" s="37"/>
      <c r="D950" s="19"/>
      <c r="E950" s="19"/>
      <c r="G950" s="16"/>
      <c r="H950" s="16"/>
      <c r="I950" s="16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1:20" ht="13.2" x14ac:dyDescent="0.25">
      <c r="A951" s="39"/>
      <c r="B951" s="37"/>
      <c r="D951" s="19"/>
      <c r="E951" s="19"/>
      <c r="G951" s="16"/>
      <c r="H951" s="16"/>
      <c r="I951" s="16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1:20" ht="13.2" x14ac:dyDescent="0.25">
      <c r="A952" s="39"/>
      <c r="B952" s="37"/>
      <c r="D952" s="19"/>
      <c r="E952" s="19"/>
      <c r="G952" s="16"/>
      <c r="H952" s="16"/>
      <c r="I952" s="16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1:20" ht="13.2" x14ac:dyDescent="0.25">
      <c r="A953" s="39"/>
      <c r="B953" s="37"/>
      <c r="D953" s="19"/>
      <c r="E953" s="19"/>
      <c r="G953" s="16"/>
      <c r="H953" s="16"/>
      <c r="I953" s="16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1:20" ht="13.2" x14ac:dyDescent="0.25">
      <c r="A954" s="39"/>
      <c r="B954" s="37"/>
      <c r="D954" s="19"/>
      <c r="E954" s="19"/>
      <c r="G954" s="16"/>
      <c r="H954" s="16"/>
      <c r="I954" s="16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1:20" ht="13.2" x14ac:dyDescent="0.25">
      <c r="A955" s="39"/>
      <c r="B955" s="37"/>
      <c r="D955" s="19"/>
      <c r="E955" s="19"/>
      <c r="G955" s="16"/>
      <c r="H955" s="16"/>
      <c r="I955" s="16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1:20" ht="13.2" x14ac:dyDescent="0.25">
      <c r="A956" s="39"/>
      <c r="B956" s="37"/>
      <c r="D956" s="19"/>
      <c r="E956" s="19"/>
      <c r="G956" s="16"/>
      <c r="H956" s="16"/>
      <c r="I956" s="16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1:20" ht="13.2" x14ac:dyDescent="0.25">
      <c r="A957" s="39"/>
      <c r="B957" s="37"/>
      <c r="D957" s="19"/>
      <c r="E957" s="19"/>
      <c r="G957" s="16"/>
      <c r="H957" s="16"/>
      <c r="I957" s="16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1:20" ht="13.2" x14ac:dyDescent="0.25">
      <c r="A958" s="39"/>
      <c r="B958" s="37"/>
      <c r="D958" s="19"/>
      <c r="E958" s="19"/>
      <c r="G958" s="16"/>
      <c r="H958" s="16"/>
      <c r="I958" s="16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1:20" ht="13.2" x14ac:dyDescent="0.25">
      <c r="A959" s="39"/>
      <c r="B959" s="37"/>
      <c r="D959" s="19"/>
      <c r="E959" s="19"/>
      <c r="G959" s="16"/>
      <c r="H959" s="16"/>
      <c r="I959" s="16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1:20" ht="13.2" x14ac:dyDescent="0.25">
      <c r="A960" s="39"/>
      <c r="B960" s="37"/>
      <c r="D960" s="19"/>
      <c r="E960" s="19"/>
      <c r="G960" s="16"/>
      <c r="H960" s="16"/>
      <c r="I960" s="16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1:20" ht="13.2" x14ac:dyDescent="0.25">
      <c r="A961" s="39"/>
      <c r="B961" s="37"/>
      <c r="D961" s="19"/>
      <c r="E961" s="19"/>
      <c r="G961" s="16"/>
      <c r="H961" s="16"/>
      <c r="I961" s="16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1:20" ht="13.2" x14ac:dyDescent="0.25">
      <c r="A962" s="39"/>
      <c r="B962" s="37"/>
      <c r="D962" s="19"/>
      <c r="E962" s="19"/>
      <c r="G962" s="16"/>
      <c r="H962" s="16"/>
      <c r="I962" s="16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1:20" ht="13.2" x14ac:dyDescent="0.25">
      <c r="A963" s="39"/>
      <c r="B963" s="37"/>
      <c r="D963" s="19"/>
      <c r="E963" s="19"/>
      <c r="G963" s="16"/>
      <c r="H963" s="16"/>
      <c r="I963" s="16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1:20" ht="13.2" x14ac:dyDescent="0.25">
      <c r="A964" s="39"/>
      <c r="B964" s="37"/>
      <c r="D964" s="19"/>
      <c r="E964" s="19"/>
      <c r="G964" s="16"/>
      <c r="H964" s="16"/>
      <c r="I964" s="16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1:20" ht="13.2" x14ac:dyDescent="0.25">
      <c r="A965" s="39"/>
      <c r="B965" s="37"/>
      <c r="D965" s="19"/>
      <c r="E965" s="19"/>
      <c r="G965" s="16"/>
      <c r="H965" s="16"/>
      <c r="I965" s="16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1:20" ht="13.2" x14ac:dyDescent="0.25">
      <c r="A966" s="39"/>
      <c r="B966" s="37"/>
      <c r="D966" s="19"/>
      <c r="E966" s="19"/>
      <c r="G966" s="16"/>
      <c r="H966" s="16"/>
      <c r="I966" s="16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1:20" ht="13.2" x14ac:dyDescent="0.25">
      <c r="A967" s="39"/>
      <c r="B967" s="37"/>
      <c r="D967" s="19"/>
      <c r="E967" s="19"/>
      <c r="G967" s="16"/>
      <c r="H967" s="16"/>
      <c r="I967" s="16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1:20" ht="13.2" x14ac:dyDescent="0.25">
      <c r="A968" s="39"/>
      <c r="B968" s="37"/>
      <c r="D968" s="19"/>
      <c r="E968" s="19"/>
      <c r="G968" s="16"/>
      <c r="H968" s="16"/>
      <c r="I968" s="16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1:20" ht="13.2" x14ac:dyDescent="0.25">
      <c r="A969" s="39"/>
      <c r="B969" s="37"/>
      <c r="D969" s="19"/>
      <c r="E969" s="19"/>
      <c r="G969" s="16"/>
      <c r="H969" s="16"/>
      <c r="I969" s="16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1:20" ht="13.2" x14ac:dyDescent="0.25">
      <c r="A970" s="39"/>
      <c r="B970" s="37"/>
      <c r="D970" s="19"/>
      <c r="E970" s="19"/>
      <c r="G970" s="16"/>
      <c r="H970" s="16"/>
      <c r="I970" s="16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1:20" ht="13.2" x14ac:dyDescent="0.25">
      <c r="A971" s="39"/>
      <c r="B971" s="37"/>
      <c r="D971" s="19"/>
      <c r="E971" s="19"/>
      <c r="G971" s="16"/>
      <c r="H971" s="16"/>
      <c r="I971" s="16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1:20" ht="13.2" x14ac:dyDescent="0.25">
      <c r="A972" s="39"/>
      <c r="B972" s="37"/>
      <c r="D972" s="19"/>
      <c r="E972" s="19"/>
      <c r="G972" s="16"/>
      <c r="H972" s="16"/>
      <c r="I972" s="16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1:20" ht="13.2" x14ac:dyDescent="0.25">
      <c r="A973" s="39"/>
      <c r="B973" s="37"/>
      <c r="D973" s="19"/>
      <c r="E973" s="19"/>
      <c r="G973" s="16"/>
      <c r="H973" s="16"/>
      <c r="I973" s="16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1:20" ht="13.2" x14ac:dyDescent="0.25">
      <c r="A974" s="39"/>
      <c r="B974" s="37"/>
      <c r="D974" s="19"/>
      <c r="E974" s="19"/>
      <c r="G974" s="16"/>
      <c r="H974" s="16"/>
      <c r="I974" s="16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1:20" ht="13.2" x14ac:dyDescent="0.25">
      <c r="A975" s="39"/>
      <c r="B975" s="37"/>
      <c r="D975" s="19"/>
      <c r="E975" s="19"/>
      <c r="G975" s="16"/>
      <c r="H975" s="16"/>
      <c r="I975" s="16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1:20" ht="13.2" x14ac:dyDescent="0.25">
      <c r="A976" s="39"/>
      <c r="B976" s="37"/>
      <c r="D976" s="19"/>
      <c r="E976" s="19"/>
      <c r="G976" s="16"/>
      <c r="H976" s="16"/>
      <c r="I976" s="16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1:20" ht="13.2" x14ac:dyDescent="0.25">
      <c r="A977" s="39"/>
      <c r="B977" s="37"/>
      <c r="D977" s="19"/>
      <c r="E977" s="19"/>
      <c r="G977" s="16"/>
      <c r="H977" s="16"/>
      <c r="I977" s="16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1:20" ht="13.2" x14ac:dyDescent="0.25">
      <c r="A978" s="39"/>
      <c r="B978" s="37"/>
      <c r="D978" s="19"/>
      <c r="E978" s="19"/>
      <c r="G978" s="16"/>
      <c r="H978" s="16"/>
      <c r="I978" s="16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1:20" ht="13.2" x14ac:dyDescent="0.25">
      <c r="A979" s="39"/>
      <c r="B979" s="37"/>
      <c r="D979" s="19"/>
      <c r="E979" s="19"/>
      <c r="G979" s="16"/>
      <c r="H979" s="16"/>
      <c r="I979" s="16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1:20" ht="13.2" x14ac:dyDescent="0.25">
      <c r="A980" s="39"/>
      <c r="B980" s="37"/>
      <c r="D980" s="19"/>
      <c r="E980" s="19"/>
      <c r="G980" s="16"/>
      <c r="H980" s="16"/>
      <c r="I980" s="16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1:20" ht="13.2" x14ac:dyDescent="0.25">
      <c r="A981" s="39"/>
      <c r="B981" s="37"/>
      <c r="D981" s="19"/>
      <c r="E981" s="19"/>
      <c r="G981" s="16"/>
      <c r="H981" s="16"/>
      <c r="I981" s="16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1:20" ht="13.2" x14ac:dyDescent="0.25">
      <c r="A982" s="39"/>
      <c r="B982" s="37"/>
      <c r="D982" s="19"/>
      <c r="E982" s="19"/>
      <c r="G982" s="16"/>
      <c r="H982" s="16"/>
      <c r="I982" s="16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1:20" ht="13.2" x14ac:dyDescent="0.25">
      <c r="A983" s="39"/>
      <c r="B983" s="37"/>
      <c r="D983" s="19"/>
      <c r="E983" s="19"/>
      <c r="G983" s="16"/>
      <c r="H983" s="16"/>
      <c r="I983" s="16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1:20" ht="13.2" x14ac:dyDescent="0.25">
      <c r="A984" s="39"/>
      <c r="B984" s="37"/>
      <c r="D984" s="19"/>
      <c r="E984" s="19"/>
      <c r="G984" s="16"/>
      <c r="H984" s="16"/>
      <c r="I984" s="16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1:20" ht="13.2" x14ac:dyDescent="0.25">
      <c r="A985" s="39"/>
      <c r="B985" s="37"/>
      <c r="D985" s="19"/>
      <c r="E985" s="19"/>
      <c r="G985" s="16"/>
      <c r="H985" s="16"/>
      <c r="I985" s="16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1:20" ht="13.2" x14ac:dyDescent="0.25">
      <c r="A986" s="39"/>
      <c r="B986" s="37"/>
      <c r="D986" s="19"/>
      <c r="E986" s="19"/>
      <c r="G986" s="16"/>
      <c r="H986" s="16"/>
      <c r="I986" s="16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1:20" ht="13.2" x14ac:dyDescent="0.25">
      <c r="A987" s="39"/>
      <c r="B987" s="37"/>
      <c r="D987" s="19"/>
      <c r="E987" s="19"/>
      <c r="G987" s="16"/>
      <c r="H987" s="16"/>
      <c r="I987" s="16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1:20" ht="13.2" x14ac:dyDescent="0.25">
      <c r="A988" s="39"/>
      <c r="B988" s="37"/>
      <c r="D988" s="19"/>
      <c r="E988" s="19"/>
      <c r="G988" s="16"/>
      <c r="H988" s="16"/>
      <c r="I988" s="16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1:20" ht="13.2" x14ac:dyDescent="0.25">
      <c r="A989" s="39"/>
      <c r="B989" s="37"/>
      <c r="D989" s="19"/>
      <c r="E989" s="19"/>
      <c r="G989" s="16"/>
      <c r="H989" s="16"/>
      <c r="I989" s="16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1:20" ht="13.2" x14ac:dyDescent="0.25">
      <c r="A990" s="39"/>
      <c r="B990" s="37"/>
      <c r="D990" s="19"/>
      <c r="E990" s="19"/>
      <c r="G990" s="16"/>
      <c r="H990" s="16"/>
      <c r="I990" s="16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1:20" ht="13.2" x14ac:dyDescent="0.25">
      <c r="A991" s="39"/>
      <c r="B991" s="37"/>
      <c r="D991" s="19"/>
      <c r="E991" s="19"/>
      <c r="G991" s="16"/>
      <c r="H991" s="16"/>
      <c r="I991" s="16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1:20" ht="13.2" x14ac:dyDescent="0.25">
      <c r="A992" s="39"/>
      <c r="B992" s="37"/>
      <c r="D992" s="19"/>
      <c r="E992" s="19"/>
      <c r="G992" s="16"/>
      <c r="H992" s="16"/>
      <c r="I992" s="16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1:20" ht="13.2" x14ac:dyDescent="0.25">
      <c r="A993" s="39"/>
      <c r="B993" s="37"/>
      <c r="D993" s="19"/>
      <c r="E993" s="19"/>
      <c r="G993" s="16"/>
      <c r="H993" s="16"/>
      <c r="I993" s="16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1:20" ht="13.2" x14ac:dyDescent="0.25">
      <c r="A994" s="39"/>
      <c r="B994" s="37"/>
      <c r="D994" s="19"/>
      <c r="E994" s="19"/>
      <c r="G994" s="16"/>
      <c r="H994" s="16"/>
      <c r="I994" s="16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1:20" ht="13.2" x14ac:dyDescent="0.25">
      <c r="A995" s="39"/>
      <c r="B995" s="37"/>
      <c r="D995" s="19"/>
      <c r="E995" s="19"/>
      <c r="G995" s="16"/>
      <c r="H995" s="16"/>
      <c r="I995" s="16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1:20" ht="13.2" x14ac:dyDescent="0.25">
      <c r="A996" s="39"/>
      <c r="B996" s="37"/>
      <c r="D996" s="19"/>
      <c r="E996" s="19"/>
      <c r="G996" s="16"/>
      <c r="H996" s="16"/>
      <c r="I996" s="16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1:20" ht="13.2" x14ac:dyDescent="0.25">
      <c r="A997" s="39"/>
      <c r="B997" s="37"/>
      <c r="D997" s="19"/>
      <c r="E997" s="19"/>
      <c r="G997" s="16"/>
      <c r="H997" s="16"/>
      <c r="I997" s="16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1:20" ht="13.2" x14ac:dyDescent="0.25">
      <c r="A998" s="39"/>
      <c r="B998" s="37"/>
      <c r="D998" s="19"/>
      <c r="E998" s="19"/>
      <c r="G998" s="16"/>
      <c r="H998" s="16"/>
      <c r="I998" s="16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1:20" ht="13.2" x14ac:dyDescent="0.25">
      <c r="A999" s="39"/>
      <c r="B999" s="37"/>
      <c r="D999" s="19"/>
      <c r="E999" s="19"/>
      <c r="G999" s="16"/>
      <c r="H999" s="16"/>
      <c r="I999" s="16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1:20" ht="13.2" x14ac:dyDescent="0.25">
      <c r="A1000" s="39"/>
      <c r="B1000" s="37"/>
      <c r="D1000" s="19"/>
      <c r="E1000" s="19"/>
      <c r="G1000" s="16"/>
      <c r="H1000" s="16"/>
      <c r="I1000" s="16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1:20" ht="13.2" x14ac:dyDescent="0.25">
      <c r="A1001" s="39"/>
      <c r="B1001" s="37"/>
      <c r="D1001" s="19"/>
      <c r="E1001" s="19"/>
      <c r="G1001" s="16"/>
      <c r="H1001" s="16"/>
      <c r="I1001" s="16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  <row r="1002" spans="1:20" ht="13.2" x14ac:dyDescent="0.25">
      <c r="A1002" s="39"/>
      <c r="B1002" s="37"/>
      <c r="D1002" s="19"/>
      <c r="E1002" s="19"/>
      <c r="G1002" s="16"/>
      <c r="H1002" s="16"/>
      <c r="I1002" s="16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</row>
    <row r="1003" spans="1:20" ht="13.2" x14ac:dyDescent="0.25">
      <c r="A1003" s="39"/>
      <c r="B1003" s="37"/>
      <c r="D1003" s="19"/>
      <c r="E1003" s="19"/>
      <c r="G1003" s="16"/>
      <c r="H1003" s="16"/>
      <c r="I1003" s="16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</row>
    <row r="1004" spans="1:20" ht="13.2" x14ac:dyDescent="0.25">
      <c r="A1004" s="39"/>
      <c r="B1004" s="37"/>
      <c r="D1004" s="19"/>
      <c r="E1004" s="19"/>
      <c r="G1004" s="16"/>
      <c r="H1004" s="16"/>
      <c r="I1004" s="16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</row>
    <row r="1005" spans="1:20" ht="13.2" x14ac:dyDescent="0.25">
      <c r="A1005" s="39"/>
      <c r="B1005" s="37"/>
      <c r="D1005" s="19"/>
      <c r="E1005" s="19"/>
      <c r="G1005" s="16"/>
      <c r="H1005" s="16"/>
      <c r="I1005" s="16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</row>
    <row r="1006" spans="1:20" ht="13.2" x14ac:dyDescent="0.25">
      <c r="A1006" s="39"/>
      <c r="B1006" s="37"/>
      <c r="D1006" s="19"/>
      <c r="E1006" s="19"/>
      <c r="G1006" s="16"/>
      <c r="H1006" s="16"/>
      <c r="I1006" s="16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</row>
    <row r="1007" spans="1:20" ht="13.2" x14ac:dyDescent="0.25">
      <c r="A1007" s="39"/>
      <c r="B1007" s="37"/>
      <c r="D1007" s="19"/>
      <c r="E1007" s="19"/>
      <c r="G1007" s="16"/>
      <c r="H1007" s="16"/>
      <c r="I1007" s="16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</row>
    <row r="1008" spans="1:20" ht="13.2" x14ac:dyDescent="0.25">
      <c r="A1008" s="39"/>
      <c r="B1008" s="37"/>
      <c r="D1008" s="19"/>
      <c r="E1008" s="19"/>
      <c r="G1008" s="16"/>
      <c r="H1008" s="16"/>
      <c r="I1008" s="16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</row>
    <row r="1009" spans="1:20" ht="13.2" x14ac:dyDescent="0.25">
      <c r="A1009" s="39"/>
      <c r="B1009" s="37"/>
      <c r="D1009" s="19"/>
      <c r="E1009" s="19"/>
      <c r="G1009" s="16"/>
      <c r="H1009" s="16"/>
      <c r="I1009" s="16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</row>
    <row r="1010" spans="1:20" ht="13.2" x14ac:dyDescent="0.25">
      <c r="A1010" s="39"/>
      <c r="B1010" s="37"/>
      <c r="D1010" s="19"/>
      <c r="E1010" s="19"/>
      <c r="G1010" s="16"/>
      <c r="H1010" s="16"/>
      <c r="I1010" s="16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</row>
    <row r="1011" spans="1:20" ht="13.2" x14ac:dyDescent="0.25">
      <c r="A1011" s="39"/>
      <c r="B1011" s="37"/>
      <c r="D1011" s="19"/>
      <c r="E1011" s="19"/>
      <c r="G1011" s="16"/>
      <c r="H1011" s="16"/>
      <c r="I1011" s="16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</row>
    <row r="1012" spans="1:20" ht="13.2" x14ac:dyDescent="0.25">
      <c r="A1012" s="39"/>
      <c r="B1012" s="37"/>
      <c r="D1012" s="19"/>
      <c r="E1012" s="19"/>
      <c r="G1012" s="16"/>
      <c r="H1012" s="16"/>
      <c r="I1012" s="16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</row>
    <row r="1013" spans="1:20" ht="13.2" x14ac:dyDescent="0.25">
      <c r="A1013" s="39"/>
      <c r="B1013" s="37"/>
      <c r="D1013" s="19"/>
      <c r="E1013" s="19"/>
      <c r="G1013" s="16"/>
      <c r="H1013" s="16"/>
      <c r="I1013" s="16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</row>
    <row r="1014" spans="1:20" ht="13.2" x14ac:dyDescent="0.25">
      <c r="A1014" s="39"/>
      <c r="B1014" s="37"/>
      <c r="D1014" s="19"/>
      <c r="E1014" s="19"/>
      <c r="G1014" s="16"/>
      <c r="H1014" s="16"/>
      <c r="I1014" s="16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</row>
    <row r="1015" spans="1:20" ht="13.2" x14ac:dyDescent="0.25">
      <c r="A1015" s="39"/>
      <c r="B1015" s="37"/>
      <c r="D1015" s="19"/>
      <c r="E1015" s="19"/>
      <c r="G1015" s="16"/>
      <c r="H1015" s="16"/>
      <c r="I1015" s="16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</row>
    <row r="1016" spans="1:20" ht="13.2" x14ac:dyDescent="0.25">
      <c r="A1016" s="39"/>
      <c r="B1016" s="37"/>
      <c r="D1016" s="19"/>
      <c r="E1016" s="19"/>
      <c r="G1016" s="16"/>
      <c r="H1016" s="16"/>
      <c r="I1016" s="16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</row>
    <row r="1017" spans="1:20" ht="13.2" x14ac:dyDescent="0.25">
      <c r="A1017" s="39"/>
      <c r="B1017" s="37"/>
      <c r="D1017" s="19"/>
      <c r="E1017" s="19"/>
      <c r="G1017" s="16"/>
      <c r="H1017" s="16"/>
      <c r="I1017" s="16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</row>
    <row r="1018" spans="1:20" ht="13.2" x14ac:dyDescent="0.25">
      <c r="A1018" s="39"/>
      <c r="B1018" s="37"/>
      <c r="D1018" s="19"/>
      <c r="E1018" s="19"/>
      <c r="G1018" s="16"/>
      <c r="H1018" s="16"/>
      <c r="I1018" s="16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</row>
    <row r="1019" spans="1:20" ht="13.2" x14ac:dyDescent="0.25">
      <c r="A1019" s="39"/>
      <c r="B1019" s="37"/>
      <c r="D1019" s="19"/>
      <c r="E1019" s="19"/>
      <c r="G1019" s="16"/>
      <c r="H1019" s="16"/>
      <c r="I1019" s="16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</row>
    <row r="1020" spans="1:20" ht="13.2" x14ac:dyDescent="0.25">
      <c r="A1020" s="39"/>
      <c r="B1020" s="37"/>
      <c r="D1020" s="19"/>
      <c r="E1020" s="19"/>
      <c r="G1020" s="16"/>
      <c r="H1020" s="16"/>
      <c r="I1020" s="16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</row>
    <row r="1021" spans="1:20" ht="13.2" x14ac:dyDescent="0.25">
      <c r="A1021" s="39"/>
      <c r="B1021" s="37"/>
      <c r="D1021" s="19"/>
      <c r="E1021" s="19"/>
      <c r="G1021" s="16"/>
      <c r="H1021" s="16"/>
      <c r="I1021" s="16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</row>
    <row r="1022" spans="1:20" ht="13.2" x14ac:dyDescent="0.25">
      <c r="A1022" s="39"/>
      <c r="B1022" s="37"/>
      <c r="D1022" s="19"/>
      <c r="E1022" s="19"/>
      <c r="G1022" s="16"/>
      <c r="H1022" s="16"/>
      <c r="I1022" s="16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</row>
    <row r="1023" spans="1:20" ht="13.2" x14ac:dyDescent="0.25">
      <c r="A1023" s="39"/>
      <c r="B1023" s="37"/>
      <c r="D1023" s="19"/>
      <c r="E1023" s="19"/>
      <c r="G1023" s="16"/>
      <c r="H1023" s="16"/>
      <c r="I1023" s="16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</row>
    <row r="1024" spans="1:20" ht="13.2" x14ac:dyDescent="0.25">
      <c r="A1024" s="39"/>
      <c r="B1024" s="37"/>
      <c r="D1024" s="19"/>
      <c r="E1024" s="19"/>
      <c r="G1024" s="16"/>
      <c r="H1024" s="16"/>
      <c r="I1024" s="16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</row>
    <row r="1025" spans="1:20" ht="13.2" x14ac:dyDescent="0.25">
      <c r="A1025" s="39"/>
      <c r="B1025" s="37"/>
      <c r="D1025" s="19"/>
      <c r="E1025" s="19"/>
      <c r="G1025" s="16"/>
      <c r="H1025" s="16"/>
      <c r="I1025" s="16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</row>
    <row r="1026" spans="1:20" ht="13.2" x14ac:dyDescent="0.25">
      <c r="A1026" s="39"/>
      <c r="B1026" s="37"/>
      <c r="D1026" s="19"/>
      <c r="E1026" s="19"/>
      <c r="G1026" s="16"/>
      <c r="H1026" s="16"/>
      <c r="I1026" s="16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</row>
    <row r="1027" spans="1:20" ht="13.2" x14ac:dyDescent="0.25">
      <c r="A1027" s="39"/>
      <c r="B1027" s="37"/>
      <c r="D1027" s="19"/>
      <c r="E1027" s="19"/>
      <c r="G1027" s="16"/>
      <c r="H1027" s="16"/>
      <c r="I1027" s="16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</row>
    <row r="1028" spans="1:20" ht="13.2" x14ac:dyDescent="0.25">
      <c r="A1028" s="39"/>
      <c r="B1028" s="37"/>
      <c r="D1028" s="19"/>
      <c r="E1028" s="19"/>
      <c r="G1028" s="16"/>
      <c r="H1028" s="16"/>
      <c r="I1028" s="16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</row>
    <row r="1029" spans="1:20" ht="13.2" x14ac:dyDescent="0.25">
      <c r="A1029" s="39"/>
      <c r="B1029" s="37"/>
      <c r="D1029" s="19"/>
      <c r="E1029" s="19"/>
      <c r="G1029" s="16"/>
      <c r="H1029" s="16"/>
      <c r="I1029" s="16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</row>
    <row r="1030" spans="1:20" ht="13.2" x14ac:dyDescent="0.25">
      <c r="A1030" s="39"/>
      <c r="B1030" s="37"/>
      <c r="D1030" s="19"/>
      <c r="E1030" s="19"/>
      <c r="G1030" s="16"/>
      <c r="H1030" s="16"/>
      <c r="I1030" s="16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</row>
    <row r="1031" spans="1:20" ht="13.2" x14ac:dyDescent="0.25">
      <c r="A1031" s="39"/>
      <c r="B1031" s="37"/>
      <c r="D1031" s="19"/>
      <c r="E1031" s="19"/>
      <c r="G1031" s="16"/>
      <c r="H1031" s="16"/>
      <c r="I1031" s="16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</row>
    <row r="1032" spans="1:20" ht="13.2" x14ac:dyDescent="0.25">
      <c r="A1032" s="39"/>
      <c r="B1032" s="37"/>
      <c r="D1032" s="19"/>
      <c r="E1032" s="19"/>
      <c r="G1032" s="16"/>
      <c r="H1032" s="16"/>
      <c r="I1032" s="16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</row>
    <row r="1033" spans="1:20" ht="13.2" x14ac:dyDescent="0.25">
      <c r="A1033" s="39"/>
      <c r="B1033" s="37"/>
      <c r="D1033" s="19"/>
      <c r="E1033" s="19"/>
      <c r="G1033" s="16"/>
      <c r="H1033" s="16"/>
      <c r="I1033" s="16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</row>
    <row r="1034" spans="1:20" ht="13.2" x14ac:dyDescent="0.25">
      <c r="A1034" s="39"/>
      <c r="B1034" s="37"/>
      <c r="D1034" s="19"/>
      <c r="E1034" s="19"/>
      <c r="G1034" s="16"/>
      <c r="H1034" s="16"/>
      <c r="I1034" s="16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</row>
    <row r="1035" spans="1:20" ht="13.2" x14ac:dyDescent="0.25">
      <c r="A1035" s="39"/>
      <c r="B1035" s="37"/>
      <c r="D1035" s="19"/>
      <c r="E1035" s="19"/>
      <c r="G1035" s="16"/>
      <c r="H1035" s="16"/>
      <c r="I1035" s="16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</row>
    <row r="1036" spans="1:20" ht="13.2" x14ac:dyDescent="0.25">
      <c r="A1036" s="39"/>
      <c r="B1036" s="37"/>
      <c r="D1036" s="19"/>
      <c r="E1036" s="19"/>
      <c r="G1036" s="16"/>
      <c r="H1036" s="16"/>
      <c r="I1036" s="16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</row>
    <row r="1037" spans="1:20" ht="13.2" x14ac:dyDescent="0.25">
      <c r="A1037" s="39"/>
      <c r="B1037" s="37"/>
      <c r="D1037" s="19"/>
      <c r="E1037" s="19"/>
      <c r="G1037" s="16"/>
      <c r="H1037" s="16"/>
      <c r="I1037" s="16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</row>
    <row r="1038" spans="1:20" ht="13.2" x14ac:dyDescent="0.25">
      <c r="A1038" s="39"/>
      <c r="B1038" s="37"/>
      <c r="D1038" s="19"/>
      <c r="E1038" s="19"/>
      <c r="G1038" s="16"/>
      <c r="H1038" s="16"/>
      <c r="I1038" s="16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</row>
    <row r="1039" spans="1:20" ht="13.2" x14ac:dyDescent="0.25">
      <c r="A1039" s="39"/>
      <c r="B1039" s="37"/>
      <c r="D1039" s="19"/>
      <c r="E1039" s="19"/>
      <c r="G1039" s="16"/>
      <c r="H1039" s="16"/>
      <c r="I1039" s="16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</row>
    <row r="1040" spans="1:20" ht="13.2" x14ac:dyDescent="0.25">
      <c r="A1040" s="39"/>
      <c r="B1040" s="37"/>
      <c r="D1040" s="19"/>
      <c r="E1040" s="19"/>
      <c r="G1040" s="16"/>
      <c r="H1040" s="16"/>
      <c r="I1040" s="16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</row>
    <row r="1041" spans="1:20" ht="13.2" x14ac:dyDescent="0.25">
      <c r="A1041" s="39"/>
      <c r="B1041" s="37"/>
      <c r="D1041" s="19"/>
      <c r="E1041" s="19"/>
      <c r="G1041" s="16"/>
      <c r="H1041" s="16"/>
      <c r="I1041" s="16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</row>
    <row r="1042" spans="1:20" ht="13.2" x14ac:dyDescent="0.25">
      <c r="A1042" s="39"/>
      <c r="B1042" s="37"/>
      <c r="D1042" s="19"/>
      <c r="E1042" s="19"/>
      <c r="G1042" s="16"/>
      <c r="H1042" s="16"/>
      <c r="I1042" s="16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</row>
    <row r="1043" spans="1:20" ht="13.2" x14ac:dyDescent="0.25">
      <c r="A1043" s="39"/>
      <c r="B1043" s="37"/>
      <c r="D1043" s="19"/>
      <c r="E1043" s="19"/>
      <c r="G1043" s="16"/>
      <c r="H1043" s="16"/>
      <c r="I1043" s="16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</row>
    <row r="1044" spans="1:20" ht="13.2" x14ac:dyDescent="0.25">
      <c r="A1044" s="39"/>
      <c r="B1044" s="37"/>
      <c r="D1044" s="19"/>
      <c r="E1044" s="19"/>
      <c r="G1044" s="16"/>
      <c r="H1044" s="16"/>
      <c r="I1044" s="16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</row>
    <row r="1045" spans="1:20" ht="13.2" x14ac:dyDescent="0.25">
      <c r="A1045" s="39"/>
      <c r="B1045" s="37"/>
      <c r="D1045" s="19"/>
      <c r="E1045" s="19"/>
      <c r="G1045" s="16"/>
      <c r="H1045" s="16"/>
      <c r="I1045" s="16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</row>
    <row r="1046" spans="1:20" ht="13.2" x14ac:dyDescent="0.25">
      <c r="A1046" s="39"/>
      <c r="B1046" s="37"/>
      <c r="D1046" s="19"/>
      <c r="E1046" s="19"/>
      <c r="G1046" s="16"/>
      <c r="H1046" s="16"/>
      <c r="I1046" s="16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</row>
    <row r="1047" spans="1:20" ht="13.2" x14ac:dyDescent="0.25">
      <c r="A1047" s="39"/>
      <c r="B1047" s="37"/>
      <c r="D1047" s="19"/>
      <c r="E1047" s="19"/>
      <c r="G1047" s="16"/>
      <c r="H1047" s="16"/>
      <c r="I1047" s="16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</row>
    <row r="1048" spans="1:20" ht="13.2" x14ac:dyDescent="0.25">
      <c r="A1048" s="39"/>
      <c r="B1048" s="37"/>
      <c r="D1048" s="19"/>
      <c r="E1048" s="19"/>
      <c r="G1048" s="16"/>
      <c r="H1048" s="16"/>
      <c r="I1048" s="16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</row>
    <row r="1049" spans="1:20" ht="13.2" x14ac:dyDescent="0.25">
      <c r="A1049" s="39"/>
      <c r="B1049" s="37"/>
      <c r="D1049" s="19"/>
      <c r="E1049" s="19"/>
      <c r="G1049" s="16"/>
      <c r="H1049" s="16"/>
      <c r="I1049" s="16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</row>
    <row r="1050" spans="1:20" ht="13.2" x14ac:dyDescent="0.25">
      <c r="A1050" s="39"/>
      <c r="B1050" s="37"/>
      <c r="D1050" s="19"/>
      <c r="E1050" s="19"/>
      <c r="G1050" s="16"/>
      <c r="H1050" s="16"/>
      <c r="I1050" s="16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</row>
    <row r="1051" spans="1:20" ht="13.2" x14ac:dyDescent="0.25">
      <c r="A1051" s="39"/>
      <c r="B1051" s="37"/>
      <c r="D1051" s="19"/>
      <c r="E1051" s="19"/>
      <c r="G1051" s="16"/>
      <c r="H1051" s="16"/>
      <c r="I1051" s="16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</row>
    <row r="1052" spans="1:20" ht="13.2" x14ac:dyDescent="0.25">
      <c r="A1052" s="39"/>
      <c r="B1052" s="37"/>
      <c r="D1052" s="19"/>
      <c r="E1052" s="19"/>
      <c r="G1052" s="16"/>
      <c r="H1052" s="16"/>
      <c r="I1052" s="16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</row>
    <row r="1053" spans="1:20" ht="13.2" x14ac:dyDescent="0.25">
      <c r="A1053" s="39"/>
      <c r="B1053" s="37"/>
      <c r="D1053" s="19"/>
      <c r="E1053" s="19"/>
      <c r="G1053" s="16"/>
      <c r="H1053" s="16"/>
      <c r="I1053" s="16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</row>
    <row r="1054" spans="1:20" ht="13.2" x14ac:dyDescent="0.25">
      <c r="A1054" s="39"/>
      <c r="B1054" s="37"/>
      <c r="D1054" s="19"/>
      <c r="E1054" s="19"/>
      <c r="G1054" s="16"/>
      <c r="H1054" s="16"/>
      <c r="I1054" s="16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</row>
    <row r="1055" spans="1:20" ht="13.2" x14ac:dyDescent="0.25">
      <c r="A1055" s="39"/>
      <c r="B1055" s="37"/>
      <c r="D1055" s="19"/>
      <c r="E1055" s="19"/>
      <c r="G1055" s="16"/>
      <c r="H1055" s="16"/>
      <c r="I1055" s="16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</row>
    <row r="1056" spans="1:20" ht="13.2" x14ac:dyDescent="0.25">
      <c r="A1056" s="39"/>
      <c r="B1056" s="37"/>
      <c r="D1056" s="19"/>
      <c r="E1056" s="19"/>
      <c r="G1056" s="16"/>
      <c r="H1056" s="16"/>
      <c r="I1056" s="16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</row>
    <row r="1057" spans="1:20" ht="13.2" x14ac:dyDescent="0.25">
      <c r="A1057" s="39"/>
      <c r="B1057" s="37"/>
      <c r="D1057" s="19"/>
      <c r="E1057" s="19"/>
      <c r="G1057" s="16"/>
      <c r="H1057" s="16"/>
      <c r="I1057" s="16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</row>
    <row r="1058" spans="1:20" ht="13.2" x14ac:dyDescent="0.25">
      <c r="A1058" s="39"/>
      <c r="B1058" s="37"/>
      <c r="D1058" s="19"/>
      <c r="E1058" s="19"/>
      <c r="G1058" s="16"/>
      <c r="H1058" s="16"/>
      <c r="I1058" s="16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</row>
    <row r="1059" spans="1:20" ht="13.2" x14ac:dyDescent="0.25">
      <c r="A1059" s="39"/>
      <c r="B1059" s="37"/>
      <c r="D1059" s="19"/>
      <c r="E1059" s="19"/>
      <c r="G1059" s="16"/>
      <c r="H1059" s="16"/>
      <c r="I1059" s="16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</row>
    <row r="1060" spans="1:20" ht="13.2" x14ac:dyDescent="0.25">
      <c r="A1060" s="39"/>
      <c r="B1060" s="37"/>
      <c r="D1060" s="19"/>
      <c r="E1060" s="19"/>
      <c r="G1060" s="16"/>
      <c r="H1060" s="16"/>
      <c r="I1060" s="16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</row>
    <row r="1061" spans="1:20" ht="13.2" x14ac:dyDescent="0.25">
      <c r="A1061" s="39"/>
      <c r="B1061" s="37"/>
      <c r="D1061" s="19"/>
      <c r="E1061" s="19"/>
      <c r="G1061" s="16"/>
      <c r="H1061" s="16"/>
      <c r="I1061" s="16"/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</row>
    <row r="1062" spans="1:20" ht="13.2" x14ac:dyDescent="0.25">
      <c r="A1062" s="39"/>
      <c r="B1062" s="37"/>
      <c r="D1062" s="19"/>
      <c r="E1062" s="19"/>
      <c r="G1062" s="16"/>
      <c r="H1062" s="16"/>
      <c r="I1062" s="16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</row>
    <row r="1063" spans="1:20" ht="13.2" x14ac:dyDescent="0.25">
      <c r="A1063" s="39"/>
      <c r="B1063" s="37"/>
      <c r="D1063" s="19"/>
      <c r="E1063" s="19"/>
      <c r="G1063" s="16"/>
      <c r="H1063" s="16"/>
      <c r="I1063" s="16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</row>
    <row r="1064" spans="1:20" ht="13.2" x14ac:dyDescent="0.25">
      <c r="A1064" s="39"/>
      <c r="B1064" s="37"/>
      <c r="D1064" s="19"/>
      <c r="E1064" s="19"/>
      <c r="G1064" s="16"/>
      <c r="H1064" s="16"/>
      <c r="I1064" s="16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</row>
    <row r="1065" spans="1:20" ht="13.2" x14ac:dyDescent="0.25">
      <c r="A1065" s="39"/>
      <c r="B1065" s="37"/>
      <c r="D1065" s="19"/>
      <c r="E1065" s="19"/>
      <c r="G1065" s="16"/>
      <c r="H1065" s="16"/>
      <c r="I1065" s="16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</row>
    <row r="1066" spans="1:20" ht="13.2" x14ac:dyDescent="0.25">
      <c r="A1066" s="39"/>
      <c r="B1066" s="37"/>
      <c r="D1066" s="19"/>
      <c r="E1066" s="19"/>
      <c r="G1066" s="16"/>
      <c r="H1066" s="16"/>
      <c r="I1066" s="16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</row>
    <row r="1067" spans="1:20" ht="13.2" x14ac:dyDescent="0.25">
      <c r="A1067" s="39"/>
      <c r="B1067" s="37"/>
      <c r="D1067" s="19"/>
      <c r="E1067" s="19"/>
      <c r="G1067" s="16"/>
      <c r="H1067" s="16"/>
      <c r="I1067" s="16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</row>
    <row r="1068" spans="1:20" ht="13.2" x14ac:dyDescent="0.25">
      <c r="A1068" s="39"/>
      <c r="B1068" s="37"/>
      <c r="D1068" s="19"/>
      <c r="E1068" s="19"/>
      <c r="G1068" s="16"/>
      <c r="H1068" s="16"/>
      <c r="I1068" s="16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</row>
    <row r="1069" spans="1:20" ht="13.2" x14ac:dyDescent="0.25">
      <c r="A1069" s="39"/>
      <c r="B1069" s="37"/>
      <c r="D1069" s="19"/>
      <c r="E1069" s="19"/>
      <c r="G1069" s="16"/>
      <c r="H1069" s="16"/>
      <c r="I1069" s="16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</row>
    <row r="1070" spans="1:20" ht="13.2" x14ac:dyDescent="0.25">
      <c r="A1070" s="39"/>
      <c r="B1070" s="37"/>
      <c r="D1070" s="19"/>
      <c r="E1070" s="19"/>
      <c r="G1070" s="16"/>
      <c r="H1070" s="16"/>
      <c r="I1070" s="16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</row>
    <row r="1071" spans="1:20" ht="13.2" x14ac:dyDescent="0.25">
      <c r="A1071" s="39"/>
      <c r="B1071" s="37"/>
      <c r="D1071" s="19"/>
      <c r="E1071" s="19"/>
      <c r="G1071" s="16"/>
      <c r="H1071" s="16"/>
      <c r="I1071" s="16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</row>
    <row r="1072" spans="1:20" ht="13.2" x14ac:dyDescent="0.25">
      <c r="A1072" s="39"/>
      <c r="B1072" s="37"/>
      <c r="D1072" s="19"/>
      <c r="E1072" s="19"/>
      <c r="G1072" s="16"/>
      <c r="H1072" s="16"/>
      <c r="I1072" s="16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</row>
    <row r="1073" spans="1:20" ht="13.2" x14ac:dyDescent="0.25">
      <c r="A1073" s="39"/>
      <c r="B1073" s="37"/>
      <c r="D1073" s="19"/>
      <c r="E1073" s="19"/>
      <c r="G1073" s="16"/>
      <c r="H1073" s="16"/>
      <c r="I1073" s="16"/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</row>
    <row r="1074" spans="1:20" ht="13.2" x14ac:dyDescent="0.25">
      <c r="A1074" s="39"/>
      <c r="B1074" s="37"/>
      <c r="D1074" s="19"/>
      <c r="E1074" s="19"/>
      <c r="G1074" s="16"/>
      <c r="H1074" s="16"/>
      <c r="I1074" s="16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</row>
    <row r="1075" spans="1:20" ht="13.2" x14ac:dyDescent="0.25">
      <c r="A1075" s="39"/>
      <c r="B1075" s="37"/>
      <c r="D1075" s="19"/>
      <c r="E1075" s="19"/>
      <c r="G1075" s="16"/>
      <c r="H1075" s="16"/>
      <c r="I1075" s="16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</row>
    <row r="1076" spans="1:20" ht="13.2" x14ac:dyDescent="0.25">
      <c r="A1076" s="39"/>
      <c r="B1076" s="37"/>
      <c r="D1076" s="19"/>
      <c r="E1076" s="19"/>
      <c r="G1076" s="16"/>
      <c r="H1076" s="16"/>
      <c r="I1076" s="16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</row>
    <row r="1077" spans="1:20" ht="13.2" x14ac:dyDescent="0.25">
      <c r="A1077" s="39"/>
      <c r="B1077" s="37"/>
      <c r="D1077" s="19"/>
      <c r="E1077" s="19"/>
      <c r="G1077" s="16"/>
      <c r="H1077" s="16"/>
      <c r="I1077" s="16"/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</row>
    <row r="1078" spans="1:20" ht="13.2" x14ac:dyDescent="0.25">
      <c r="A1078" s="39"/>
      <c r="B1078" s="37"/>
      <c r="D1078" s="19"/>
      <c r="E1078" s="19"/>
      <c r="G1078" s="16"/>
      <c r="H1078" s="16"/>
      <c r="I1078" s="16"/>
      <c r="J1078" s="19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</row>
    <row r="1079" spans="1:20" ht="13.2" x14ac:dyDescent="0.25">
      <c r="A1079" s="39"/>
      <c r="B1079" s="37"/>
      <c r="D1079" s="19"/>
      <c r="E1079" s="19"/>
      <c r="G1079" s="16"/>
      <c r="H1079" s="16"/>
      <c r="I1079" s="16"/>
      <c r="J1079" s="19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</row>
    <row r="1080" spans="1:20" ht="13.2" x14ac:dyDescent="0.25">
      <c r="A1080" s="39"/>
      <c r="B1080" s="37"/>
      <c r="D1080" s="19"/>
      <c r="E1080" s="19"/>
      <c r="G1080" s="16"/>
      <c r="H1080" s="16"/>
      <c r="I1080" s="16"/>
      <c r="J1080" s="19"/>
      <c r="K1080" s="19"/>
      <c r="L1080" s="19"/>
      <c r="M1080" s="19"/>
      <c r="N1080" s="19"/>
      <c r="O1080" s="19"/>
      <c r="P1080" s="19"/>
      <c r="Q1080" s="19"/>
      <c r="R1080" s="19"/>
      <c r="S1080" s="19"/>
      <c r="T1080" s="19"/>
    </row>
    <row r="1081" spans="1:20" ht="13.2" x14ac:dyDescent="0.25">
      <c r="A1081" s="39"/>
      <c r="B1081" s="37"/>
      <c r="D1081" s="19"/>
      <c r="E1081" s="19"/>
      <c r="G1081" s="16"/>
      <c r="H1081" s="16"/>
      <c r="I1081" s="16"/>
      <c r="J1081" s="19"/>
      <c r="K1081" s="19"/>
      <c r="L1081" s="19"/>
      <c r="M1081" s="19"/>
      <c r="N1081" s="19"/>
      <c r="O1081" s="19"/>
      <c r="P1081" s="19"/>
      <c r="Q1081" s="19"/>
      <c r="R1081" s="19"/>
      <c r="S1081" s="19"/>
      <c r="T1081" s="19"/>
    </row>
    <row r="1082" spans="1:20" ht="13.2" x14ac:dyDescent="0.25">
      <c r="A1082" s="39"/>
      <c r="B1082" s="37"/>
      <c r="D1082" s="19"/>
      <c r="E1082" s="19"/>
      <c r="G1082" s="16"/>
      <c r="H1082" s="16"/>
      <c r="I1082" s="16"/>
      <c r="J1082" s="19"/>
      <c r="K1082" s="19"/>
      <c r="L1082" s="19"/>
      <c r="M1082" s="19"/>
      <c r="N1082" s="19"/>
      <c r="O1082" s="19"/>
      <c r="P1082" s="19"/>
      <c r="Q1082" s="19"/>
      <c r="R1082" s="19"/>
      <c r="S1082" s="19"/>
      <c r="T1082" s="19"/>
    </row>
    <row r="1083" spans="1:20" ht="13.2" x14ac:dyDescent="0.25">
      <c r="A1083" s="39"/>
      <c r="B1083" s="37"/>
      <c r="D1083" s="19"/>
      <c r="E1083" s="19"/>
      <c r="G1083" s="16"/>
      <c r="H1083" s="16"/>
      <c r="I1083" s="16"/>
      <c r="J1083" s="19"/>
      <c r="K1083" s="19"/>
      <c r="L1083" s="19"/>
      <c r="M1083" s="19"/>
      <c r="N1083" s="19"/>
      <c r="O1083" s="19"/>
      <c r="P1083" s="19"/>
      <c r="Q1083" s="19"/>
      <c r="R1083" s="19"/>
      <c r="S1083" s="19"/>
      <c r="T1083" s="19"/>
    </row>
    <row r="1084" spans="1:20" ht="13.2" x14ac:dyDescent="0.25">
      <c r="A1084" s="39"/>
      <c r="B1084" s="37"/>
      <c r="D1084" s="19"/>
      <c r="E1084" s="19"/>
      <c r="G1084" s="16"/>
      <c r="H1084" s="16"/>
      <c r="I1084" s="16"/>
      <c r="J1084" s="19"/>
      <c r="K1084" s="19"/>
      <c r="L1084" s="19"/>
      <c r="M1084" s="19"/>
      <c r="N1084" s="19"/>
      <c r="O1084" s="19"/>
      <c r="P1084" s="19"/>
      <c r="Q1084" s="19"/>
      <c r="R1084" s="19"/>
      <c r="S1084" s="19"/>
      <c r="T1084" s="19"/>
    </row>
    <row r="1085" spans="1:20" ht="13.2" x14ac:dyDescent="0.25">
      <c r="A1085" s="39"/>
      <c r="B1085" s="37"/>
      <c r="D1085" s="19"/>
      <c r="E1085" s="19"/>
      <c r="G1085" s="16"/>
      <c r="H1085" s="16"/>
      <c r="I1085" s="16"/>
      <c r="J1085" s="19"/>
      <c r="K1085" s="19"/>
      <c r="L1085" s="19"/>
      <c r="M1085" s="19"/>
      <c r="N1085" s="19"/>
      <c r="O1085" s="19"/>
      <c r="P1085" s="19"/>
      <c r="Q1085" s="19"/>
      <c r="R1085" s="19"/>
      <c r="S1085" s="19"/>
      <c r="T1085" s="19"/>
    </row>
    <row r="1086" spans="1:20" ht="13.2" x14ac:dyDescent="0.25">
      <c r="A1086" s="39"/>
      <c r="B1086" s="37"/>
      <c r="D1086" s="19"/>
      <c r="E1086" s="19"/>
      <c r="G1086" s="16"/>
      <c r="H1086" s="16"/>
      <c r="I1086" s="16"/>
      <c r="J1086" s="19"/>
      <c r="K1086" s="19"/>
      <c r="L1086" s="19"/>
      <c r="M1086" s="19"/>
      <c r="N1086" s="19"/>
      <c r="O1086" s="19"/>
      <c r="P1086" s="19"/>
      <c r="Q1086" s="19"/>
      <c r="R1086" s="19"/>
      <c r="S1086" s="19"/>
      <c r="T1086" s="19"/>
    </row>
    <row r="1087" spans="1:20" ht="13.2" x14ac:dyDescent="0.25">
      <c r="A1087" s="39"/>
      <c r="B1087" s="37"/>
      <c r="D1087" s="19"/>
      <c r="E1087" s="19"/>
      <c r="G1087" s="16"/>
      <c r="H1087" s="16"/>
      <c r="I1087" s="16"/>
      <c r="J1087" s="19"/>
      <c r="K1087" s="19"/>
      <c r="L1087" s="19"/>
      <c r="M1087" s="19"/>
      <c r="N1087" s="19"/>
      <c r="O1087" s="19"/>
      <c r="P1087" s="19"/>
      <c r="Q1087" s="19"/>
      <c r="R1087" s="19"/>
      <c r="S1087" s="19"/>
      <c r="T1087" s="19"/>
    </row>
    <row r="1088" spans="1:20" ht="13.2" x14ac:dyDescent="0.25">
      <c r="A1088" s="39"/>
      <c r="B1088" s="37"/>
      <c r="D1088" s="19"/>
      <c r="E1088" s="19"/>
      <c r="G1088" s="16"/>
      <c r="H1088" s="16"/>
      <c r="I1088" s="16"/>
      <c r="J1088" s="19"/>
      <c r="K1088" s="19"/>
      <c r="L1088" s="19"/>
      <c r="M1088" s="19"/>
      <c r="N1088" s="19"/>
      <c r="O1088" s="19"/>
      <c r="P1088" s="19"/>
      <c r="Q1088" s="19"/>
      <c r="R1088" s="19"/>
      <c r="S1088" s="19"/>
      <c r="T1088" s="19"/>
    </row>
    <row r="1089" spans="1:20" ht="13.2" x14ac:dyDescent="0.25">
      <c r="A1089" s="39"/>
      <c r="B1089" s="37"/>
      <c r="D1089" s="19"/>
      <c r="E1089" s="19"/>
      <c r="G1089" s="16"/>
      <c r="H1089" s="16"/>
      <c r="I1089" s="16"/>
      <c r="J1089" s="19"/>
      <c r="K1089" s="19"/>
      <c r="L1089" s="19"/>
      <c r="M1089" s="19"/>
      <c r="N1089" s="19"/>
      <c r="O1089" s="19"/>
      <c r="P1089" s="19"/>
      <c r="Q1089" s="19"/>
      <c r="R1089" s="19"/>
      <c r="S1089" s="19"/>
      <c r="T1089" s="19"/>
    </row>
    <row r="1090" spans="1:20" ht="13.2" x14ac:dyDescent="0.25">
      <c r="A1090" s="39"/>
      <c r="B1090" s="37"/>
      <c r="D1090" s="19"/>
      <c r="E1090" s="19"/>
      <c r="G1090" s="16"/>
      <c r="H1090" s="16"/>
      <c r="I1090" s="16"/>
      <c r="J1090" s="19"/>
      <c r="K1090" s="19"/>
      <c r="L1090" s="19"/>
      <c r="M1090" s="19"/>
      <c r="N1090" s="19"/>
      <c r="O1090" s="19"/>
      <c r="P1090" s="19"/>
      <c r="Q1090" s="19"/>
      <c r="R1090" s="19"/>
      <c r="S1090" s="19"/>
      <c r="T1090" s="19"/>
    </row>
    <row r="1091" spans="1:20" ht="13.2" x14ac:dyDescent="0.25">
      <c r="A1091" s="39"/>
      <c r="B1091" s="37"/>
      <c r="D1091" s="19"/>
      <c r="E1091" s="19"/>
      <c r="G1091" s="16"/>
      <c r="H1091" s="16"/>
      <c r="I1091" s="16"/>
      <c r="J1091" s="19"/>
      <c r="K1091" s="19"/>
      <c r="L1091" s="19"/>
      <c r="M1091" s="19"/>
      <c r="N1091" s="19"/>
      <c r="O1091" s="19"/>
      <c r="P1091" s="19"/>
      <c r="Q1091" s="19"/>
      <c r="R1091" s="19"/>
      <c r="S1091" s="19"/>
      <c r="T1091" s="19"/>
    </row>
    <row r="1092" spans="1:20" ht="13.2" x14ac:dyDescent="0.25">
      <c r="A1092" s="39"/>
      <c r="B1092" s="37"/>
      <c r="D1092" s="19"/>
      <c r="E1092" s="19"/>
      <c r="G1092" s="16"/>
      <c r="H1092" s="16"/>
      <c r="I1092" s="16"/>
      <c r="J1092" s="19"/>
      <c r="K1092" s="19"/>
      <c r="L1092" s="19"/>
      <c r="M1092" s="19"/>
      <c r="N1092" s="19"/>
      <c r="O1092" s="19"/>
      <c r="P1092" s="19"/>
      <c r="Q1092" s="19"/>
      <c r="R1092" s="19"/>
      <c r="S1092" s="19"/>
      <c r="T1092" s="19"/>
    </row>
    <row r="1093" spans="1:20" ht="13.2" x14ac:dyDescent="0.25">
      <c r="A1093" s="39"/>
      <c r="B1093" s="37"/>
      <c r="D1093" s="19"/>
      <c r="E1093" s="19"/>
      <c r="G1093" s="16"/>
      <c r="H1093" s="16"/>
      <c r="I1093" s="16"/>
      <c r="J1093" s="19"/>
      <c r="K1093" s="19"/>
      <c r="L1093" s="19"/>
      <c r="M1093" s="19"/>
      <c r="N1093" s="19"/>
      <c r="O1093" s="19"/>
      <c r="P1093" s="19"/>
      <c r="Q1093" s="19"/>
      <c r="R1093" s="19"/>
      <c r="S1093" s="19"/>
      <c r="T1093" s="19"/>
    </row>
    <row r="1094" spans="1:20" ht="13.2" x14ac:dyDescent="0.25">
      <c r="A1094" s="39"/>
      <c r="B1094" s="37"/>
      <c r="D1094" s="19"/>
      <c r="E1094" s="19"/>
      <c r="G1094" s="16"/>
      <c r="H1094" s="16"/>
      <c r="I1094" s="16"/>
      <c r="J1094" s="19"/>
      <c r="K1094" s="19"/>
      <c r="L1094" s="19"/>
      <c r="M1094" s="19"/>
      <c r="N1094" s="19"/>
      <c r="O1094" s="19"/>
      <c r="P1094" s="19"/>
      <c r="Q1094" s="19"/>
      <c r="R1094" s="19"/>
      <c r="S1094" s="19"/>
      <c r="T1094" s="19"/>
    </row>
    <row r="1095" spans="1:20" ht="13.2" x14ac:dyDescent="0.25">
      <c r="A1095" s="39"/>
      <c r="B1095" s="37"/>
      <c r="D1095" s="19"/>
      <c r="E1095" s="19"/>
      <c r="G1095" s="16"/>
      <c r="H1095" s="16"/>
      <c r="I1095" s="16"/>
      <c r="J1095" s="19"/>
      <c r="K1095" s="19"/>
      <c r="L1095" s="19"/>
      <c r="M1095" s="19"/>
      <c r="N1095" s="19"/>
      <c r="O1095" s="19"/>
      <c r="P1095" s="19"/>
      <c r="Q1095" s="19"/>
      <c r="R1095" s="19"/>
      <c r="S1095" s="19"/>
      <c r="T1095" s="19"/>
    </row>
    <row r="1096" spans="1:20" ht="13.2" x14ac:dyDescent="0.25">
      <c r="A1096" s="39"/>
      <c r="B1096" s="37"/>
      <c r="D1096" s="19"/>
      <c r="E1096" s="19"/>
      <c r="G1096" s="16"/>
      <c r="H1096" s="16"/>
      <c r="I1096" s="16"/>
      <c r="J1096" s="19"/>
      <c r="K1096" s="19"/>
      <c r="L1096" s="19"/>
      <c r="M1096" s="19"/>
      <c r="N1096" s="19"/>
      <c r="O1096" s="19"/>
      <c r="P1096" s="19"/>
      <c r="Q1096" s="19"/>
      <c r="R1096" s="19"/>
      <c r="S1096" s="19"/>
      <c r="T1096" s="19"/>
    </row>
    <row r="1097" spans="1:20" ht="13.2" x14ac:dyDescent="0.25">
      <c r="A1097" s="39"/>
      <c r="B1097" s="37"/>
      <c r="D1097" s="19"/>
      <c r="E1097" s="19"/>
      <c r="G1097" s="16"/>
      <c r="H1097" s="16"/>
      <c r="I1097" s="16"/>
      <c r="J1097" s="19"/>
      <c r="K1097" s="19"/>
      <c r="L1097" s="19"/>
      <c r="M1097" s="19"/>
      <c r="N1097" s="19"/>
      <c r="O1097" s="19"/>
      <c r="P1097" s="19"/>
      <c r="Q1097" s="19"/>
      <c r="R1097" s="19"/>
      <c r="S1097" s="19"/>
      <c r="T1097" s="19"/>
    </row>
    <row r="1098" spans="1:20" ht="13.2" x14ac:dyDescent="0.25">
      <c r="A1098" s="39"/>
      <c r="B1098" s="37"/>
      <c r="D1098" s="19"/>
      <c r="E1098" s="19"/>
      <c r="G1098" s="16"/>
      <c r="H1098" s="16"/>
      <c r="I1098" s="16"/>
      <c r="J1098" s="19"/>
      <c r="K1098" s="19"/>
      <c r="L1098" s="19"/>
      <c r="M1098" s="19"/>
      <c r="N1098" s="19"/>
      <c r="O1098" s="19"/>
      <c r="P1098" s="19"/>
      <c r="Q1098" s="19"/>
      <c r="R1098" s="19"/>
      <c r="S1098" s="19"/>
      <c r="T1098" s="19"/>
    </row>
    <row r="1099" spans="1:20" ht="13.2" x14ac:dyDescent="0.25">
      <c r="A1099" s="39"/>
      <c r="B1099" s="37"/>
      <c r="D1099" s="19"/>
      <c r="E1099" s="19"/>
      <c r="G1099" s="16"/>
      <c r="H1099" s="16"/>
      <c r="I1099" s="16"/>
      <c r="J1099" s="19"/>
      <c r="K1099" s="19"/>
      <c r="L1099" s="19"/>
      <c r="M1099" s="19"/>
      <c r="N1099" s="19"/>
      <c r="O1099" s="19"/>
      <c r="P1099" s="19"/>
      <c r="Q1099" s="19"/>
      <c r="R1099" s="19"/>
      <c r="S1099" s="19"/>
      <c r="T1099" s="19"/>
    </row>
    <row r="1100" spans="1:20" ht="13.2" x14ac:dyDescent="0.25">
      <c r="A1100" s="39"/>
      <c r="B1100" s="37"/>
      <c r="D1100" s="19"/>
      <c r="E1100" s="19"/>
      <c r="G1100" s="16"/>
      <c r="H1100" s="16"/>
      <c r="I1100" s="16"/>
      <c r="J1100" s="19"/>
      <c r="K1100" s="19"/>
      <c r="L1100" s="19"/>
      <c r="M1100" s="19"/>
      <c r="N1100" s="19"/>
      <c r="O1100" s="19"/>
      <c r="P1100" s="19"/>
      <c r="Q1100" s="19"/>
      <c r="R1100" s="19"/>
      <c r="S1100" s="19"/>
      <c r="T1100" s="19"/>
    </row>
    <row r="1101" spans="1:20" ht="13.2" x14ac:dyDescent="0.25">
      <c r="A1101" s="39"/>
      <c r="B1101" s="37"/>
      <c r="D1101" s="19"/>
      <c r="E1101" s="19"/>
      <c r="G1101" s="16"/>
      <c r="H1101" s="16"/>
      <c r="I1101" s="16"/>
      <c r="J1101" s="19"/>
      <c r="K1101" s="19"/>
      <c r="L1101" s="19"/>
      <c r="M1101" s="19"/>
      <c r="N1101" s="19"/>
      <c r="O1101" s="19"/>
      <c r="P1101" s="19"/>
      <c r="Q1101" s="19"/>
      <c r="R1101" s="19"/>
      <c r="S1101" s="19"/>
      <c r="T1101" s="19"/>
    </row>
    <row r="1102" spans="1:20" ht="13.2" x14ac:dyDescent="0.25">
      <c r="A1102" s="39"/>
      <c r="B1102" s="37"/>
      <c r="D1102" s="19"/>
      <c r="E1102" s="19"/>
      <c r="G1102" s="16"/>
      <c r="H1102" s="16"/>
      <c r="I1102" s="16"/>
      <c r="J1102" s="19"/>
      <c r="K1102" s="19"/>
      <c r="L1102" s="19"/>
      <c r="M1102" s="19"/>
      <c r="N1102" s="19"/>
      <c r="O1102" s="19"/>
      <c r="P1102" s="19"/>
      <c r="Q1102" s="19"/>
      <c r="R1102" s="19"/>
      <c r="S1102" s="19"/>
      <c r="T1102" s="19"/>
    </row>
    <row r="1103" spans="1:20" ht="13.2" x14ac:dyDescent="0.25">
      <c r="A1103" s="39"/>
      <c r="B1103" s="37"/>
      <c r="D1103" s="19"/>
      <c r="E1103" s="19"/>
      <c r="G1103" s="16"/>
      <c r="H1103" s="16"/>
      <c r="I1103" s="16"/>
      <c r="J1103" s="19"/>
      <c r="K1103" s="19"/>
      <c r="L1103" s="19"/>
      <c r="M1103" s="19"/>
      <c r="N1103" s="19"/>
      <c r="O1103" s="19"/>
      <c r="P1103" s="19"/>
      <c r="Q1103" s="19"/>
      <c r="R1103" s="19"/>
      <c r="S1103" s="19"/>
      <c r="T1103" s="19"/>
    </row>
    <row r="1104" spans="1:20" ht="13.2" x14ac:dyDescent="0.25">
      <c r="A1104" s="39"/>
      <c r="B1104" s="37"/>
      <c r="D1104" s="19"/>
      <c r="E1104" s="19"/>
      <c r="G1104" s="16"/>
      <c r="H1104" s="16"/>
      <c r="I1104" s="16"/>
      <c r="J1104" s="19"/>
      <c r="K1104" s="19"/>
      <c r="L1104" s="19"/>
      <c r="M1104" s="19"/>
      <c r="N1104" s="19"/>
      <c r="O1104" s="19"/>
      <c r="P1104" s="19"/>
      <c r="Q1104" s="19"/>
      <c r="R1104" s="19"/>
      <c r="S1104" s="19"/>
      <c r="T1104" s="19"/>
    </row>
    <row r="1105" spans="1:20" ht="13.2" x14ac:dyDescent="0.25">
      <c r="A1105" s="39"/>
      <c r="B1105" s="37"/>
      <c r="D1105" s="19"/>
      <c r="E1105" s="19"/>
      <c r="G1105" s="16"/>
      <c r="H1105" s="16"/>
      <c r="I1105" s="16"/>
      <c r="J1105" s="19"/>
      <c r="K1105" s="19"/>
      <c r="L1105" s="19"/>
      <c r="M1105" s="19"/>
      <c r="N1105" s="19"/>
      <c r="O1105" s="19"/>
      <c r="P1105" s="19"/>
      <c r="Q1105" s="19"/>
      <c r="R1105" s="19"/>
      <c r="S1105" s="19"/>
      <c r="T1105" s="19"/>
    </row>
    <row r="1106" spans="1:20" ht="13.2" x14ac:dyDescent="0.25">
      <c r="A1106" s="39"/>
      <c r="B1106" s="37"/>
      <c r="D1106" s="19"/>
      <c r="E1106" s="19"/>
      <c r="G1106" s="16"/>
      <c r="H1106" s="16"/>
      <c r="I1106" s="16"/>
      <c r="J1106" s="19"/>
      <c r="K1106" s="19"/>
      <c r="L1106" s="19"/>
      <c r="M1106" s="19"/>
      <c r="N1106" s="19"/>
      <c r="O1106" s="19"/>
      <c r="P1106" s="19"/>
      <c r="Q1106" s="19"/>
      <c r="R1106" s="19"/>
      <c r="S1106" s="19"/>
      <c r="T1106" s="19"/>
    </row>
    <row r="1107" spans="1:20" ht="13.2" x14ac:dyDescent="0.25">
      <c r="A1107" s="39"/>
      <c r="B1107" s="37"/>
      <c r="D1107" s="19"/>
      <c r="E1107" s="19"/>
      <c r="G1107" s="16"/>
      <c r="H1107" s="16"/>
      <c r="I1107" s="16"/>
      <c r="J1107" s="19"/>
      <c r="K1107" s="19"/>
      <c r="L1107" s="19"/>
      <c r="M1107" s="19"/>
      <c r="N1107" s="19"/>
      <c r="O1107" s="19"/>
      <c r="P1107" s="19"/>
      <c r="Q1107" s="19"/>
      <c r="R1107" s="19"/>
      <c r="S1107" s="19"/>
      <c r="T1107" s="19"/>
    </row>
    <row r="1108" spans="1:20" ht="13.2" x14ac:dyDescent="0.25">
      <c r="A1108" s="39"/>
      <c r="B1108" s="37"/>
      <c r="D1108" s="19"/>
      <c r="E1108" s="19"/>
      <c r="G1108" s="16"/>
      <c r="H1108" s="16"/>
      <c r="I1108" s="16"/>
      <c r="J1108" s="19"/>
      <c r="K1108" s="19"/>
      <c r="L1108" s="19"/>
      <c r="M1108" s="19"/>
      <c r="N1108" s="19"/>
      <c r="O1108" s="19"/>
      <c r="P1108" s="19"/>
      <c r="Q1108" s="19"/>
      <c r="R1108" s="19"/>
      <c r="S1108" s="19"/>
      <c r="T1108" s="19"/>
    </row>
    <row r="1109" spans="1:20" ht="13.2" x14ac:dyDescent="0.25">
      <c r="A1109" s="39"/>
      <c r="B1109" s="37"/>
      <c r="D1109" s="19"/>
      <c r="E1109" s="19"/>
      <c r="G1109" s="16"/>
      <c r="H1109" s="16"/>
      <c r="I1109" s="16"/>
      <c r="J1109" s="19"/>
      <c r="K1109" s="19"/>
      <c r="L1109" s="19"/>
      <c r="M1109" s="19"/>
      <c r="N1109" s="19"/>
      <c r="O1109" s="19"/>
      <c r="P1109" s="19"/>
      <c r="Q1109" s="19"/>
      <c r="R1109" s="19"/>
      <c r="S1109" s="19"/>
      <c r="T1109" s="19"/>
    </row>
    <row r="1110" spans="1:20" ht="13.2" x14ac:dyDescent="0.25">
      <c r="A1110" s="39"/>
      <c r="B1110" s="37"/>
      <c r="D1110" s="19"/>
      <c r="E1110" s="19"/>
      <c r="G1110" s="16"/>
      <c r="H1110" s="16"/>
      <c r="I1110" s="16"/>
      <c r="J1110" s="19"/>
      <c r="K1110" s="19"/>
      <c r="L1110" s="19"/>
      <c r="M1110" s="19"/>
      <c r="N1110" s="19"/>
      <c r="O1110" s="19"/>
      <c r="P1110" s="19"/>
      <c r="Q1110" s="19"/>
      <c r="R1110" s="19"/>
      <c r="S1110" s="19"/>
      <c r="T1110" s="19"/>
    </row>
    <row r="1111" spans="1:20" ht="13.2" x14ac:dyDescent="0.25">
      <c r="A1111" s="39"/>
      <c r="B1111" s="37"/>
      <c r="D1111" s="19"/>
      <c r="E1111" s="19"/>
      <c r="G1111" s="16"/>
      <c r="H1111" s="16"/>
      <c r="I1111" s="16"/>
      <c r="J1111" s="19"/>
      <c r="K1111" s="19"/>
      <c r="L1111" s="19"/>
      <c r="M1111" s="19"/>
      <c r="N1111" s="19"/>
      <c r="O1111" s="19"/>
      <c r="P1111" s="19"/>
      <c r="Q1111" s="19"/>
      <c r="R1111" s="19"/>
      <c r="S1111" s="19"/>
      <c r="T1111" s="19"/>
    </row>
    <row r="1112" spans="1:20" ht="13.2" x14ac:dyDescent="0.25">
      <c r="A1112" s="39"/>
      <c r="B1112" s="37"/>
      <c r="D1112" s="19"/>
      <c r="E1112" s="19"/>
      <c r="G1112" s="16"/>
      <c r="H1112" s="16"/>
      <c r="I1112" s="16"/>
      <c r="J1112" s="19"/>
      <c r="K1112" s="19"/>
      <c r="L1112" s="19"/>
      <c r="M1112" s="19"/>
      <c r="N1112" s="19"/>
      <c r="O1112" s="19"/>
      <c r="P1112" s="19"/>
      <c r="Q1112" s="19"/>
      <c r="R1112" s="19"/>
      <c r="S1112" s="19"/>
      <c r="T1112" s="19"/>
    </row>
    <row r="1113" spans="1:20" ht="13.2" x14ac:dyDescent="0.25">
      <c r="A1113" s="39"/>
      <c r="B1113" s="37"/>
      <c r="D1113" s="19"/>
      <c r="E1113" s="19"/>
      <c r="G1113" s="16"/>
      <c r="H1113" s="16"/>
      <c r="I1113" s="16"/>
      <c r="J1113" s="19"/>
      <c r="K1113" s="19"/>
      <c r="L1113" s="19"/>
      <c r="M1113" s="19"/>
      <c r="N1113" s="19"/>
      <c r="O1113" s="19"/>
      <c r="P1113" s="19"/>
      <c r="Q1113" s="19"/>
      <c r="R1113" s="19"/>
      <c r="S1113" s="19"/>
      <c r="T1113" s="19"/>
    </row>
    <row r="1114" spans="1:20" ht="13.2" x14ac:dyDescent="0.25">
      <c r="A1114" s="39"/>
      <c r="B1114" s="37"/>
      <c r="D1114" s="19"/>
      <c r="E1114" s="19"/>
      <c r="G1114" s="16"/>
      <c r="H1114" s="16"/>
      <c r="I1114" s="16"/>
      <c r="J1114" s="19"/>
      <c r="K1114" s="19"/>
      <c r="L1114" s="19"/>
      <c r="M1114" s="19"/>
      <c r="N1114" s="19"/>
      <c r="O1114" s="19"/>
      <c r="P1114" s="19"/>
      <c r="Q1114" s="19"/>
      <c r="R1114" s="19"/>
      <c r="S1114" s="19"/>
      <c r="T1114" s="19"/>
    </row>
    <row r="1115" spans="1:20" ht="13.2" x14ac:dyDescent="0.25">
      <c r="A1115" s="39"/>
      <c r="B1115" s="37"/>
      <c r="D1115" s="19"/>
      <c r="E1115" s="19"/>
      <c r="G1115" s="16"/>
      <c r="H1115" s="16"/>
      <c r="I1115" s="16"/>
      <c r="J1115" s="19"/>
      <c r="K1115" s="19"/>
      <c r="L1115" s="19"/>
      <c r="M1115" s="19"/>
      <c r="N1115" s="19"/>
      <c r="O1115" s="19"/>
      <c r="P1115" s="19"/>
      <c r="Q1115" s="19"/>
      <c r="R1115" s="19"/>
      <c r="S1115" s="19"/>
      <c r="T1115" s="19"/>
    </row>
    <row r="1116" spans="1:20" ht="13.2" x14ac:dyDescent="0.25">
      <c r="A1116" s="39"/>
      <c r="B1116" s="37"/>
      <c r="D1116" s="19"/>
      <c r="E1116" s="19"/>
      <c r="G1116" s="16"/>
      <c r="H1116" s="16"/>
      <c r="I1116" s="16"/>
      <c r="J1116" s="19"/>
      <c r="K1116" s="19"/>
      <c r="L1116" s="19"/>
      <c r="M1116" s="19"/>
      <c r="N1116" s="19"/>
      <c r="O1116" s="19"/>
      <c r="P1116" s="19"/>
      <c r="Q1116" s="19"/>
      <c r="R1116" s="19"/>
      <c r="S1116" s="19"/>
      <c r="T1116" s="19"/>
    </row>
    <row r="1117" spans="1:20" ht="13.2" x14ac:dyDescent="0.25">
      <c r="A1117" s="39"/>
      <c r="B1117" s="37"/>
      <c r="D1117" s="19"/>
      <c r="E1117" s="19"/>
      <c r="G1117" s="16"/>
      <c r="H1117" s="16"/>
      <c r="I1117" s="16"/>
      <c r="J1117" s="19"/>
      <c r="K1117" s="19"/>
      <c r="L1117" s="19"/>
      <c r="M1117" s="19"/>
      <c r="N1117" s="19"/>
      <c r="O1117" s="19"/>
      <c r="P1117" s="19"/>
      <c r="Q1117" s="19"/>
      <c r="R1117" s="19"/>
      <c r="S1117" s="19"/>
      <c r="T1117" s="19"/>
    </row>
    <row r="1118" spans="1:20" ht="13.2" x14ac:dyDescent="0.25">
      <c r="A1118" s="39"/>
      <c r="B1118" s="37"/>
      <c r="D1118" s="19"/>
      <c r="E1118" s="19"/>
      <c r="G1118" s="16"/>
      <c r="H1118" s="16"/>
      <c r="I1118" s="16"/>
      <c r="J1118" s="19"/>
      <c r="K1118" s="19"/>
      <c r="L1118" s="19"/>
      <c r="M1118" s="19"/>
      <c r="N1118" s="19"/>
      <c r="O1118" s="19"/>
      <c r="P1118" s="19"/>
      <c r="Q1118" s="19"/>
      <c r="R1118" s="19"/>
      <c r="S1118" s="19"/>
      <c r="T1118" s="19"/>
    </row>
    <row r="1119" spans="1:20" ht="13.2" x14ac:dyDescent="0.25">
      <c r="A1119" s="39"/>
      <c r="B1119" s="37"/>
      <c r="D1119" s="19"/>
      <c r="E1119" s="19"/>
      <c r="G1119" s="16"/>
      <c r="H1119" s="16"/>
      <c r="I1119" s="16"/>
      <c r="J1119" s="19"/>
      <c r="K1119" s="19"/>
      <c r="L1119" s="19"/>
      <c r="M1119" s="19"/>
      <c r="N1119" s="19"/>
      <c r="O1119" s="19"/>
      <c r="P1119" s="19"/>
      <c r="Q1119" s="19"/>
      <c r="R1119" s="19"/>
      <c r="S1119" s="19"/>
      <c r="T1119" s="19"/>
    </row>
    <row r="1120" spans="1:20" ht="13.2" x14ac:dyDescent="0.25">
      <c r="A1120" s="39"/>
      <c r="B1120" s="37"/>
      <c r="D1120" s="19"/>
      <c r="E1120" s="19"/>
      <c r="G1120" s="16"/>
      <c r="H1120" s="16"/>
      <c r="I1120" s="16"/>
      <c r="J1120" s="19"/>
      <c r="K1120" s="19"/>
      <c r="L1120" s="19"/>
      <c r="M1120" s="19"/>
      <c r="N1120" s="19"/>
      <c r="O1120" s="19"/>
      <c r="P1120" s="19"/>
      <c r="Q1120" s="19"/>
      <c r="R1120" s="19"/>
      <c r="S1120" s="19"/>
      <c r="T1120" s="19"/>
    </row>
    <row r="1121" spans="1:20" ht="13.2" x14ac:dyDescent="0.25">
      <c r="A1121" s="39"/>
      <c r="B1121" s="37"/>
      <c r="D1121" s="19"/>
      <c r="E1121" s="19"/>
      <c r="G1121" s="16"/>
      <c r="H1121" s="16"/>
      <c r="I1121" s="16"/>
      <c r="J1121" s="19"/>
      <c r="K1121" s="19"/>
      <c r="L1121" s="19"/>
      <c r="M1121" s="19"/>
      <c r="N1121" s="19"/>
      <c r="O1121" s="19"/>
      <c r="P1121" s="19"/>
      <c r="Q1121" s="19"/>
      <c r="R1121" s="19"/>
      <c r="S1121" s="19"/>
      <c r="T1121" s="19"/>
    </row>
    <row r="1122" spans="1:20" ht="13.2" x14ac:dyDescent="0.25">
      <c r="A1122" s="39"/>
      <c r="B1122" s="37"/>
      <c r="D1122" s="19"/>
      <c r="E1122" s="19"/>
      <c r="G1122" s="16"/>
      <c r="H1122" s="16"/>
      <c r="I1122" s="16"/>
      <c r="J1122" s="19"/>
      <c r="K1122" s="19"/>
      <c r="L1122" s="19"/>
      <c r="M1122" s="19"/>
      <c r="N1122" s="19"/>
      <c r="O1122" s="19"/>
      <c r="P1122" s="19"/>
      <c r="Q1122" s="19"/>
      <c r="R1122" s="19"/>
      <c r="S1122" s="19"/>
      <c r="T1122" s="19"/>
    </row>
    <row r="1123" spans="1:20" ht="13.2" x14ac:dyDescent="0.25">
      <c r="A1123" s="39"/>
      <c r="B1123" s="37"/>
      <c r="D1123" s="19"/>
      <c r="E1123" s="19"/>
      <c r="G1123" s="16"/>
      <c r="H1123" s="16"/>
      <c r="I1123" s="16"/>
      <c r="J1123" s="19"/>
      <c r="K1123" s="19"/>
      <c r="L1123" s="19"/>
      <c r="M1123" s="19"/>
      <c r="N1123" s="19"/>
      <c r="O1123" s="19"/>
      <c r="P1123" s="19"/>
      <c r="Q1123" s="19"/>
      <c r="R1123" s="19"/>
      <c r="S1123" s="19"/>
      <c r="T1123" s="19"/>
    </row>
    <row r="1124" spans="1:20" ht="13.2" x14ac:dyDescent="0.25">
      <c r="A1124" s="39"/>
      <c r="B1124" s="37"/>
      <c r="D1124" s="19"/>
      <c r="E1124" s="19"/>
      <c r="G1124" s="16"/>
      <c r="H1124" s="16"/>
      <c r="I1124" s="16"/>
      <c r="J1124" s="19"/>
      <c r="K1124" s="19"/>
      <c r="L1124" s="19"/>
      <c r="M1124" s="19"/>
      <c r="N1124" s="19"/>
      <c r="O1124" s="19"/>
      <c r="P1124" s="19"/>
      <c r="Q1124" s="19"/>
      <c r="R1124" s="19"/>
      <c r="S1124" s="19"/>
      <c r="T1124" s="19"/>
    </row>
    <row r="1125" spans="1:20" ht="13.2" x14ac:dyDescent="0.25">
      <c r="A1125" s="39"/>
      <c r="B1125" s="37"/>
      <c r="D1125" s="19"/>
      <c r="E1125" s="19"/>
      <c r="G1125" s="16"/>
      <c r="H1125" s="16"/>
      <c r="I1125" s="16"/>
      <c r="J1125" s="19"/>
      <c r="K1125" s="19"/>
      <c r="L1125" s="19"/>
      <c r="M1125" s="19"/>
      <c r="N1125" s="19"/>
      <c r="O1125" s="19"/>
      <c r="P1125" s="19"/>
      <c r="Q1125" s="19"/>
      <c r="R1125" s="19"/>
      <c r="S1125" s="19"/>
      <c r="T1125" s="19"/>
    </row>
    <row r="1126" spans="1:20" ht="13.2" x14ac:dyDescent="0.25">
      <c r="A1126" s="39"/>
      <c r="B1126" s="37"/>
      <c r="D1126" s="19"/>
      <c r="E1126" s="19"/>
      <c r="G1126" s="16"/>
      <c r="H1126" s="16"/>
      <c r="I1126" s="16"/>
      <c r="J1126" s="19"/>
      <c r="K1126" s="19"/>
      <c r="L1126" s="19"/>
      <c r="M1126" s="19"/>
      <c r="N1126" s="19"/>
      <c r="O1126" s="19"/>
      <c r="P1126" s="19"/>
      <c r="Q1126" s="19"/>
      <c r="R1126" s="19"/>
      <c r="S1126" s="19"/>
      <c r="T1126" s="19"/>
    </row>
    <row r="1127" spans="1:20" ht="13.2" x14ac:dyDescent="0.25">
      <c r="A1127" s="39"/>
      <c r="B1127" s="37"/>
      <c r="D1127" s="19"/>
      <c r="E1127" s="19"/>
      <c r="G1127" s="16"/>
      <c r="H1127" s="16"/>
      <c r="I1127" s="16"/>
      <c r="J1127" s="19"/>
      <c r="K1127" s="19"/>
      <c r="L1127" s="19"/>
      <c r="M1127" s="19"/>
      <c r="N1127" s="19"/>
      <c r="O1127" s="19"/>
      <c r="P1127" s="19"/>
      <c r="Q1127" s="19"/>
      <c r="R1127" s="19"/>
      <c r="S1127" s="19"/>
      <c r="T1127" s="19"/>
    </row>
    <row r="1128" spans="1:20" ht="13.2" x14ac:dyDescent="0.25">
      <c r="A1128" s="39"/>
      <c r="B1128" s="37"/>
      <c r="D1128" s="19"/>
      <c r="E1128" s="19"/>
      <c r="G1128" s="16"/>
      <c r="H1128" s="16"/>
      <c r="I1128" s="16"/>
      <c r="J1128" s="19"/>
      <c r="K1128" s="19"/>
      <c r="L1128" s="19"/>
      <c r="M1128" s="19"/>
      <c r="N1128" s="19"/>
      <c r="O1128" s="19"/>
      <c r="P1128" s="19"/>
      <c r="Q1128" s="19"/>
      <c r="R1128" s="19"/>
      <c r="S1128" s="19"/>
      <c r="T1128" s="19"/>
    </row>
    <row r="1129" spans="1:20" ht="13.2" x14ac:dyDescent="0.25">
      <c r="A1129" s="39"/>
      <c r="B1129" s="37"/>
      <c r="D1129" s="19"/>
      <c r="E1129" s="19"/>
      <c r="G1129" s="16"/>
      <c r="H1129" s="16"/>
      <c r="I1129" s="16"/>
      <c r="J1129" s="19"/>
      <c r="K1129" s="19"/>
      <c r="L1129" s="19"/>
      <c r="M1129" s="19"/>
      <c r="N1129" s="19"/>
      <c r="O1129" s="19"/>
      <c r="P1129" s="19"/>
      <c r="Q1129" s="19"/>
      <c r="R1129" s="19"/>
      <c r="S1129" s="19"/>
      <c r="T1129" s="19"/>
    </row>
    <row r="1130" spans="1:20" ht="13.2" x14ac:dyDescent="0.25">
      <c r="A1130" s="39"/>
      <c r="B1130" s="37"/>
      <c r="D1130" s="19"/>
      <c r="E1130" s="19"/>
      <c r="G1130" s="16"/>
      <c r="H1130" s="16"/>
      <c r="I1130" s="16"/>
      <c r="J1130" s="19"/>
      <c r="K1130" s="19"/>
      <c r="L1130" s="19"/>
      <c r="M1130" s="19"/>
      <c r="N1130" s="19"/>
      <c r="O1130" s="19"/>
      <c r="P1130" s="19"/>
      <c r="Q1130" s="19"/>
      <c r="R1130" s="19"/>
      <c r="S1130" s="19"/>
      <c r="T1130" s="19"/>
    </row>
    <row r="1131" spans="1:20" ht="13.2" x14ac:dyDescent="0.25">
      <c r="A1131" s="39"/>
      <c r="B1131" s="37"/>
      <c r="D1131" s="19"/>
      <c r="E1131" s="19"/>
      <c r="G1131" s="16"/>
      <c r="H1131" s="16"/>
      <c r="I1131" s="16"/>
      <c r="J1131" s="19"/>
      <c r="K1131" s="19"/>
      <c r="L1131" s="19"/>
      <c r="M1131" s="19"/>
      <c r="N1131" s="19"/>
      <c r="O1131" s="19"/>
      <c r="P1131" s="19"/>
      <c r="Q1131" s="19"/>
      <c r="R1131" s="19"/>
      <c r="S1131" s="19"/>
      <c r="T1131" s="19"/>
    </row>
    <row r="1132" spans="1:20" ht="13.2" x14ac:dyDescent="0.25">
      <c r="A1132" s="39"/>
      <c r="B1132" s="37"/>
      <c r="D1132" s="19"/>
      <c r="E1132" s="19"/>
      <c r="G1132" s="16"/>
      <c r="H1132" s="16"/>
      <c r="I1132" s="16"/>
      <c r="J1132" s="19"/>
      <c r="K1132" s="19"/>
      <c r="L1132" s="19"/>
      <c r="M1132" s="19"/>
      <c r="N1132" s="19"/>
      <c r="O1132" s="19"/>
      <c r="P1132" s="19"/>
      <c r="Q1132" s="19"/>
      <c r="R1132" s="19"/>
      <c r="S1132" s="19"/>
      <c r="T1132" s="19"/>
    </row>
    <row r="1133" spans="1:20" ht="13.2" x14ac:dyDescent="0.25">
      <c r="A1133" s="39"/>
      <c r="B1133" s="37"/>
      <c r="D1133" s="19"/>
      <c r="E1133" s="19"/>
      <c r="G1133" s="16"/>
      <c r="H1133" s="16"/>
      <c r="I1133" s="16"/>
      <c r="J1133" s="19"/>
      <c r="K1133" s="19"/>
      <c r="L1133" s="19"/>
      <c r="M1133" s="19"/>
      <c r="N1133" s="19"/>
      <c r="O1133" s="19"/>
      <c r="P1133" s="19"/>
      <c r="Q1133" s="19"/>
      <c r="R1133" s="19"/>
      <c r="S1133" s="19"/>
      <c r="T1133" s="19"/>
    </row>
    <row r="1134" spans="1:20" ht="13.2" x14ac:dyDescent="0.25">
      <c r="A1134" s="39"/>
      <c r="B1134" s="37"/>
      <c r="D1134" s="19"/>
      <c r="E1134" s="19"/>
      <c r="G1134" s="16"/>
      <c r="H1134" s="16"/>
      <c r="I1134" s="16"/>
      <c r="J1134" s="19"/>
      <c r="K1134" s="19"/>
      <c r="L1134" s="19"/>
      <c r="M1134" s="19"/>
      <c r="N1134" s="19"/>
      <c r="O1134" s="19"/>
      <c r="P1134" s="19"/>
      <c r="Q1134" s="19"/>
      <c r="R1134" s="19"/>
      <c r="S1134" s="19"/>
      <c r="T1134" s="19"/>
    </row>
    <row r="1135" spans="1:20" ht="13.2" x14ac:dyDescent="0.25">
      <c r="A1135" s="39"/>
      <c r="B1135" s="37"/>
      <c r="D1135" s="19"/>
      <c r="E1135" s="19"/>
      <c r="G1135" s="16"/>
      <c r="H1135" s="16"/>
      <c r="I1135" s="16"/>
      <c r="J1135" s="19"/>
      <c r="K1135" s="19"/>
      <c r="L1135" s="19"/>
      <c r="M1135" s="19"/>
      <c r="N1135" s="19"/>
      <c r="O1135" s="19"/>
      <c r="P1135" s="19"/>
      <c r="Q1135" s="19"/>
      <c r="R1135" s="19"/>
      <c r="S1135" s="19"/>
      <c r="T1135" s="19"/>
    </row>
    <row r="1136" spans="1:20" ht="13.2" x14ac:dyDescent="0.25">
      <c r="A1136" s="39"/>
      <c r="B1136" s="37"/>
      <c r="D1136" s="19"/>
      <c r="E1136" s="19"/>
      <c r="G1136" s="16"/>
      <c r="H1136" s="16"/>
      <c r="I1136" s="16"/>
      <c r="J1136" s="19"/>
      <c r="K1136" s="19"/>
      <c r="L1136" s="19"/>
      <c r="M1136" s="19"/>
      <c r="N1136" s="19"/>
      <c r="O1136" s="19"/>
      <c r="P1136" s="19"/>
      <c r="Q1136" s="19"/>
      <c r="R1136" s="19"/>
      <c r="S1136" s="19"/>
      <c r="T1136" s="19"/>
    </row>
    <row r="1137" spans="1:20" ht="13.2" x14ac:dyDescent="0.25">
      <c r="A1137" s="39"/>
      <c r="B1137" s="37"/>
      <c r="D1137" s="19"/>
      <c r="E1137" s="19"/>
      <c r="G1137" s="16"/>
      <c r="H1137" s="16"/>
      <c r="I1137" s="16"/>
      <c r="J1137" s="19"/>
      <c r="K1137" s="19"/>
      <c r="L1137" s="19"/>
      <c r="M1137" s="19"/>
      <c r="N1137" s="19"/>
      <c r="O1137" s="19"/>
      <c r="P1137" s="19"/>
      <c r="Q1137" s="19"/>
      <c r="R1137" s="19"/>
      <c r="S1137" s="19"/>
      <c r="T1137" s="19"/>
    </row>
    <row r="1138" spans="1:20" ht="13.2" x14ac:dyDescent="0.25">
      <c r="A1138" s="39"/>
      <c r="B1138" s="37"/>
      <c r="D1138" s="19"/>
      <c r="E1138" s="19"/>
      <c r="G1138" s="16"/>
      <c r="H1138" s="16"/>
      <c r="I1138" s="16"/>
      <c r="J1138" s="19"/>
      <c r="K1138" s="19"/>
      <c r="L1138" s="19"/>
      <c r="M1138" s="19"/>
      <c r="N1138" s="19"/>
      <c r="O1138" s="19"/>
      <c r="P1138" s="19"/>
      <c r="Q1138" s="19"/>
      <c r="R1138" s="19"/>
      <c r="S1138" s="19"/>
      <c r="T1138" s="19"/>
    </row>
    <row r="1139" spans="1:20" ht="13.2" x14ac:dyDescent="0.25">
      <c r="A1139" s="39"/>
      <c r="B1139" s="37"/>
      <c r="D1139" s="19"/>
      <c r="E1139" s="19"/>
      <c r="G1139" s="16"/>
      <c r="H1139" s="16"/>
      <c r="I1139" s="16"/>
      <c r="J1139" s="19"/>
      <c r="K1139" s="19"/>
      <c r="L1139" s="19"/>
      <c r="M1139" s="19"/>
      <c r="N1139" s="19"/>
      <c r="O1139" s="19"/>
      <c r="P1139" s="19"/>
      <c r="Q1139" s="19"/>
      <c r="R1139" s="19"/>
      <c r="S1139" s="19"/>
      <c r="T1139" s="19"/>
    </row>
    <row r="1140" spans="1:20" ht="13.2" x14ac:dyDescent="0.25">
      <c r="A1140" s="39"/>
      <c r="B1140" s="37"/>
      <c r="D1140" s="19"/>
      <c r="E1140" s="19"/>
      <c r="G1140" s="16"/>
      <c r="H1140" s="16"/>
      <c r="I1140" s="16"/>
      <c r="J1140" s="19"/>
      <c r="K1140" s="19"/>
      <c r="L1140" s="19"/>
      <c r="M1140" s="19"/>
      <c r="N1140" s="19"/>
      <c r="O1140" s="19"/>
      <c r="P1140" s="19"/>
      <c r="Q1140" s="19"/>
      <c r="R1140" s="19"/>
      <c r="S1140" s="19"/>
      <c r="T1140" s="19"/>
    </row>
    <row r="1141" spans="1:20" ht="13.2" x14ac:dyDescent="0.25">
      <c r="A1141" s="39"/>
      <c r="B1141" s="37"/>
      <c r="D1141" s="19"/>
      <c r="E1141" s="19"/>
      <c r="G1141" s="16"/>
      <c r="H1141" s="16"/>
      <c r="I1141" s="16"/>
      <c r="J1141" s="19"/>
      <c r="K1141" s="19"/>
      <c r="L1141" s="19"/>
      <c r="M1141" s="19"/>
      <c r="N1141" s="19"/>
      <c r="O1141" s="19"/>
      <c r="P1141" s="19"/>
      <c r="Q1141" s="19"/>
      <c r="R1141" s="19"/>
      <c r="S1141" s="19"/>
      <c r="T1141" s="19"/>
    </row>
    <row r="1142" spans="1:20" ht="13.2" x14ac:dyDescent="0.25">
      <c r="A1142" s="39"/>
      <c r="B1142" s="37"/>
      <c r="D1142" s="19"/>
      <c r="E1142" s="19"/>
      <c r="G1142" s="16"/>
      <c r="H1142" s="16"/>
      <c r="I1142" s="16"/>
      <c r="J1142" s="19"/>
      <c r="K1142" s="19"/>
      <c r="L1142" s="19"/>
      <c r="M1142" s="19"/>
      <c r="N1142" s="19"/>
      <c r="O1142" s="19"/>
      <c r="P1142" s="19"/>
      <c r="Q1142" s="19"/>
      <c r="R1142" s="19"/>
      <c r="S1142" s="19"/>
      <c r="T1142" s="19"/>
    </row>
    <row r="1143" spans="1:20" ht="13.2" x14ac:dyDescent="0.25">
      <c r="A1143" s="39"/>
      <c r="B1143" s="37"/>
      <c r="D1143" s="19"/>
      <c r="E1143" s="19"/>
      <c r="G1143" s="16"/>
      <c r="H1143" s="16"/>
      <c r="I1143" s="16"/>
      <c r="J1143" s="19"/>
      <c r="K1143" s="19"/>
      <c r="L1143" s="19"/>
      <c r="M1143" s="19"/>
      <c r="N1143" s="19"/>
      <c r="O1143" s="19"/>
      <c r="P1143" s="19"/>
      <c r="Q1143" s="19"/>
      <c r="R1143" s="19"/>
      <c r="S1143" s="19"/>
      <c r="T1143" s="19"/>
    </row>
    <row r="1144" spans="1:20" ht="13.2" x14ac:dyDescent="0.25">
      <c r="A1144" s="39"/>
      <c r="B1144" s="37"/>
      <c r="D1144" s="19"/>
      <c r="E1144" s="19"/>
      <c r="G1144" s="16"/>
      <c r="H1144" s="16"/>
      <c r="I1144" s="16"/>
      <c r="J1144" s="19"/>
      <c r="K1144" s="19"/>
      <c r="L1144" s="19"/>
      <c r="M1144" s="19"/>
      <c r="N1144" s="19"/>
      <c r="O1144" s="19"/>
      <c r="P1144" s="19"/>
      <c r="Q1144" s="19"/>
      <c r="R1144" s="19"/>
      <c r="S1144" s="19"/>
      <c r="T1144" s="19"/>
    </row>
    <row r="1145" spans="1:20" ht="13.2" x14ac:dyDescent="0.25">
      <c r="A1145" s="39"/>
      <c r="B1145" s="37"/>
      <c r="D1145" s="19"/>
      <c r="E1145" s="19"/>
      <c r="G1145" s="16"/>
      <c r="H1145" s="16"/>
      <c r="I1145" s="16"/>
      <c r="J1145" s="19"/>
      <c r="K1145" s="19"/>
      <c r="L1145" s="19"/>
      <c r="M1145" s="19"/>
      <c r="N1145" s="19"/>
      <c r="O1145" s="19"/>
      <c r="P1145" s="19"/>
      <c r="Q1145" s="19"/>
      <c r="R1145" s="19"/>
      <c r="S1145" s="19"/>
      <c r="T1145" s="19"/>
    </row>
    <row r="1146" spans="1:20" ht="13.2" x14ac:dyDescent="0.25">
      <c r="A1146" s="39"/>
      <c r="B1146" s="37"/>
      <c r="D1146" s="19"/>
      <c r="E1146" s="19"/>
      <c r="G1146" s="16"/>
      <c r="H1146" s="16"/>
      <c r="I1146" s="16"/>
      <c r="J1146" s="19"/>
      <c r="K1146" s="19"/>
      <c r="L1146" s="19"/>
      <c r="M1146" s="19"/>
      <c r="N1146" s="19"/>
      <c r="O1146" s="19"/>
      <c r="P1146" s="19"/>
      <c r="Q1146" s="19"/>
      <c r="R1146" s="19"/>
      <c r="S1146" s="19"/>
      <c r="T1146" s="19"/>
    </row>
    <row r="1147" spans="1:20" ht="13.2" x14ac:dyDescent="0.25">
      <c r="A1147" s="39"/>
      <c r="B1147" s="37"/>
      <c r="D1147" s="19"/>
      <c r="E1147" s="19"/>
      <c r="G1147" s="16"/>
      <c r="H1147" s="16"/>
      <c r="I1147" s="16"/>
      <c r="J1147" s="19"/>
      <c r="K1147" s="19"/>
      <c r="L1147" s="19"/>
      <c r="M1147" s="19"/>
      <c r="N1147" s="19"/>
      <c r="O1147" s="19"/>
      <c r="P1147" s="19"/>
      <c r="Q1147" s="19"/>
      <c r="R1147" s="19"/>
      <c r="S1147" s="19"/>
      <c r="T1147" s="19"/>
    </row>
    <row r="1148" spans="1:20" ht="13.2" x14ac:dyDescent="0.25">
      <c r="A1148" s="39"/>
      <c r="B1148" s="37"/>
      <c r="D1148" s="19"/>
      <c r="E1148" s="19"/>
      <c r="G1148" s="16"/>
      <c r="H1148" s="16"/>
      <c r="I1148" s="16"/>
      <c r="J1148" s="19"/>
      <c r="K1148" s="19"/>
      <c r="L1148" s="19"/>
      <c r="M1148" s="19"/>
      <c r="N1148" s="19"/>
      <c r="O1148" s="19"/>
      <c r="P1148" s="19"/>
      <c r="Q1148" s="19"/>
      <c r="R1148" s="19"/>
      <c r="S1148" s="19"/>
      <c r="T1148" s="19"/>
    </row>
    <row r="1149" spans="1:20" ht="13.2" x14ac:dyDescent="0.25">
      <c r="A1149" s="39"/>
      <c r="B1149" s="37"/>
      <c r="D1149" s="19"/>
      <c r="E1149" s="19"/>
      <c r="G1149" s="16"/>
      <c r="H1149" s="16"/>
      <c r="I1149" s="16"/>
      <c r="J1149" s="19"/>
      <c r="K1149" s="19"/>
      <c r="L1149" s="19"/>
      <c r="M1149" s="19"/>
      <c r="N1149" s="19"/>
      <c r="O1149" s="19"/>
      <c r="P1149" s="19"/>
      <c r="Q1149" s="19"/>
      <c r="R1149" s="19"/>
      <c r="S1149" s="19"/>
      <c r="T1149" s="19"/>
    </row>
    <row r="1150" spans="1:20" ht="13.2" x14ac:dyDescent="0.25">
      <c r="A1150" s="39"/>
      <c r="B1150" s="37"/>
      <c r="D1150" s="19"/>
      <c r="E1150" s="19"/>
      <c r="G1150" s="16"/>
      <c r="H1150" s="16"/>
      <c r="I1150" s="16"/>
      <c r="J1150" s="19"/>
      <c r="K1150" s="19"/>
      <c r="L1150" s="19"/>
      <c r="M1150" s="19"/>
      <c r="N1150" s="19"/>
      <c r="O1150" s="19"/>
      <c r="P1150" s="19"/>
      <c r="Q1150" s="19"/>
      <c r="R1150" s="19"/>
      <c r="S1150" s="19"/>
      <c r="T1150" s="19"/>
    </row>
    <row r="1151" spans="1:20" ht="13.2" x14ac:dyDescent="0.25">
      <c r="A1151" s="39"/>
      <c r="B1151" s="37"/>
      <c r="D1151" s="19"/>
      <c r="E1151" s="19"/>
      <c r="G1151" s="16"/>
      <c r="H1151" s="16"/>
      <c r="I1151" s="16"/>
      <c r="J1151" s="19"/>
      <c r="K1151" s="19"/>
      <c r="L1151" s="19"/>
      <c r="M1151" s="19"/>
      <c r="N1151" s="19"/>
      <c r="O1151" s="19"/>
      <c r="P1151" s="19"/>
      <c r="Q1151" s="19"/>
      <c r="R1151" s="19"/>
      <c r="S1151" s="19"/>
      <c r="T1151" s="19"/>
    </row>
    <row r="1152" spans="1:20" ht="13.2" x14ac:dyDescent="0.25">
      <c r="A1152" s="39"/>
      <c r="B1152" s="37"/>
      <c r="D1152" s="19"/>
      <c r="E1152" s="19"/>
      <c r="G1152" s="16"/>
      <c r="H1152" s="16"/>
      <c r="I1152" s="16"/>
      <c r="J1152" s="19"/>
      <c r="K1152" s="19"/>
      <c r="L1152" s="19"/>
      <c r="M1152" s="19"/>
      <c r="N1152" s="19"/>
      <c r="O1152" s="19"/>
      <c r="P1152" s="19"/>
      <c r="Q1152" s="19"/>
      <c r="R1152" s="19"/>
      <c r="S1152" s="19"/>
      <c r="T1152" s="19"/>
    </row>
    <row r="1153" spans="1:20" ht="13.2" x14ac:dyDescent="0.25">
      <c r="A1153" s="39"/>
      <c r="B1153" s="37"/>
      <c r="D1153" s="19"/>
      <c r="E1153" s="19"/>
      <c r="G1153" s="16"/>
      <c r="H1153" s="16"/>
      <c r="I1153" s="16"/>
      <c r="J1153" s="19"/>
      <c r="K1153" s="19"/>
      <c r="L1153" s="19"/>
      <c r="M1153" s="19"/>
      <c r="N1153" s="19"/>
      <c r="O1153" s="19"/>
      <c r="P1153" s="19"/>
      <c r="Q1153" s="19"/>
      <c r="R1153" s="19"/>
      <c r="S1153" s="19"/>
      <c r="T1153" s="19"/>
    </row>
    <row r="1154" spans="1:20" ht="13.2" x14ac:dyDescent="0.25">
      <c r="A1154" s="39"/>
      <c r="B1154" s="37"/>
      <c r="D1154" s="19"/>
      <c r="E1154" s="19"/>
      <c r="G1154" s="16"/>
      <c r="H1154" s="16"/>
      <c r="I1154" s="16"/>
      <c r="J1154" s="19"/>
      <c r="K1154" s="19"/>
      <c r="L1154" s="19"/>
      <c r="M1154" s="19"/>
      <c r="N1154" s="19"/>
      <c r="O1154" s="19"/>
      <c r="P1154" s="19"/>
      <c r="Q1154" s="19"/>
      <c r="R1154" s="19"/>
      <c r="S1154" s="19"/>
      <c r="T1154" s="19"/>
    </row>
    <row r="1155" spans="1:20" ht="13.2" x14ac:dyDescent="0.25">
      <c r="A1155" s="39"/>
      <c r="B1155" s="37"/>
      <c r="D1155" s="19"/>
      <c r="E1155" s="19"/>
      <c r="G1155" s="16"/>
      <c r="H1155" s="16"/>
      <c r="I1155" s="16"/>
      <c r="J1155" s="19"/>
      <c r="K1155" s="19"/>
      <c r="L1155" s="19"/>
      <c r="M1155" s="19"/>
      <c r="N1155" s="19"/>
      <c r="O1155" s="19"/>
      <c r="P1155" s="19"/>
      <c r="Q1155" s="19"/>
      <c r="R1155" s="19"/>
      <c r="S1155" s="19"/>
      <c r="T1155" s="19"/>
    </row>
    <row r="1156" spans="1:20" ht="13.2" x14ac:dyDescent="0.25">
      <c r="A1156" s="39"/>
      <c r="B1156" s="37"/>
      <c r="D1156" s="19"/>
      <c r="E1156" s="19"/>
      <c r="G1156" s="16"/>
      <c r="H1156" s="16"/>
      <c r="I1156" s="16"/>
      <c r="J1156" s="19"/>
      <c r="K1156" s="19"/>
      <c r="L1156" s="19"/>
      <c r="M1156" s="19"/>
      <c r="N1156" s="19"/>
      <c r="O1156" s="19"/>
      <c r="P1156" s="19"/>
      <c r="Q1156" s="19"/>
      <c r="R1156" s="19"/>
      <c r="S1156" s="19"/>
      <c r="T1156" s="19"/>
    </row>
    <row r="1157" spans="1:20" ht="13.2" x14ac:dyDescent="0.25">
      <c r="A1157" s="39"/>
      <c r="B1157" s="37"/>
      <c r="D1157" s="19"/>
      <c r="E1157" s="19"/>
      <c r="G1157" s="16"/>
      <c r="H1157" s="16"/>
      <c r="I1157" s="16"/>
      <c r="J1157" s="19"/>
      <c r="K1157" s="19"/>
      <c r="L1157" s="19"/>
      <c r="M1157" s="19"/>
      <c r="N1157" s="19"/>
      <c r="O1157" s="19"/>
      <c r="P1157" s="19"/>
      <c r="Q1157" s="19"/>
      <c r="R1157" s="19"/>
      <c r="S1157" s="19"/>
      <c r="T1157" s="19"/>
    </row>
    <row r="1158" spans="1:20" ht="13.2" x14ac:dyDescent="0.25">
      <c r="A1158" s="39"/>
      <c r="B1158" s="37"/>
      <c r="D1158" s="19"/>
      <c r="E1158" s="19"/>
      <c r="G1158" s="16"/>
      <c r="H1158" s="16"/>
      <c r="I1158" s="16"/>
      <c r="J1158" s="19"/>
      <c r="K1158" s="19"/>
      <c r="L1158" s="19"/>
      <c r="M1158" s="19"/>
      <c r="N1158" s="19"/>
      <c r="O1158" s="19"/>
      <c r="P1158" s="19"/>
      <c r="Q1158" s="19"/>
      <c r="R1158" s="19"/>
      <c r="S1158" s="19"/>
      <c r="T1158" s="19"/>
    </row>
    <row r="1159" spans="1:20" ht="13.2" x14ac:dyDescent="0.25">
      <c r="A1159" s="39"/>
      <c r="B1159" s="37"/>
      <c r="D1159" s="19"/>
      <c r="E1159" s="19"/>
      <c r="G1159" s="16"/>
      <c r="H1159" s="16"/>
      <c r="I1159" s="16"/>
      <c r="J1159" s="19"/>
      <c r="K1159" s="19"/>
      <c r="L1159" s="19"/>
      <c r="M1159" s="19"/>
      <c r="N1159" s="19"/>
      <c r="O1159" s="19"/>
      <c r="P1159" s="19"/>
      <c r="Q1159" s="19"/>
      <c r="R1159" s="19"/>
      <c r="S1159" s="19"/>
      <c r="T1159" s="19"/>
    </row>
    <row r="1160" spans="1:20" ht="13.2" x14ac:dyDescent="0.25">
      <c r="A1160" s="39"/>
      <c r="B1160" s="37"/>
      <c r="D1160" s="19"/>
      <c r="E1160" s="19"/>
      <c r="G1160" s="16"/>
      <c r="H1160" s="16"/>
      <c r="I1160" s="16"/>
      <c r="J1160" s="19"/>
      <c r="K1160" s="19"/>
      <c r="L1160" s="19"/>
      <c r="M1160" s="19"/>
      <c r="N1160" s="19"/>
      <c r="O1160" s="19"/>
      <c r="P1160" s="19"/>
      <c r="Q1160" s="19"/>
      <c r="R1160" s="19"/>
      <c r="S1160" s="19"/>
      <c r="T1160" s="19"/>
    </row>
    <row r="1161" spans="1:20" ht="13.2" x14ac:dyDescent="0.25">
      <c r="A1161" s="39"/>
      <c r="B1161" s="37"/>
      <c r="D1161" s="19"/>
      <c r="E1161" s="19"/>
      <c r="G1161" s="16"/>
      <c r="H1161" s="16"/>
      <c r="I1161" s="16"/>
      <c r="J1161" s="19"/>
      <c r="K1161" s="19"/>
      <c r="L1161" s="19"/>
      <c r="M1161" s="19"/>
      <c r="N1161" s="19"/>
      <c r="O1161" s="19"/>
      <c r="P1161" s="19"/>
      <c r="Q1161" s="19"/>
      <c r="R1161" s="19"/>
      <c r="S1161" s="19"/>
      <c r="T1161" s="19"/>
    </row>
    <row r="1162" spans="1:20" ht="13.2" x14ac:dyDescent="0.25">
      <c r="A1162" s="39"/>
      <c r="B1162" s="37"/>
      <c r="D1162" s="19"/>
      <c r="E1162" s="19"/>
      <c r="G1162" s="16"/>
      <c r="H1162" s="16"/>
      <c r="I1162" s="16"/>
      <c r="J1162" s="19"/>
      <c r="K1162" s="19"/>
      <c r="L1162" s="19"/>
      <c r="M1162" s="19"/>
      <c r="N1162" s="19"/>
      <c r="O1162" s="19"/>
      <c r="P1162" s="19"/>
      <c r="Q1162" s="19"/>
      <c r="R1162" s="19"/>
      <c r="S1162" s="19"/>
      <c r="T1162" s="19"/>
    </row>
    <row r="1163" spans="1:20" ht="13.2" x14ac:dyDescent="0.25">
      <c r="A1163" s="39"/>
      <c r="B1163" s="37"/>
      <c r="D1163" s="19"/>
      <c r="E1163" s="19"/>
      <c r="G1163" s="16"/>
      <c r="H1163" s="16"/>
      <c r="I1163" s="16"/>
      <c r="J1163" s="19"/>
      <c r="K1163" s="19"/>
      <c r="L1163" s="19"/>
      <c r="M1163" s="19"/>
      <c r="N1163" s="19"/>
      <c r="O1163" s="19"/>
      <c r="P1163" s="19"/>
      <c r="Q1163" s="19"/>
      <c r="R1163" s="19"/>
      <c r="S1163" s="19"/>
      <c r="T1163" s="19"/>
    </row>
    <row r="1164" spans="1:20" ht="13.2" x14ac:dyDescent="0.25">
      <c r="A1164" s="39"/>
      <c r="B1164" s="37"/>
      <c r="D1164" s="19"/>
      <c r="E1164" s="19"/>
      <c r="G1164" s="16"/>
      <c r="H1164" s="16"/>
      <c r="I1164" s="16"/>
      <c r="J1164" s="19"/>
      <c r="K1164" s="19"/>
      <c r="L1164" s="19"/>
      <c r="M1164" s="19"/>
      <c r="N1164" s="19"/>
      <c r="O1164" s="19"/>
      <c r="P1164" s="19"/>
      <c r="Q1164" s="19"/>
      <c r="R1164" s="19"/>
      <c r="S1164" s="19"/>
      <c r="T1164" s="19"/>
    </row>
    <row r="1165" spans="1:20" ht="13.2" x14ac:dyDescent="0.25">
      <c r="A1165" s="39"/>
      <c r="B1165" s="37"/>
      <c r="D1165" s="19"/>
      <c r="E1165" s="19"/>
      <c r="G1165" s="16"/>
      <c r="H1165" s="16"/>
      <c r="I1165" s="16"/>
      <c r="J1165" s="19"/>
      <c r="K1165" s="19"/>
      <c r="L1165" s="19"/>
      <c r="M1165" s="19"/>
      <c r="N1165" s="19"/>
      <c r="O1165" s="19"/>
      <c r="P1165" s="19"/>
      <c r="Q1165" s="19"/>
      <c r="R1165" s="19"/>
      <c r="S1165" s="19"/>
      <c r="T1165" s="19"/>
    </row>
    <row r="1166" spans="1:20" ht="13.2" x14ac:dyDescent="0.25">
      <c r="A1166" s="39"/>
      <c r="B1166" s="37"/>
      <c r="D1166" s="19"/>
      <c r="E1166" s="19"/>
      <c r="G1166" s="16"/>
      <c r="H1166" s="16"/>
      <c r="I1166" s="16"/>
      <c r="J1166" s="19"/>
      <c r="K1166" s="19"/>
      <c r="L1166" s="19"/>
      <c r="M1166" s="19"/>
      <c r="N1166" s="19"/>
      <c r="O1166" s="19"/>
      <c r="P1166" s="19"/>
      <c r="Q1166" s="19"/>
      <c r="R1166" s="19"/>
      <c r="S1166" s="19"/>
      <c r="T1166" s="19"/>
    </row>
    <row r="1167" spans="1:20" ht="13.2" x14ac:dyDescent="0.25">
      <c r="A1167" s="39"/>
      <c r="B1167" s="37"/>
      <c r="D1167" s="19"/>
      <c r="E1167" s="19"/>
      <c r="G1167" s="16"/>
      <c r="H1167" s="16"/>
      <c r="I1167" s="16"/>
      <c r="J1167" s="19"/>
      <c r="K1167" s="19"/>
      <c r="L1167" s="19"/>
      <c r="M1167" s="19"/>
      <c r="N1167" s="19"/>
      <c r="O1167" s="19"/>
      <c r="P1167" s="19"/>
      <c r="Q1167" s="19"/>
      <c r="R1167" s="19"/>
      <c r="S1167" s="19"/>
      <c r="T1167" s="19"/>
    </row>
    <row r="1168" spans="1:20" ht="13.2" x14ac:dyDescent="0.25">
      <c r="A1168" s="39"/>
      <c r="B1168" s="37"/>
      <c r="D1168" s="19"/>
      <c r="E1168" s="19"/>
      <c r="G1168" s="16"/>
      <c r="H1168" s="16"/>
      <c r="I1168" s="16"/>
      <c r="J1168" s="19"/>
      <c r="K1168" s="19"/>
      <c r="L1168" s="19"/>
      <c r="M1168" s="19"/>
      <c r="N1168" s="19"/>
      <c r="O1168" s="19"/>
      <c r="P1168" s="19"/>
      <c r="Q1168" s="19"/>
      <c r="R1168" s="19"/>
      <c r="S1168" s="19"/>
      <c r="T1168" s="19"/>
    </row>
    <row r="1169" spans="1:20" ht="13.2" x14ac:dyDescent="0.25">
      <c r="A1169" s="39"/>
      <c r="B1169" s="37"/>
      <c r="D1169" s="19"/>
      <c r="E1169" s="19"/>
      <c r="G1169" s="16"/>
      <c r="H1169" s="16"/>
      <c r="I1169" s="16"/>
      <c r="J1169" s="19"/>
      <c r="K1169" s="19"/>
      <c r="L1169" s="19"/>
      <c r="M1169" s="19"/>
      <c r="N1169" s="19"/>
      <c r="O1169" s="19"/>
      <c r="P1169" s="19"/>
      <c r="Q1169" s="19"/>
      <c r="R1169" s="19"/>
      <c r="S1169" s="19"/>
      <c r="T1169" s="19"/>
    </row>
    <row r="1170" spans="1:20" ht="13.2" x14ac:dyDescent="0.25">
      <c r="A1170" s="39"/>
      <c r="B1170" s="37"/>
      <c r="D1170" s="19"/>
      <c r="E1170" s="19"/>
      <c r="G1170" s="16"/>
      <c r="H1170" s="16"/>
      <c r="I1170" s="16"/>
      <c r="J1170" s="19"/>
      <c r="K1170" s="19"/>
      <c r="L1170" s="19"/>
      <c r="M1170" s="19"/>
      <c r="N1170" s="19"/>
      <c r="O1170" s="19"/>
      <c r="P1170" s="19"/>
      <c r="Q1170" s="19"/>
      <c r="R1170" s="19"/>
      <c r="S1170" s="19"/>
      <c r="T1170" s="19"/>
    </row>
    <row r="1171" spans="1:20" ht="13.2" x14ac:dyDescent="0.25">
      <c r="A1171" s="39"/>
      <c r="B1171" s="37"/>
      <c r="D1171" s="19"/>
      <c r="E1171" s="19"/>
      <c r="G1171" s="16"/>
      <c r="H1171" s="16"/>
      <c r="I1171" s="16"/>
      <c r="J1171" s="19"/>
      <c r="K1171" s="19"/>
      <c r="L1171" s="19"/>
      <c r="M1171" s="19"/>
      <c r="N1171" s="19"/>
      <c r="O1171" s="19"/>
      <c r="P1171" s="19"/>
      <c r="Q1171" s="19"/>
      <c r="R1171" s="19"/>
      <c r="S1171" s="19"/>
      <c r="T1171" s="19"/>
    </row>
    <row r="1172" spans="1:20" ht="13.2" x14ac:dyDescent="0.25">
      <c r="A1172" s="39"/>
      <c r="B1172" s="37"/>
      <c r="D1172" s="19"/>
      <c r="E1172" s="19"/>
      <c r="G1172" s="16"/>
      <c r="H1172" s="16"/>
      <c r="I1172" s="16"/>
      <c r="J1172" s="19"/>
      <c r="K1172" s="19"/>
      <c r="L1172" s="19"/>
      <c r="M1172" s="19"/>
      <c r="N1172" s="19"/>
      <c r="O1172" s="19"/>
      <c r="P1172" s="19"/>
      <c r="Q1172" s="19"/>
      <c r="R1172" s="19"/>
      <c r="S1172" s="19"/>
      <c r="T1172" s="19"/>
    </row>
    <row r="1173" spans="1:20" ht="13.2" x14ac:dyDescent="0.25">
      <c r="A1173" s="39"/>
      <c r="B1173" s="37"/>
      <c r="D1173" s="19"/>
      <c r="E1173" s="19"/>
      <c r="G1173" s="16"/>
      <c r="H1173" s="16"/>
      <c r="I1173" s="16"/>
      <c r="J1173" s="19"/>
      <c r="K1173" s="19"/>
      <c r="L1173" s="19"/>
      <c r="M1173" s="19"/>
      <c r="N1173" s="19"/>
      <c r="O1173" s="19"/>
      <c r="P1173" s="19"/>
      <c r="Q1173" s="19"/>
      <c r="R1173" s="19"/>
      <c r="S1173" s="19"/>
      <c r="T1173" s="19"/>
    </row>
    <row r="1174" spans="1:20" ht="13.2" x14ac:dyDescent="0.25">
      <c r="A1174" s="39"/>
      <c r="B1174" s="37"/>
      <c r="D1174" s="19"/>
      <c r="E1174" s="19"/>
      <c r="G1174" s="16"/>
      <c r="H1174" s="16"/>
      <c r="I1174" s="16"/>
      <c r="J1174" s="19"/>
      <c r="K1174" s="19"/>
      <c r="L1174" s="19"/>
      <c r="M1174" s="19"/>
      <c r="N1174" s="19"/>
      <c r="O1174" s="19"/>
      <c r="P1174" s="19"/>
      <c r="Q1174" s="19"/>
      <c r="R1174" s="19"/>
      <c r="S1174" s="19"/>
      <c r="T1174" s="19"/>
    </row>
    <row r="1175" spans="1:20" ht="13.2" x14ac:dyDescent="0.25">
      <c r="A1175" s="39"/>
      <c r="B1175" s="37"/>
      <c r="D1175" s="19"/>
      <c r="E1175" s="19"/>
      <c r="G1175" s="16"/>
      <c r="H1175" s="16"/>
      <c r="I1175" s="16"/>
      <c r="J1175" s="19"/>
      <c r="K1175" s="19"/>
      <c r="L1175" s="19"/>
      <c r="M1175" s="19"/>
      <c r="N1175" s="19"/>
      <c r="O1175" s="19"/>
      <c r="P1175" s="19"/>
      <c r="Q1175" s="19"/>
      <c r="R1175" s="19"/>
      <c r="S1175" s="19"/>
      <c r="T1175" s="19"/>
    </row>
    <row r="1176" spans="1:20" ht="13.2" x14ac:dyDescent="0.25">
      <c r="A1176" s="39"/>
      <c r="B1176" s="37"/>
      <c r="D1176" s="19"/>
      <c r="E1176" s="19"/>
      <c r="G1176" s="16"/>
      <c r="H1176" s="16"/>
      <c r="I1176" s="16"/>
      <c r="J1176" s="19"/>
      <c r="K1176" s="19"/>
      <c r="L1176" s="19"/>
      <c r="M1176" s="19"/>
      <c r="N1176" s="19"/>
      <c r="O1176" s="19"/>
      <c r="P1176" s="19"/>
      <c r="Q1176" s="19"/>
      <c r="R1176" s="19"/>
      <c r="S1176" s="19"/>
      <c r="T1176" s="19"/>
    </row>
    <row r="1177" spans="1:20" ht="13.2" x14ac:dyDescent="0.25">
      <c r="A1177" s="39"/>
      <c r="B1177" s="37"/>
      <c r="D1177" s="19"/>
      <c r="E1177" s="19"/>
      <c r="G1177" s="16"/>
      <c r="H1177" s="16"/>
      <c r="I1177" s="16"/>
      <c r="J1177" s="19"/>
      <c r="K1177" s="19"/>
      <c r="L1177" s="19"/>
      <c r="M1177" s="19"/>
      <c r="N1177" s="19"/>
      <c r="O1177" s="19"/>
      <c r="P1177" s="19"/>
      <c r="Q1177" s="19"/>
      <c r="R1177" s="19"/>
      <c r="S1177" s="19"/>
      <c r="T1177" s="19"/>
    </row>
    <row r="1178" spans="1:20" ht="13.2" x14ac:dyDescent="0.25">
      <c r="A1178" s="39"/>
      <c r="B1178" s="37"/>
      <c r="D1178" s="19"/>
      <c r="E1178" s="19"/>
      <c r="G1178" s="16"/>
      <c r="H1178" s="16"/>
      <c r="I1178" s="16"/>
      <c r="J1178" s="19"/>
      <c r="K1178" s="19"/>
      <c r="L1178" s="19"/>
      <c r="M1178" s="19"/>
      <c r="N1178" s="19"/>
      <c r="O1178" s="19"/>
      <c r="P1178" s="19"/>
      <c r="Q1178" s="19"/>
      <c r="R1178" s="19"/>
      <c r="S1178" s="19"/>
      <c r="T1178" s="19"/>
    </row>
    <row r="1179" spans="1:20" ht="13.2" x14ac:dyDescent="0.25">
      <c r="A1179" s="39"/>
      <c r="B1179" s="37"/>
      <c r="D1179" s="19"/>
      <c r="E1179" s="19"/>
      <c r="G1179" s="16"/>
      <c r="H1179" s="16"/>
      <c r="I1179" s="16"/>
      <c r="J1179" s="19"/>
      <c r="K1179" s="19"/>
      <c r="L1179" s="19"/>
      <c r="M1179" s="19"/>
      <c r="N1179" s="19"/>
      <c r="O1179" s="19"/>
      <c r="P1179" s="19"/>
      <c r="Q1179" s="19"/>
      <c r="R1179" s="19"/>
      <c r="S1179" s="19"/>
      <c r="T1179" s="19"/>
    </row>
    <row r="1180" spans="1:20" ht="13.2" x14ac:dyDescent="0.25">
      <c r="A1180" s="39"/>
      <c r="B1180" s="37"/>
      <c r="D1180" s="19"/>
      <c r="E1180" s="19"/>
      <c r="G1180" s="16"/>
      <c r="H1180" s="16"/>
      <c r="I1180" s="16"/>
      <c r="J1180" s="19"/>
      <c r="K1180" s="19"/>
      <c r="L1180" s="19"/>
      <c r="M1180" s="19"/>
      <c r="N1180" s="19"/>
      <c r="O1180" s="19"/>
      <c r="P1180" s="19"/>
      <c r="Q1180" s="19"/>
      <c r="R1180" s="19"/>
      <c r="S1180" s="19"/>
      <c r="T1180" s="19"/>
    </row>
    <row r="1181" spans="1:20" ht="13.2" x14ac:dyDescent="0.25">
      <c r="A1181" s="39"/>
      <c r="B1181" s="37"/>
      <c r="D1181" s="19"/>
      <c r="E1181" s="19"/>
      <c r="G1181" s="16"/>
      <c r="H1181" s="16"/>
      <c r="I1181" s="16"/>
      <c r="J1181" s="19"/>
      <c r="K1181" s="19"/>
      <c r="L1181" s="19"/>
      <c r="M1181" s="19"/>
      <c r="N1181" s="19"/>
      <c r="O1181" s="19"/>
      <c r="P1181" s="19"/>
      <c r="Q1181" s="19"/>
      <c r="R1181" s="19"/>
      <c r="S1181" s="19"/>
      <c r="T1181" s="19"/>
    </row>
    <row r="1182" spans="1:20" ht="13.2" x14ac:dyDescent="0.25">
      <c r="A1182" s="39"/>
      <c r="B1182" s="37"/>
      <c r="D1182" s="19"/>
      <c r="E1182" s="19"/>
      <c r="G1182" s="16"/>
      <c r="H1182" s="16"/>
      <c r="I1182" s="16"/>
      <c r="J1182" s="19"/>
      <c r="K1182" s="19"/>
      <c r="L1182" s="19"/>
      <c r="M1182" s="19"/>
      <c r="N1182" s="19"/>
      <c r="O1182" s="19"/>
      <c r="P1182" s="19"/>
      <c r="Q1182" s="19"/>
      <c r="R1182" s="19"/>
      <c r="S1182" s="19"/>
      <c r="T1182" s="19"/>
    </row>
    <row r="1183" spans="1:20" ht="13.2" x14ac:dyDescent="0.25">
      <c r="A1183" s="39"/>
      <c r="B1183" s="37"/>
      <c r="D1183" s="19"/>
      <c r="E1183" s="19"/>
      <c r="G1183" s="16"/>
      <c r="H1183" s="16"/>
      <c r="I1183" s="16"/>
      <c r="J1183" s="19"/>
      <c r="K1183" s="19"/>
      <c r="L1183" s="19"/>
      <c r="M1183" s="19"/>
      <c r="N1183" s="19"/>
      <c r="O1183" s="19"/>
      <c r="P1183" s="19"/>
      <c r="Q1183" s="19"/>
      <c r="R1183" s="19"/>
      <c r="S1183" s="19"/>
      <c r="T1183" s="19"/>
    </row>
    <row r="1184" spans="1:20" ht="13.2" x14ac:dyDescent="0.25">
      <c r="A1184" s="39"/>
      <c r="B1184" s="37"/>
      <c r="D1184" s="19"/>
      <c r="E1184" s="19"/>
      <c r="G1184" s="16"/>
      <c r="H1184" s="16"/>
      <c r="I1184" s="16"/>
      <c r="J1184" s="19"/>
      <c r="K1184" s="19"/>
      <c r="L1184" s="19"/>
      <c r="M1184" s="19"/>
      <c r="N1184" s="19"/>
      <c r="O1184" s="19"/>
      <c r="P1184" s="19"/>
      <c r="Q1184" s="19"/>
      <c r="R1184" s="19"/>
      <c r="S1184" s="19"/>
      <c r="T1184" s="19"/>
    </row>
    <row r="1185" spans="1:20" ht="13.2" x14ac:dyDescent="0.25">
      <c r="A1185" s="39"/>
      <c r="B1185" s="37"/>
      <c r="D1185" s="19"/>
      <c r="E1185" s="19"/>
      <c r="G1185" s="16"/>
      <c r="H1185" s="16"/>
      <c r="I1185" s="16"/>
      <c r="J1185" s="19"/>
      <c r="K1185" s="19"/>
      <c r="L1185" s="19"/>
      <c r="M1185" s="19"/>
      <c r="N1185" s="19"/>
      <c r="O1185" s="19"/>
      <c r="P1185" s="19"/>
      <c r="Q1185" s="19"/>
      <c r="R1185" s="19"/>
      <c r="S1185" s="19"/>
      <c r="T1185" s="19"/>
    </row>
    <row r="1186" spans="1:20" ht="13.2" x14ac:dyDescent="0.25">
      <c r="A1186" s="39"/>
      <c r="B1186" s="37"/>
      <c r="D1186" s="19"/>
      <c r="E1186" s="19"/>
      <c r="G1186" s="16"/>
      <c r="H1186" s="16"/>
      <c r="I1186" s="16"/>
      <c r="J1186" s="19"/>
      <c r="K1186" s="19"/>
      <c r="L1186" s="19"/>
      <c r="M1186" s="19"/>
      <c r="N1186" s="19"/>
      <c r="O1186" s="19"/>
      <c r="P1186" s="19"/>
      <c r="Q1186" s="19"/>
      <c r="R1186" s="19"/>
      <c r="S1186" s="19"/>
      <c r="T1186" s="19"/>
    </row>
    <row r="1187" spans="1:20" ht="13.2" x14ac:dyDescent="0.25">
      <c r="A1187" s="39"/>
      <c r="B1187" s="37"/>
      <c r="D1187" s="19"/>
      <c r="E1187" s="19"/>
      <c r="G1187" s="16"/>
      <c r="H1187" s="16"/>
      <c r="I1187" s="16"/>
      <c r="J1187" s="19"/>
      <c r="K1187" s="19"/>
      <c r="L1187" s="19"/>
      <c r="M1187" s="19"/>
      <c r="N1187" s="19"/>
      <c r="O1187" s="19"/>
      <c r="P1187" s="19"/>
      <c r="Q1187" s="19"/>
      <c r="R1187" s="19"/>
      <c r="S1187" s="19"/>
      <c r="T1187" s="19"/>
    </row>
    <row r="1188" spans="1:20" ht="13.2" x14ac:dyDescent="0.25">
      <c r="A1188" s="39"/>
      <c r="B1188" s="37"/>
      <c r="D1188" s="19"/>
      <c r="E1188" s="19"/>
      <c r="G1188" s="16"/>
      <c r="H1188" s="16"/>
      <c r="I1188" s="16"/>
      <c r="J1188" s="19"/>
      <c r="K1188" s="19"/>
      <c r="L1188" s="19"/>
      <c r="M1188" s="19"/>
      <c r="N1188" s="19"/>
      <c r="O1188" s="19"/>
      <c r="P1188" s="19"/>
      <c r="Q1188" s="19"/>
      <c r="R1188" s="19"/>
      <c r="S1188" s="19"/>
      <c r="T1188" s="19"/>
    </row>
    <row r="1189" spans="1:20" ht="13.2" x14ac:dyDescent="0.25">
      <c r="A1189" s="39"/>
      <c r="B1189" s="37"/>
      <c r="D1189" s="19"/>
      <c r="E1189" s="19"/>
      <c r="G1189" s="16"/>
      <c r="H1189" s="16"/>
      <c r="I1189" s="16"/>
      <c r="J1189" s="19"/>
      <c r="K1189" s="19"/>
      <c r="L1189" s="19"/>
      <c r="M1189" s="19"/>
      <c r="N1189" s="19"/>
      <c r="O1189" s="19"/>
      <c r="P1189" s="19"/>
      <c r="Q1189" s="19"/>
      <c r="R1189" s="19"/>
      <c r="S1189" s="19"/>
      <c r="T1189" s="19"/>
    </row>
    <row r="1190" spans="1:20" ht="13.2" x14ac:dyDescent="0.25">
      <c r="A1190" s="39"/>
      <c r="B1190" s="37"/>
      <c r="D1190" s="19"/>
      <c r="E1190" s="19"/>
      <c r="G1190" s="16"/>
      <c r="H1190" s="16"/>
      <c r="I1190" s="16"/>
      <c r="J1190" s="19"/>
      <c r="K1190" s="19"/>
      <c r="L1190" s="19"/>
      <c r="M1190" s="19"/>
      <c r="N1190" s="19"/>
      <c r="O1190" s="19"/>
      <c r="P1190" s="19"/>
      <c r="Q1190" s="19"/>
      <c r="R1190" s="19"/>
      <c r="S1190" s="19"/>
      <c r="T1190" s="19"/>
    </row>
    <row r="1191" spans="1:20" ht="13.2" x14ac:dyDescent="0.25">
      <c r="A1191" s="39"/>
      <c r="B1191" s="37"/>
      <c r="D1191" s="19"/>
      <c r="E1191" s="19"/>
      <c r="G1191" s="16"/>
      <c r="H1191" s="16"/>
      <c r="I1191" s="16"/>
      <c r="J1191" s="19"/>
      <c r="K1191" s="19"/>
      <c r="L1191" s="19"/>
      <c r="M1191" s="19"/>
      <c r="N1191" s="19"/>
      <c r="O1191" s="19"/>
      <c r="P1191" s="19"/>
      <c r="Q1191" s="19"/>
      <c r="R1191" s="19"/>
      <c r="S1191" s="19"/>
      <c r="T1191" s="19"/>
    </row>
    <row r="1192" spans="1:20" ht="13.2" x14ac:dyDescent="0.25">
      <c r="A1192" s="39"/>
      <c r="B1192" s="37"/>
      <c r="D1192" s="19"/>
      <c r="E1192" s="19"/>
      <c r="G1192" s="16"/>
      <c r="H1192" s="16"/>
      <c r="I1192" s="16"/>
      <c r="J1192" s="19"/>
      <c r="K1192" s="19"/>
      <c r="L1192" s="19"/>
      <c r="M1192" s="19"/>
      <c r="N1192" s="19"/>
      <c r="O1192" s="19"/>
      <c r="P1192" s="19"/>
      <c r="Q1192" s="19"/>
      <c r="R1192" s="19"/>
      <c r="S1192" s="19"/>
      <c r="T1192" s="19"/>
    </row>
    <row r="1193" spans="1:20" ht="13.2" x14ac:dyDescent="0.25">
      <c r="A1193" s="39"/>
      <c r="B1193" s="37"/>
      <c r="D1193" s="19"/>
      <c r="E1193" s="19"/>
      <c r="G1193" s="16"/>
      <c r="H1193" s="16"/>
      <c r="I1193" s="16"/>
      <c r="J1193" s="19"/>
      <c r="K1193" s="19"/>
      <c r="L1193" s="19"/>
      <c r="M1193" s="19"/>
      <c r="N1193" s="19"/>
      <c r="O1193" s="19"/>
      <c r="P1193" s="19"/>
      <c r="Q1193" s="19"/>
      <c r="R1193" s="19"/>
      <c r="S1193" s="19"/>
      <c r="T1193" s="19"/>
    </row>
    <row r="1194" spans="1:20" ht="13.2" x14ac:dyDescent="0.25">
      <c r="A1194" s="39"/>
      <c r="B1194" s="37"/>
      <c r="D1194" s="19"/>
      <c r="E1194" s="19"/>
      <c r="G1194" s="16"/>
      <c r="H1194" s="16"/>
      <c r="I1194" s="16"/>
      <c r="J1194" s="19"/>
      <c r="K1194" s="19"/>
      <c r="L1194" s="19"/>
      <c r="M1194" s="19"/>
      <c r="N1194" s="19"/>
      <c r="O1194" s="19"/>
      <c r="P1194" s="19"/>
      <c r="Q1194" s="19"/>
      <c r="R1194" s="19"/>
      <c r="S1194" s="19"/>
      <c r="T1194" s="19"/>
    </row>
    <row r="1195" spans="1:20" ht="13.2" x14ac:dyDescent="0.25">
      <c r="A1195" s="39"/>
      <c r="B1195" s="37"/>
      <c r="D1195" s="19"/>
      <c r="E1195" s="19"/>
      <c r="G1195" s="16"/>
      <c r="H1195" s="16"/>
      <c r="I1195" s="16"/>
      <c r="J1195" s="19"/>
      <c r="K1195" s="19"/>
      <c r="L1195" s="19"/>
      <c r="M1195" s="19"/>
      <c r="N1195" s="19"/>
      <c r="O1195" s="19"/>
      <c r="P1195" s="19"/>
      <c r="Q1195" s="19"/>
      <c r="R1195" s="19"/>
      <c r="S1195" s="19"/>
      <c r="T1195" s="19"/>
    </row>
    <row r="1196" spans="1:20" ht="13.2" x14ac:dyDescent="0.25">
      <c r="A1196" s="39"/>
      <c r="B1196" s="37"/>
      <c r="D1196" s="19"/>
      <c r="E1196" s="19"/>
      <c r="G1196" s="16"/>
      <c r="H1196" s="16"/>
      <c r="I1196" s="16"/>
      <c r="J1196" s="19"/>
      <c r="K1196" s="19"/>
      <c r="L1196" s="19"/>
      <c r="M1196" s="19"/>
      <c r="N1196" s="19"/>
      <c r="O1196" s="19"/>
      <c r="P1196" s="19"/>
      <c r="Q1196" s="19"/>
      <c r="R1196" s="19"/>
      <c r="S1196" s="19"/>
      <c r="T1196" s="19"/>
    </row>
    <row r="1197" spans="1:20" ht="13.2" x14ac:dyDescent="0.25">
      <c r="A1197" s="39"/>
      <c r="B1197" s="37"/>
      <c r="D1197" s="19"/>
      <c r="E1197" s="19"/>
      <c r="G1197" s="16"/>
      <c r="H1197" s="16"/>
      <c r="I1197" s="16"/>
      <c r="J1197" s="19"/>
      <c r="K1197" s="19"/>
      <c r="L1197" s="19"/>
      <c r="M1197" s="19"/>
      <c r="N1197" s="19"/>
      <c r="O1197" s="19"/>
      <c r="P1197" s="19"/>
      <c r="Q1197" s="19"/>
      <c r="R1197" s="19"/>
      <c r="S1197" s="19"/>
      <c r="T1197" s="19"/>
    </row>
    <row r="1198" spans="1:20" ht="13.2" x14ac:dyDescent="0.25">
      <c r="A1198" s="39"/>
      <c r="B1198" s="37"/>
      <c r="D1198" s="19"/>
      <c r="E1198" s="19"/>
      <c r="G1198" s="16"/>
      <c r="H1198" s="16"/>
      <c r="I1198" s="16"/>
      <c r="J1198" s="19"/>
      <c r="K1198" s="19"/>
      <c r="L1198" s="19"/>
      <c r="M1198" s="19"/>
      <c r="N1198" s="19"/>
      <c r="O1198" s="19"/>
      <c r="P1198" s="19"/>
      <c r="Q1198" s="19"/>
      <c r="R1198" s="19"/>
      <c r="S1198" s="19"/>
      <c r="T1198" s="19"/>
    </row>
    <row r="1199" spans="1:20" ht="13.2" x14ac:dyDescent="0.25">
      <c r="A1199" s="39"/>
      <c r="B1199" s="37"/>
      <c r="D1199" s="19"/>
      <c r="E1199" s="19"/>
      <c r="G1199" s="16"/>
      <c r="H1199" s="16"/>
      <c r="I1199" s="16"/>
      <c r="J1199" s="19"/>
      <c r="K1199" s="19"/>
      <c r="L1199" s="19"/>
      <c r="M1199" s="19"/>
      <c r="N1199" s="19"/>
      <c r="O1199" s="19"/>
      <c r="P1199" s="19"/>
      <c r="Q1199" s="19"/>
      <c r="R1199" s="19"/>
      <c r="S1199" s="19"/>
      <c r="T1199" s="19"/>
    </row>
    <row r="1200" spans="1:20" ht="13.2" x14ac:dyDescent="0.25">
      <c r="A1200" s="39"/>
      <c r="B1200" s="37"/>
      <c r="D1200" s="19"/>
      <c r="E1200" s="19"/>
      <c r="G1200" s="16"/>
      <c r="H1200" s="16"/>
      <c r="I1200" s="16"/>
      <c r="J1200" s="19"/>
      <c r="K1200" s="19"/>
      <c r="L1200" s="19"/>
      <c r="M1200" s="19"/>
      <c r="N1200" s="19"/>
      <c r="O1200" s="19"/>
      <c r="P1200" s="19"/>
      <c r="Q1200" s="19"/>
      <c r="R1200" s="19"/>
      <c r="S1200" s="19"/>
      <c r="T1200" s="19"/>
    </row>
    <row r="1201" spans="1:20" ht="13.2" x14ac:dyDescent="0.25">
      <c r="A1201" s="39"/>
      <c r="B1201" s="37"/>
      <c r="D1201" s="19"/>
      <c r="E1201" s="19"/>
      <c r="G1201" s="16"/>
      <c r="H1201" s="16"/>
      <c r="I1201" s="16"/>
      <c r="J1201" s="19"/>
      <c r="K1201" s="19"/>
      <c r="L1201" s="19"/>
      <c r="M1201" s="19"/>
      <c r="N1201" s="19"/>
      <c r="O1201" s="19"/>
      <c r="P1201" s="19"/>
      <c r="Q1201" s="19"/>
      <c r="R1201" s="19"/>
      <c r="S1201" s="19"/>
      <c r="T1201" s="19"/>
    </row>
    <row r="1202" spans="1:20" ht="13.2" x14ac:dyDescent="0.25">
      <c r="A1202" s="39"/>
      <c r="B1202" s="37"/>
      <c r="D1202" s="19"/>
      <c r="E1202" s="19"/>
      <c r="G1202" s="16"/>
      <c r="H1202" s="16"/>
      <c r="I1202" s="16"/>
      <c r="J1202" s="19"/>
      <c r="K1202" s="19"/>
      <c r="L1202" s="19"/>
      <c r="M1202" s="19"/>
      <c r="N1202" s="19"/>
      <c r="O1202" s="19"/>
      <c r="P1202" s="19"/>
      <c r="Q1202" s="19"/>
      <c r="R1202" s="19"/>
      <c r="S1202" s="19"/>
      <c r="T1202" s="19"/>
    </row>
    <row r="1203" spans="1:20" ht="13.2" x14ac:dyDescent="0.25">
      <c r="A1203" s="39"/>
      <c r="B1203" s="37"/>
      <c r="D1203" s="19"/>
      <c r="E1203" s="19"/>
      <c r="G1203" s="16"/>
      <c r="H1203" s="16"/>
      <c r="I1203" s="16"/>
      <c r="J1203" s="19"/>
      <c r="K1203" s="19"/>
      <c r="L1203" s="19"/>
      <c r="M1203" s="19"/>
      <c r="N1203" s="19"/>
      <c r="O1203" s="19"/>
      <c r="P1203" s="19"/>
      <c r="Q1203" s="19"/>
      <c r="R1203" s="19"/>
      <c r="S1203" s="19"/>
      <c r="T1203" s="19"/>
    </row>
    <row r="1204" spans="1:20" ht="13.2" x14ac:dyDescent="0.25">
      <c r="A1204" s="39"/>
      <c r="B1204" s="37"/>
      <c r="D1204" s="19"/>
      <c r="E1204" s="19"/>
      <c r="G1204" s="16"/>
      <c r="H1204" s="16"/>
      <c r="I1204" s="16"/>
      <c r="J1204" s="19"/>
      <c r="K1204" s="19"/>
      <c r="L1204" s="19"/>
      <c r="M1204" s="19"/>
      <c r="N1204" s="19"/>
      <c r="O1204" s="19"/>
      <c r="P1204" s="19"/>
      <c r="Q1204" s="19"/>
      <c r="R1204" s="19"/>
      <c r="S1204" s="19"/>
      <c r="T1204" s="19"/>
    </row>
    <row r="1205" spans="1:20" ht="13.2" x14ac:dyDescent="0.25">
      <c r="A1205" s="39"/>
      <c r="B1205" s="37"/>
      <c r="D1205" s="19"/>
      <c r="E1205" s="19"/>
      <c r="G1205" s="16"/>
      <c r="H1205" s="16"/>
      <c r="I1205" s="16"/>
      <c r="J1205" s="19"/>
      <c r="K1205" s="19"/>
      <c r="L1205" s="19"/>
      <c r="M1205" s="19"/>
      <c r="N1205" s="19"/>
      <c r="O1205" s="19"/>
      <c r="P1205" s="19"/>
      <c r="Q1205" s="19"/>
      <c r="R1205" s="19"/>
      <c r="S1205" s="19"/>
      <c r="T1205" s="19"/>
    </row>
    <row r="1206" spans="1:20" ht="13.2" x14ac:dyDescent="0.25">
      <c r="A1206" s="39"/>
      <c r="B1206" s="37"/>
      <c r="D1206" s="19"/>
      <c r="E1206" s="19"/>
      <c r="G1206" s="16"/>
      <c r="H1206" s="16"/>
      <c r="I1206" s="16"/>
      <c r="J1206" s="19"/>
      <c r="K1206" s="19"/>
      <c r="L1206" s="19"/>
      <c r="M1206" s="19"/>
      <c r="N1206" s="19"/>
      <c r="O1206" s="19"/>
      <c r="P1206" s="19"/>
      <c r="Q1206" s="19"/>
      <c r="R1206" s="19"/>
      <c r="S1206" s="19"/>
      <c r="T1206" s="19"/>
    </row>
    <row r="1207" spans="1:20" ht="13.2" x14ac:dyDescent="0.25">
      <c r="A1207" s="39"/>
      <c r="B1207" s="37"/>
      <c r="D1207" s="19"/>
      <c r="E1207" s="19"/>
      <c r="G1207" s="16"/>
      <c r="H1207" s="16"/>
      <c r="I1207" s="16"/>
      <c r="J1207" s="19"/>
      <c r="K1207" s="19"/>
      <c r="L1207" s="19"/>
      <c r="M1207" s="19"/>
      <c r="N1207" s="19"/>
      <c r="O1207" s="19"/>
      <c r="P1207" s="19"/>
      <c r="Q1207" s="19"/>
      <c r="R1207" s="19"/>
      <c r="S1207" s="19"/>
      <c r="T1207" s="19"/>
    </row>
    <row r="1208" spans="1:20" ht="13.2" x14ac:dyDescent="0.25">
      <c r="A1208" s="39"/>
      <c r="B1208" s="37"/>
      <c r="D1208" s="19"/>
      <c r="E1208" s="19"/>
      <c r="G1208" s="16"/>
      <c r="H1208" s="16"/>
      <c r="I1208" s="16"/>
      <c r="J1208" s="19"/>
      <c r="K1208" s="19"/>
      <c r="L1208" s="19"/>
      <c r="M1208" s="19"/>
      <c r="N1208" s="19"/>
      <c r="O1208" s="19"/>
      <c r="P1208" s="19"/>
      <c r="Q1208" s="19"/>
      <c r="R1208" s="19"/>
      <c r="S1208" s="19"/>
      <c r="T1208" s="19"/>
    </row>
    <row r="1209" spans="1:20" ht="13.2" x14ac:dyDescent="0.25">
      <c r="A1209" s="39"/>
      <c r="B1209" s="37"/>
      <c r="D1209" s="19"/>
      <c r="E1209" s="19"/>
      <c r="G1209" s="16"/>
      <c r="H1209" s="16"/>
      <c r="I1209" s="16"/>
      <c r="J1209" s="19"/>
      <c r="K1209" s="19"/>
      <c r="L1209" s="19"/>
      <c r="M1209" s="19"/>
      <c r="N1209" s="19"/>
      <c r="O1209" s="19"/>
      <c r="P1209" s="19"/>
      <c r="Q1209" s="19"/>
      <c r="R1209" s="19"/>
      <c r="S1209" s="19"/>
      <c r="T1209" s="19"/>
    </row>
    <row r="1210" spans="1:20" ht="13.2" x14ac:dyDescent="0.25">
      <c r="A1210" s="39"/>
      <c r="B1210" s="37"/>
      <c r="D1210" s="19"/>
      <c r="E1210" s="19"/>
      <c r="G1210" s="16"/>
      <c r="H1210" s="16"/>
      <c r="I1210" s="16"/>
      <c r="J1210" s="19"/>
      <c r="K1210" s="19"/>
      <c r="L1210" s="19"/>
      <c r="M1210" s="19"/>
      <c r="N1210" s="19"/>
      <c r="O1210" s="19"/>
      <c r="P1210" s="19"/>
      <c r="Q1210" s="19"/>
      <c r="R1210" s="19"/>
      <c r="S1210" s="19"/>
      <c r="T1210" s="19"/>
    </row>
    <row r="1211" spans="1:20" ht="13.2" x14ac:dyDescent="0.25">
      <c r="A1211" s="39"/>
      <c r="B1211" s="37"/>
      <c r="D1211" s="19"/>
      <c r="E1211" s="19"/>
      <c r="G1211" s="16"/>
      <c r="H1211" s="16"/>
      <c r="I1211" s="16"/>
      <c r="J1211" s="19"/>
      <c r="K1211" s="19"/>
      <c r="L1211" s="19"/>
      <c r="M1211" s="19"/>
      <c r="N1211" s="19"/>
      <c r="O1211" s="19"/>
      <c r="P1211" s="19"/>
      <c r="Q1211" s="19"/>
      <c r="R1211" s="19"/>
      <c r="S1211" s="19"/>
      <c r="T1211" s="19"/>
    </row>
    <row r="1212" spans="1:20" ht="13.2" x14ac:dyDescent="0.25">
      <c r="A1212" s="39"/>
      <c r="B1212" s="37"/>
      <c r="D1212" s="19"/>
      <c r="E1212" s="19"/>
      <c r="G1212" s="16"/>
      <c r="H1212" s="16"/>
      <c r="I1212" s="16"/>
      <c r="J1212" s="19"/>
      <c r="K1212" s="19"/>
      <c r="L1212" s="19"/>
      <c r="M1212" s="19"/>
      <c r="N1212" s="19"/>
      <c r="O1212" s="19"/>
      <c r="P1212" s="19"/>
      <c r="Q1212" s="19"/>
      <c r="R1212" s="19"/>
      <c r="S1212" s="19"/>
      <c r="T1212" s="19"/>
    </row>
    <row r="1213" spans="1:20" ht="13.2" x14ac:dyDescent="0.25">
      <c r="A1213" s="39"/>
      <c r="B1213" s="37"/>
      <c r="D1213" s="19"/>
      <c r="E1213" s="19"/>
      <c r="G1213" s="16"/>
      <c r="H1213" s="16"/>
      <c r="I1213" s="16"/>
      <c r="J1213" s="19"/>
      <c r="K1213" s="19"/>
      <c r="L1213" s="19"/>
      <c r="M1213" s="19"/>
      <c r="N1213" s="19"/>
      <c r="O1213" s="19"/>
      <c r="P1213" s="19"/>
      <c r="Q1213" s="19"/>
      <c r="R1213" s="19"/>
      <c r="S1213" s="19"/>
      <c r="T1213" s="19"/>
    </row>
    <row r="1214" spans="1:20" ht="13.2" x14ac:dyDescent="0.25">
      <c r="A1214" s="39"/>
      <c r="B1214" s="37"/>
      <c r="D1214" s="19"/>
      <c r="E1214" s="19"/>
      <c r="G1214" s="16"/>
      <c r="H1214" s="16"/>
      <c r="I1214" s="16"/>
      <c r="J1214" s="19"/>
      <c r="K1214" s="19"/>
      <c r="L1214" s="19"/>
      <c r="M1214" s="19"/>
      <c r="N1214" s="19"/>
      <c r="O1214" s="19"/>
      <c r="P1214" s="19"/>
      <c r="Q1214" s="19"/>
      <c r="R1214" s="19"/>
      <c r="S1214" s="19"/>
      <c r="T1214" s="19"/>
    </row>
    <row r="1215" spans="1:20" ht="13.2" x14ac:dyDescent="0.25">
      <c r="A1215" s="39"/>
      <c r="B1215" s="37"/>
      <c r="D1215" s="19"/>
      <c r="E1215" s="19"/>
      <c r="G1215" s="16"/>
      <c r="H1215" s="16"/>
      <c r="I1215" s="16"/>
      <c r="J1215" s="19"/>
      <c r="K1215" s="19"/>
      <c r="L1215" s="19"/>
      <c r="M1215" s="19"/>
      <c r="N1215" s="19"/>
      <c r="O1215" s="19"/>
      <c r="P1215" s="19"/>
      <c r="Q1215" s="19"/>
      <c r="R1215" s="19"/>
      <c r="S1215" s="19"/>
      <c r="T1215" s="19"/>
    </row>
    <row r="1216" spans="1:20" ht="13.2" x14ac:dyDescent="0.25">
      <c r="A1216" s="39"/>
      <c r="B1216" s="37"/>
      <c r="D1216" s="19"/>
      <c r="E1216" s="19"/>
      <c r="G1216" s="16"/>
      <c r="H1216" s="16"/>
      <c r="I1216" s="16"/>
      <c r="J1216" s="19"/>
      <c r="K1216" s="19"/>
      <c r="L1216" s="19"/>
      <c r="M1216" s="19"/>
      <c r="N1216" s="19"/>
      <c r="O1216" s="19"/>
      <c r="P1216" s="19"/>
      <c r="Q1216" s="19"/>
      <c r="R1216" s="19"/>
      <c r="S1216" s="19"/>
      <c r="T1216" s="19"/>
    </row>
    <row r="1217" spans="1:20" ht="13.2" x14ac:dyDescent="0.25">
      <c r="A1217" s="39"/>
      <c r="B1217" s="37"/>
      <c r="D1217" s="19"/>
      <c r="E1217" s="19"/>
      <c r="G1217" s="16"/>
      <c r="H1217" s="16"/>
      <c r="I1217" s="16"/>
      <c r="J1217" s="19"/>
      <c r="K1217" s="19"/>
      <c r="L1217" s="19"/>
      <c r="M1217" s="19"/>
      <c r="N1217" s="19"/>
      <c r="O1217" s="19"/>
      <c r="P1217" s="19"/>
      <c r="Q1217" s="19"/>
      <c r="R1217" s="19"/>
      <c r="S1217" s="19"/>
      <c r="T1217" s="19"/>
    </row>
    <row r="1218" spans="1:20" ht="13.2" x14ac:dyDescent="0.25">
      <c r="A1218" s="39"/>
      <c r="B1218" s="37"/>
      <c r="D1218" s="19"/>
      <c r="E1218" s="19"/>
      <c r="G1218" s="16"/>
      <c r="H1218" s="16"/>
      <c r="I1218" s="16"/>
      <c r="J1218" s="19"/>
      <c r="K1218" s="19"/>
      <c r="L1218" s="19"/>
      <c r="M1218" s="19"/>
      <c r="N1218" s="19"/>
      <c r="O1218" s="19"/>
      <c r="P1218" s="19"/>
      <c r="Q1218" s="19"/>
      <c r="R1218" s="19"/>
      <c r="S1218" s="19"/>
      <c r="T1218" s="19"/>
    </row>
    <row r="1219" spans="1:20" ht="13.2" x14ac:dyDescent="0.25">
      <c r="A1219" s="39"/>
      <c r="B1219" s="37"/>
      <c r="D1219" s="19"/>
      <c r="E1219" s="19"/>
      <c r="G1219" s="16"/>
      <c r="H1219" s="16"/>
      <c r="I1219" s="16"/>
      <c r="J1219" s="19"/>
      <c r="K1219" s="19"/>
      <c r="L1219" s="19"/>
      <c r="M1219" s="19"/>
      <c r="N1219" s="19"/>
      <c r="O1219" s="19"/>
      <c r="P1219" s="19"/>
      <c r="Q1219" s="19"/>
      <c r="R1219" s="19"/>
      <c r="S1219" s="19"/>
      <c r="T1219" s="19"/>
    </row>
    <row r="1220" spans="1:20" ht="13.2" x14ac:dyDescent="0.25">
      <c r="A1220" s="39"/>
      <c r="B1220" s="37"/>
      <c r="D1220" s="19"/>
      <c r="E1220" s="19"/>
      <c r="G1220" s="16"/>
      <c r="H1220" s="16"/>
      <c r="I1220" s="16"/>
      <c r="J1220" s="19"/>
      <c r="K1220" s="19"/>
      <c r="L1220" s="19"/>
      <c r="M1220" s="19"/>
      <c r="N1220" s="19"/>
      <c r="O1220" s="19"/>
      <c r="P1220" s="19"/>
      <c r="Q1220" s="19"/>
      <c r="R1220" s="19"/>
      <c r="S1220" s="19"/>
      <c r="T1220" s="19"/>
    </row>
    <row r="1221" spans="1:20" ht="13.2" x14ac:dyDescent="0.25">
      <c r="A1221" s="39"/>
      <c r="B1221" s="37"/>
      <c r="D1221" s="19"/>
      <c r="E1221" s="19"/>
      <c r="G1221" s="16"/>
      <c r="H1221" s="16"/>
      <c r="I1221" s="16"/>
      <c r="J1221" s="19"/>
      <c r="K1221" s="19"/>
      <c r="L1221" s="19"/>
      <c r="M1221" s="19"/>
      <c r="N1221" s="19"/>
      <c r="O1221" s="19"/>
      <c r="P1221" s="19"/>
      <c r="Q1221" s="19"/>
      <c r="R1221" s="19"/>
      <c r="S1221" s="19"/>
      <c r="T1221" s="19"/>
    </row>
    <row r="1222" spans="1:20" ht="13.2" x14ac:dyDescent="0.25">
      <c r="A1222" s="39"/>
      <c r="B1222" s="37"/>
      <c r="D1222" s="19"/>
      <c r="E1222" s="19"/>
      <c r="G1222" s="16"/>
      <c r="H1222" s="16"/>
      <c r="I1222" s="16"/>
      <c r="J1222" s="19"/>
      <c r="K1222" s="19"/>
      <c r="L1222" s="19"/>
      <c r="M1222" s="19"/>
      <c r="N1222" s="19"/>
      <c r="O1222" s="19"/>
      <c r="P1222" s="19"/>
      <c r="Q1222" s="19"/>
      <c r="R1222" s="19"/>
      <c r="S1222" s="19"/>
      <c r="T1222" s="19"/>
    </row>
    <row r="1223" spans="1:20" ht="13.2" x14ac:dyDescent="0.25">
      <c r="A1223" s="39"/>
      <c r="B1223" s="37"/>
      <c r="D1223" s="19"/>
      <c r="E1223" s="19"/>
      <c r="G1223" s="16"/>
      <c r="H1223" s="16"/>
      <c r="I1223" s="16"/>
      <c r="J1223" s="19"/>
      <c r="K1223" s="19"/>
      <c r="L1223" s="19"/>
      <c r="M1223" s="19"/>
      <c r="N1223" s="19"/>
      <c r="O1223" s="19"/>
      <c r="P1223" s="19"/>
      <c r="Q1223" s="19"/>
      <c r="R1223" s="19"/>
      <c r="S1223" s="19"/>
      <c r="T1223" s="19"/>
    </row>
    <row r="1224" spans="1:20" ht="13.2" x14ac:dyDescent="0.25">
      <c r="A1224" s="39"/>
      <c r="B1224" s="37"/>
      <c r="D1224" s="19"/>
      <c r="E1224" s="19"/>
      <c r="G1224" s="16"/>
      <c r="H1224" s="16"/>
      <c r="I1224" s="16"/>
      <c r="J1224" s="19"/>
      <c r="K1224" s="19"/>
      <c r="L1224" s="19"/>
      <c r="M1224" s="19"/>
      <c r="N1224" s="19"/>
      <c r="O1224" s="19"/>
      <c r="P1224" s="19"/>
      <c r="Q1224" s="19"/>
      <c r="R1224" s="19"/>
      <c r="S1224" s="19"/>
      <c r="T1224" s="19"/>
    </row>
    <row r="1225" spans="1:20" ht="13.2" x14ac:dyDescent="0.25">
      <c r="A1225" s="39"/>
      <c r="B1225" s="37"/>
      <c r="D1225" s="19"/>
      <c r="E1225" s="19"/>
      <c r="G1225" s="16"/>
      <c r="H1225" s="16"/>
      <c r="I1225" s="16"/>
      <c r="J1225" s="19"/>
      <c r="K1225" s="19"/>
      <c r="L1225" s="19"/>
      <c r="M1225" s="19"/>
      <c r="N1225" s="19"/>
      <c r="O1225" s="19"/>
      <c r="P1225" s="19"/>
      <c r="Q1225" s="19"/>
      <c r="R1225" s="19"/>
      <c r="S1225" s="19"/>
      <c r="T1225" s="19"/>
    </row>
    <row r="1226" spans="1:20" ht="13.2" x14ac:dyDescent="0.25">
      <c r="A1226" s="39"/>
      <c r="B1226" s="37"/>
      <c r="D1226" s="19"/>
      <c r="E1226" s="19"/>
      <c r="G1226" s="16"/>
      <c r="H1226" s="16"/>
      <c r="I1226" s="16"/>
      <c r="J1226" s="19"/>
      <c r="K1226" s="19"/>
      <c r="L1226" s="19"/>
      <c r="M1226" s="19"/>
      <c r="N1226" s="19"/>
      <c r="O1226" s="19"/>
      <c r="P1226" s="19"/>
      <c r="Q1226" s="19"/>
      <c r="R1226" s="19"/>
      <c r="S1226" s="19"/>
      <c r="T1226" s="19"/>
    </row>
    <row r="1227" spans="1:20" ht="13.2" x14ac:dyDescent="0.25">
      <c r="A1227" s="39"/>
      <c r="B1227" s="37"/>
      <c r="D1227" s="19"/>
      <c r="E1227" s="19"/>
      <c r="G1227" s="16"/>
      <c r="H1227" s="16"/>
      <c r="I1227" s="16"/>
      <c r="J1227" s="19"/>
      <c r="K1227" s="19"/>
      <c r="L1227" s="19"/>
      <c r="M1227" s="19"/>
      <c r="N1227" s="19"/>
      <c r="O1227" s="19"/>
      <c r="P1227" s="19"/>
      <c r="Q1227" s="19"/>
      <c r="R1227" s="19"/>
      <c r="S1227" s="19"/>
      <c r="T1227" s="19"/>
    </row>
    <row r="1228" spans="1:20" ht="13.2" x14ac:dyDescent="0.25">
      <c r="A1228" s="39"/>
      <c r="B1228" s="37"/>
      <c r="D1228" s="19"/>
      <c r="E1228" s="19"/>
      <c r="G1228" s="16"/>
      <c r="H1228" s="16"/>
      <c r="I1228" s="16"/>
      <c r="J1228" s="19"/>
      <c r="K1228" s="19"/>
      <c r="L1228" s="19"/>
      <c r="M1228" s="19"/>
      <c r="N1228" s="19"/>
      <c r="O1228" s="19"/>
      <c r="P1228" s="19"/>
      <c r="Q1228" s="19"/>
      <c r="R1228" s="19"/>
      <c r="S1228" s="19"/>
      <c r="T1228" s="19"/>
    </row>
    <row r="1229" spans="1:20" ht="13.2" x14ac:dyDescent="0.25">
      <c r="A1229" s="39"/>
      <c r="B1229" s="37"/>
      <c r="D1229" s="19"/>
      <c r="E1229" s="19"/>
      <c r="G1229" s="16"/>
      <c r="H1229" s="16"/>
      <c r="I1229" s="16"/>
      <c r="J1229" s="19"/>
      <c r="K1229" s="19"/>
      <c r="L1229" s="19"/>
      <c r="M1229" s="19"/>
      <c r="N1229" s="19"/>
      <c r="O1229" s="19"/>
      <c r="P1229" s="19"/>
      <c r="Q1229" s="19"/>
      <c r="R1229" s="19"/>
      <c r="S1229" s="19"/>
      <c r="T1229" s="19"/>
    </row>
    <row r="1230" spans="1:20" ht="13.2" x14ac:dyDescent="0.25">
      <c r="A1230" s="39"/>
      <c r="B1230" s="37"/>
      <c r="D1230" s="19"/>
      <c r="E1230" s="19"/>
      <c r="G1230" s="16"/>
      <c r="H1230" s="16"/>
      <c r="I1230" s="16"/>
      <c r="J1230" s="19"/>
      <c r="K1230" s="19"/>
      <c r="L1230" s="19"/>
      <c r="M1230" s="19"/>
      <c r="N1230" s="19"/>
      <c r="O1230" s="19"/>
      <c r="P1230" s="19"/>
      <c r="Q1230" s="19"/>
      <c r="R1230" s="19"/>
      <c r="S1230" s="19"/>
      <c r="T1230" s="19"/>
    </row>
    <row r="1231" spans="1:20" ht="13.2" x14ac:dyDescent="0.25">
      <c r="A1231" s="39"/>
      <c r="B1231" s="37"/>
      <c r="D1231" s="19"/>
      <c r="E1231" s="19"/>
      <c r="G1231" s="16"/>
      <c r="H1231" s="16"/>
      <c r="I1231" s="16"/>
      <c r="J1231" s="19"/>
      <c r="K1231" s="19"/>
      <c r="L1231" s="19"/>
      <c r="M1231" s="19"/>
      <c r="N1231" s="19"/>
      <c r="O1231" s="19"/>
      <c r="P1231" s="19"/>
      <c r="Q1231" s="19"/>
      <c r="R1231" s="19"/>
      <c r="S1231" s="19"/>
      <c r="T1231" s="19"/>
    </row>
    <row r="1232" spans="1:20" ht="13.2" x14ac:dyDescent="0.25">
      <c r="A1232" s="39"/>
      <c r="B1232" s="37"/>
      <c r="D1232" s="19"/>
      <c r="E1232" s="19"/>
      <c r="G1232" s="16"/>
      <c r="H1232" s="16"/>
      <c r="I1232" s="16"/>
      <c r="J1232" s="19"/>
      <c r="K1232" s="19"/>
      <c r="L1232" s="19"/>
      <c r="M1232" s="19"/>
      <c r="N1232" s="19"/>
      <c r="O1232" s="19"/>
      <c r="P1232" s="19"/>
      <c r="Q1232" s="19"/>
      <c r="R1232" s="19"/>
      <c r="S1232" s="19"/>
      <c r="T1232" s="19"/>
    </row>
    <row r="1233" spans="1:20" ht="13.2" x14ac:dyDescent="0.25">
      <c r="A1233" s="39"/>
      <c r="B1233" s="37"/>
      <c r="D1233" s="19"/>
      <c r="E1233" s="19"/>
      <c r="G1233" s="16"/>
      <c r="H1233" s="16"/>
      <c r="I1233" s="16"/>
      <c r="J1233" s="19"/>
      <c r="K1233" s="19"/>
      <c r="L1233" s="19"/>
      <c r="M1233" s="19"/>
      <c r="N1233" s="19"/>
      <c r="O1233" s="19"/>
      <c r="P1233" s="19"/>
      <c r="Q1233" s="19"/>
      <c r="R1233" s="19"/>
      <c r="S1233" s="19"/>
      <c r="T1233" s="19"/>
    </row>
    <row r="1234" spans="1:20" ht="13.2" x14ac:dyDescent="0.25">
      <c r="A1234" s="39"/>
      <c r="B1234" s="37"/>
      <c r="D1234" s="19"/>
      <c r="E1234" s="19"/>
      <c r="G1234" s="16"/>
      <c r="H1234" s="16"/>
      <c r="I1234" s="16"/>
      <c r="J1234" s="19"/>
      <c r="K1234" s="19"/>
      <c r="L1234" s="19"/>
      <c r="M1234" s="19"/>
      <c r="N1234" s="19"/>
      <c r="O1234" s="19"/>
      <c r="P1234" s="19"/>
      <c r="Q1234" s="19"/>
      <c r="R1234" s="19"/>
      <c r="S1234" s="19"/>
      <c r="T1234" s="19"/>
    </row>
    <row r="1235" spans="1:20" ht="13.2" x14ac:dyDescent="0.25">
      <c r="A1235" s="39"/>
      <c r="B1235" s="37"/>
      <c r="D1235" s="19"/>
      <c r="E1235" s="19"/>
      <c r="G1235" s="16"/>
      <c r="H1235" s="16"/>
      <c r="I1235" s="16"/>
      <c r="J1235" s="19"/>
      <c r="K1235" s="19"/>
      <c r="L1235" s="19"/>
      <c r="M1235" s="19"/>
      <c r="N1235" s="19"/>
      <c r="O1235" s="19"/>
      <c r="P1235" s="19"/>
      <c r="Q1235" s="19"/>
      <c r="R1235" s="19"/>
      <c r="S1235" s="19"/>
      <c r="T1235" s="19"/>
    </row>
    <row r="1236" spans="1:20" ht="13.2" x14ac:dyDescent="0.25">
      <c r="A1236" s="39"/>
      <c r="B1236" s="37"/>
      <c r="D1236" s="19"/>
      <c r="E1236" s="19"/>
      <c r="G1236" s="16"/>
      <c r="H1236" s="16"/>
      <c r="I1236" s="16"/>
      <c r="J1236" s="19"/>
      <c r="K1236" s="19"/>
      <c r="L1236" s="19"/>
      <c r="M1236" s="19"/>
      <c r="N1236" s="19"/>
      <c r="O1236" s="19"/>
      <c r="P1236" s="19"/>
      <c r="Q1236" s="19"/>
      <c r="R1236" s="19"/>
      <c r="S1236" s="19"/>
      <c r="T1236" s="19"/>
    </row>
    <row r="1237" spans="1:20" ht="13.2" x14ac:dyDescent="0.25">
      <c r="A1237" s="39"/>
      <c r="B1237" s="37"/>
      <c r="D1237" s="19"/>
      <c r="E1237" s="19"/>
      <c r="G1237" s="16"/>
      <c r="H1237" s="16"/>
      <c r="I1237" s="16"/>
      <c r="J1237" s="19"/>
      <c r="K1237" s="19"/>
      <c r="L1237" s="19"/>
      <c r="M1237" s="19"/>
      <c r="N1237" s="19"/>
      <c r="O1237" s="19"/>
      <c r="P1237" s="19"/>
      <c r="Q1237" s="19"/>
      <c r="R1237" s="19"/>
      <c r="S1237" s="19"/>
      <c r="T1237" s="19"/>
    </row>
    <row r="1238" spans="1:20" ht="13.2" x14ac:dyDescent="0.25">
      <c r="A1238" s="39"/>
      <c r="B1238" s="37"/>
      <c r="D1238" s="19"/>
      <c r="E1238" s="19"/>
      <c r="G1238" s="16"/>
      <c r="H1238" s="16"/>
      <c r="I1238" s="16"/>
      <c r="J1238" s="19"/>
      <c r="K1238" s="19"/>
      <c r="L1238" s="19"/>
      <c r="M1238" s="19"/>
      <c r="N1238" s="19"/>
      <c r="O1238" s="19"/>
      <c r="P1238" s="19"/>
      <c r="Q1238" s="19"/>
      <c r="R1238" s="19"/>
      <c r="S1238" s="19"/>
      <c r="T1238" s="19"/>
    </row>
    <row r="1239" spans="1:20" ht="13.2" x14ac:dyDescent="0.25">
      <c r="A1239" s="39"/>
      <c r="B1239" s="37"/>
      <c r="D1239" s="19"/>
      <c r="E1239" s="19"/>
      <c r="G1239" s="16"/>
      <c r="H1239" s="16"/>
      <c r="I1239" s="16"/>
      <c r="J1239" s="19"/>
      <c r="K1239" s="19"/>
      <c r="L1239" s="19"/>
      <c r="M1239" s="19"/>
      <c r="N1239" s="19"/>
      <c r="O1239" s="19"/>
      <c r="P1239" s="19"/>
      <c r="Q1239" s="19"/>
      <c r="R1239" s="19"/>
      <c r="S1239" s="19"/>
      <c r="T1239" s="19"/>
    </row>
    <row r="1240" spans="1:20" ht="13.2" x14ac:dyDescent="0.25">
      <c r="A1240" s="39"/>
      <c r="B1240" s="37"/>
      <c r="D1240" s="19"/>
      <c r="E1240" s="19"/>
      <c r="G1240" s="16"/>
      <c r="H1240" s="16"/>
      <c r="I1240" s="16"/>
      <c r="J1240" s="19"/>
      <c r="K1240" s="19"/>
      <c r="L1240" s="19"/>
      <c r="M1240" s="19"/>
      <c r="N1240" s="19"/>
      <c r="O1240" s="19"/>
      <c r="P1240" s="19"/>
      <c r="Q1240" s="19"/>
      <c r="R1240" s="19"/>
      <c r="S1240" s="19"/>
      <c r="T1240" s="19"/>
    </row>
    <row r="1241" spans="1:20" ht="13.2" x14ac:dyDescent="0.25">
      <c r="A1241" s="39"/>
      <c r="B1241" s="37"/>
      <c r="D1241" s="19"/>
      <c r="E1241" s="19"/>
      <c r="G1241" s="16"/>
      <c r="H1241" s="16"/>
      <c r="I1241" s="16"/>
      <c r="J1241" s="19"/>
      <c r="K1241" s="19"/>
      <c r="L1241" s="19"/>
      <c r="M1241" s="19"/>
      <c r="N1241" s="19"/>
      <c r="O1241" s="19"/>
      <c r="P1241" s="19"/>
      <c r="Q1241" s="19"/>
      <c r="R1241" s="19"/>
      <c r="S1241" s="19"/>
      <c r="T1241" s="19"/>
    </row>
    <row r="1242" spans="1:20" ht="13.2" x14ac:dyDescent="0.25">
      <c r="A1242" s="39"/>
      <c r="B1242" s="37"/>
      <c r="D1242" s="19"/>
      <c r="E1242" s="19"/>
      <c r="G1242" s="16"/>
      <c r="H1242" s="16"/>
      <c r="I1242" s="16"/>
      <c r="J1242" s="19"/>
      <c r="K1242" s="19"/>
      <c r="L1242" s="19"/>
      <c r="M1242" s="19"/>
      <c r="N1242" s="19"/>
      <c r="O1242" s="19"/>
      <c r="P1242" s="19"/>
      <c r="Q1242" s="19"/>
      <c r="R1242" s="19"/>
      <c r="S1242" s="19"/>
      <c r="T1242" s="19"/>
    </row>
    <row r="1243" spans="1:20" ht="13.2" x14ac:dyDescent="0.25">
      <c r="A1243" s="39"/>
      <c r="B1243" s="37"/>
      <c r="D1243" s="19"/>
      <c r="E1243" s="19"/>
      <c r="G1243" s="16"/>
      <c r="H1243" s="16"/>
      <c r="I1243" s="16"/>
      <c r="J1243" s="19"/>
      <c r="K1243" s="19"/>
      <c r="L1243" s="19"/>
      <c r="M1243" s="19"/>
      <c r="N1243" s="19"/>
      <c r="O1243" s="19"/>
      <c r="P1243" s="19"/>
      <c r="Q1243" s="19"/>
      <c r="R1243" s="19"/>
      <c r="S1243" s="19"/>
      <c r="T1243" s="19"/>
    </row>
    <row r="1244" spans="1:20" ht="13.2" x14ac:dyDescent="0.25">
      <c r="A1244" s="39"/>
      <c r="B1244" s="37"/>
      <c r="D1244" s="19"/>
      <c r="E1244" s="19"/>
      <c r="G1244" s="16"/>
      <c r="H1244" s="16"/>
      <c r="I1244" s="16"/>
      <c r="J1244" s="19"/>
      <c r="K1244" s="19"/>
      <c r="L1244" s="19"/>
      <c r="M1244" s="19"/>
      <c r="N1244" s="19"/>
      <c r="O1244" s="19"/>
      <c r="P1244" s="19"/>
      <c r="Q1244" s="19"/>
      <c r="R1244" s="19"/>
      <c r="S1244" s="19"/>
      <c r="T1244" s="19"/>
    </row>
    <row r="1245" spans="1:20" ht="13.2" x14ac:dyDescent="0.25">
      <c r="A1245" s="39"/>
      <c r="B1245" s="37"/>
      <c r="D1245" s="19"/>
      <c r="E1245" s="19"/>
      <c r="G1245" s="16"/>
      <c r="H1245" s="16"/>
      <c r="I1245" s="16"/>
      <c r="J1245" s="19"/>
      <c r="K1245" s="19"/>
      <c r="L1245" s="19"/>
      <c r="M1245" s="19"/>
      <c r="N1245" s="19"/>
      <c r="O1245" s="19"/>
      <c r="P1245" s="19"/>
      <c r="Q1245" s="19"/>
      <c r="R1245" s="19"/>
      <c r="S1245" s="19"/>
      <c r="T1245" s="19"/>
    </row>
    <row r="1246" spans="1:20" ht="13.2" x14ac:dyDescent="0.25">
      <c r="A1246" s="39"/>
      <c r="B1246" s="37"/>
      <c r="D1246" s="19"/>
      <c r="E1246" s="19"/>
      <c r="G1246" s="16"/>
      <c r="H1246" s="16"/>
      <c r="I1246" s="16"/>
      <c r="J1246" s="19"/>
      <c r="K1246" s="19"/>
      <c r="L1246" s="19"/>
      <c r="M1246" s="19"/>
      <c r="N1246" s="19"/>
      <c r="O1246" s="19"/>
      <c r="P1246" s="19"/>
      <c r="Q1246" s="19"/>
      <c r="R1246" s="19"/>
      <c r="S1246" s="19"/>
      <c r="T1246" s="19"/>
    </row>
    <row r="1247" spans="1:20" ht="13.2" x14ac:dyDescent="0.25">
      <c r="A1247" s="39"/>
      <c r="B1247" s="37"/>
      <c r="D1247" s="19"/>
      <c r="E1247" s="19"/>
      <c r="G1247" s="16"/>
      <c r="H1247" s="16"/>
      <c r="I1247" s="16"/>
      <c r="J1247" s="19"/>
      <c r="K1247" s="19"/>
      <c r="L1247" s="19"/>
      <c r="M1247" s="19"/>
      <c r="N1247" s="19"/>
      <c r="O1247" s="19"/>
      <c r="P1247" s="19"/>
      <c r="Q1247" s="19"/>
      <c r="R1247" s="19"/>
      <c r="S1247" s="19"/>
      <c r="T1247" s="19"/>
    </row>
    <row r="1248" spans="1:20" ht="13.2" x14ac:dyDescent="0.25">
      <c r="A1248" s="39"/>
      <c r="B1248" s="37"/>
      <c r="D1248" s="19"/>
      <c r="E1248" s="19"/>
      <c r="G1248" s="16"/>
      <c r="H1248" s="16"/>
      <c r="I1248" s="16"/>
      <c r="J1248" s="19"/>
      <c r="K1248" s="19"/>
      <c r="L1248" s="19"/>
      <c r="M1248" s="19"/>
      <c r="N1248" s="19"/>
      <c r="O1248" s="19"/>
      <c r="P1248" s="19"/>
      <c r="Q1248" s="19"/>
      <c r="R1248" s="19"/>
      <c r="S1248" s="19"/>
      <c r="T1248" s="19"/>
    </row>
    <row r="1249" spans="1:20" ht="13.2" x14ac:dyDescent="0.25">
      <c r="A1249" s="39"/>
      <c r="B1249" s="37"/>
      <c r="D1249" s="19"/>
      <c r="E1249" s="19"/>
      <c r="G1249" s="16"/>
      <c r="H1249" s="16"/>
      <c r="I1249" s="16"/>
      <c r="J1249" s="19"/>
      <c r="K1249" s="19"/>
      <c r="L1249" s="19"/>
      <c r="M1249" s="19"/>
      <c r="N1249" s="19"/>
      <c r="O1249" s="19"/>
      <c r="P1249" s="19"/>
      <c r="Q1249" s="19"/>
      <c r="R1249" s="19"/>
      <c r="S1249" s="19"/>
      <c r="T1249" s="19"/>
    </row>
    <row r="1250" spans="1:20" ht="13.2" x14ac:dyDescent="0.25">
      <c r="A1250" s="39"/>
      <c r="B1250" s="37"/>
      <c r="D1250" s="19"/>
      <c r="E1250" s="19"/>
      <c r="G1250" s="16"/>
      <c r="H1250" s="16"/>
      <c r="I1250" s="16"/>
      <c r="J1250" s="19"/>
      <c r="K1250" s="19"/>
      <c r="L1250" s="19"/>
      <c r="M1250" s="19"/>
      <c r="N1250" s="19"/>
      <c r="O1250" s="19"/>
      <c r="P1250" s="19"/>
      <c r="Q1250" s="19"/>
      <c r="R1250" s="19"/>
      <c r="S1250" s="19"/>
      <c r="T1250" s="19"/>
    </row>
    <row r="1251" spans="1:20" ht="13.2" x14ac:dyDescent="0.25">
      <c r="A1251" s="39"/>
      <c r="B1251" s="37"/>
      <c r="D1251" s="19"/>
      <c r="E1251" s="19"/>
      <c r="G1251" s="16"/>
      <c r="H1251" s="16"/>
      <c r="I1251" s="16"/>
      <c r="J1251" s="19"/>
      <c r="K1251" s="19"/>
      <c r="L1251" s="19"/>
      <c r="M1251" s="19"/>
      <c r="N1251" s="19"/>
      <c r="O1251" s="19"/>
      <c r="P1251" s="19"/>
      <c r="Q1251" s="19"/>
      <c r="R1251" s="19"/>
      <c r="S1251" s="19"/>
      <c r="T1251" s="19"/>
    </row>
    <row r="1252" spans="1:20" ht="13.2" x14ac:dyDescent="0.25">
      <c r="A1252" s="39"/>
      <c r="B1252" s="37"/>
      <c r="D1252" s="19"/>
      <c r="E1252" s="19"/>
      <c r="G1252" s="16"/>
      <c r="H1252" s="16"/>
      <c r="I1252" s="16"/>
      <c r="J1252" s="19"/>
      <c r="K1252" s="19"/>
      <c r="L1252" s="19"/>
      <c r="M1252" s="19"/>
      <c r="N1252" s="19"/>
      <c r="O1252" s="19"/>
      <c r="P1252" s="19"/>
      <c r="Q1252" s="19"/>
      <c r="R1252" s="19"/>
      <c r="S1252" s="19"/>
      <c r="T1252" s="19"/>
    </row>
    <row r="1253" spans="1:20" ht="13.2" x14ac:dyDescent="0.25">
      <c r="A1253" s="39"/>
      <c r="B1253" s="37"/>
      <c r="D1253" s="19"/>
      <c r="E1253" s="19"/>
      <c r="G1253" s="16"/>
      <c r="H1253" s="16"/>
      <c r="I1253" s="16"/>
      <c r="J1253" s="19"/>
      <c r="K1253" s="19"/>
      <c r="L1253" s="19"/>
      <c r="M1253" s="19"/>
      <c r="N1253" s="19"/>
      <c r="O1253" s="19"/>
      <c r="P1253" s="19"/>
      <c r="Q1253" s="19"/>
      <c r="R1253" s="19"/>
      <c r="S1253" s="19"/>
      <c r="T1253" s="19"/>
    </row>
    <row r="1254" spans="1:20" ht="13.2" x14ac:dyDescent="0.25">
      <c r="A1254" s="39"/>
      <c r="B1254" s="37"/>
      <c r="D1254" s="19"/>
      <c r="E1254" s="19"/>
      <c r="G1254" s="16"/>
      <c r="H1254" s="16"/>
      <c r="I1254" s="16"/>
      <c r="J1254" s="19"/>
      <c r="K1254" s="19"/>
      <c r="L1254" s="19"/>
      <c r="M1254" s="19"/>
      <c r="N1254" s="19"/>
      <c r="O1254" s="19"/>
      <c r="P1254" s="19"/>
      <c r="Q1254" s="19"/>
      <c r="R1254" s="19"/>
      <c r="S1254" s="19"/>
      <c r="T1254" s="19"/>
    </row>
    <row r="1255" spans="1:20" ht="13.2" x14ac:dyDescent="0.25">
      <c r="A1255" s="39"/>
      <c r="B1255" s="37"/>
      <c r="D1255" s="19"/>
      <c r="E1255" s="19"/>
      <c r="G1255" s="16"/>
      <c r="H1255" s="16"/>
      <c r="I1255" s="16"/>
      <c r="J1255" s="19"/>
      <c r="K1255" s="19"/>
      <c r="L1255" s="19"/>
      <c r="M1255" s="19"/>
      <c r="N1255" s="19"/>
      <c r="O1255" s="19"/>
      <c r="P1255" s="19"/>
      <c r="Q1255" s="19"/>
      <c r="R1255" s="19"/>
      <c r="S1255" s="19"/>
      <c r="T1255" s="19"/>
    </row>
    <row r="1256" spans="1:20" ht="13.2" x14ac:dyDescent="0.25">
      <c r="A1256" s="39"/>
      <c r="B1256" s="37"/>
      <c r="D1256" s="19"/>
      <c r="E1256" s="19"/>
      <c r="G1256" s="16"/>
      <c r="H1256" s="16"/>
      <c r="I1256" s="16"/>
      <c r="J1256" s="19"/>
      <c r="K1256" s="19"/>
      <c r="L1256" s="19"/>
      <c r="M1256" s="19"/>
      <c r="N1256" s="19"/>
      <c r="O1256" s="19"/>
      <c r="P1256" s="19"/>
      <c r="Q1256" s="19"/>
      <c r="R1256" s="19"/>
      <c r="S1256" s="19"/>
      <c r="T1256" s="19"/>
    </row>
    <row r="1257" spans="1:20" ht="13.2" x14ac:dyDescent="0.25">
      <c r="A1257" s="39"/>
      <c r="B1257" s="37"/>
      <c r="D1257" s="19"/>
      <c r="E1257" s="19"/>
      <c r="G1257" s="16"/>
      <c r="H1257" s="16"/>
      <c r="I1257" s="16"/>
      <c r="J1257" s="19"/>
      <c r="K1257" s="19"/>
      <c r="L1257" s="19"/>
      <c r="M1257" s="19"/>
      <c r="N1257" s="19"/>
      <c r="O1257" s="19"/>
      <c r="P1257" s="19"/>
      <c r="Q1257" s="19"/>
      <c r="R1257" s="19"/>
      <c r="S1257" s="19"/>
      <c r="T1257" s="19"/>
    </row>
    <row r="1258" spans="1:20" ht="13.2" x14ac:dyDescent="0.25">
      <c r="A1258" s="39"/>
      <c r="B1258" s="37"/>
      <c r="D1258" s="19"/>
      <c r="E1258" s="19"/>
      <c r="G1258" s="16"/>
      <c r="H1258" s="16"/>
      <c r="I1258" s="16"/>
      <c r="J1258" s="19"/>
      <c r="K1258" s="19"/>
      <c r="L1258" s="19"/>
      <c r="M1258" s="19"/>
      <c r="N1258" s="19"/>
      <c r="O1258" s="19"/>
      <c r="P1258" s="19"/>
      <c r="Q1258" s="19"/>
      <c r="R1258" s="19"/>
      <c r="S1258" s="19"/>
      <c r="T1258" s="19"/>
    </row>
    <row r="1259" spans="1:20" ht="13.2" x14ac:dyDescent="0.25">
      <c r="A1259" s="39"/>
      <c r="B1259" s="37"/>
      <c r="D1259" s="19"/>
      <c r="E1259" s="19"/>
      <c r="G1259" s="16"/>
      <c r="H1259" s="16"/>
      <c r="I1259" s="16"/>
      <c r="J1259" s="19"/>
      <c r="K1259" s="19"/>
      <c r="L1259" s="19"/>
      <c r="M1259" s="19"/>
      <c r="N1259" s="19"/>
      <c r="O1259" s="19"/>
      <c r="P1259" s="19"/>
      <c r="Q1259" s="19"/>
      <c r="R1259" s="19"/>
      <c r="S1259" s="19"/>
      <c r="T1259" s="19"/>
    </row>
    <row r="1260" spans="1:20" ht="13.2" x14ac:dyDescent="0.25">
      <c r="A1260" s="39"/>
      <c r="B1260" s="37"/>
      <c r="D1260" s="19"/>
      <c r="E1260" s="19"/>
      <c r="G1260" s="16"/>
      <c r="H1260" s="16"/>
      <c r="I1260" s="16"/>
      <c r="J1260" s="19"/>
      <c r="K1260" s="19"/>
      <c r="L1260" s="19"/>
      <c r="M1260" s="19"/>
      <c r="N1260" s="19"/>
      <c r="O1260" s="19"/>
      <c r="P1260" s="19"/>
      <c r="Q1260" s="19"/>
      <c r="R1260" s="19"/>
      <c r="S1260" s="19"/>
      <c r="T1260" s="19"/>
    </row>
    <row r="1261" spans="1:20" ht="13.2" x14ac:dyDescent="0.25">
      <c r="A1261" s="39"/>
      <c r="B1261" s="37"/>
      <c r="D1261" s="19"/>
      <c r="E1261" s="19"/>
      <c r="G1261" s="16"/>
      <c r="H1261" s="16"/>
      <c r="I1261" s="16"/>
      <c r="J1261" s="19"/>
      <c r="K1261" s="19"/>
      <c r="L1261" s="19"/>
      <c r="M1261" s="19"/>
      <c r="N1261" s="19"/>
      <c r="O1261" s="19"/>
      <c r="P1261" s="19"/>
      <c r="Q1261" s="19"/>
      <c r="R1261" s="19"/>
      <c r="S1261" s="19"/>
      <c r="T1261" s="19"/>
    </row>
    <row r="1262" spans="1:20" ht="13.2" x14ac:dyDescent="0.25">
      <c r="A1262" s="39"/>
      <c r="B1262" s="37"/>
      <c r="D1262" s="19"/>
      <c r="E1262" s="19"/>
      <c r="G1262" s="16"/>
      <c r="H1262" s="16"/>
      <c r="I1262" s="16"/>
      <c r="J1262" s="19"/>
      <c r="K1262" s="19"/>
      <c r="L1262" s="19"/>
      <c r="M1262" s="19"/>
      <c r="N1262" s="19"/>
      <c r="O1262" s="19"/>
      <c r="P1262" s="19"/>
      <c r="Q1262" s="19"/>
      <c r="R1262" s="19"/>
      <c r="S1262" s="19"/>
      <c r="T1262" s="19"/>
    </row>
    <row r="1263" spans="1:20" ht="13.2" x14ac:dyDescent="0.25">
      <c r="A1263" s="39"/>
      <c r="B1263" s="37"/>
      <c r="D1263" s="19"/>
      <c r="E1263" s="19"/>
      <c r="G1263" s="16"/>
      <c r="H1263" s="16"/>
      <c r="I1263" s="16"/>
      <c r="J1263" s="19"/>
      <c r="K1263" s="19"/>
      <c r="L1263" s="19"/>
      <c r="M1263" s="19"/>
      <c r="N1263" s="19"/>
      <c r="O1263" s="19"/>
      <c r="P1263" s="19"/>
      <c r="Q1263" s="19"/>
      <c r="R1263" s="19"/>
      <c r="S1263" s="19"/>
      <c r="T1263" s="19"/>
    </row>
    <row r="1264" spans="1:20" ht="13.2" x14ac:dyDescent="0.25">
      <c r="A1264" s="39"/>
      <c r="B1264" s="37"/>
      <c r="D1264" s="19"/>
      <c r="E1264" s="19"/>
      <c r="G1264" s="16"/>
      <c r="H1264" s="16"/>
      <c r="I1264" s="16"/>
      <c r="J1264" s="19"/>
      <c r="K1264" s="19"/>
      <c r="L1264" s="19"/>
      <c r="M1264" s="19"/>
      <c r="N1264" s="19"/>
      <c r="O1264" s="19"/>
      <c r="P1264" s="19"/>
      <c r="Q1264" s="19"/>
      <c r="R1264" s="19"/>
      <c r="S1264" s="19"/>
      <c r="T1264" s="19"/>
    </row>
    <row r="1265" spans="1:20" ht="13.2" x14ac:dyDescent="0.25">
      <c r="A1265" s="39"/>
      <c r="B1265" s="37"/>
      <c r="D1265" s="19"/>
      <c r="E1265" s="19"/>
      <c r="G1265" s="16"/>
      <c r="H1265" s="16"/>
      <c r="I1265" s="16"/>
      <c r="J1265" s="19"/>
      <c r="K1265" s="19"/>
      <c r="L1265" s="19"/>
      <c r="M1265" s="19"/>
      <c r="N1265" s="19"/>
      <c r="O1265" s="19"/>
      <c r="P1265" s="19"/>
      <c r="Q1265" s="19"/>
      <c r="R1265" s="19"/>
      <c r="S1265" s="19"/>
      <c r="T1265" s="19"/>
    </row>
    <row r="1266" spans="1:20" ht="13.2" x14ac:dyDescent="0.25">
      <c r="A1266" s="39"/>
      <c r="B1266" s="37"/>
      <c r="D1266" s="19"/>
      <c r="E1266" s="19"/>
      <c r="G1266" s="16"/>
      <c r="H1266" s="16"/>
      <c r="I1266" s="16"/>
      <c r="J1266" s="19"/>
      <c r="K1266" s="19"/>
      <c r="L1266" s="19"/>
      <c r="M1266" s="19"/>
      <c r="N1266" s="19"/>
      <c r="O1266" s="19"/>
      <c r="P1266" s="19"/>
      <c r="Q1266" s="19"/>
      <c r="R1266" s="19"/>
      <c r="S1266" s="19"/>
      <c r="T1266" s="19"/>
    </row>
    <row r="1267" spans="1:20" ht="13.2" x14ac:dyDescent="0.25">
      <c r="A1267" s="39"/>
      <c r="B1267" s="37"/>
      <c r="D1267" s="19"/>
      <c r="E1267" s="19"/>
      <c r="G1267" s="16"/>
      <c r="H1267" s="16"/>
      <c r="I1267" s="16"/>
      <c r="J1267" s="19"/>
      <c r="K1267" s="19"/>
      <c r="L1267" s="19"/>
      <c r="M1267" s="19"/>
      <c r="N1267" s="19"/>
      <c r="O1267" s="19"/>
      <c r="P1267" s="19"/>
      <c r="Q1267" s="19"/>
      <c r="R1267" s="19"/>
      <c r="S1267" s="19"/>
      <c r="T1267" s="19"/>
    </row>
    <row r="1268" spans="1:20" ht="13.2" x14ac:dyDescent="0.25">
      <c r="A1268" s="39"/>
      <c r="B1268" s="37"/>
      <c r="D1268" s="19"/>
      <c r="E1268" s="19"/>
      <c r="G1268" s="16"/>
      <c r="H1268" s="16"/>
      <c r="I1268" s="16"/>
      <c r="J1268" s="19"/>
      <c r="K1268" s="19"/>
      <c r="L1268" s="19"/>
      <c r="M1268" s="19"/>
      <c r="N1268" s="19"/>
      <c r="O1268" s="19"/>
      <c r="P1268" s="19"/>
      <c r="Q1268" s="19"/>
      <c r="R1268" s="19"/>
      <c r="S1268" s="19"/>
      <c r="T1268" s="19"/>
    </row>
    <row r="1269" spans="1:20" ht="13.2" x14ac:dyDescent="0.25">
      <c r="A1269" s="39"/>
      <c r="B1269" s="37"/>
      <c r="D1269" s="19"/>
      <c r="E1269" s="19"/>
      <c r="G1269" s="16"/>
      <c r="H1269" s="16"/>
      <c r="I1269" s="16"/>
      <c r="J1269" s="19"/>
      <c r="K1269" s="19"/>
      <c r="L1269" s="19"/>
      <c r="M1269" s="19"/>
      <c r="N1269" s="19"/>
      <c r="O1269" s="19"/>
      <c r="P1269" s="19"/>
      <c r="Q1269" s="19"/>
      <c r="R1269" s="19"/>
      <c r="S1269" s="19"/>
      <c r="T1269" s="19"/>
    </row>
    <row r="1270" spans="1:20" ht="13.2" x14ac:dyDescent="0.25">
      <c r="A1270" s="39"/>
      <c r="B1270" s="37"/>
      <c r="D1270" s="19"/>
      <c r="E1270" s="19"/>
      <c r="G1270" s="16"/>
      <c r="H1270" s="16"/>
      <c r="I1270" s="16"/>
      <c r="J1270" s="19"/>
      <c r="K1270" s="19"/>
      <c r="L1270" s="19"/>
      <c r="M1270" s="19"/>
      <c r="N1270" s="19"/>
      <c r="O1270" s="19"/>
      <c r="P1270" s="19"/>
      <c r="Q1270" s="19"/>
      <c r="R1270" s="19"/>
      <c r="S1270" s="19"/>
      <c r="T1270" s="19"/>
    </row>
    <row r="1271" spans="1:20" ht="13.2" x14ac:dyDescent="0.25">
      <c r="A1271" s="39"/>
      <c r="B1271" s="37"/>
      <c r="D1271" s="19"/>
      <c r="E1271" s="19"/>
      <c r="G1271" s="16"/>
      <c r="H1271" s="16"/>
      <c r="I1271" s="16"/>
      <c r="J1271" s="19"/>
      <c r="K1271" s="19"/>
      <c r="L1271" s="19"/>
      <c r="M1271" s="19"/>
      <c r="N1271" s="19"/>
      <c r="O1271" s="19"/>
      <c r="P1271" s="19"/>
      <c r="Q1271" s="19"/>
      <c r="R1271" s="19"/>
      <c r="S1271" s="19"/>
      <c r="T1271" s="19"/>
    </row>
    <row r="1272" spans="1:20" ht="13.2" x14ac:dyDescent="0.25">
      <c r="A1272" s="39"/>
      <c r="B1272" s="37"/>
      <c r="D1272" s="19"/>
      <c r="E1272" s="19"/>
      <c r="G1272" s="16"/>
      <c r="H1272" s="16"/>
      <c r="I1272" s="16"/>
      <c r="J1272" s="19"/>
      <c r="K1272" s="19"/>
      <c r="L1272" s="19"/>
      <c r="M1272" s="19"/>
      <c r="N1272" s="19"/>
      <c r="O1272" s="19"/>
      <c r="P1272" s="19"/>
      <c r="Q1272" s="19"/>
      <c r="R1272" s="19"/>
      <c r="S1272" s="19"/>
      <c r="T1272" s="19"/>
    </row>
    <row r="1273" spans="1:20" ht="13.2" x14ac:dyDescent="0.25">
      <c r="A1273" s="39"/>
      <c r="B1273" s="37"/>
      <c r="D1273" s="19"/>
      <c r="E1273" s="19"/>
      <c r="G1273" s="16"/>
      <c r="H1273" s="16"/>
      <c r="I1273" s="16"/>
      <c r="J1273" s="19"/>
      <c r="K1273" s="19"/>
      <c r="L1273" s="19"/>
      <c r="M1273" s="19"/>
      <c r="N1273" s="19"/>
      <c r="O1273" s="19"/>
      <c r="P1273" s="19"/>
      <c r="Q1273" s="19"/>
      <c r="R1273" s="19"/>
      <c r="S1273" s="19"/>
      <c r="T1273" s="19"/>
    </row>
    <row r="1274" spans="1:20" ht="13.2" x14ac:dyDescent="0.25">
      <c r="A1274" s="39"/>
      <c r="B1274" s="37"/>
      <c r="D1274" s="19"/>
      <c r="E1274" s="19"/>
      <c r="G1274" s="16"/>
      <c r="H1274" s="16"/>
      <c r="I1274" s="16"/>
      <c r="J1274" s="19"/>
      <c r="K1274" s="19"/>
      <c r="L1274" s="19"/>
      <c r="M1274" s="19"/>
      <c r="N1274" s="19"/>
      <c r="O1274" s="19"/>
      <c r="P1274" s="19"/>
      <c r="Q1274" s="19"/>
      <c r="R1274" s="19"/>
      <c r="S1274" s="19"/>
      <c r="T1274" s="19"/>
    </row>
    <row r="1275" spans="1:20" ht="13.2" x14ac:dyDescent="0.25">
      <c r="A1275" s="39"/>
      <c r="B1275" s="37"/>
      <c r="D1275" s="19"/>
      <c r="E1275" s="19"/>
      <c r="G1275" s="16"/>
      <c r="H1275" s="16"/>
      <c r="I1275" s="16"/>
      <c r="J1275" s="19"/>
      <c r="K1275" s="19"/>
      <c r="L1275" s="19"/>
      <c r="M1275" s="19"/>
      <c r="N1275" s="19"/>
      <c r="O1275" s="19"/>
      <c r="P1275" s="19"/>
      <c r="Q1275" s="19"/>
      <c r="R1275" s="19"/>
      <c r="S1275" s="19"/>
      <c r="T1275" s="19"/>
    </row>
    <row r="1276" spans="1:20" ht="13.2" x14ac:dyDescent="0.25">
      <c r="A1276" s="39"/>
      <c r="B1276" s="37"/>
      <c r="D1276" s="19"/>
      <c r="E1276" s="19"/>
      <c r="G1276" s="16"/>
      <c r="H1276" s="16"/>
      <c r="I1276" s="16"/>
      <c r="J1276" s="19"/>
      <c r="K1276" s="19"/>
      <c r="L1276" s="19"/>
      <c r="M1276" s="19"/>
      <c r="N1276" s="19"/>
      <c r="O1276" s="19"/>
      <c r="P1276" s="19"/>
      <c r="Q1276" s="19"/>
      <c r="R1276" s="19"/>
      <c r="S1276" s="19"/>
      <c r="T1276" s="19"/>
    </row>
    <row r="1277" spans="1:20" ht="13.2" x14ac:dyDescent="0.25">
      <c r="A1277" s="39"/>
      <c r="B1277" s="37"/>
      <c r="D1277" s="19"/>
      <c r="E1277" s="19"/>
      <c r="G1277" s="16"/>
      <c r="H1277" s="16"/>
      <c r="I1277" s="16"/>
      <c r="J1277" s="19"/>
      <c r="K1277" s="19"/>
      <c r="L1277" s="19"/>
      <c r="M1277" s="19"/>
      <c r="N1277" s="19"/>
      <c r="O1277" s="19"/>
      <c r="P1277" s="19"/>
      <c r="Q1277" s="19"/>
      <c r="R1277" s="19"/>
      <c r="S1277" s="19"/>
      <c r="T1277" s="19"/>
    </row>
    <row r="1278" spans="1:20" ht="13.2" x14ac:dyDescent="0.25">
      <c r="A1278" s="39"/>
      <c r="B1278" s="37"/>
      <c r="D1278" s="19"/>
      <c r="E1278" s="19"/>
      <c r="G1278" s="16"/>
      <c r="H1278" s="16"/>
      <c r="I1278" s="16"/>
      <c r="J1278" s="19"/>
      <c r="K1278" s="19"/>
      <c r="L1278" s="19"/>
      <c r="M1278" s="19"/>
      <c r="N1278" s="19"/>
      <c r="O1278" s="19"/>
      <c r="P1278" s="19"/>
      <c r="Q1278" s="19"/>
      <c r="R1278" s="19"/>
      <c r="S1278" s="19"/>
      <c r="T1278" s="19"/>
    </row>
    <row r="1279" spans="1:20" ht="13.2" x14ac:dyDescent="0.25">
      <c r="A1279" s="39"/>
      <c r="B1279" s="37"/>
      <c r="D1279" s="19"/>
      <c r="E1279" s="19"/>
      <c r="G1279" s="16"/>
      <c r="H1279" s="16"/>
      <c r="I1279" s="16"/>
      <c r="J1279" s="19"/>
      <c r="K1279" s="19"/>
      <c r="L1279" s="19"/>
      <c r="M1279" s="19"/>
      <c r="N1279" s="19"/>
      <c r="O1279" s="19"/>
      <c r="P1279" s="19"/>
      <c r="Q1279" s="19"/>
      <c r="R1279" s="19"/>
      <c r="S1279" s="19"/>
      <c r="T1279" s="19"/>
    </row>
    <row r="1280" spans="1:20" ht="13.2" x14ac:dyDescent="0.25">
      <c r="A1280" s="39"/>
      <c r="B1280" s="37"/>
      <c r="D1280" s="19"/>
      <c r="E1280" s="19"/>
      <c r="G1280" s="16"/>
      <c r="H1280" s="16"/>
      <c r="I1280" s="16"/>
      <c r="J1280" s="19"/>
      <c r="K1280" s="19"/>
      <c r="L1280" s="19"/>
      <c r="M1280" s="19"/>
      <c r="N1280" s="19"/>
      <c r="O1280" s="19"/>
      <c r="P1280" s="19"/>
      <c r="Q1280" s="19"/>
      <c r="R1280" s="19"/>
      <c r="S1280" s="19"/>
      <c r="T1280" s="19"/>
    </row>
    <row r="1281" spans="1:20" ht="13.2" x14ac:dyDescent="0.25">
      <c r="A1281" s="39"/>
      <c r="B1281" s="37"/>
      <c r="D1281" s="19"/>
      <c r="E1281" s="19"/>
      <c r="G1281" s="16"/>
      <c r="H1281" s="16"/>
      <c r="I1281" s="16"/>
      <c r="J1281" s="19"/>
      <c r="K1281" s="19"/>
      <c r="L1281" s="19"/>
      <c r="M1281" s="19"/>
      <c r="N1281" s="19"/>
      <c r="O1281" s="19"/>
      <c r="P1281" s="19"/>
      <c r="Q1281" s="19"/>
      <c r="R1281" s="19"/>
      <c r="S1281" s="19"/>
      <c r="T1281" s="19"/>
    </row>
    <row r="1282" spans="1:20" ht="13.2" x14ac:dyDescent="0.25">
      <c r="A1282" s="39"/>
      <c r="B1282" s="37"/>
      <c r="D1282" s="19"/>
      <c r="E1282" s="19"/>
      <c r="G1282" s="16"/>
      <c r="H1282" s="16"/>
      <c r="I1282" s="16"/>
      <c r="J1282" s="19"/>
      <c r="K1282" s="19"/>
      <c r="L1282" s="19"/>
      <c r="M1282" s="19"/>
      <c r="N1282" s="19"/>
      <c r="O1282" s="19"/>
      <c r="P1282" s="19"/>
      <c r="Q1282" s="19"/>
      <c r="R1282" s="19"/>
      <c r="S1282" s="19"/>
      <c r="T1282" s="19"/>
    </row>
    <row r="1283" spans="1:20" ht="13.2" x14ac:dyDescent="0.25">
      <c r="A1283" s="39"/>
      <c r="B1283" s="37"/>
      <c r="D1283" s="19"/>
      <c r="E1283" s="19"/>
      <c r="G1283" s="16"/>
      <c r="H1283" s="16"/>
      <c r="I1283" s="16"/>
      <c r="J1283" s="19"/>
      <c r="K1283" s="19"/>
      <c r="L1283" s="19"/>
      <c r="M1283" s="19"/>
      <c r="N1283" s="19"/>
      <c r="O1283" s="19"/>
      <c r="P1283" s="19"/>
      <c r="Q1283" s="19"/>
      <c r="R1283" s="19"/>
      <c r="S1283" s="19"/>
      <c r="T1283" s="19"/>
    </row>
    <row r="1284" spans="1:20" ht="13.2" x14ac:dyDescent="0.25">
      <c r="A1284" s="39"/>
      <c r="B1284" s="37"/>
      <c r="D1284" s="19"/>
      <c r="E1284" s="19"/>
      <c r="G1284" s="16"/>
      <c r="H1284" s="16"/>
      <c r="I1284" s="16"/>
      <c r="J1284" s="19"/>
      <c r="K1284" s="19"/>
      <c r="L1284" s="19"/>
      <c r="M1284" s="19"/>
      <c r="N1284" s="19"/>
      <c r="O1284" s="19"/>
      <c r="P1284" s="19"/>
      <c r="Q1284" s="19"/>
      <c r="R1284" s="19"/>
      <c r="S1284" s="19"/>
      <c r="T1284" s="19"/>
    </row>
    <row r="1285" spans="1:20" ht="13.2" x14ac:dyDescent="0.25">
      <c r="A1285" s="39"/>
      <c r="B1285" s="37"/>
      <c r="D1285" s="19"/>
      <c r="E1285" s="19"/>
      <c r="G1285" s="16"/>
      <c r="H1285" s="16"/>
      <c r="I1285" s="16"/>
      <c r="J1285" s="19"/>
      <c r="K1285" s="19"/>
      <c r="L1285" s="19"/>
      <c r="M1285" s="19"/>
      <c r="N1285" s="19"/>
      <c r="O1285" s="19"/>
      <c r="P1285" s="19"/>
      <c r="Q1285" s="19"/>
      <c r="R1285" s="19"/>
      <c r="S1285" s="19"/>
      <c r="T1285" s="19"/>
    </row>
    <row r="1286" spans="1:20" ht="13.2" x14ac:dyDescent="0.25">
      <c r="A1286" s="39"/>
      <c r="B1286" s="37"/>
      <c r="D1286" s="19"/>
      <c r="E1286" s="19"/>
      <c r="G1286" s="16"/>
      <c r="H1286" s="16"/>
      <c r="I1286" s="16"/>
      <c r="J1286" s="19"/>
      <c r="K1286" s="19"/>
      <c r="L1286" s="19"/>
      <c r="M1286" s="19"/>
      <c r="N1286" s="19"/>
      <c r="O1286" s="19"/>
      <c r="P1286" s="19"/>
      <c r="Q1286" s="19"/>
      <c r="R1286" s="19"/>
      <c r="S1286" s="19"/>
      <c r="T1286" s="19"/>
    </row>
    <row r="1287" spans="1:20" ht="13.2" x14ac:dyDescent="0.25">
      <c r="A1287" s="39"/>
      <c r="B1287" s="37"/>
      <c r="D1287" s="19"/>
      <c r="E1287" s="19"/>
      <c r="G1287" s="16"/>
      <c r="H1287" s="16"/>
      <c r="I1287" s="16"/>
      <c r="J1287" s="19"/>
      <c r="K1287" s="19"/>
      <c r="L1287" s="19"/>
      <c r="M1287" s="19"/>
      <c r="N1287" s="19"/>
      <c r="O1287" s="19"/>
      <c r="P1287" s="19"/>
      <c r="Q1287" s="19"/>
      <c r="R1287" s="19"/>
      <c r="S1287" s="19"/>
      <c r="T1287" s="19"/>
    </row>
    <row r="1288" spans="1:20" ht="13.2" x14ac:dyDescent="0.25">
      <c r="A1288" s="39"/>
      <c r="B1288" s="37"/>
      <c r="D1288" s="19"/>
      <c r="E1288" s="19"/>
      <c r="G1288" s="16"/>
      <c r="H1288" s="16"/>
      <c r="I1288" s="16"/>
      <c r="J1288" s="19"/>
      <c r="K1288" s="19"/>
      <c r="L1288" s="19"/>
      <c r="M1288" s="19"/>
      <c r="N1288" s="19"/>
      <c r="O1288" s="19"/>
      <c r="P1288" s="19"/>
      <c r="Q1288" s="19"/>
      <c r="R1288" s="19"/>
      <c r="S1288" s="19"/>
      <c r="T1288" s="19"/>
    </row>
    <row r="1289" spans="1:20" ht="13.2" x14ac:dyDescent="0.25">
      <c r="A1289" s="39"/>
      <c r="B1289" s="37"/>
      <c r="D1289" s="19"/>
      <c r="E1289" s="19"/>
      <c r="G1289" s="16"/>
      <c r="H1289" s="16"/>
      <c r="I1289" s="16"/>
      <c r="J1289" s="19"/>
      <c r="K1289" s="19"/>
      <c r="L1289" s="19"/>
      <c r="M1289" s="19"/>
      <c r="N1289" s="19"/>
      <c r="O1289" s="19"/>
      <c r="P1289" s="19"/>
      <c r="Q1289" s="19"/>
      <c r="R1289" s="19"/>
      <c r="S1289" s="19"/>
      <c r="T1289" s="19"/>
    </row>
    <row r="1290" spans="1:20" ht="13.2" x14ac:dyDescent="0.25">
      <c r="A1290" s="39"/>
      <c r="B1290" s="37"/>
      <c r="D1290" s="19"/>
      <c r="E1290" s="19"/>
      <c r="G1290" s="16"/>
      <c r="H1290" s="16"/>
      <c r="I1290" s="16"/>
      <c r="J1290" s="19"/>
      <c r="K1290" s="19"/>
      <c r="L1290" s="19"/>
      <c r="M1290" s="19"/>
      <c r="N1290" s="19"/>
      <c r="O1290" s="19"/>
      <c r="P1290" s="19"/>
      <c r="Q1290" s="19"/>
      <c r="R1290" s="19"/>
      <c r="S1290" s="19"/>
      <c r="T1290" s="19"/>
    </row>
    <row r="1291" spans="1:20" ht="13.2" x14ac:dyDescent="0.25">
      <c r="A1291" s="39"/>
      <c r="B1291" s="37"/>
      <c r="D1291" s="19"/>
      <c r="E1291" s="19"/>
      <c r="G1291" s="16"/>
      <c r="H1291" s="16"/>
      <c r="I1291" s="16"/>
      <c r="J1291" s="19"/>
      <c r="K1291" s="19"/>
      <c r="L1291" s="19"/>
      <c r="M1291" s="19"/>
      <c r="N1291" s="19"/>
      <c r="O1291" s="19"/>
      <c r="P1291" s="19"/>
      <c r="Q1291" s="19"/>
      <c r="R1291" s="19"/>
      <c r="S1291" s="19"/>
      <c r="T1291" s="19"/>
    </row>
    <row r="1292" spans="1:20" ht="13.2" x14ac:dyDescent="0.25">
      <c r="A1292" s="39"/>
      <c r="B1292" s="37"/>
      <c r="D1292" s="19"/>
      <c r="E1292" s="19"/>
      <c r="G1292" s="16"/>
      <c r="H1292" s="16"/>
      <c r="I1292" s="16"/>
      <c r="J1292" s="19"/>
      <c r="K1292" s="19"/>
      <c r="L1292" s="19"/>
      <c r="M1292" s="19"/>
      <c r="N1292" s="19"/>
      <c r="O1292" s="19"/>
      <c r="P1292" s="19"/>
      <c r="Q1292" s="19"/>
      <c r="R1292" s="19"/>
      <c r="S1292" s="19"/>
      <c r="T1292" s="19"/>
    </row>
    <row r="1293" spans="1:20" ht="13.2" x14ac:dyDescent="0.25">
      <c r="A1293" s="39"/>
      <c r="B1293" s="37"/>
      <c r="D1293" s="19"/>
      <c r="E1293" s="19"/>
      <c r="G1293" s="16"/>
      <c r="H1293" s="16"/>
      <c r="I1293" s="16"/>
      <c r="J1293" s="19"/>
      <c r="K1293" s="19"/>
      <c r="L1293" s="19"/>
      <c r="M1293" s="19"/>
      <c r="N1293" s="19"/>
      <c r="O1293" s="19"/>
      <c r="P1293" s="19"/>
      <c r="Q1293" s="19"/>
      <c r="R1293" s="19"/>
      <c r="S1293" s="19"/>
      <c r="T1293" s="19"/>
    </row>
    <row r="1294" spans="1:20" ht="13.2" x14ac:dyDescent="0.25">
      <c r="A1294" s="39"/>
      <c r="B1294" s="37"/>
      <c r="D1294" s="19"/>
      <c r="E1294" s="19"/>
      <c r="G1294" s="16"/>
      <c r="H1294" s="16"/>
      <c r="I1294" s="16"/>
      <c r="J1294" s="19"/>
      <c r="K1294" s="19"/>
      <c r="L1294" s="19"/>
      <c r="M1294" s="19"/>
      <c r="N1294" s="19"/>
      <c r="O1294" s="19"/>
      <c r="P1294" s="19"/>
      <c r="Q1294" s="19"/>
      <c r="R1294" s="19"/>
      <c r="S1294" s="19"/>
      <c r="T1294" s="19"/>
    </row>
    <row r="1295" spans="1:20" ht="13.2" x14ac:dyDescent="0.25">
      <c r="A1295" s="39"/>
      <c r="B1295" s="37"/>
      <c r="D1295" s="19"/>
      <c r="E1295" s="19"/>
      <c r="G1295" s="16"/>
      <c r="H1295" s="16"/>
      <c r="I1295" s="16"/>
      <c r="J1295" s="19"/>
      <c r="K1295" s="19"/>
      <c r="L1295" s="19"/>
      <c r="M1295" s="19"/>
      <c r="N1295" s="19"/>
      <c r="O1295" s="19"/>
      <c r="P1295" s="19"/>
      <c r="Q1295" s="19"/>
      <c r="R1295" s="19"/>
      <c r="S1295" s="19"/>
      <c r="T1295" s="19"/>
    </row>
    <row r="1296" spans="1:20" ht="13.2" x14ac:dyDescent="0.25">
      <c r="A1296" s="39"/>
      <c r="B1296" s="37"/>
      <c r="D1296" s="19"/>
      <c r="E1296" s="19"/>
      <c r="G1296" s="16"/>
      <c r="H1296" s="16"/>
      <c r="I1296" s="16"/>
      <c r="J1296" s="19"/>
      <c r="K1296" s="19"/>
      <c r="L1296" s="19"/>
      <c r="M1296" s="19"/>
      <c r="N1296" s="19"/>
      <c r="O1296" s="19"/>
      <c r="P1296" s="19"/>
      <c r="Q1296" s="19"/>
      <c r="R1296" s="19"/>
      <c r="S1296" s="19"/>
      <c r="T1296" s="19"/>
    </row>
    <row r="1297" spans="1:20" ht="13.2" x14ac:dyDescent="0.25">
      <c r="A1297" s="39"/>
      <c r="B1297" s="37"/>
      <c r="D1297" s="19"/>
      <c r="E1297" s="19"/>
      <c r="G1297" s="16"/>
      <c r="H1297" s="16"/>
      <c r="I1297" s="16"/>
      <c r="J1297" s="19"/>
      <c r="K1297" s="19"/>
      <c r="L1297" s="19"/>
      <c r="M1297" s="19"/>
      <c r="N1297" s="19"/>
      <c r="O1297" s="19"/>
      <c r="P1297" s="19"/>
      <c r="Q1297" s="19"/>
      <c r="R1297" s="19"/>
      <c r="S1297" s="19"/>
      <c r="T1297" s="19"/>
    </row>
    <row r="1298" spans="1:20" ht="13.2" x14ac:dyDescent="0.25">
      <c r="A1298" s="39"/>
      <c r="B1298" s="37"/>
      <c r="D1298" s="19"/>
      <c r="E1298" s="19"/>
      <c r="G1298" s="16"/>
      <c r="H1298" s="16"/>
      <c r="I1298" s="16"/>
      <c r="J1298" s="19"/>
      <c r="K1298" s="19"/>
      <c r="L1298" s="19"/>
      <c r="M1298" s="19"/>
      <c r="N1298" s="19"/>
      <c r="O1298" s="19"/>
      <c r="P1298" s="19"/>
      <c r="Q1298" s="19"/>
      <c r="R1298" s="19"/>
      <c r="S1298" s="19"/>
      <c r="T1298" s="19"/>
    </row>
    <row r="1299" spans="1:20" ht="13.2" x14ac:dyDescent="0.25">
      <c r="A1299" s="39"/>
      <c r="B1299" s="37"/>
      <c r="D1299" s="19"/>
      <c r="E1299" s="19"/>
      <c r="G1299" s="16"/>
      <c r="H1299" s="16"/>
      <c r="I1299" s="16"/>
      <c r="J1299" s="19"/>
      <c r="K1299" s="19"/>
      <c r="L1299" s="19"/>
      <c r="M1299" s="19"/>
      <c r="N1299" s="19"/>
      <c r="O1299" s="19"/>
      <c r="P1299" s="19"/>
      <c r="Q1299" s="19"/>
      <c r="R1299" s="19"/>
      <c r="S1299" s="19"/>
      <c r="T1299" s="19"/>
    </row>
    <row r="1300" spans="1:20" ht="13.2" x14ac:dyDescent="0.25">
      <c r="A1300" s="39"/>
      <c r="B1300" s="37"/>
      <c r="D1300" s="19"/>
      <c r="E1300" s="19"/>
      <c r="G1300" s="16"/>
      <c r="H1300" s="16"/>
      <c r="I1300" s="16"/>
      <c r="J1300" s="19"/>
      <c r="K1300" s="19"/>
      <c r="L1300" s="19"/>
      <c r="M1300" s="19"/>
      <c r="N1300" s="19"/>
      <c r="O1300" s="19"/>
      <c r="P1300" s="19"/>
      <c r="Q1300" s="19"/>
      <c r="R1300" s="19"/>
      <c r="S1300" s="19"/>
      <c r="T1300" s="19"/>
    </row>
    <row r="1301" spans="1:20" ht="13.2" x14ac:dyDescent="0.25">
      <c r="A1301" s="39"/>
      <c r="B1301" s="37"/>
      <c r="D1301" s="19"/>
      <c r="E1301" s="19"/>
      <c r="G1301" s="16"/>
      <c r="H1301" s="16"/>
      <c r="I1301" s="16"/>
      <c r="J1301" s="19"/>
      <c r="K1301" s="19"/>
      <c r="L1301" s="19"/>
      <c r="M1301" s="19"/>
      <c r="N1301" s="19"/>
      <c r="O1301" s="19"/>
      <c r="P1301" s="19"/>
      <c r="Q1301" s="19"/>
      <c r="R1301" s="19"/>
      <c r="S1301" s="19"/>
      <c r="T1301" s="19"/>
    </row>
    <row r="1302" spans="1:20" ht="13.2" x14ac:dyDescent="0.25">
      <c r="A1302" s="39"/>
      <c r="B1302" s="37"/>
      <c r="D1302" s="19"/>
      <c r="E1302" s="19"/>
      <c r="G1302" s="16"/>
      <c r="H1302" s="16"/>
      <c r="I1302" s="16"/>
      <c r="J1302" s="19"/>
      <c r="K1302" s="19"/>
      <c r="L1302" s="19"/>
      <c r="M1302" s="19"/>
      <c r="N1302" s="19"/>
      <c r="O1302" s="19"/>
      <c r="P1302" s="19"/>
      <c r="Q1302" s="19"/>
      <c r="R1302" s="19"/>
      <c r="S1302" s="19"/>
      <c r="T1302" s="19"/>
    </row>
    <row r="1303" spans="1:20" ht="13.2" x14ac:dyDescent="0.25">
      <c r="A1303" s="39"/>
      <c r="B1303" s="37"/>
      <c r="D1303" s="19"/>
      <c r="E1303" s="19"/>
      <c r="G1303" s="16"/>
      <c r="H1303" s="16"/>
      <c r="I1303" s="16"/>
      <c r="J1303" s="19"/>
      <c r="K1303" s="19"/>
      <c r="L1303" s="19"/>
      <c r="M1303" s="19"/>
      <c r="N1303" s="19"/>
      <c r="O1303" s="19"/>
      <c r="P1303" s="19"/>
      <c r="Q1303" s="19"/>
      <c r="R1303" s="19"/>
      <c r="S1303" s="19"/>
      <c r="T1303" s="19"/>
    </row>
    <row r="1304" spans="1:20" ht="13.2" x14ac:dyDescent="0.25">
      <c r="A1304" s="39"/>
      <c r="B1304" s="37"/>
      <c r="D1304" s="19"/>
      <c r="E1304" s="19"/>
      <c r="G1304" s="16"/>
      <c r="H1304" s="16"/>
      <c r="I1304" s="16"/>
      <c r="J1304" s="19"/>
      <c r="K1304" s="19"/>
      <c r="L1304" s="19"/>
      <c r="M1304" s="19"/>
      <c r="N1304" s="19"/>
      <c r="O1304" s="19"/>
      <c r="P1304" s="19"/>
      <c r="Q1304" s="19"/>
      <c r="R1304" s="19"/>
      <c r="S1304" s="19"/>
      <c r="T1304" s="19"/>
    </row>
    <row r="1305" spans="1:20" ht="13.2" x14ac:dyDescent="0.25">
      <c r="A1305" s="39"/>
      <c r="B1305" s="37"/>
      <c r="D1305" s="19"/>
      <c r="E1305" s="19"/>
      <c r="G1305" s="16"/>
      <c r="H1305" s="16"/>
      <c r="I1305" s="16"/>
      <c r="J1305" s="19"/>
      <c r="K1305" s="19"/>
      <c r="L1305" s="19"/>
      <c r="M1305" s="19"/>
      <c r="N1305" s="19"/>
      <c r="O1305" s="19"/>
      <c r="P1305" s="19"/>
      <c r="Q1305" s="19"/>
      <c r="R1305" s="19"/>
      <c r="S1305" s="19"/>
      <c r="T1305" s="19"/>
    </row>
    <row r="1306" spans="1:20" ht="13.2" x14ac:dyDescent="0.25">
      <c r="A1306" s="39"/>
      <c r="B1306" s="37"/>
      <c r="D1306" s="19"/>
      <c r="E1306" s="19"/>
      <c r="G1306" s="16"/>
      <c r="H1306" s="16"/>
      <c r="I1306" s="16"/>
      <c r="J1306" s="19"/>
      <c r="K1306" s="19"/>
      <c r="L1306" s="19"/>
      <c r="M1306" s="19"/>
      <c r="N1306" s="19"/>
      <c r="O1306" s="19"/>
      <c r="P1306" s="19"/>
      <c r="Q1306" s="19"/>
      <c r="R1306" s="19"/>
      <c r="S1306" s="19"/>
      <c r="T1306" s="19"/>
    </row>
    <row r="1307" spans="1:20" ht="13.2" x14ac:dyDescent="0.25">
      <c r="A1307" s="39"/>
      <c r="B1307" s="37"/>
      <c r="D1307" s="19"/>
      <c r="E1307" s="19"/>
      <c r="G1307" s="16"/>
      <c r="H1307" s="16"/>
      <c r="I1307" s="16"/>
      <c r="J1307" s="19"/>
      <c r="K1307" s="19"/>
      <c r="L1307" s="19"/>
      <c r="M1307" s="19"/>
      <c r="N1307" s="19"/>
      <c r="O1307" s="19"/>
      <c r="P1307" s="19"/>
      <c r="Q1307" s="19"/>
      <c r="R1307" s="19"/>
      <c r="S1307" s="19"/>
      <c r="T1307" s="19"/>
    </row>
    <row r="1308" spans="1:20" ht="13.2" x14ac:dyDescent="0.25">
      <c r="A1308" s="39"/>
      <c r="B1308" s="37"/>
      <c r="D1308" s="19"/>
      <c r="E1308" s="19"/>
      <c r="G1308" s="16"/>
      <c r="H1308" s="16"/>
      <c r="I1308" s="16"/>
      <c r="J1308" s="19"/>
      <c r="K1308" s="19"/>
      <c r="L1308" s="19"/>
      <c r="M1308" s="19"/>
      <c r="N1308" s="19"/>
      <c r="O1308" s="19"/>
      <c r="P1308" s="19"/>
      <c r="Q1308" s="19"/>
      <c r="R1308" s="19"/>
      <c r="S1308" s="19"/>
      <c r="T1308" s="19"/>
    </row>
    <row r="1309" spans="1:20" ht="13.2" x14ac:dyDescent="0.25">
      <c r="A1309" s="39"/>
      <c r="B1309" s="37"/>
      <c r="D1309" s="19"/>
      <c r="E1309" s="19"/>
      <c r="G1309" s="16"/>
      <c r="H1309" s="16"/>
      <c r="I1309" s="16"/>
      <c r="J1309" s="19"/>
      <c r="K1309" s="19"/>
      <c r="L1309" s="19"/>
      <c r="M1309" s="19"/>
      <c r="N1309" s="19"/>
      <c r="O1309" s="19"/>
      <c r="P1309" s="19"/>
      <c r="Q1309" s="19"/>
      <c r="R1309" s="19"/>
      <c r="S1309" s="19"/>
      <c r="T1309" s="19"/>
    </row>
    <row r="1310" spans="1:20" ht="13.2" x14ac:dyDescent="0.25">
      <c r="A1310" s="39"/>
      <c r="B1310" s="37"/>
      <c r="D1310" s="19"/>
      <c r="E1310" s="19"/>
      <c r="G1310" s="16"/>
      <c r="H1310" s="16"/>
      <c r="I1310" s="16"/>
      <c r="J1310" s="19"/>
      <c r="K1310" s="19"/>
      <c r="L1310" s="19"/>
      <c r="M1310" s="19"/>
      <c r="N1310" s="19"/>
      <c r="O1310" s="19"/>
      <c r="P1310" s="19"/>
      <c r="Q1310" s="19"/>
      <c r="R1310" s="19"/>
      <c r="S1310" s="19"/>
      <c r="T1310" s="19"/>
    </row>
    <row r="1311" spans="1:20" ht="13.2" x14ac:dyDescent="0.25">
      <c r="A1311" s="39"/>
      <c r="B1311" s="37"/>
      <c r="D1311" s="19"/>
      <c r="E1311" s="19"/>
      <c r="G1311" s="16"/>
      <c r="H1311" s="16"/>
      <c r="I1311" s="16"/>
      <c r="J1311" s="19"/>
      <c r="K1311" s="19"/>
      <c r="L1311" s="19"/>
      <c r="M1311" s="19"/>
      <c r="N1311" s="19"/>
      <c r="O1311" s="19"/>
      <c r="P1311" s="19"/>
      <c r="Q1311" s="19"/>
      <c r="R1311" s="19"/>
      <c r="S1311" s="19"/>
      <c r="T1311" s="19"/>
    </row>
    <row r="1312" spans="1:20" ht="13.2" x14ac:dyDescent="0.25">
      <c r="A1312" s="39"/>
      <c r="B1312" s="37"/>
      <c r="D1312" s="19"/>
      <c r="E1312" s="19"/>
      <c r="G1312" s="16"/>
      <c r="H1312" s="16"/>
      <c r="I1312" s="16"/>
      <c r="J1312" s="19"/>
      <c r="K1312" s="19"/>
      <c r="L1312" s="19"/>
      <c r="M1312" s="19"/>
      <c r="N1312" s="19"/>
      <c r="O1312" s="19"/>
      <c r="P1312" s="19"/>
      <c r="Q1312" s="19"/>
      <c r="R1312" s="19"/>
      <c r="S1312" s="19"/>
      <c r="T1312" s="19"/>
    </row>
    <row r="1313" spans="1:20" ht="13.2" x14ac:dyDescent="0.25">
      <c r="A1313" s="39"/>
      <c r="B1313" s="37"/>
      <c r="D1313" s="19"/>
      <c r="E1313" s="19"/>
      <c r="G1313" s="16"/>
      <c r="H1313" s="16"/>
      <c r="I1313" s="16"/>
      <c r="J1313" s="19"/>
      <c r="K1313" s="19"/>
      <c r="L1313" s="19"/>
      <c r="M1313" s="19"/>
      <c r="N1313" s="19"/>
      <c r="O1313" s="19"/>
      <c r="P1313" s="19"/>
      <c r="Q1313" s="19"/>
      <c r="R1313" s="19"/>
      <c r="S1313" s="19"/>
      <c r="T1313" s="19"/>
    </row>
    <row r="1314" spans="1:20" ht="13.2" x14ac:dyDescent="0.25">
      <c r="A1314" s="39"/>
      <c r="B1314" s="37"/>
      <c r="D1314" s="19"/>
      <c r="E1314" s="19"/>
      <c r="G1314" s="16"/>
      <c r="H1314" s="16"/>
      <c r="I1314" s="16"/>
      <c r="J1314" s="19"/>
      <c r="K1314" s="19"/>
      <c r="L1314" s="19"/>
      <c r="M1314" s="19"/>
      <c r="N1314" s="19"/>
      <c r="O1314" s="19"/>
      <c r="P1314" s="19"/>
      <c r="Q1314" s="19"/>
      <c r="R1314" s="19"/>
      <c r="S1314" s="19"/>
      <c r="T1314" s="19"/>
    </row>
    <row r="1315" spans="1:20" ht="13.2" x14ac:dyDescent="0.25">
      <c r="A1315" s="39"/>
      <c r="B1315" s="37"/>
      <c r="D1315" s="19"/>
      <c r="E1315" s="19"/>
      <c r="G1315" s="16"/>
      <c r="H1315" s="16"/>
      <c r="I1315" s="16"/>
      <c r="J1315" s="19"/>
      <c r="K1315" s="19"/>
      <c r="L1315" s="19"/>
      <c r="M1315" s="19"/>
      <c r="N1315" s="19"/>
      <c r="O1315" s="19"/>
      <c r="P1315" s="19"/>
      <c r="Q1315" s="19"/>
      <c r="R1315" s="19"/>
      <c r="S1315" s="19"/>
      <c r="T1315" s="19"/>
    </row>
    <row r="1316" spans="1:20" ht="13.2" x14ac:dyDescent="0.25">
      <c r="A1316" s="39"/>
      <c r="B1316" s="37"/>
      <c r="D1316" s="19"/>
      <c r="E1316" s="19"/>
      <c r="G1316" s="16"/>
      <c r="H1316" s="16"/>
      <c r="I1316" s="16"/>
      <c r="J1316" s="19"/>
      <c r="K1316" s="19"/>
      <c r="L1316" s="19"/>
      <c r="M1316" s="19"/>
      <c r="N1316" s="19"/>
      <c r="O1316" s="19"/>
      <c r="P1316" s="19"/>
      <c r="Q1316" s="19"/>
      <c r="R1316" s="19"/>
      <c r="S1316" s="19"/>
      <c r="T1316" s="19"/>
    </row>
    <row r="1317" spans="1:20" ht="13.2" x14ac:dyDescent="0.25">
      <c r="A1317" s="39"/>
      <c r="B1317" s="37"/>
      <c r="D1317" s="19"/>
      <c r="E1317" s="19"/>
      <c r="G1317" s="16"/>
      <c r="H1317" s="16"/>
      <c r="I1317" s="16"/>
      <c r="J1317" s="19"/>
      <c r="K1317" s="19"/>
      <c r="L1317" s="19"/>
      <c r="M1317" s="19"/>
      <c r="N1317" s="19"/>
      <c r="O1317" s="19"/>
      <c r="P1317" s="19"/>
      <c r="Q1317" s="19"/>
      <c r="R1317" s="19"/>
      <c r="S1317" s="19"/>
      <c r="T1317" s="19"/>
    </row>
    <row r="1318" spans="1:20" ht="13.2" x14ac:dyDescent="0.25">
      <c r="A1318" s="39"/>
      <c r="B1318" s="37"/>
      <c r="D1318" s="19"/>
      <c r="E1318" s="19"/>
      <c r="G1318" s="16"/>
      <c r="H1318" s="16"/>
      <c r="I1318" s="16"/>
      <c r="J1318" s="19"/>
      <c r="K1318" s="19"/>
      <c r="L1318" s="19"/>
      <c r="M1318" s="19"/>
      <c r="N1318" s="19"/>
      <c r="O1318" s="19"/>
      <c r="P1318" s="19"/>
      <c r="Q1318" s="19"/>
      <c r="R1318" s="19"/>
      <c r="S1318" s="19"/>
      <c r="T1318" s="19"/>
    </row>
    <row r="1319" spans="1:20" ht="13.2" x14ac:dyDescent="0.25">
      <c r="A1319" s="39"/>
      <c r="B1319" s="37"/>
      <c r="D1319" s="19"/>
      <c r="E1319" s="19"/>
      <c r="G1319" s="16"/>
      <c r="H1319" s="16"/>
      <c r="I1319" s="16"/>
      <c r="J1319" s="19"/>
      <c r="K1319" s="19"/>
      <c r="L1319" s="19"/>
      <c r="M1319" s="19"/>
      <c r="N1319" s="19"/>
      <c r="O1319" s="19"/>
      <c r="P1319" s="19"/>
      <c r="Q1319" s="19"/>
      <c r="R1319" s="19"/>
      <c r="S1319" s="19"/>
      <c r="T1319" s="19"/>
    </row>
    <row r="1320" spans="1:20" ht="13.2" x14ac:dyDescent="0.25">
      <c r="A1320" s="39"/>
      <c r="B1320" s="37"/>
      <c r="D1320" s="19"/>
      <c r="E1320" s="19"/>
      <c r="G1320" s="16"/>
      <c r="H1320" s="16"/>
      <c r="I1320" s="16"/>
      <c r="J1320" s="19"/>
      <c r="K1320" s="19"/>
      <c r="L1320" s="19"/>
      <c r="M1320" s="19"/>
      <c r="N1320" s="19"/>
      <c r="O1320" s="19"/>
      <c r="P1320" s="19"/>
      <c r="Q1320" s="19"/>
      <c r="R1320" s="19"/>
      <c r="S1320" s="19"/>
      <c r="T1320" s="19"/>
    </row>
    <row r="1321" spans="1:20" ht="13.2" x14ac:dyDescent="0.25">
      <c r="A1321" s="39"/>
      <c r="B1321" s="37"/>
      <c r="D1321" s="19"/>
      <c r="E1321" s="19"/>
      <c r="G1321" s="16"/>
      <c r="H1321" s="16"/>
      <c r="I1321" s="16"/>
      <c r="J1321" s="19"/>
      <c r="K1321" s="19"/>
      <c r="L1321" s="19"/>
      <c r="M1321" s="19"/>
      <c r="N1321" s="19"/>
      <c r="O1321" s="19"/>
      <c r="P1321" s="19"/>
      <c r="Q1321" s="19"/>
      <c r="R1321" s="19"/>
      <c r="S1321" s="19"/>
      <c r="T1321" s="19"/>
    </row>
    <row r="1322" spans="1:20" ht="13.2" x14ac:dyDescent="0.25">
      <c r="A1322" s="39"/>
      <c r="B1322" s="37"/>
      <c r="D1322" s="19"/>
      <c r="E1322" s="19"/>
      <c r="G1322" s="16"/>
      <c r="H1322" s="16"/>
      <c r="I1322" s="16"/>
      <c r="J1322" s="19"/>
      <c r="K1322" s="19"/>
      <c r="L1322" s="19"/>
      <c r="M1322" s="19"/>
      <c r="N1322" s="19"/>
      <c r="O1322" s="19"/>
      <c r="P1322" s="19"/>
      <c r="Q1322" s="19"/>
      <c r="R1322" s="19"/>
      <c r="S1322" s="19"/>
      <c r="T1322" s="19"/>
    </row>
    <row r="1323" spans="1:20" ht="13.2" x14ac:dyDescent="0.25">
      <c r="A1323" s="39"/>
      <c r="B1323" s="37"/>
      <c r="D1323" s="19"/>
      <c r="E1323" s="19"/>
      <c r="G1323" s="16"/>
      <c r="H1323" s="16"/>
      <c r="I1323" s="16"/>
      <c r="J1323" s="19"/>
      <c r="K1323" s="19"/>
      <c r="L1323" s="19"/>
      <c r="M1323" s="19"/>
      <c r="N1323" s="19"/>
      <c r="O1323" s="19"/>
      <c r="P1323" s="19"/>
      <c r="Q1323" s="19"/>
      <c r="R1323" s="19"/>
      <c r="S1323" s="19"/>
      <c r="T1323" s="19"/>
    </row>
    <row r="1324" spans="1:20" ht="13.2" x14ac:dyDescent="0.25">
      <c r="A1324" s="39"/>
      <c r="B1324" s="37"/>
      <c r="D1324" s="19"/>
      <c r="E1324" s="19"/>
      <c r="G1324" s="16"/>
      <c r="H1324" s="16"/>
      <c r="I1324" s="16"/>
      <c r="J1324" s="19"/>
      <c r="K1324" s="19"/>
      <c r="L1324" s="19"/>
      <c r="M1324" s="19"/>
      <c r="N1324" s="19"/>
      <c r="O1324" s="19"/>
      <c r="P1324" s="19"/>
      <c r="Q1324" s="19"/>
      <c r="R1324" s="19"/>
      <c r="S1324" s="19"/>
      <c r="T1324" s="19"/>
    </row>
    <row r="1325" spans="1:20" ht="13.2" x14ac:dyDescent="0.25">
      <c r="A1325" s="39"/>
      <c r="B1325" s="37"/>
      <c r="D1325" s="19"/>
      <c r="E1325" s="19"/>
      <c r="G1325" s="16"/>
      <c r="H1325" s="16"/>
      <c r="I1325" s="16"/>
      <c r="J1325" s="19"/>
      <c r="K1325" s="19"/>
      <c r="L1325" s="19"/>
      <c r="M1325" s="19"/>
      <c r="N1325" s="19"/>
      <c r="O1325" s="19"/>
      <c r="P1325" s="19"/>
      <c r="Q1325" s="19"/>
      <c r="R1325" s="19"/>
      <c r="S1325" s="19"/>
      <c r="T1325" s="19"/>
    </row>
    <row r="1326" spans="1:20" ht="13.2" x14ac:dyDescent="0.25">
      <c r="A1326" s="39"/>
      <c r="B1326" s="37"/>
      <c r="D1326" s="19"/>
      <c r="E1326" s="19"/>
      <c r="G1326" s="16"/>
      <c r="H1326" s="16"/>
      <c r="I1326" s="16"/>
      <c r="J1326" s="19"/>
      <c r="K1326" s="19"/>
      <c r="L1326" s="19"/>
      <c r="M1326" s="19"/>
      <c r="N1326" s="19"/>
      <c r="O1326" s="19"/>
      <c r="P1326" s="19"/>
      <c r="Q1326" s="19"/>
      <c r="R1326" s="19"/>
      <c r="S1326" s="19"/>
      <c r="T1326" s="19"/>
    </row>
    <row r="1327" spans="1:20" ht="13.2" x14ac:dyDescent="0.25">
      <c r="A1327" s="39"/>
      <c r="B1327" s="37"/>
      <c r="D1327" s="19"/>
      <c r="E1327" s="19"/>
      <c r="G1327" s="16"/>
      <c r="H1327" s="16"/>
      <c r="I1327" s="16"/>
      <c r="J1327" s="19"/>
      <c r="K1327" s="19"/>
      <c r="L1327" s="19"/>
      <c r="M1327" s="19"/>
      <c r="N1327" s="19"/>
      <c r="O1327" s="19"/>
      <c r="P1327" s="19"/>
      <c r="Q1327" s="19"/>
      <c r="R1327" s="19"/>
      <c r="S1327" s="19"/>
      <c r="T1327" s="19"/>
    </row>
    <row r="1328" spans="1:20" ht="13.2" x14ac:dyDescent="0.25">
      <c r="A1328" s="39"/>
      <c r="B1328" s="37"/>
      <c r="D1328" s="19"/>
      <c r="E1328" s="19"/>
      <c r="G1328" s="16"/>
      <c r="H1328" s="16"/>
      <c r="I1328" s="16"/>
      <c r="J1328" s="19"/>
      <c r="K1328" s="19"/>
      <c r="L1328" s="19"/>
      <c r="M1328" s="19"/>
      <c r="N1328" s="19"/>
      <c r="O1328" s="19"/>
      <c r="P1328" s="19"/>
      <c r="Q1328" s="19"/>
      <c r="R1328" s="19"/>
      <c r="S1328" s="19"/>
      <c r="T1328" s="19"/>
    </row>
    <row r="1329" spans="1:20" ht="13.2" x14ac:dyDescent="0.25">
      <c r="A1329" s="39"/>
      <c r="B1329" s="37"/>
      <c r="D1329" s="19"/>
      <c r="E1329" s="19"/>
      <c r="G1329" s="16"/>
      <c r="H1329" s="16"/>
      <c r="I1329" s="16"/>
      <c r="J1329" s="19"/>
      <c r="K1329" s="19"/>
      <c r="L1329" s="19"/>
      <c r="M1329" s="19"/>
      <c r="N1329" s="19"/>
      <c r="O1329" s="19"/>
      <c r="P1329" s="19"/>
      <c r="Q1329" s="19"/>
      <c r="R1329" s="19"/>
      <c r="S1329" s="19"/>
      <c r="T1329" s="19"/>
    </row>
    <row r="1330" spans="1:20" ht="13.2" x14ac:dyDescent="0.25">
      <c r="A1330" s="39"/>
      <c r="B1330" s="37"/>
      <c r="D1330" s="19"/>
      <c r="E1330" s="19"/>
      <c r="G1330" s="16"/>
      <c r="H1330" s="16"/>
      <c r="I1330" s="16"/>
      <c r="J1330" s="19"/>
      <c r="K1330" s="19"/>
      <c r="L1330" s="19"/>
      <c r="M1330" s="19"/>
      <c r="N1330" s="19"/>
      <c r="O1330" s="19"/>
      <c r="P1330" s="19"/>
      <c r="Q1330" s="19"/>
      <c r="R1330" s="19"/>
      <c r="S1330" s="19"/>
      <c r="T1330" s="19"/>
    </row>
    <row r="1331" spans="1:20" ht="13.2" x14ac:dyDescent="0.25">
      <c r="A1331" s="39"/>
      <c r="B1331" s="37"/>
      <c r="D1331" s="19"/>
      <c r="E1331" s="19"/>
      <c r="G1331" s="16"/>
      <c r="H1331" s="16"/>
      <c r="I1331" s="16"/>
      <c r="J1331" s="19"/>
      <c r="K1331" s="19"/>
      <c r="L1331" s="19"/>
      <c r="M1331" s="19"/>
      <c r="N1331" s="19"/>
      <c r="O1331" s="19"/>
      <c r="P1331" s="19"/>
      <c r="Q1331" s="19"/>
      <c r="R1331" s="19"/>
      <c r="S1331" s="19"/>
      <c r="T1331" s="19"/>
    </row>
    <row r="1332" spans="1:20" ht="13.2" x14ac:dyDescent="0.25">
      <c r="A1332" s="39"/>
      <c r="B1332" s="37"/>
      <c r="D1332" s="19"/>
      <c r="E1332" s="19"/>
      <c r="G1332" s="16"/>
      <c r="H1332" s="16"/>
      <c r="I1332" s="16"/>
      <c r="J1332" s="19"/>
      <c r="K1332" s="19"/>
      <c r="L1332" s="19"/>
      <c r="M1332" s="19"/>
      <c r="N1332" s="19"/>
      <c r="O1332" s="19"/>
      <c r="P1332" s="19"/>
      <c r="Q1332" s="19"/>
      <c r="R1332" s="19"/>
      <c r="S1332" s="19"/>
      <c r="T1332" s="19"/>
    </row>
    <row r="1333" spans="1:20" ht="13.2" x14ac:dyDescent="0.25">
      <c r="A1333" s="39"/>
      <c r="B1333" s="37"/>
      <c r="D1333" s="19"/>
      <c r="E1333" s="19"/>
      <c r="G1333" s="16"/>
      <c r="H1333" s="16"/>
      <c r="I1333" s="16"/>
      <c r="J1333" s="19"/>
      <c r="K1333" s="19"/>
      <c r="L1333" s="19"/>
      <c r="M1333" s="19"/>
      <c r="N1333" s="19"/>
      <c r="O1333" s="19"/>
      <c r="P1333" s="19"/>
      <c r="Q1333" s="19"/>
      <c r="R1333" s="19"/>
      <c r="S1333" s="19"/>
      <c r="T1333" s="19"/>
    </row>
    <row r="1334" spans="1:20" ht="13.2" x14ac:dyDescent="0.25">
      <c r="A1334" s="39"/>
      <c r="B1334" s="37"/>
      <c r="D1334" s="19"/>
      <c r="E1334" s="19"/>
      <c r="G1334" s="16"/>
      <c r="H1334" s="16"/>
      <c r="I1334" s="16"/>
      <c r="J1334" s="19"/>
      <c r="K1334" s="19"/>
      <c r="L1334" s="19"/>
      <c r="M1334" s="19"/>
      <c r="N1334" s="19"/>
      <c r="O1334" s="19"/>
      <c r="P1334" s="19"/>
      <c r="Q1334" s="19"/>
      <c r="R1334" s="19"/>
      <c r="S1334" s="19"/>
      <c r="T1334" s="19"/>
    </row>
    <row r="1335" spans="1:20" ht="13.2" x14ac:dyDescent="0.25">
      <c r="A1335" s="39"/>
      <c r="B1335" s="37"/>
      <c r="D1335" s="19"/>
      <c r="E1335" s="19"/>
      <c r="G1335" s="16"/>
      <c r="H1335" s="16"/>
      <c r="I1335" s="16"/>
      <c r="J1335" s="19"/>
      <c r="K1335" s="19"/>
      <c r="L1335" s="19"/>
      <c r="M1335" s="19"/>
      <c r="N1335" s="19"/>
      <c r="O1335" s="19"/>
      <c r="P1335" s="19"/>
      <c r="Q1335" s="19"/>
      <c r="R1335" s="19"/>
      <c r="S1335" s="19"/>
      <c r="T1335" s="19"/>
    </row>
    <row r="1336" spans="1:20" ht="13.2" x14ac:dyDescent="0.25">
      <c r="A1336" s="39"/>
      <c r="B1336" s="37"/>
      <c r="D1336" s="19"/>
      <c r="E1336" s="19"/>
      <c r="G1336" s="16"/>
      <c r="H1336" s="16"/>
      <c r="I1336" s="16"/>
      <c r="J1336" s="19"/>
      <c r="K1336" s="19"/>
      <c r="L1336" s="19"/>
      <c r="M1336" s="19"/>
      <c r="N1336" s="19"/>
      <c r="O1336" s="19"/>
      <c r="P1336" s="19"/>
      <c r="Q1336" s="19"/>
      <c r="R1336" s="19"/>
      <c r="S1336" s="19"/>
      <c r="T1336" s="19"/>
    </row>
    <row r="1337" spans="1:20" ht="13.2" x14ac:dyDescent="0.25">
      <c r="A1337" s="39"/>
      <c r="B1337" s="37"/>
      <c r="D1337" s="19"/>
      <c r="E1337" s="19"/>
      <c r="G1337" s="16"/>
      <c r="H1337" s="16"/>
      <c r="I1337" s="16"/>
      <c r="J1337" s="19"/>
      <c r="K1337" s="19"/>
      <c r="L1337" s="19"/>
      <c r="M1337" s="19"/>
      <c r="N1337" s="19"/>
      <c r="O1337" s="19"/>
      <c r="P1337" s="19"/>
      <c r="Q1337" s="19"/>
      <c r="R1337" s="19"/>
      <c r="S1337" s="19"/>
      <c r="T1337" s="19"/>
    </row>
    <row r="1338" spans="1:20" ht="13.2" x14ac:dyDescent="0.25">
      <c r="A1338" s="39"/>
      <c r="B1338" s="37"/>
      <c r="D1338" s="19"/>
      <c r="E1338" s="19"/>
      <c r="G1338" s="16"/>
      <c r="H1338" s="16"/>
      <c r="I1338" s="16"/>
      <c r="J1338" s="19"/>
      <c r="K1338" s="19"/>
      <c r="L1338" s="19"/>
      <c r="M1338" s="19"/>
      <c r="N1338" s="19"/>
      <c r="O1338" s="19"/>
      <c r="P1338" s="19"/>
      <c r="Q1338" s="19"/>
      <c r="R1338" s="19"/>
      <c r="S1338" s="19"/>
      <c r="T1338" s="19"/>
    </row>
    <row r="1339" spans="1:20" ht="13.2" x14ac:dyDescent="0.25">
      <c r="A1339" s="39"/>
      <c r="B1339" s="37"/>
      <c r="D1339" s="19"/>
      <c r="E1339" s="19"/>
      <c r="G1339" s="16"/>
      <c r="H1339" s="16"/>
      <c r="I1339" s="16"/>
      <c r="J1339" s="19"/>
      <c r="K1339" s="19"/>
      <c r="L1339" s="19"/>
      <c r="M1339" s="19"/>
      <c r="N1339" s="19"/>
      <c r="O1339" s="19"/>
      <c r="P1339" s="19"/>
      <c r="Q1339" s="19"/>
      <c r="R1339" s="19"/>
      <c r="S1339" s="19"/>
      <c r="T1339" s="19"/>
    </row>
    <row r="1340" spans="1:20" ht="13.2" x14ac:dyDescent="0.25">
      <c r="A1340" s="39"/>
      <c r="B1340" s="37"/>
      <c r="D1340" s="19"/>
      <c r="E1340" s="19"/>
      <c r="G1340" s="16"/>
      <c r="H1340" s="16"/>
      <c r="I1340" s="16"/>
      <c r="J1340" s="19"/>
      <c r="K1340" s="19"/>
      <c r="L1340" s="19"/>
      <c r="M1340" s="19"/>
      <c r="N1340" s="19"/>
      <c r="O1340" s="19"/>
      <c r="P1340" s="19"/>
      <c r="Q1340" s="19"/>
      <c r="R1340" s="19"/>
      <c r="S1340" s="19"/>
      <c r="T1340" s="19"/>
    </row>
    <row r="1341" spans="1:20" ht="13.2" x14ac:dyDescent="0.25">
      <c r="A1341" s="39"/>
      <c r="B1341" s="37"/>
      <c r="D1341" s="19"/>
      <c r="E1341" s="19"/>
      <c r="G1341" s="16"/>
      <c r="H1341" s="16"/>
      <c r="I1341" s="16"/>
      <c r="J1341" s="19"/>
      <c r="K1341" s="19"/>
      <c r="L1341" s="19"/>
      <c r="M1341" s="19"/>
      <c r="N1341" s="19"/>
      <c r="O1341" s="19"/>
      <c r="P1341" s="19"/>
      <c r="Q1341" s="19"/>
      <c r="R1341" s="19"/>
      <c r="S1341" s="19"/>
      <c r="T1341" s="19"/>
    </row>
    <row r="1342" spans="1:20" ht="13.2" x14ac:dyDescent="0.25">
      <c r="A1342" s="39"/>
      <c r="B1342" s="37"/>
      <c r="D1342" s="19"/>
      <c r="E1342" s="19"/>
      <c r="G1342" s="16"/>
      <c r="H1342" s="16"/>
      <c r="I1342" s="16"/>
      <c r="J1342" s="19"/>
      <c r="K1342" s="19"/>
      <c r="L1342" s="19"/>
      <c r="M1342" s="19"/>
      <c r="N1342" s="19"/>
      <c r="O1342" s="19"/>
      <c r="P1342" s="19"/>
      <c r="Q1342" s="19"/>
      <c r="R1342" s="19"/>
      <c r="S1342" s="19"/>
      <c r="T1342" s="19"/>
    </row>
    <row r="1343" spans="1:20" ht="13.2" x14ac:dyDescent="0.25">
      <c r="A1343" s="39"/>
      <c r="B1343" s="37"/>
      <c r="D1343" s="19"/>
      <c r="E1343" s="19"/>
      <c r="G1343" s="16"/>
      <c r="H1343" s="16"/>
      <c r="I1343" s="16"/>
      <c r="J1343" s="19"/>
      <c r="K1343" s="19"/>
      <c r="L1343" s="19"/>
      <c r="M1343" s="19"/>
      <c r="N1343" s="19"/>
      <c r="O1343" s="19"/>
      <c r="P1343" s="19"/>
      <c r="Q1343" s="19"/>
      <c r="R1343" s="19"/>
      <c r="S1343" s="19"/>
      <c r="T1343" s="19"/>
    </row>
    <row r="1344" spans="1:20" ht="13.2" x14ac:dyDescent="0.25">
      <c r="A1344" s="39"/>
      <c r="B1344" s="37"/>
      <c r="D1344" s="19"/>
      <c r="E1344" s="19"/>
      <c r="G1344" s="16"/>
      <c r="H1344" s="16"/>
      <c r="I1344" s="16"/>
      <c r="J1344" s="19"/>
      <c r="K1344" s="19"/>
      <c r="L1344" s="19"/>
      <c r="M1344" s="19"/>
      <c r="N1344" s="19"/>
      <c r="O1344" s="19"/>
      <c r="P1344" s="19"/>
      <c r="Q1344" s="19"/>
      <c r="R1344" s="19"/>
      <c r="S1344" s="19"/>
      <c r="T1344" s="19"/>
    </row>
    <row r="1345" spans="1:20" ht="13.2" x14ac:dyDescent="0.25">
      <c r="A1345" s="39"/>
      <c r="B1345" s="37"/>
      <c r="D1345" s="19"/>
      <c r="E1345" s="19"/>
      <c r="G1345" s="16"/>
      <c r="H1345" s="16"/>
      <c r="I1345" s="16"/>
      <c r="J1345" s="19"/>
      <c r="K1345" s="19"/>
      <c r="L1345" s="19"/>
      <c r="M1345" s="19"/>
      <c r="N1345" s="19"/>
      <c r="O1345" s="19"/>
      <c r="P1345" s="19"/>
      <c r="Q1345" s="19"/>
      <c r="R1345" s="19"/>
      <c r="S1345" s="19"/>
      <c r="T1345" s="19"/>
    </row>
    <row r="1346" spans="1:20" ht="13.2" x14ac:dyDescent="0.25">
      <c r="A1346" s="39"/>
      <c r="B1346" s="37"/>
      <c r="D1346" s="19"/>
      <c r="E1346" s="19"/>
      <c r="G1346" s="16"/>
      <c r="H1346" s="16"/>
      <c r="I1346" s="16"/>
      <c r="J1346" s="19"/>
      <c r="K1346" s="19"/>
      <c r="L1346" s="19"/>
      <c r="M1346" s="19"/>
      <c r="N1346" s="19"/>
      <c r="O1346" s="19"/>
      <c r="P1346" s="19"/>
      <c r="Q1346" s="19"/>
      <c r="R1346" s="19"/>
      <c r="S1346" s="19"/>
      <c r="T1346" s="19"/>
    </row>
    <row r="1347" spans="1:20" ht="13.2" x14ac:dyDescent="0.25">
      <c r="A1347" s="39"/>
      <c r="B1347" s="37"/>
      <c r="D1347" s="19"/>
      <c r="E1347" s="19"/>
      <c r="G1347" s="16"/>
      <c r="H1347" s="16"/>
      <c r="I1347" s="16"/>
      <c r="J1347" s="19"/>
      <c r="K1347" s="19"/>
      <c r="L1347" s="19"/>
      <c r="M1347" s="19"/>
      <c r="N1347" s="19"/>
      <c r="O1347" s="19"/>
      <c r="P1347" s="19"/>
      <c r="Q1347" s="19"/>
      <c r="R1347" s="19"/>
      <c r="S1347" s="19"/>
      <c r="T1347" s="19"/>
    </row>
    <row r="1348" spans="1:20" ht="13.2" x14ac:dyDescent="0.25">
      <c r="A1348" s="39"/>
      <c r="B1348" s="37"/>
      <c r="D1348" s="19"/>
      <c r="E1348" s="19"/>
      <c r="G1348" s="16"/>
      <c r="H1348" s="16"/>
      <c r="I1348" s="16"/>
      <c r="J1348" s="19"/>
      <c r="K1348" s="19"/>
      <c r="L1348" s="19"/>
      <c r="M1348" s="19"/>
      <c r="N1348" s="19"/>
      <c r="O1348" s="19"/>
      <c r="P1348" s="19"/>
      <c r="Q1348" s="19"/>
      <c r="R1348" s="19"/>
      <c r="S1348" s="19"/>
      <c r="T1348" s="19"/>
    </row>
    <row r="1349" spans="1:20" ht="13.2" x14ac:dyDescent="0.25">
      <c r="A1349" s="39"/>
      <c r="B1349" s="37"/>
      <c r="D1349" s="19"/>
      <c r="E1349" s="19"/>
      <c r="G1349" s="16"/>
      <c r="H1349" s="16"/>
      <c r="I1349" s="16"/>
      <c r="J1349" s="19"/>
      <c r="K1349" s="19"/>
      <c r="L1349" s="19"/>
      <c r="M1349" s="19"/>
      <c r="N1349" s="19"/>
      <c r="O1349" s="19"/>
      <c r="P1349" s="19"/>
      <c r="Q1349" s="19"/>
      <c r="R1349" s="19"/>
      <c r="S1349" s="19"/>
      <c r="T1349" s="19"/>
    </row>
    <row r="1350" spans="1:20" ht="13.2" x14ac:dyDescent="0.25">
      <c r="A1350" s="39"/>
      <c r="B1350" s="37"/>
      <c r="D1350" s="19"/>
      <c r="E1350" s="19"/>
      <c r="G1350" s="16"/>
      <c r="H1350" s="16"/>
      <c r="I1350" s="16"/>
      <c r="J1350" s="19"/>
      <c r="K1350" s="19"/>
      <c r="L1350" s="19"/>
      <c r="M1350" s="19"/>
      <c r="N1350" s="19"/>
      <c r="O1350" s="19"/>
      <c r="P1350" s="19"/>
      <c r="Q1350" s="19"/>
      <c r="R1350" s="19"/>
      <c r="S1350" s="19"/>
      <c r="T1350" s="19"/>
    </row>
    <row r="1351" spans="1:20" ht="13.2" x14ac:dyDescent="0.25">
      <c r="A1351" s="39"/>
      <c r="B1351" s="37"/>
      <c r="D1351" s="19"/>
      <c r="E1351" s="19"/>
      <c r="G1351" s="16"/>
      <c r="H1351" s="16"/>
      <c r="I1351" s="16"/>
      <c r="J1351" s="19"/>
      <c r="K1351" s="19"/>
      <c r="L1351" s="19"/>
      <c r="M1351" s="19"/>
      <c r="N1351" s="19"/>
      <c r="O1351" s="19"/>
      <c r="P1351" s="19"/>
      <c r="Q1351" s="19"/>
      <c r="R1351" s="19"/>
      <c r="S1351" s="19"/>
      <c r="T1351" s="19"/>
    </row>
    <row r="1352" spans="1:20" ht="13.2" x14ac:dyDescent="0.25">
      <c r="A1352" s="39"/>
      <c r="B1352" s="37"/>
      <c r="D1352" s="19"/>
      <c r="E1352" s="19"/>
      <c r="G1352" s="16"/>
      <c r="H1352" s="16"/>
      <c r="I1352" s="16"/>
      <c r="J1352" s="19"/>
      <c r="K1352" s="19"/>
      <c r="L1352" s="19"/>
      <c r="M1352" s="19"/>
      <c r="N1352" s="19"/>
      <c r="O1352" s="19"/>
      <c r="P1352" s="19"/>
      <c r="Q1352" s="19"/>
      <c r="R1352" s="19"/>
      <c r="S1352" s="19"/>
      <c r="T1352" s="19"/>
    </row>
    <row r="1353" spans="1:20" ht="13.2" x14ac:dyDescent="0.25">
      <c r="A1353" s="39"/>
      <c r="B1353" s="37"/>
      <c r="D1353" s="19"/>
      <c r="E1353" s="19"/>
      <c r="G1353" s="16"/>
      <c r="H1353" s="16"/>
      <c r="I1353" s="16"/>
      <c r="J1353" s="19"/>
      <c r="K1353" s="19"/>
      <c r="L1353" s="19"/>
      <c r="M1353" s="19"/>
      <c r="N1353" s="19"/>
      <c r="O1353" s="19"/>
      <c r="P1353" s="19"/>
      <c r="Q1353" s="19"/>
      <c r="R1353" s="19"/>
      <c r="S1353" s="19"/>
      <c r="T1353" s="19"/>
    </row>
    <row r="1354" spans="1:20" ht="13.2" x14ac:dyDescent="0.25">
      <c r="A1354" s="39"/>
      <c r="B1354" s="37"/>
      <c r="D1354" s="19"/>
      <c r="E1354" s="19"/>
      <c r="G1354" s="16"/>
      <c r="H1354" s="16"/>
      <c r="I1354" s="16"/>
      <c r="J1354" s="19"/>
      <c r="K1354" s="19"/>
      <c r="L1354" s="19"/>
      <c r="M1354" s="19"/>
      <c r="N1354" s="19"/>
      <c r="O1354" s="19"/>
      <c r="P1354" s="19"/>
      <c r="Q1354" s="19"/>
      <c r="R1354" s="19"/>
      <c r="S1354" s="19"/>
      <c r="T1354" s="19"/>
    </row>
    <row r="1355" spans="1:20" ht="13.2" x14ac:dyDescent="0.25">
      <c r="A1355" s="39"/>
      <c r="B1355" s="37"/>
      <c r="D1355" s="19"/>
      <c r="E1355" s="19"/>
      <c r="G1355" s="16"/>
      <c r="H1355" s="16"/>
      <c r="I1355" s="16"/>
      <c r="J1355" s="19"/>
      <c r="K1355" s="19"/>
      <c r="L1355" s="19"/>
      <c r="M1355" s="19"/>
      <c r="N1355" s="19"/>
      <c r="O1355" s="19"/>
      <c r="P1355" s="19"/>
      <c r="Q1355" s="19"/>
      <c r="R1355" s="19"/>
      <c r="S1355" s="19"/>
      <c r="T1355" s="19"/>
    </row>
    <row r="1356" spans="1:20" ht="13.2" x14ac:dyDescent="0.25">
      <c r="A1356" s="39"/>
      <c r="B1356" s="37"/>
      <c r="D1356" s="19"/>
      <c r="E1356" s="19"/>
      <c r="G1356" s="16"/>
      <c r="H1356" s="16"/>
      <c r="I1356" s="16"/>
      <c r="J1356" s="19"/>
      <c r="K1356" s="19"/>
      <c r="L1356" s="19"/>
      <c r="M1356" s="19"/>
      <c r="N1356" s="19"/>
      <c r="O1356" s="19"/>
      <c r="P1356" s="19"/>
      <c r="Q1356" s="19"/>
      <c r="R1356" s="19"/>
      <c r="S1356" s="19"/>
      <c r="T1356" s="19"/>
    </row>
    <row r="1357" spans="1:20" ht="13.2" x14ac:dyDescent="0.25">
      <c r="A1357" s="39"/>
      <c r="B1357" s="37"/>
      <c r="D1357" s="19"/>
      <c r="E1357" s="19"/>
      <c r="G1357" s="16"/>
      <c r="H1357" s="16"/>
      <c r="I1357" s="16"/>
      <c r="J1357" s="19"/>
      <c r="K1357" s="19"/>
      <c r="L1357" s="19"/>
      <c r="M1357" s="19"/>
      <c r="N1357" s="19"/>
      <c r="O1357" s="19"/>
      <c r="P1357" s="19"/>
      <c r="Q1357" s="19"/>
      <c r="R1357" s="19"/>
      <c r="S1357" s="19"/>
      <c r="T1357" s="19"/>
    </row>
    <row r="1358" spans="1:20" ht="13.2" x14ac:dyDescent="0.25">
      <c r="A1358" s="39"/>
      <c r="B1358" s="37"/>
      <c r="D1358" s="19"/>
      <c r="E1358" s="19"/>
      <c r="G1358" s="16"/>
      <c r="H1358" s="16"/>
      <c r="I1358" s="16"/>
      <c r="J1358" s="19"/>
      <c r="K1358" s="19"/>
      <c r="L1358" s="19"/>
      <c r="M1358" s="19"/>
      <c r="N1358" s="19"/>
      <c r="O1358" s="19"/>
      <c r="P1358" s="19"/>
      <c r="Q1358" s="19"/>
      <c r="R1358" s="19"/>
      <c r="S1358" s="19"/>
      <c r="T1358" s="19"/>
    </row>
    <row r="1359" spans="1:20" ht="13.2" x14ac:dyDescent="0.25">
      <c r="A1359" s="39"/>
      <c r="B1359" s="37"/>
      <c r="D1359" s="19"/>
      <c r="E1359" s="19"/>
      <c r="G1359" s="16"/>
      <c r="H1359" s="16"/>
      <c r="I1359" s="16"/>
      <c r="J1359" s="19"/>
      <c r="K1359" s="19"/>
      <c r="L1359" s="19"/>
      <c r="M1359" s="19"/>
      <c r="N1359" s="19"/>
      <c r="O1359" s="19"/>
      <c r="P1359" s="19"/>
      <c r="Q1359" s="19"/>
      <c r="R1359" s="19"/>
      <c r="S1359" s="19"/>
      <c r="T1359" s="19"/>
    </row>
    <row r="1360" spans="1:20" ht="13.2" x14ac:dyDescent="0.25">
      <c r="A1360" s="39"/>
      <c r="B1360" s="37"/>
      <c r="D1360" s="19"/>
      <c r="E1360" s="19"/>
      <c r="G1360" s="16"/>
      <c r="H1360" s="16"/>
      <c r="I1360" s="16"/>
      <c r="J1360" s="19"/>
      <c r="K1360" s="19"/>
      <c r="L1360" s="19"/>
      <c r="M1360" s="19"/>
      <c r="N1360" s="19"/>
      <c r="O1360" s="19"/>
      <c r="P1360" s="19"/>
      <c r="Q1360" s="19"/>
      <c r="R1360" s="19"/>
      <c r="S1360" s="19"/>
      <c r="T1360" s="19"/>
    </row>
    <row r="1361" spans="1:20" ht="13.2" x14ac:dyDescent="0.25">
      <c r="A1361" s="39"/>
      <c r="B1361" s="37"/>
      <c r="D1361" s="19"/>
      <c r="E1361" s="19"/>
      <c r="G1361" s="16"/>
      <c r="H1361" s="16"/>
      <c r="I1361" s="16"/>
      <c r="J1361" s="19"/>
      <c r="K1361" s="19"/>
      <c r="L1361" s="19"/>
      <c r="M1361" s="19"/>
      <c r="N1361" s="19"/>
      <c r="O1361" s="19"/>
      <c r="P1361" s="19"/>
      <c r="Q1361" s="19"/>
      <c r="R1361" s="19"/>
      <c r="S1361" s="19"/>
      <c r="T1361" s="19"/>
    </row>
    <row r="1362" spans="1:20" ht="13.2" x14ac:dyDescent="0.25">
      <c r="A1362" s="39"/>
      <c r="B1362" s="37"/>
      <c r="D1362" s="19"/>
      <c r="E1362" s="19"/>
      <c r="G1362" s="16"/>
      <c r="H1362" s="16"/>
      <c r="I1362" s="16"/>
      <c r="J1362" s="19"/>
      <c r="K1362" s="19"/>
      <c r="L1362" s="19"/>
      <c r="M1362" s="19"/>
      <c r="N1362" s="19"/>
      <c r="O1362" s="19"/>
      <c r="P1362" s="19"/>
      <c r="Q1362" s="19"/>
      <c r="R1362" s="19"/>
      <c r="S1362" s="19"/>
      <c r="T1362" s="19"/>
    </row>
    <row r="1363" spans="1:20" ht="13.2" x14ac:dyDescent="0.25">
      <c r="A1363" s="39"/>
      <c r="B1363" s="37"/>
      <c r="D1363" s="19"/>
      <c r="E1363" s="19"/>
      <c r="G1363" s="16"/>
      <c r="H1363" s="16"/>
      <c r="I1363" s="16"/>
      <c r="J1363" s="19"/>
      <c r="K1363" s="19"/>
      <c r="L1363" s="19"/>
      <c r="M1363" s="19"/>
      <c r="N1363" s="19"/>
      <c r="O1363" s="19"/>
      <c r="P1363" s="19"/>
      <c r="Q1363" s="19"/>
      <c r="R1363" s="19"/>
      <c r="S1363" s="19"/>
      <c r="T1363" s="19"/>
    </row>
    <row r="1364" spans="1:20" ht="13.2" x14ac:dyDescent="0.25">
      <c r="A1364" s="39"/>
      <c r="B1364" s="37"/>
      <c r="D1364" s="19"/>
      <c r="E1364" s="19"/>
      <c r="G1364" s="16"/>
      <c r="H1364" s="16"/>
      <c r="I1364" s="16"/>
      <c r="J1364" s="19"/>
      <c r="K1364" s="19"/>
      <c r="L1364" s="19"/>
      <c r="M1364" s="19"/>
      <c r="N1364" s="19"/>
      <c r="O1364" s="19"/>
      <c r="P1364" s="19"/>
      <c r="Q1364" s="19"/>
      <c r="R1364" s="19"/>
      <c r="S1364" s="19"/>
      <c r="T1364" s="19"/>
    </row>
    <row r="1365" spans="1:20" ht="13.2" x14ac:dyDescent="0.25">
      <c r="A1365" s="39"/>
      <c r="B1365" s="37"/>
      <c r="D1365" s="19"/>
      <c r="E1365" s="19"/>
      <c r="G1365" s="16"/>
      <c r="H1365" s="16"/>
      <c r="I1365" s="16"/>
      <c r="J1365" s="19"/>
      <c r="K1365" s="19"/>
      <c r="L1365" s="19"/>
      <c r="M1365" s="19"/>
      <c r="N1365" s="19"/>
      <c r="O1365" s="19"/>
      <c r="P1365" s="19"/>
      <c r="Q1365" s="19"/>
      <c r="R1365" s="19"/>
      <c r="S1365" s="19"/>
      <c r="T1365" s="19"/>
    </row>
    <row r="1366" spans="1:20" ht="13.2" x14ac:dyDescent="0.25">
      <c r="A1366" s="39"/>
      <c r="B1366" s="37"/>
      <c r="D1366" s="19"/>
      <c r="E1366" s="19"/>
      <c r="G1366" s="16"/>
      <c r="H1366" s="16"/>
      <c r="I1366" s="16"/>
      <c r="J1366" s="19"/>
      <c r="K1366" s="19"/>
      <c r="L1366" s="19"/>
      <c r="M1366" s="19"/>
      <c r="N1366" s="19"/>
      <c r="O1366" s="19"/>
      <c r="P1366" s="19"/>
      <c r="Q1366" s="19"/>
      <c r="R1366" s="19"/>
      <c r="S1366" s="19"/>
      <c r="T1366" s="19"/>
    </row>
    <row r="1367" spans="1:20" ht="13.2" x14ac:dyDescent="0.25">
      <c r="A1367" s="39"/>
      <c r="B1367" s="37"/>
      <c r="D1367" s="19"/>
      <c r="E1367" s="19"/>
      <c r="G1367" s="16"/>
      <c r="H1367" s="16"/>
      <c r="I1367" s="16"/>
      <c r="J1367" s="19"/>
      <c r="K1367" s="19"/>
      <c r="L1367" s="19"/>
      <c r="M1367" s="19"/>
      <c r="N1367" s="19"/>
      <c r="O1367" s="19"/>
      <c r="P1367" s="19"/>
      <c r="Q1367" s="19"/>
      <c r="R1367" s="19"/>
      <c r="S1367" s="19"/>
      <c r="T1367" s="19"/>
    </row>
    <row r="1368" spans="1:20" ht="13.2" x14ac:dyDescent="0.25">
      <c r="A1368" s="39"/>
      <c r="B1368" s="37"/>
      <c r="D1368" s="19"/>
      <c r="E1368" s="19"/>
      <c r="G1368" s="16"/>
      <c r="H1368" s="16"/>
      <c r="I1368" s="16"/>
      <c r="J1368" s="19"/>
      <c r="K1368" s="19"/>
      <c r="L1368" s="19"/>
      <c r="M1368" s="19"/>
      <c r="N1368" s="19"/>
      <c r="O1368" s="19"/>
      <c r="P1368" s="19"/>
      <c r="Q1368" s="19"/>
      <c r="R1368" s="19"/>
      <c r="S1368" s="19"/>
      <c r="T1368" s="19"/>
    </row>
    <row r="1369" spans="1:20" ht="13.2" x14ac:dyDescent="0.25">
      <c r="A1369" s="39"/>
      <c r="B1369" s="37"/>
      <c r="D1369" s="19"/>
      <c r="E1369" s="19"/>
      <c r="G1369" s="16"/>
      <c r="H1369" s="16"/>
      <c r="I1369" s="16"/>
      <c r="J1369" s="19"/>
      <c r="K1369" s="19"/>
      <c r="L1369" s="19"/>
      <c r="M1369" s="19"/>
      <c r="N1369" s="19"/>
      <c r="O1369" s="19"/>
      <c r="P1369" s="19"/>
      <c r="Q1369" s="19"/>
      <c r="R1369" s="19"/>
      <c r="S1369" s="19"/>
      <c r="T1369" s="19"/>
    </row>
    <row r="1370" spans="1:20" ht="13.2" x14ac:dyDescent="0.25">
      <c r="A1370" s="39"/>
      <c r="B1370" s="37"/>
      <c r="D1370" s="19"/>
      <c r="E1370" s="19"/>
      <c r="G1370" s="16"/>
      <c r="H1370" s="16"/>
      <c r="I1370" s="16"/>
      <c r="J1370" s="19"/>
      <c r="K1370" s="19"/>
      <c r="L1370" s="19"/>
      <c r="M1370" s="19"/>
      <c r="N1370" s="19"/>
      <c r="O1370" s="19"/>
      <c r="P1370" s="19"/>
      <c r="Q1370" s="19"/>
      <c r="R1370" s="19"/>
      <c r="S1370" s="19"/>
      <c r="T1370" s="19"/>
    </row>
    <row r="1371" spans="1:20" ht="13.2" x14ac:dyDescent="0.25">
      <c r="A1371" s="39"/>
      <c r="B1371" s="37"/>
      <c r="D1371" s="19"/>
      <c r="E1371" s="19"/>
      <c r="G1371" s="16"/>
      <c r="H1371" s="16"/>
      <c r="I1371" s="16"/>
      <c r="J1371" s="19"/>
      <c r="K1371" s="19"/>
      <c r="L1371" s="19"/>
      <c r="M1371" s="19"/>
      <c r="N1371" s="19"/>
      <c r="O1371" s="19"/>
      <c r="P1371" s="19"/>
      <c r="Q1371" s="19"/>
      <c r="R1371" s="19"/>
      <c r="S1371" s="19"/>
      <c r="T1371" s="19"/>
    </row>
    <row r="1372" spans="1:20" ht="13.2" x14ac:dyDescent="0.25">
      <c r="A1372" s="39"/>
      <c r="B1372" s="37"/>
      <c r="D1372" s="19"/>
      <c r="E1372" s="19"/>
      <c r="G1372" s="16"/>
      <c r="H1372" s="16"/>
      <c r="I1372" s="16"/>
      <c r="J1372" s="19"/>
      <c r="K1372" s="19"/>
      <c r="L1372" s="19"/>
      <c r="M1372" s="19"/>
      <c r="N1372" s="19"/>
      <c r="O1372" s="19"/>
      <c r="P1372" s="19"/>
      <c r="Q1372" s="19"/>
      <c r="R1372" s="19"/>
      <c r="S1372" s="19"/>
      <c r="T1372" s="19"/>
    </row>
    <row r="1373" spans="1:20" ht="13.2" x14ac:dyDescent="0.25">
      <c r="A1373" s="39"/>
      <c r="B1373" s="37"/>
      <c r="D1373" s="19"/>
      <c r="E1373" s="19"/>
      <c r="G1373" s="16"/>
      <c r="H1373" s="16"/>
      <c r="I1373" s="16"/>
      <c r="J1373" s="19"/>
      <c r="K1373" s="19"/>
      <c r="L1373" s="19"/>
      <c r="M1373" s="19"/>
      <c r="N1373" s="19"/>
      <c r="O1373" s="19"/>
      <c r="P1373" s="19"/>
      <c r="Q1373" s="19"/>
      <c r="R1373" s="19"/>
      <c r="S1373" s="19"/>
      <c r="T1373" s="19"/>
    </row>
    <row r="1374" spans="1:20" ht="13.2" x14ac:dyDescent="0.25">
      <c r="A1374" s="39"/>
      <c r="B1374" s="37"/>
      <c r="D1374" s="19"/>
      <c r="E1374" s="19"/>
      <c r="G1374" s="16"/>
      <c r="H1374" s="16"/>
      <c r="I1374" s="16"/>
      <c r="J1374" s="19"/>
      <c r="K1374" s="19"/>
      <c r="L1374" s="19"/>
      <c r="M1374" s="19"/>
      <c r="N1374" s="19"/>
      <c r="O1374" s="19"/>
      <c r="P1374" s="19"/>
      <c r="Q1374" s="19"/>
      <c r="R1374" s="19"/>
      <c r="S1374" s="19"/>
      <c r="T1374" s="19"/>
    </row>
    <row r="1375" spans="1:20" ht="13.2" x14ac:dyDescent="0.25">
      <c r="A1375" s="39"/>
      <c r="B1375" s="37"/>
      <c r="D1375" s="19"/>
      <c r="E1375" s="19"/>
      <c r="G1375" s="16"/>
      <c r="H1375" s="16"/>
      <c r="I1375" s="16"/>
      <c r="J1375" s="19"/>
      <c r="K1375" s="19"/>
      <c r="L1375" s="19"/>
      <c r="M1375" s="19"/>
      <c r="N1375" s="19"/>
      <c r="O1375" s="19"/>
      <c r="P1375" s="19"/>
      <c r="Q1375" s="19"/>
      <c r="R1375" s="19"/>
      <c r="S1375" s="19"/>
      <c r="T1375" s="19"/>
    </row>
    <row r="1376" spans="1:20" ht="13.2" x14ac:dyDescent="0.25">
      <c r="A1376" s="39"/>
      <c r="B1376" s="37"/>
      <c r="D1376" s="19"/>
      <c r="E1376" s="19"/>
      <c r="G1376" s="16"/>
      <c r="H1376" s="16"/>
      <c r="I1376" s="16"/>
      <c r="J1376" s="19"/>
      <c r="K1376" s="19"/>
      <c r="L1376" s="19"/>
      <c r="M1376" s="19"/>
      <c r="N1376" s="19"/>
      <c r="O1376" s="19"/>
      <c r="P1376" s="19"/>
      <c r="Q1376" s="19"/>
      <c r="R1376" s="19"/>
      <c r="S1376" s="19"/>
      <c r="T1376" s="19"/>
    </row>
    <row r="1377" spans="1:20" ht="13.2" x14ac:dyDescent="0.25">
      <c r="A1377" s="39"/>
      <c r="B1377" s="37"/>
      <c r="D1377" s="19"/>
      <c r="E1377" s="19"/>
      <c r="G1377" s="16"/>
      <c r="H1377" s="16"/>
      <c r="I1377" s="16"/>
      <c r="J1377" s="19"/>
      <c r="K1377" s="19"/>
      <c r="L1377" s="19"/>
      <c r="M1377" s="19"/>
      <c r="N1377" s="19"/>
      <c r="O1377" s="19"/>
      <c r="P1377" s="19"/>
      <c r="Q1377" s="19"/>
      <c r="R1377" s="19"/>
      <c r="S1377" s="19"/>
      <c r="T1377" s="19"/>
    </row>
    <row r="1378" spans="1:20" ht="13.2" x14ac:dyDescent="0.25">
      <c r="A1378" s="39"/>
      <c r="B1378" s="37"/>
      <c r="D1378" s="19"/>
      <c r="E1378" s="19"/>
      <c r="G1378" s="16"/>
      <c r="H1378" s="16"/>
      <c r="I1378" s="16"/>
      <c r="J1378" s="19"/>
      <c r="K1378" s="19"/>
      <c r="L1378" s="19"/>
      <c r="M1378" s="19"/>
      <c r="N1378" s="19"/>
      <c r="O1378" s="19"/>
      <c r="P1378" s="19"/>
      <c r="Q1378" s="19"/>
      <c r="R1378" s="19"/>
      <c r="S1378" s="19"/>
      <c r="T1378" s="19"/>
    </row>
    <row r="1379" spans="1:20" ht="13.2" x14ac:dyDescent="0.25">
      <c r="A1379" s="39"/>
      <c r="B1379" s="37"/>
      <c r="D1379" s="19"/>
      <c r="E1379" s="19"/>
      <c r="G1379" s="16"/>
      <c r="H1379" s="16"/>
      <c r="I1379" s="16"/>
      <c r="J1379" s="19"/>
      <c r="K1379" s="19"/>
      <c r="L1379" s="19"/>
      <c r="M1379" s="19"/>
      <c r="N1379" s="19"/>
      <c r="O1379" s="19"/>
      <c r="P1379" s="19"/>
      <c r="Q1379" s="19"/>
      <c r="R1379" s="19"/>
      <c r="S1379" s="19"/>
      <c r="T1379" s="19"/>
    </row>
    <row r="1380" spans="1:20" ht="13.2" x14ac:dyDescent="0.25">
      <c r="A1380" s="39"/>
      <c r="B1380" s="37"/>
      <c r="D1380" s="19"/>
      <c r="E1380" s="19"/>
      <c r="G1380" s="16"/>
      <c r="H1380" s="16"/>
      <c r="I1380" s="16"/>
      <c r="J1380" s="19"/>
      <c r="K1380" s="19"/>
      <c r="L1380" s="19"/>
      <c r="M1380" s="19"/>
      <c r="N1380" s="19"/>
      <c r="O1380" s="19"/>
      <c r="P1380" s="19"/>
      <c r="Q1380" s="19"/>
      <c r="R1380" s="19"/>
      <c r="S1380" s="19"/>
      <c r="T1380" s="19"/>
    </row>
    <row r="1381" spans="1:20" ht="13.2" x14ac:dyDescent="0.25">
      <c r="A1381" s="39"/>
      <c r="B1381" s="37"/>
      <c r="D1381" s="19"/>
      <c r="E1381" s="19"/>
      <c r="G1381" s="16"/>
      <c r="H1381" s="16"/>
      <c r="I1381" s="16"/>
      <c r="J1381" s="19"/>
      <c r="K1381" s="19"/>
      <c r="L1381" s="19"/>
      <c r="M1381" s="19"/>
      <c r="N1381" s="19"/>
      <c r="O1381" s="19"/>
      <c r="P1381" s="19"/>
      <c r="Q1381" s="19"/>
      <c r="R1381" s="19"/>
      <c r="S1381" s="19"/>
      <c r="T1381" s="19"/>
    </row>
    <row r="1382" spans="1:20" ht="13.2" x14ac:dyDescent="0.25">
      <c r="A1382" s="39"/>
      <c r="B1382" s="37"/>
      <c r="D1382" s="19"/>
      <c r="E1382" s="19"/>
      <c r="G1382" s="16"/>
      <c r="H1382" s="16"/>
      <c r="I1382" s="16"/>
      <c r="J1382" s="19"/>
      <c r="K1382" s="19"/>
      <c r="L1382" s="19"/>
      <c r="M1382" s="19"/>
      <c r="N1382" s="19"/>
      <c r="O1382" s="19"/>
      <c r="P1382" s="19"/>
      <c r="Q1382" s="19"/>
      <c r="R1382" s="19"/>
      <c r="S1382" s="19"/>
      <c r="T1382" s="19"/>
    </row>
    <row r="1383" spans="1:20" ht="13.2" x14ac:dyDescent="0.25">
      <c r="A1383" s="39"/>
      <c r="B1383" s="37"/>
      <c r="D1383" s="19"/>
      <c r="E1383" s="19"/>
      <c r="G1383" s="16"/>
      <c r="H1383" s="16"/>
      <c r="I1383" s="16"/>
      <c r="J1383" s="19"/>
      <c r="K1383" s="19"/>
      <c r="L1383" s="19"/>
      <c r="M1383" s="19"/>
      <c r="N1383" s="19"/>
      <c r="O1383" s="19"/>
      <c r="P1383" s="19"/>
      <c r="Q1383" s="19"/>
      <c r="R1383" s="19"/>
      <c r="S1383" s="19"/>
      <c r="T1383" s="19"/>
    </row>
    <row r="1384" spans="1:20" ht="13.2" x14ac:dyDescent="0.25">
      <c r="A1384" s="39"/>
      <c r="B1384" s="37"/>
      <c r="D1384" s="19"/>
      <c r="E1384" s="19"/>
      <c r="G1384" s="16"/>
      <c r="H1384" s="16"/>
      <c r="I1384" s="16"/>
      <c r="J1384" s="19"/>
      <c r="K1384" s="19"/>
      <c r="L1384" s="19"/>
      <c r="M1384" s="19"/>
      <c r="N1384" s="19"/>
      <c r="O1384" s="19"/>
      <c r="P1384" s="19"/>
      <c r="Q1384" s="19"/>
      <c r="R1384" s="19"/>
      <c r="S1384" s="19"/>
      <c r="T1384" s="19"/>
    </row>
    <row r="1385" spans="1:20" ht="13.2" x14ac:dyDescent="0.25">
      <c r="A1385" s="39"/>
      <c r="B1385" s="37"/>
      <c r="D1385" s="19"/>
      <c r="E1385" s="19"/>
      <c r="G1385" s="16"/>
      <c r="H1385" s="16"/>
      <c r="I1385" s="16"/>
      <c r="J1385" s="19"/>
      <c r="K1385" s="19"/>
      <c r="L1385" s="19"/>
      <c r="M1385" s="19"/>
      <c r="N1385" s="19"/>
      <c r="O1385" s="19"/>
      <c r="P1385" s="19"/>
      <c r="Q1385" s="19"/>
      <c r="R1385" s="19"/>
      <c r="S1385" s="19"/>
      <c r="T1385" s="19"/>
    </row>
    <row r="1386" spans="1:20" ht="13.2" x14ac:dyDescent="0.25">
      <c r="A1386" s="39"/>
      <c r="B1386" s="37"/>
      <c r="D1386" s="19"/>
      <c r="E1386" s="19"/>
      <c r="G1386" s="16"/>
      <c r="H1386" s="16"/>
      <c r="I1386" s="16"/>
      <c r="J1386" s="19"/>
      <c r="K1386" s="19"/>
      <c r="L1386" s="19"/>
      <c r="M1386" s="19"/>
      <c r="N1386" s="19"/>
      <c r="O1386" s="19"/>
      <c r="P1386" s="19"/>
      <c r="Q1386" s="19"/>
      <c r="R1386" s="19"/>
      <c r="S1386" s="19"/>
      <c r="T1386" s="19"/>
    </row>
    <row r="1387" spans="1:20" ht="13.2" x14ac:dyDescent="0.25">
      <c r="A1387" s="39"/>
      <c r="B1387" s="37"/>
      <c r="D1387" s="19"/>
      <c r="E1387" s="19"/>
      <c r="G1387" s="16"/>
      <c r="H1387" s="16"/>
      <c r="I1387" s="16"/>
      <c r="J1387" s="19"/>
      <c r="K1387" s="19"/>
      <c r="L1387" s="19"/>
      <c r="M1387" s="19"/>
      <c r="N1387" s="19"/>
      <c r="O1387" s="19"/>
      <c r="P1387" s="19"/>
      <c r="Q1387" s="19"/>
      <c r="R1387" s="19"/>
      <c r="S1387" s="19"/>
      <c r="T1387" s="19"/>
    </row>
    <row r="1388" spans="1:20" ht="13.2" x14ac:dyDescent="0.25">
      <c r="A1388" s="39"/>
      <c r="B1388" s="37"/>
      <c r="D1388" s="19"/>
      <c r="E1388" s="19"/>
      <c r="G1388" s="16"/>
      <c r="H1388" s="16"/>
      <c r="I1388" s="16"/>
      <c r="J1388" s="19"/>
      <c r="K1388" s="19"/>
      <c r="L1388" s="19"/>
      <c r="M1388" s="19"/>
      <c r="N1388" s="19"/>
      <c r="O1388" s="19"/>
      <c r="P1388" s="19"/>
      <c r="Q1388" s="19"/>
      <c r="R1388" s="19"/>
      <c r="S1388" s="19"/>
      <c r="T1388" s="19"/>
    </row>
    <row r="1389" spans="1:20" ht="13.2" x14ac:dyDescent="0.25">
      <c r="A1389" s="39"/>
      <c r="B1389" s="37"/>
      <c r="D1389" s="19"/>
      <c r="E1389" s="19"/>
      <c r="G1389" s="16"/>
      <c r="H1389" s="16"/>
      <c r="I1389" s="16"/>
      <c r="J1389" s="19"/>
      <c r="K1389" s="19"/>
      <c r="L1389" s="19"/>
      <c r="M1389" s="19"/>
      <c r="N1389" s="19"/>
      <c r="O1389" s="19"/>
      <c r="P1389" s="19"/>
      <c r="Q1389" s="19"/>
      <c r="R1389" s="19"/>
      <c r="S1389" s="19"/>
      <c r="T1389" s="19"/>
    </row>
    <row r="1390" spans="1:20" ht="13.2" x14ac:dyDescent="0.25">
      <c r="A1390" s="39"/>
      <c r="B1390" s="37"/>
      <c r="D1390" s="19"/>
      <c r="E1390" s="19"/>
      <c r="G1390" s="16"/>
      <c r="H1390" s="16"/>
      <c r="I1390" s="16"/>
      <c r="J1390" s="19"/>
      <c r="K1390" s="19"/>
      <c r="L1390" s="19"/>
      <c r="M1390" s="19"/>
      <c r="N1390" s="19"/>
      <c r="O1390" s="19"/>
      <c r="P1390" s="19"/>
      <c r="Q1390" s="19"/>
      <c r="R1390" s="19"/>
      <c r="S1390" s="19"/>
      <c r="T1390" s="19"/>
    </row>
    <row r="1391" spans="1:20" ht="13.2" x14ac:dyDescent="0.25">
      <c r="A1391" s="39"/>
      <c r="B1391" s="37"/>
      <c r="D1391" s="19"/>
      <c r="E1391" s="19"/>
      <c r="G1391" s="16"/>
      <c r="H1391" s="16"/>
      <c r="I1391" s="16"/>
      <c r="J1391" s="19"/>
      <c r="K1391" s="19"/>
      <c r="L1391" s="19"/>
      <c r="M1391" s="19"/>
      <c r="N1391" s="19"/>
      <c r="O1391" s="19"/>
      <c r="P1391" s="19"/>
      <c r="Q1391" s="19"/>
      <c r="R1391" s="19"/>
      <c r="S1391" s="19"/>
      <c r="T1391" s="19"/>
    </row>
    <row r="1392" spans="1:20" ht="13.2" x14ac:dyDescent="0.25">
      <c r="A1392" s="39"/>
      <c r="B1392" s="37"/>
      <c r="D1392" s="19"/>
      <c r="E1392" s="19"/>
      <c r="G1392" s="16"/>
      <c r="H1392" s="16"/>
      <c r="I1392" s="16"/>
      <c r="J1392" s="19"/>
      <c r="K1392" s="19"/>
      <c r="L1392" s="19"/>
      <c r="M1392" s="19"/>
      <c r="N1392" s="19"/>
      <c r="O1392" s="19"/>
      <c r="P1392" s="19"/>
      <c r="Q1392" s="19"/>
      <c r="R1392" s="19"/>
      <c r="S1392" s="19"/>
      <c r="T1392" s="19"/>
    </row>
    <row r="1393" spans="1:20" ht="13.2" x14ac:dyDescent="0.25">
      <c r="A1393" s="39"/>
      <c r="B1393" s="37"/>
      <c r="D1393" s="19"/>
      <c r="E1393" s="19"/>
      <c r="G1393" s="16"/>
      <c r="H1393" s="16"/>
      <c r="I1393" s="16"/>
      <c r="J1393" s="19"/>
      <c r="K1393" s="19"/>
      <c r="L1393" s="19"/>
      <c r="M1393" s="19"/>
      <c r="N1393" s="19"/>
      <c r="O1393" s="19"/>
      <c r="P1393" s="19"/>
      <c r="Q1393" s="19"/>
      <c r="R1393" s="19"/>
      <c r="S1393" s="19"/>
      <c r="T1393" s="19"/>
    </row>
    <row r="1394" spans="1:20" ht="13.2" x14ac:dyDescent="0.25">
      <c r="A1394" s="39"/>
      <c r="B1394" s="37"/>
      <c r="D1394" s="19"/>
      <c r="E1394" s="19"/>
      <c r="G1394" s="16"/>
      <c r="H1394" s="16"/>
      <c r="I1394" s="16"/>
      <c r="J1394" s="19"/>
      <c r="K1394" s="19"/>
      <c r="L1394" s="19"/>
      <c r="M1394" s="19"/>
      <c r="N1394" s="19"/>
      <c r="O1394" s="19"/>
      <c r="P1394" s="19"/>
      <c r="Q1394" s="19"/>
      <c r="R1394" s="19"/>
      <c r="S1394" s="19"/>
      <c r="T1394" s="19"/>
    </row>
    <row r="1395" spans="1:20" ht="13.2" x14ac:dyDescent="0.25">
      <c r="A1395" s="39"/>
      <c r="B1395" s="37"/>
      <c r="D1395" s="19"/>
      <c r="E1395" s="19"/>
      <c r="G1395" s="16"/>
      <c r="H1395" s="16"/>
      <c r="I1395" s="16"/>
      <c r="J1395" s="19"/>
      <c r="K1395" s="19"/>
      <c r="L1395" s="19"/>
      <c r="M1395" s="19"/>
      <c r="N1395" s="19"/>
      <c r="O1395" s="19"/>
      <c r="P1395" s="19"/>
      <c r="Q1395" s="19"/>
      <c r="R1395" s="19"/>
      <c r="S1395" s="19"/>
      <c r="T1395" s="19"/>
    </row>
    <row r="1396" spans="1:20" ht="13.2" x14ac:dyDescent="0.25">
      <c r="A1396" s="39"/>
      <c r="B1396" s="37"/>
      <c r="D1396" s="19"/>
      <c r="E1396" s="19"/>
      <c r="G1396" s="16"/>
      <c r="H1396" s="16"/>
      <c r="I1396" s="16"/>
      <c r="J1396" s="19"/>
      <c r="K1396" s="19"/>
      <c r="L1396" s="19"/>
      <c r="M1396" s="19"/>
      <c r="N1396" s="19"/>
      <c r="O1396" s="19"/>
      <c r="P1396" s="19"/>
      <c r="Q1396" s="19"/>
      <c r="R1396" s="19"/>
      <c r="S1396" s="19"/>
      <c r="T1396" s="19"/>
    </row>
    <row r="1397" spans="1:20" ht="13.2" x14ac:dyDescent="0.25">
      <c r="A1397" s="39"/>
      <c r="B1397" s="37"/>
      <c r="D1397" s="19"/>
      <c r="E1397" s="19"/>
      <c r="G1397" s="16"/>
      <c r="H1397" s="16"/>
      <c r="I1397" s="16"/>
      <c r="J1397" s="19"/>
      <c r="K1397" s="19"/>
      <c r="L1397" s="19"/>
      <c r="M1397" s="19"/>
      <c r="N1397" s="19"/>
      <c r="O1397" s="19"/>
      <c r="P1397" s="19"/>
      <c r="Q1397" s="19"/>
      <c r="R1397" s="19"/>
      <c r="S1397" s="19"/>
      <c r="T1397" s="19"/>
    </row>
    <row r="1398" spans="1:20" ht="13.2" x14ac:dyDescent="0.25">
      <c r="A1398" s="39"/>
      <c r="B1398" s="37"/>
      <c r="D1398" s="19"/>
      <c r="E1398" s="19"/>
      <c r="G1398" s="16"/>
      <c r="H1398" s="16"/>
      <c r="I1398" s="16"/>
      <c r="J1398" s="19"/>
      <c r="K1398" s="19"/>
      <c r="L1398" s="19"/>
      <c r="M1398" s="19"/>
      <c r="N1398" s="19"/>
      <c r="O1398" s="19"/>
      <c r="P1398" s="19"/>
      <c r="Q1398" s="19"/>
      <c r="R1398" s="19"/>
      <c r="S1398" s="19"/>
      <c r="T1398" s="19"/>
    </row>
    <row r="1399" spans="1:20" ht="13.2" x14ac:dyDescent="0.25">
      <c r="A1399" s="39"/>
      <c r="B1399" s="37"/>
      <c r="D1399" s="19"/>
      <c r="E1399" s="19"/>
      <c r="G1399" s="16"/>
      <c r="H1399" s="16"/>
      <c r="I1399" s="16"/>
      <c r="J1399" s="19"/>
      <c r="K1399" s="19"/>
      <c r="L1399" s="19"/>
      <c r="M1399" s="19"/>
      <c r="N1399" s="19"/>
      <c r="O1399" s="19"/>
      <c r="P1399" s="19"/>
      <c r="Q1399" s="19"/>
      <c r="R1399" s="19"/>
      <c r="S1399" s="19"/>
      <c r="T1399" s="19"/>
    </row>
    <row r="1400" spans="1:20" ht="13.2" x14ac:dyDescent="0.25">
      <c r="A1400" s="39"/>
      <c r="B1400" s="37"/>
      <c r="D1400" s="19"/>
      <c r="E1400" s="19"/>
      <c r="G1400" s="16"/>
      <c r="H1400" s="16"/>
      <c r="I1400" s="16"/>
      <c r="J1400" s="19"/>
      <c r="K1400" s="19"/>
      <c r="L1400" s="19"/>
      <c r="M1400" s="19"/>
      <c r="N1400" s="19"/>
      <c r="O1400" s="19"/>
      <c r="P1400" s="19"/>
      <c r="Q1400" s="19"/>
      <c r="R1400" s="19"/>
      <c r="S1400" s="19"/>
      <c r="T1400" s="19"/>
    </row>
    <row r="1401" spans="1:20" ht="13.2" x14ac:dyDescent="0.25">
      <c r="A1401" s="39"/>
      <c r="B1401" s="37"/>
      <c r="D1401" s="19"/>
      <c r="E1401" s="19"/>
      <c r="G1401" s="16"/>
      <c r="H1401" s="16"/>
      <c r="I1401" s="16"/>
      <c r="J1401" s="19"/>
      <c r="K1401" s="19"/>
      <c r="L1401" s="19"/>
      <c r="M1401" s="19"/>
      <c r="N1401" s="19"/>
      <c r="O1401" s="19"/>
      <c r="P1401" s="19"/>
      <c r="Q1401" s="19"/>
      <c r="R1401" s="19"/>
      <c r="S1401" s="19"/>
      <c r="T1401" s="19"/>
    </row>
    <row r="1402" spans="1:20" ht="13.2" x14ac:dyDescent="0.25">
      <c r="A1402" s="39"/>
      <c r="B1402" s="37"/>
      <c r="D1402" s="19"/>
      <c r="E1402" s="19"/>
      <c r="G1402" s="16"/>
      <c r="H1402" s="16"/>
      <c r="I1402" s="16"/>
      <c r="J1402" s="19"/>
      <c r="K1402" s="19"/>
      <c r="L1402" s="19"/>
      <c r="M1402" s="19"/>
      <c r="N1402" s="19"/>
      <c r="O1402" s="19"/>
      <c r="P1402" s="19"/>
      <c r="Q1402" s="19"/>
      <c r="R1402" s="19"/>
      <c r="S1402" s="19"/>
      <c r="T1402" s="19"/>
    </row>
    <row r="1403" spans="1:20" ht="13.2" x14ac:dyDescent="0.25">
      <c r="A1403" s="39"/>
      <c r="B1403" s="37"/>
      <c r="D1403" s="19"/>
      <c r="E1403" s="19"/>
      <c r="G1403" s="16"/>
      <c r="H1403" s="16"/>
      <c r="I1403" s="16"/>
      <c r="J1403" s="19"/>
      <c r="K1403" s="19"/>
      <c r="L1403" s="19"/>
      <c r="M1403" s="19"/>
      <c r="N1403" s="19"/>
      <c r="O1403" s="19"/>
      <c r="P1403" s="19"/>
      <c r="Q1403" s="19"/>
      <c r="R1403" s="19"/>
      <c r="S1403" s="19"/>
      <c r="T1403" s="19"/>
    </row>
    <row r="1404" spans="1:20" ht="13.2" x14ac:dyDescent="0.25">
      <c r="A1404" s="39"/>
      <c r="B1404" s="37"/>
      <c r="D1404" s="19"/>
      <c r="E1404" s="19"/>
      <c r="G1404" s="16"/>
      <c r="H1404" s="16"/>
      <c r="I1404" s="16"/>
      <c r="J1404" s="19"/>
      <c r="K1404" s="19"/>
      <c r="L1404" s="19"/>
      <c r="M1404" s="19"/>
      <c r="N1404" s="19"/>
      <c r="O1404" s="19"/>
      <c r="P1404" s="19"/>
      <c r="Q1404" s="19"/>
      <c r="R1404" s="19"/>
      <c r="S1404" s="19"/>
      <c r="T1404" s="19"/>
    </row>
    <row r="1405" spans="1:20" ht="13.2" x14ac:dyDescent="0.25">
      <c r="A1405" s="39"/>
      <c r="B1405" s="37"/>
      <c r="D1405" s="19"/>
      <c r="E1405" s="19"/>
      <c r="G1405" s="16"/>
      <c r="H1405" s="16"/>
      <c r="I1405" s="16"/>
      <c r="J1405" s="19"/>
      <c r="K1405" s="19"/>
      <c r="L1405" s="19"/>
      <c r="M1405" s="19"/>
      <c r="N1405" s="19"/>
      <c r="O1405" s="19"/>
      <c r="P1405" s="19"/>
      <c r="Q1405" s="19"/>
      <c r="R1405" s="19"/>
      <c r="S1405" s="19"/>
      <c r="T1405" s="19"/>
    </row>
    <row r="1406" spans="1:20" ht="13.2" x14ac:dyDescent="0.25">
      <c r="A1406" s="39"/>
      <c r="B1406" s="37"/>
      <c r="D1406" s="19"/>
      <c r="E1406" s="19"/>
      <c r="G1406" s="16"/>
      <c r="H1406" s="16"/>
      <c r="I1406" s="16"/>
      <c r="J1406" s="19"/>
      <c r="K1406" s="19"/>
      <c r="L1406" s="19"/>
      <c r="M1406" s="19"/>
      <c r="N1406" s="19"/>
      <c r="O1406" s="19"/>
      <c r="P1406" s="19"/>
      <c r="Q1406" s="19"/>
      <c r="R1406" s="19"/>
      <c r="S1406" s="19"/>
      <c r="T1406" s="19"/>
    </row>
    <row r="1407" spans="1:20" ht="13.2" x14ac:dyDescent="0.25">
      <c r="A1407" s="39"/>
      <c r="B1407" s="37"/>
      <c r="D1407" s="19"/>
      <c r="E1407" s="19"/>
      <c r="G1407" s="16"/>
      <c r="H1407" s="16"/>
      <c r="I1407" s="16"/>
      <c r="J1407" s="19"/>
      <c r="K1407" s="19"/>
      <c r="L1407" s="19"/>
      <c r="M1407" s="19"/>
      <c r="N1407" s="19"/>
      <c r="O1407" s="19"/>
      <c r="P1407" s="19"/>
      <c r="Q1407" s="19"/>
      <c r="R1407" s="19"/>
      <c r="S1407" s="19"/>
      <c r="T1407" s="19"/>
    </row>
    <row r="1408" spans="1:20" ht="13.2" x14ac:dyDescent="0.25">
      <c r="A1408" s="39"/>
      <c r="B1408" s="37"/>
      <c r="D1408" s="19"/>
      <c r="E1408" s="19"/>
      <c r="G1408" s="16"/>
      <c r="H1408" s="16"/>
      <c r="I1408" s="16"/>
      <c r="J1408" s="19"/>
      <c r="K1408" s="19"/>
      <c r="L1408" s="19"/>
      <c r="M1408" s="19"/>
      <c r="N1408" s="19"/>
      <c r="O1408" s="19"/>
      <c r="P1408" s="19"/>
      <c r="Q1408" s="19"/>
      <c r="R1408" s="19"/>
      <c r="S1408" s="19"/>
      <c r="T1408" s="19"/>
    </row>
    <row r="1409" spans="1:20" ht="13.2" x14ac:dyDescent="0.25">
      <c r="A1409" s="39"/>
      <c r="B1409" s="37"/>
      <c r="D1409" s="19"/>
      <c r="E1409" s="19"/>
      <c r="G1409" s="16"/>
      <c r="H1409" s="16"/>
      <c r="I1409" s="16"/>
      <c r="J1409" s="19"/>
      <c r="K1409" s="19"/>
      <c r="L1409" s="19"/>
      <c r="M1409" s="19"/>
      <c r="N1409" s="19"/>
      <c r="O1409" s="19"/>
      <c r="P1409" s="19"/>
      <c r="Q1409" s="19"/>
      <c r="R1409" s="19"/>
      <c r="S1409" s="19"/>
      <c r="T1409" s="19"/>
    </row>
    <row r="1410" spans="1:20" ht="13.2" x14ac:dyDescent="0.25">
      <c r="A1410" s="39"/>
      <c r="B1410" s="37"/>
      <c r="D1410" s="19"/>
      <c r="E1410" s="19"/>
      <c r="G1410" s="16"/>
      <c r="H1410" s="16"/>
      <c r="I1410" s="16"/>
      <c r="J1410" s="19"/>
      <c r="K1410" s="19"/>
      <c r="L1410" s="19"/>
      <c r="M1410" s="19"/>
      <c r="N1410" s="19"/>
      <c r="O1410" s="19"/>
      <c r="P1410" s="19"/>
      <c r="Q1410" s="19"/>
      <c r="R1410" s="19"/>
      <c r="S1410" s="19"/>
      <c r="T1410" s="19"/>
    </row>
    <row r="1411" spans="1:20" ht="13.2" x14ac:dyDescent="0.25">
      <c r="A1411" s="39"/>
      <c r="B1411" s="37"/>
      <c r="D1411" s="19"/>
      <c r="E1411" s="19"/>
      <c r="G1411" s="16"/>
      <c r="H1411" s="16"/>
      <c r="I1411" s="16"/>
      <c r="J1411" s="19"/>
      <c r="K1411" s="19"/>
      <c r="L1411" s="19"/>
      <c r="M1411" s="19"/>
      <c r="N1411" s="19"/>
      <c r="O1411" s="19"/>
      <c r="P1411" s="19"/>
      <c r="Q1411" s="19"/>
      <c r="R1411" s="19"/>
      <c r="S1411" s="19"/>
      <c r="T1411" s="19"/>
    </row>
    <row r="1412" spans="1:20" ht="13.2" x14ac:dyDescent="0.25">
      <c r="A1412" s="39"/>
      <c r="B1412" s="37"/>
      <c r="D1412" s="19"/>
      <c r="E1412" s="19"/>
      <c r="G1412" s="16"/>
      <c r="H1412" s="16"/>
      <c r="I1412" s="16"/>
      <c r="J1412" s="19"/>
      <c r="K1412" s="19"/>
      <c r="L1412" s="19"/>
      <c r="M1412" s="19"/>
      <c r="N1412" s="19"/>
      <c r="O1412" s="19"/>
      <c r="P1412" s="19"/>
      <c r="Q1412" s="19"/>
      <c r="R1412" s="19"/>
      <c r="S1412" s="19"/>
      <c r="T1412" s="19"/>
    </row>
    <row r="1413" spans="1:20" ht="13.2" x14ac:dyDescent="0.25">
      <c r="A1413" s="39"/>
      <c r="B1413" s="37"/>
      <c r="D1413" s="19"/>
      <c r="E1413" s="19"/>
      <c r="G1413" s="16"/>
      <c r="H1413" s="16"/>
      <c r="I1413" s="16"/>
      <c r="J1413" s="19"/>
      <c r="K1413" s="19"/>
      <c r="L1413" s="19"/>
      <c r="M1413" s="19"/>
      <c r="N1413" s="19"/>
      <c r="O1413" s="19"/>
      <c r="P1413" s="19"/>
      <c r="Q1413" s="19"/>
      <c r="R1413" s="19"/>
      <c r="S1413" s="19"/>
      <c r="T1413" s="19"/>
    </row>
    <row r="1414" spans="1:20" ht="13.2" x14ac:dyDescent="0.25">
      <c r="A1414" s="39"/>
      <c r="B1414" s="37"/>
      <c r="D1414" s="19"/>
      <c r="E1414" s="19"/>
      <c r="G1414" s="16"/>
      <c r="H1414" s="16"/>
      <c r="I1414" s="16"/>
      <c r="J1414" s="19"/>
      <c r="K1414" s="19"/>
      <c r="L1414" s="19"/>
      <c r="M1414" s="19"/>
      <c r="N1414" s="19"/>
      <c r="O1414" s="19"/>
      <c r="P1414" s="19"/>
      <c r="Q1414" s="19"/>
      <c r="R1414" s="19"/>
      <c r="S1414" s="19"/>
      <c r="T1414" s="19"/>
    </row>
    <row r="1415" spans="1:20" ht="13.2" x14ac:dyDescent="0.25">
      <c r="A1415" s="39"/>
      <c r="B1415" s="37"/>
      <c r="D1415" s="19"/>
      <c r="E1415" s="19"/>
      <c r="G1415" s="16"/>
      <c r="H1415" s="16"/>
      <c r="I1415" s="16"/>
      <c r="J1415" s="19"/>
      <c r="K1415" s="19"/>
      <c r="L1415" s="19"/>
      <c r="M1415" s="19"/>
      <c r="N1415" s="19"/>
      <c r="O1415" s="19"/>
      <c r="P1415" s="19"/>
      <c r="Q1415" s="19"/>
      <c r="R1415" s="19"/>
      <c r="S1415" s="19"/>
      <c r="T1415" s="19"/>
    </row>
    <row r="1416" spans="1:20" ht="13.2" x14ac:dyDescent="0.25">
      <c r="A1416" s="39"/>
      <c r="B1416" s="37"/>
      <c r="D1416" s="19"/>
      <c r="E1416" s="19"/>
      <c r="G1416" s="16"/>
      <c r="H1416" s="16"/>
      <c r="I1416" s="16"/>
      <c r="J1416" s="19"/>
      <c r="K1416" s="19"/>
      <c r="L1416" s="19"/>
      <c r="M1416" s="19"/>
      <c r="N1416" s="19"/>
      <c r="O1416" s="19"/>
      <c r="P1416" s="19"/>
      <c r="Q1416" s="19"/>
      <c r="R1416" s="19"/>
      <c r="S1416" s="19"/>
      <c r="T1416" s="19"/>
    </row>
    <row r="1417" spans="1:20" ht="13.2" x14ac:dyDescent="0.25">
      <c r="A1417" s="39"/>
      <c r="B1417" s="37"/>
      <c r="D1417" s="19"/>
      <c r="E1417" s="19"/>
      <c r="G1417" s="16"/>
      <c r="H1417" s="16"/>
      <c r="I1417" s="16"/>
      <c r="J1417" s="19"/>
      <c r="K1417" s="19"/>
      <c r="L1417" s="19"/>
      <c r="M1417" s="19"/>
      <c r="N1417" s="19"/>
      <c r="O1417" s="19"/>
      <c r="P1417" s="19"/>
      <c r="Q1417" s="19"/>
      <c r="R1417" s="19"/>
      <c r="S1417" s="19"/>
      <c r="T1417" s="19"/>
    </row>
    <row r="1418" spans="1:20" ht="13.2" x14ac:dyDescent="0.25">
      <c r="A1418" s="39"/>
      <c r="B1418" s="37"/>
      <c r="D1418" s="19"/>
      <c r="E1418" s="19"/>
      <c r="G1418" s="16"/>
      <c r="H1418" s="16"/>
      <c r="I1418" s="16"/>
      <c r="J1418" s="19"/>
      <c r="K1418" s="19"/>
      <c r="L1418" s="19"/>
      <c r="M1418" s="19"/>
      <c r="N1418" s="19"/>
      <c r="O1418" s="19"/>
      <c r="P1418" s="19"/>
      <c r="Q1418" s="19"/>
      <c r="R1418" s="19"/>
      <c r="S1418" s="19"/>
      <c r="T1418" s="19"/>
    </row>
    <row r="1419" spans="1:20" ht="13.2" x14ac:dyDescent="0.25">
      <c r="A1419" s="39"/>
      <c r="B1419" s="37"/>
      <c r="D1419" s="19"/>
      <c r="E1419" s="19"/>
      <c r="G1419" s="16"/>
      <c r="H1419" s="16"/>
      <c r="I1419" s="16"/>
      <c r="J1419" s="19"/>
      <c r="K1419" s="19"/>
      <c r="L1419" s="19"/>
      <c r="M1419" s="19"/>
      <c r="N1419" s="19"/>
      <c r="O1419" s="19"/>
      <c r="P1419" s="19"/>
      <c r="Q1419" s="19"/>
      <c r="R1419" s="19"/>
      <c r="S1419" s="19"/>
      <c r="T1419" s="19"/>
    </row>
    <row r="1420" spans="1:20" ht="13.2" x14ac:dyDescent="0.25">
      <c r="A1420" s="39"/>
      <c r="B1420" s="37"/>
      <c r="D1420" s="19"/>
      <c r="E1420" s="19"/>
      <c r="G1420" s="16"/>
      <c r="H1420" s="16"/>
      <c r="I1420" s="16"/>
      <c r="J1420" s="19"/>
      <c r="K1420" s="19"/>
      <c r="L1420" s="19"/>
      <c r="M1420" s="19"/>
      <c r="N1420" s="19"/>
      <c r="O1420" s="19"/>
      <c r="P1420" s="19"/>
      <c r="Q1420" s="19"/>
      <c r="R1420" s="19"/>
      <c r="S1420" s="19"/>
      <c r="T1420" s="19"/>
    </row>
    <row r="1421" spans="1:20" ht="13.2" x14ac:dyDescent="0.25">
      <c r="A1421" s="39"/>
      <c r="B1421" s="37"/>
      <c r="D1421" s="19"/>
      <c r="E1421" s="19"/>
      <c r="G1421" s="16"/>
      <c r="H1421" s="16"/>
      <c r="I1421" s="16"/>
      <c r="J1421" s="19"/>
      <c r="K1421" s="19"/>
      <c r="L1421" s="19"/>
      <c r="M1421" s="19"/>
      <c r="N1421" s="19"/>
      <c r="O1421" s="19"/>
      <c r="P1421" s="19"/>
      <c r="Q1421" s="19"/>
      <c r="R1421" s="19"/>
      <c r="S1421" s="19"/>
      <c r="T1421" s="19"/>
    </row>
    <row r="1422" spans="1:20" ht="13.2" x14ac:dyDescent="0.25">
      <c r="A1422" s="39"/>
      <c r="B1422" s="37"/>
      <c r="D1422" s="19"/>
      <c r="E1422" s="19"/>
      <c r="G1422" s="16"/>
      <c r="H1422" s="16"/>
      <c r="I1422" s="16"/>
      <c r="J1422" s="19"/>
      <c r="K1422" s="19"/>
      <c r="L1422" s="19"/>
      <c r="M1422" s="19"/>
      <c r="N1422" s="19"/>
      <c r="O1422" s="19"/>
      <c r="P1422" s="19"/>
      <c r="Q1422" s="19"/>
      <c r="R1422" s="19"/>
      <c r="S1422" s="19"/>
      <c r="T1422" s="19"/>
    </row>
    <row r="1423" spans="1:20" ht="13.2" x14ac:dyDescent="0.25">
      <c r="A1423" s="39"/>
      <c r="B1423" s="37"/>
      <c r="D1423" s="19"/>
      <c r="E1423" s="19"/>
      <c r="G1423" s="16"/>
      <c r="H1423" s="16"/>
      <c r="I1423" s="16"/>
      <c r="J1423" s="19"/>
      <c r="K1423" s="19"/>
      <c r="L1423" s="19"/>
      <c r="M1423" s="19"/>
      <c r="N1423" s="19"/>
      <c r="O1423" s="19"/>
      <c r="P1423" s="19"/>
      <c r="Q1423" s="19"/>
      <c r="R1423" s="19"/>
      <c r="S1423" s="19"/>
      <c r="T1423" s="19"/>
    </row>
    <row r="1424" spans="1:20" ht="13.2" x14ac:dyDescent="0.25">
      <c r="A1424" s="39"/>
      <c r="B1424" s="37"/>
      <c r="D1424" s="19"/>
      <c r="E1424" s="19"/>
      <c r="G1424" s="16"/>
      <c r="H1424" s="16"/>
      <c r="I1424" s="16"/>
      <c r="J1424" s="19"/>
      <c r="K1424" s="19"/>
      <c r="L1424" s="19"/>
      <c r="M1424" s="19"/>
      <c r="N1424" s="19"/>
      <c r="O1424" s="19"/>
      <c r="P1424" s="19"/>
      <c r="Q1424" s="19"/>
      <c r="R1424" s="19"/>
      <c r="S1424" s="19"/>
      <c r="T1424" s="19"/>
    </row>
    <row r="1425" spans="1:20" ht="13.2" x14ac:dyDescent="0.25">
      <c r="A1425" s="39"/>
      <c r="B1425" s="37"/>
      <c r="D1425" s="19"/>
      <c r="E1425" s="19"/>
      <c r="G1425" s="16"/>
      <c r="H1425" s="16"/>
      <c r="I1425" s="16"/>
      <c r="J1425" s="19"/>
      <c r="K1425" s="19"/>
      <c r="L1425" s="19"/>
      <c r="M1425" s="19"/>
      <c r="N1425" s="19"/>
      <c r="O1425" s="19"/>
      <c r="P1425" s="19"/>
      <c r="Q1425" s="19"/>
      <c r="R1425" s="19"/>
      <c r="S1425" s="19"/>
      <c r="T1425" s="19"/>
    </row>
    <row r="1426" spans="1:20" ht="13.2" x14ac:dyDescent="0.25">
      <c r="A1426" s="39"/>
      <c r="B1426" s="37"/>
      <c r="D1426" s="19"/>
      <c r="E1426" s="19"/>
      <c r="G1426" s="16"/>
      <c r="H1426" s="16"/>
      <c r="I1426" s="16"/>
      <c r="J1426" s="19"/>
      <c r="K1426" s="19"/>
      <c r="L1426" s="19"/>
      <c r="M1426" s="19"/>
      <c r="N1426" s="19"/>
      <c r="O1426" s="19"/>
      <c r="P1426" s="19"/>
      <c r="Q1426" s="19"/>
      <c r="R1426" s="19"/>
      <c r="S1426" s="19"/>
      <c r="T1426" s="19"/>
    </row>
    <row r="1427" spans="1:20" ht="13.2" x14ac:dyDescent="0.25">
      <c r="A1427" s="39"/>
      <c r="B1427" s="37"/>
      <c r="D1427" s="19"/>
      <c r="E1427" s="19"/>
      <c r="G1427" s="16"/>
      <c r="H1427" s="16"/>
      <c r="I1427" s="16"/>
      <c r="J1427" s="19"/>
      <c r="K1427" s="19"/>
      <c r="L1427" s="19"/>
      <c r="M1427" s="19"/>
      <c r="N1427" s="19"/>
      <c r="O1427" s="19"/>
      <c r="P1427" s="19"/>
      <c r="Q1427" s="19"/>
      <c r="R1427" s="19"/>
      <c r="S1427" s="19"/>
      <c r="T1427" s="19"/>
    </row>
    <row r="1428" spans="1:20" ht="13.2" x14ac:dyDescent="0.25">
      <c r="A1428" s="39"/>
      <c r="B1428" s="37"/>
      <c r="D1428" s="19"/>
      <c r="E1428" s="19"/>
      <c r="G1428" s="16"/>
      <c r="H1428" s="16"/>
      <c r="I1428" s="16"/>
      <c r="J1428" s="19"/>
      <c r="K1428" s="19"/>
      <c r="L1428" s="19"/>
      <c r="M1428" s="19"/>
      <c r="N1428" s="19"/>
      <c r="O1428" s="19"/>
      <c r="P1428" s="19"/>
      <c r="Q1428" s="19"/>
      <c r="R1428" s="19"/>
      <c r="S1428" s="19"/>
      <c r="T1428" s="19"/>
    </row>
    <row r="1429" spans="1:20" ht="13.2" x14ac:dyDescent="0.25">
      <c r="A1429" s="39"/>
      <c r="B1429" s="37"/>
      <c r="D1429" s="19"/>
      <c r="E1429" s="19"/>
      <c r="G1429" s="16"/>
      <c r="H1429" s="16"/>
      <c r="I1429" s="16"/>
      <c r="J1429" s="19"/>
      <c r="K1429" s="19"/>
      <c r="L1429" s="19"/>
      <c r="M1429" s="19"/>
      <c r="N1429" s="19"/>
      <c r="O1429" s="19"/>
      <c r="P1429" s="19"/>
      <c r="Q1429" s="19"/>
      <c r="R1429" s="19"/>
      <c r="S1429" s="19"/>
      <c r="T1429" s="19"/>
    </row>
    <row r="1430" spans="1:20" ht="13.2" x14ac:dyDescent="0.25">
      <c r="A1430" s="39"/>
      <c r="B1430" s="37"/>
      <c r="D1430" s="19"/>
      <c r="E1430" s="19"/>
      <c r="G1430" s="16"/>
      <c r="H1430" s="16"/>
      <c r="I1430" s="16"/>
      <c r="J1430" s="19"/>
      <c r="K1430" s="19"/>
      <c r="L1430" s="19"/>
      <c r="M1430" s="19"/>
      <c r="N1430" s="19"/>
      <c r="O1430" s="19"/>
      <c r="P1430" s="19"/>
      <c r="Q1430" s="19"/>
      <c r="R1430" s="19"/>
      <c r="S1430" s="19"/>
      <c r="T1430" s="19"/>
    </row>
    <row r="1431" spans="1:20" ht="13.2" x14ac:dyDescent="0.25">
      <c r="A1431" s="39"/>
      <c r="B1431" s="37"/>
      <c r="D1431" s="19"/>
      <c r="E1431" s="19"/>
      <c r="G1431" s="16"/>
      <c r="H1431" s="16"/>
      <c r="I1431" s="16"/>
      <c r="J1431" s="19"/>
      <c r="K1431" s="19"/>
      <c r="L1431" s="19"/>
      <c r="M1431" s="19"/>
      <c r="N1431" s="19"/>
      <c r="O1431" s="19"/>
      <c r="P1431" s="19"/>
      <c r="Q1431" s="19"/>
      <c r="R1431" s="19"/>
      <c r="S1431" s="19"/>
      <c r="T1431" s="19"/>
    </row>
    <row r="1432" spans="1:20" ht="13.2" x14ac:dyDescent="0.25">
      <c r="A1432" s="39"/>
      <c r="B1432" s="37"/>
      <c r="D1432" s="19"/>
      <c r="E1432" s="19"/>
      <c r="G1432" s="16"/>
      <c r="H1432" s="16"/>
      <c r="I1432" s="16"/>
      <c r="J1432" s="19"/>
      <c r="K1432" s="19"/>
      <c r="L1432" s="19"/>
      <c r="M1432" s="19"/>
      <c r="N1432" s="19"/>
      <c r="O1432" s="19"/>
      <c r="P1432" s="19"/>
      <c r="Q1432" s="19"/>
      <c r="R1432" s="19"/>
      <c r="S1432" s="19"/>
      <c r="T1432" s="19"/>
    </row>
    <row r="1433" spans="1:20" ht="13.2" x14ac:dyDescent="0.25">
      <c r="A1433" s="39"/>
      <c r="B1433" s="37"/>
      <c r="D1433" s="19"/>
      <c r="E1433" s="19"/>
      <c r="G1433" s="16"/>
      <c r="H1433" s="16"/>
      <c r="I1433" s="16"/>
      <c r="J1433" s="19"/>
      <c r="K1433" s="19"/>
      <c r="L1433" s="19"/>
      <c r="M1433" s="19"/>
      <c r="N1433" s="19"/>
      <c r="O1433" s="19"/>
      <c r="P1433" s="19"/>
      <c r="Q1433" s="19"/>
      <c r="R1433" s="19"/>
      <c r="S1433" s="19"/>
      <c r="T1433" s="19"/>
    </row>
    <row r="1434" spans="1:20" ht="13.2" x14ac:dyDescent="0.25">
      <c r="A1434" s="39"/>
      <c r="B1434" s="37"/>
      <c r="D1434" s="19"/>
      <c r="E1434" s="19"/>
      <c r="G1434" s="16"/>
      <c r="H1434" s="16"/>
      <c r="I1434" s="16"/>
      <c r="J1434" s="19"/>
      <c r="K1434" s="19"/>
      <c r="L1434" s="19"/>
      <c r="M1434" s="19"/>
      <c r="N1434" s="19"/>
      <c r="O1434" s="19"/>
      <c r="P1434" s="19"/>
      <c r="Q1434" s="19"/>
      <c r="R1434" s="19"/>
      <c r="S1434" s="19"/>
      <c r="T1434" s="19"/>
    </row>
    <row r="1435" spans="1:20" ht="13.2" x14ac:dyDescent="0.25">
      <c r="A1435" s="39"/>
      <c r="B1435" s="37"/>
      <c r="D1435" s="19"/>
      <c r="E1435" s="19"/>
      <c r="G1435" s="16"/>
      <c r="H1435" s="16"/>
      <c r="I1435" s="16"/>
      <c r="J1435" s="19"/>
      <c r="K1435" s="19"/>
      <c r="L1435" s="19"/>
      <c r="M1435" s="19"/>
      <c r="N1435" s="19"/>
      <c r="O1435" s="19"/>
      <c r="P1435" s="19"/>
      <c r="Q1435" s="19"/>
      <c r="R1435" s="19"/>
      <c r="S1435" s="19"/>
      <c r="T1435" s="19"/>
    </row>
    <row r="1436" spans="1:20" ht="13.2" x14ac:dyDescent="0.25">
      <c r="A1436" s="39"/>
      <c r="B1436" s="37"/>
      <c r="D1436" s="19"/>
      <c r="E1436" s="19"/>
      <c r="G1436" s="16"/>
      <c r="H1436" s="16"/>
      <c r="I1436" s="16"/>
      <c r="J1436" s="19"/>
      <c r="K1436" s="19"/>
      <c r="L1436" s="19"/>
      <c r="M1436" s="19"/>
      <c r="N1436" s="19"/>
      <c r="O1436" s="19"/>
      <c r="P1436" s="19"/>
      <c r="Q1436" s="19"/>
      <c r="R1436" s="19"/>
      <c r="S1436" s="19"/>
      <c r="T1436" s="19"/>
    </row>
    <row r="1437" spans="1:20" ht="13.2" x14ac:dyDescent="0.25">
      <c r="A1437" s="39"/>
      <c r="B1437" s="37"/>
      <c r="D1437" s="19"/>
      <c r="E1437" s="19"/>
      <c r="G1437" s="16"/>
      <c r="H1437" s="16"/>
      <c r="I1437" s="16"/>
      <c r="J1437" s="19"/>
      <c r="K1437" s="19"/>
      <c r="L1437" s="19"/>
      <c r="M1437" s="19"/>
      <c r="N1437" s="19"/>
      <c r="O1437" s="19"/>
      <c r="P1437" s="19"/>
      <c r="Q1437" s="19"/>
      <c r="R1437" s="19"/>
      <c r="S1437" s="19"/>
      <c r="T1437" s="19"/>
    </row>
    <row r="1438" spans="1:20" ht="13.2" x14ac:dyDescent="0.25">
      <c r="A1438" s="39"/>
      <c r="B1438" s="37"/>
      <c r="D1438" s="19"/>
      <c r="E1438" s="19"/>
      <c r="G1438" s="16"/>
      <c r="H1438" s="16"/>
      <c r="I1438" s="16"/>
      <c r="J1438" s="19"/>
      <c r="K1438" s="19"/>
      <c r="L1438" s="19"/>
      <c r="M1438" s="19"/>
      <c r="N1438" s="19"/>
      <c r="O1438" s="19"/>
      <c r="P1438" s="19"/>
      <c r="Q1438" s="19"/>
      <c r="R1438" s="19"/>
      <c r="S1438" s="19"/>
      <c r="T1438" s="19"/>
    </row>
    <row r="1439" spans="1:20" ht="13.2" x14ac:dyDescent="0.25">
      <c r="A1439" s="39"/>
      <c r="B1439" s="37"/>
      <c r="D1439" s="19"/>
      <c r="E1439" s="19"/>
      <c r="G1439" s="16"/>
      <c r="H1439" s="16"/>
      <c r="I1439" s="16"/>
      <c r="J1439" s="19"/>
      <c r="K1439" s="19"/>
      <c r="L1439" s="19"/>
      <c r="M1439" s="19"/>
      <c r="N1439" s="19"/>
      <c r="O1439" s="19"/>
      <c r="P1439" s="19"/>
      <c r="Q1439" s="19"/>
      <c r="R1439" s="19"/>
      <c r="S1439" s="19"/>
      <c r="T1439" s="19"/>
    </row>
    <row r="1440" spans="1:20" ht="13.2" x14ac:dyDescent="0.25">
      <c r="A1440" s="39"/>
      <c r="B1440" s="37"/>
      <c r="D1440" s="19"/>
      <c r="E1440" s="19"/>
      <c r="G1440" s="16"/>
      <c r="H1440" s="16"/>
      <c r="I1440" s="16"/>
      <c r="J1440" s="19"/>
      <c r="K1440" s="19"/>
      <c r="L1440" s="19"/>
      <c r="M1440" s="19"/>
      <c r="N1440" s="19"/>
      <c r="O1440" s="19"/>
      <c r="P1440" s="19"/>
      <c r="Q1440" s="19"/>
      <c r="R1440" s="19"/>
      <c r="S1440" s="19"/>
      <c r="T1440" s="19"/>
    </row>
    <row r="1441" spans="1:20" ht="13.2" x14ac:dyDescent="0.25">
      <c r="A1441" s="39"/>
      <c r="B1441" s="37"/>
      <c r="D1441" s="19"/>
      <c r="E1441" s="19"/>
      <c r="G1441" s="16"/>
      <c r="H1441" s="16"/>
      <c r="I1441" s="16"/>
      <c r="J1441" s="19"/>
      <c r="K1441" s="19"/>
      <c r="L1441" s="19"/>
      <c r="M1441" s="19"/>
      <c r="N1441" s="19"/>
      <c r="O1441" s="19"/>
      <c r="P1441" s="19"/>
      <c r="Q1441" s="19"/>
      <c r="R1441" s="19"/>
      <c r="S1441" s="19"/>
      <c r="T1441" s="19"/>
    </row>
    <row r="1442" spans="1:20" ht="13.2" x14ac:dyDescent="0.25">
      <c r="A1442" s="39"/>
      <c r="B1442" s="37"/>
      <c r="D1442" s="19"/>
      <c r="E1442" s="19"/>
      <c r="G1442" s="16"/>
      <c r="H1442" s="16"/>
      <c r="I1442" s="16"/>
      <c r="J1442" s="19"/>
      <c r="K1442" s="19"/>
      <c r="L1442" s="19"/>
      <c r="M1442" s="19"/>
      <c r="N1442" s="19"/>
      <c r="O1442" s="19"/>
      <c r="P1442" s="19"/>
      <c r="Q1442" s="19"/>
      <c r="R1442" s="19"/>
      <c r="S1442" s="19"/>
      <c r="T1442" s="19"/>
    </row>
    <row r="1443" spans="1:20" ht="13.2" x14ac:dyDescent="0.25">
      <c r="A1443" s="39"/>
      <c r="B1443" s="37"/>
      <c r="D1443" s="19"/>
      <c r="E1443" s="19"/>
      <c r="G1443" s="16"/>
      <c r="H1443" s="16"/>
      <c r="I1443" s="16"/>
      <c r="J1443" s="19"/>
      <c r="K1443" s="19"/>
      <c r="L1443" s="19"/>
      <c r="M1443" s="19"/>
      <c r="N1443" s="19"/>
      <c r="O1443" s="19"/>
      <c r="P1443" s="19"/>
      <c r="Q1443" s="19"/>
      <c r="R1443" s="19"/>
      <c r="S1443" s="19"/>
      <c r="T1443" s="19"/>
    </row>
    <row r="1444" spans="1:20" ht="13.2" x14ac:dyDescent="0.25">
      <c r="A1444" s="39"/>
      <c r="B1444" s="37"/>
      <c r="D1444" s="19"/>
      <c r="E1444" s="19"/>
      <c r="G1444" s="16"/>
      <c r="H1444" s="16"/>
      <c r="I1444" s="16"/>
      <c r="J1444" s="19"/>
      <c r="K1444" s="19"/>
      <c r="L1444" s="19"/>
      <c r="M1444" s="19"/>
      <c r="N1444" s="19"/>
      <c r="O1444" s="19"/>
      <c r="P1444" s="19"/>
      <c r="Q1444" s="19"/>
      <c r="R1444" s="19"/>
      <c r="S1444" s="19"/>
      <c r="T1444" s="19"/>
    </row>
    <row r="1445" spans="1:20" ht="13.2" x14ac:dyDescent="0.25">
      <c r="A1445" s="39"/>
      <c r="B1445" s="37"/>
      <c r="D1445" s="19"/>
      <c r="E1445" s="19"/>
      <c r="G1445" s="16"/>
      <c r="H1445" s="16"/>
      <c r="I1445" s="16"/>
      <c r="J1445" s="19"/>
      <c r="K1445" s="19"/>
      <c r="L1445" s="19"/>
      <c r="M1445" s="19"/>
      <c r="N1445" s="19"/>
      <c r="O1445" s="19"/>
      <c r="P1445" s="19"/>
      <c r="Q1445" s="19"/>
      <c r="R1445" s="19"/>
      <c r="S1445" s="19"/>
      <c r="T1445" s="19"/>
    </row>
    <row r="1446" spans="1:20" ht="13.2" x14ac:dyDescent="0.25">
      <c r="A1446" s="39"/>
      <c r="B1446" s="37"/>
      <c r="D1446" s="19"/>
      <c r="E1446" s="19"/>
      <c r="G1446" s="16"/>
      <c r="H1446" s="16"/>
      <c r="I1446" s="16"/>
      <c r="J1446" s="19"/>
      <c r="K1446" s="19"/>
      <c r="L1446" s="19"/>
      <c r="M1446" s="19"/>
      <c r="N1446" s="19"/>
      <c r="O1446" s="19"/>
      <c r="P1446" s="19"/>
      <c r="Q1446" s="19"/>
      <c r="R1446" s="19"/>
      <c r="S1446" s="19"/>
      <c r="T1446" s="19"/>
    </row>
    <row r="1447" spans="1:20" ht="13.2" x14ac:dyDescent="0.25">
      <c r="A1447" s="39"/>
      <c r="B1447" s="37"/>
      <c r="D1447" s="19"/>
      <c r="E1447" s="19"/>
      <c r="G1447" s="16"/>
      <c r="H1447" s="16"/>
      <c r="I1447" s="16"/>
      <c r="J1447" s="19"/>
      <c r="K1447" s="19"/>
      <c r="L1447" s="19"/>
      <c r="M1447" s="19"/>
      <c r="N1447" s="19"/>
      <c r="O1447" s="19"/>
      <c r="P1447" s="19"/>
      <c r="Q1447" s="19"/>
      <c r="R1447" s="19"/>
      <c r="S1447" s="19"/>
      <c r="T1447" s="19"/>
    </row>
    <row r="1448" spans="1:20" ht="13.2" x14ac:dyDescent="0.25">
      <c r="A1448" s="39"/>
      <c r="B1448" s="37"/>
      <c r="D1448" s="19"/>
      <c r="E1448" s="19"/>
      <c r="G1448" s="16"/>
      <c r="H1448" s="16"/>
      <c r="I1448" s="16"/>
      <c r="J1448" s="19"/>
      <c r="K1448" s="19"/>
      <c r="L1448" s="19"/>
      <c r="M1448" s="19"/>
      <c r="N1448" s="19"/>
      <c r="O1448" s="19"/>
      <c r="P1448" s="19"/>
      <c r="Q1448" s="19"/>
      <c r="R1448" s="19"/>
      <c r="S1448" s="19"/>
      <c r="T1448" s="19"/>
    </row>
    <row r="1449" spans="1:20" ht="13.2" x14ac:dyDescent="0.25">
      <c r="A1449" s="39"/>
      <c r="B1449" s="37"/>
      <c r="D1449" s="19"/>
      <c r="E1449" s="19"/>
      <c r="G1449" s="16"/>
      <c r="H1449" s="16"/>
      <c r="I1449" s="16"/>
      <c r="J1449" s="19"/>
      <c r="K1449" s="19"/>
      <c r="L1449" s="19"/>
      <c r="M1449" s="19"/>
      <c r="N1449" s="19"/>
      <c r="O1449" s="19"/>
      <c r="P1449" s="19"/>
      <c r="Q1449" s="19"/>
      <c r="R1449" s="19"/>
      <c r="S1449" s="19"/>
      <c r="T1449" s="19"/>
    </row>
    <row r="1450" spans="1:20" ht="13.2" x14ac:dyDescent="0.25">
      <c r="A1450" s="39"/>
      <c r="B1450" s="37"/>
      <c r="D1450" s="19"/>
      <c r="E1450" s="19"/>
      <c r="G1450" s="16"/>
      <c r="H1450" s="16"/>
      <c r="I1450" s="16"/>
      <c r="J1450" s="19"/>
      <c r="K1450" s="19"/>
      <c r="L1450" s="19"/>
      <c r="M1450" s="19"/>
      <c r="N1450" s="19"/>
      <c r="O1450" s="19"/>
      <c r="P1450" s="19"/>
      <c r="Q1450" s="19"/>
      <c r="R1450" s="19"/>
      <c r="S1450" s="19"/>
      <c r="T1450" s="19"/>
    </row>
    <row r="1451" spans="1:20" ht="13.2" x14ac:dyDescent="0.25">
      <c r="A1451" s="39"/>
      <c r="B1451" s="37"/>
      <c r="D1451" s="19"/>
      <c r="E1451" s="19"/>
      <c r="G1451" s="16"/>
      <c r="H1451" s="16"/>
      <c r="I1451" s="16"/>
      <c r="J1451" s="19"/>
      <c r="K1451" s="19"/>
      <c r="L1451" s="19"/>
      <c r="M1451" s="19"/>
      <c r="N1451" s="19"/>
      <c r="O1451" s="19"/>
      <c r="P1451" s="19"/>
      <c r="Q1451" s="19"/>
      <c r="R1451" s="19"/>
      <c r="S1451" s="19"/>
      <c r="T1451" s="19"/>
    </row>
    <row r="1452" spans="1:20" ht="13.2" x14ac:dyDescent="0.25">
      <c r="A1452" s="39"/>
      <c r="B1452" s="37"/>
      <c r="D1452" s="19"/>
      <c r="E1452" s="19"/>
      <c r="G1452" s="16"/>
      <c r="H1452" s="16"/>
      <c r="I1452" s="16"/>
      <c r="J1452" s="19"/>
      <c r="K1452" s="19"/>
      <c r="L1452" s="19"/>
      <c r="M1452" s="19"/>
      <c r="N1452" s="19"/>
      <c r="O1452" s="19"/>
      <c r="P1452" s="19"/>
      <c r="Q1452" s="19"/>
      <c r="R1452" s="19"/>
      <c r="S1452" s="19"/>
      <c r="T1452" s="19"/>
    </row>
    <row r="1453" spans="1:20" ht="13.2" x14ac:dyDescent="0.25">
      <c r="A1453" s="39"/>
      <c r="B1453" s="37"/>
      <c r="D1453" s="19"/>
      <c r="E1453" s="19"/>
      <c r="G1453" s="16"/>
      <c r="H1453" s="16"/>
      <c r="I1453" s="16"/>
      <c r="J1453" s="19"/>
      <c r="K1453" s="19"/>
      <c r="L1453" s="19"/>
      <c r="M1453" s="19"/>
      <c r="N1453" s="19"/>
      <c r="O1453" s="19"/>
      <c r="P1453" s="19"/>
      <c r="Q1453" s="19"/>
      <c r="R1453" s="19"/>
      <c r="S1453" s="19"/>
      <c r="T1453" s="19"/>
    </row>
    <row r="1454" spans="1:20" ht="13.2" x14ac:dyDescent="0.25">
      <c r="A1454" s="39"/>
      <c r="B1454" s="37"/>
      <c r="D1454" s="19"/>
      <c r="E1454" s="19"/>
      <c r="G1454" s="16"/>
      <c r="H1454" s="16"/>
      <c r="I1454" s="16"/>
      <c r="J1454" s="19"/>
      <c r="K1454" s="19"/>
      <c r="L1454" s="19"/>
      <c r="M1454" s="19"/>
      <c r="N1454" s="19"/>
      <c r="O1454" s="19"/>
      <c r="P1454" s="19"/>
      <c r="Q1454" s="19"/>
      <c r="R1454" s="19"/>
      <c r="S1454" s="19"/>
      <c r="T1454" s="19"/>
    </row>
    <row r="1455" spans="1:20" ht="13.2" x14ac:dyDescent="0.25">
      <c r="A1455" s="39"/>
      <c r="B1455" s="37"/>
      <c r="D1455" s="19"/>
      <c r="E1455" s="19"/>
      <c r="G1455" s="16"/>
      <c r="H1455" s="16"/>
      <c r="I1455" s="16"/>
      <c r="J1455" s="19"/>
      <c r="K1455" s="19"/>
      <c r="L1455" s="19"/>
      <c r="M1455" s="19"/>
      <c r="N1455" s="19"/>
      <c r="O1455" s="19"/>
      <c r="P1455" s="19"/>
      <c r="Q1455" s="19"/>
      <c r="R1455" s="19"/>
      <c r="S1455" s="19"/>
      <c r="T1455" s="19"/>
    </row>
    <row r="1456" spans="1:20" ht="13.2" x14ac:dyDescent="0.25">
      <c r="A1456" s="39"/>
      <c r="B1456" s="37"/>
      <c r="D1456" s="19"/>
      <c r="E1456" s="19"/>
      <c r="G1456" s="16"/>
      <c r="H1456" s="16"/>
      <c r="I1456" s="16"/>
      <c r="J1456" s="19"/>
      <c r="K1456" s="19"/>
      <c r="L1456" s="19"/>
      <c r="M1456" s="19"/>
      <c r="N1456" s="19"/>
      <c r="O1456" s="19"/>
      <c r="P1456" s="19"/>
      <c r="Q1456" s="19"/>
      <c r="R1456" s="19"/>
      <c r="S1456" s="19"/>
      <c r="T1456" s="19"/>
    </row>
    <row r="1457" spans="1:20" ht="13.2" x14ac:dyDescent="0.25">
      <c r="A1457" s="39"/>
      <c r="B1457" s="37"/>
      <c r="D1457" s="19"/>
      <c r="E1457" s="19"/>
      <c r="G1457" s="16"/>
      <c r="H1457" s="16"/>
      <c r="I1457" s="16"/>
      <c r="J1457" s="19"/>
      <c r="K1457" s="19"/>
      <c r="L1457" s="19"/>
      <c r="M1457" s="19"/>
      <c r="N1457" s="19"/>
      <c r="O1457" s="19"/>
      <c r="P1457" s="19"/>
      <c r="Q1457" s="19"/>
      <c r="R1457" s="19"/>
      <c r="S1457" s="19"/>
      <c r="T1457" s="19"/>
    </row>
    <row r="1458" spans="1:20" ht="13.2" x14ac:dyDescent="0.25">
      <c r="A1458" s="39"/>
      <c r="B1458" s="37"/>
      <c r="D1458" s="19"/>
      <c r="E1458" s="19"/>
      <c r="G1458" s="16"/>
      <c r="H1458" s="16"/>
      <c r="I1458" s="16"/>
      <c r="J1458" s="19"/>
      <c r="K1458" s="19"/>
      <c r="L1458" s="19"/>
      <c r="M1458" s="19"/>
      <c r="N1458" s="19"/>
      <c r="O1458" s="19"/>
      <c r="P1458" s="19"/>
      <c r="Q1458" s="19"/>
      <c r="R1458" s="19"/>
      <c r="S1458" s="19"/>
      <c r="T1458" s="19"/>
    </row>
    <row r="1459" spans="1:20" ht="13.2" x14ac:dyDescent="0.25">
      <c r="A1459" s="39"/>
      <c r="B1459" s="37"/>
      <c r="D1459" s="19"/>
      <c r="E1459" s="19"/>
      <c r="G1459" s="16"/>
      <c r="H1459" s="16"/>
      <c r="I1459" s="16"/>
      <c r="J1459" s="19"/>
      <c r="K1459" s="19"/>
      <c r="L1459" s="19"/>
      <c r="M1459" s="19"/>
      <c r="N1459" s="19"/>
      <c r="O1459" s="19"/>
      <c r="P1459" s="19"/>
      <c r="Q1459" s="19"/>
      <c r="R1459" s="19"/>
      <c r="S1459" s="19"/>
      <c r="T1459" s="19"/>
    </row>
    <row r="1460" spans="1:20" ht="13.2" x14ac:dyDescent="0.25">
      <c r="A1460" s="39"/>
      <c r="B1460" s="37"/>
      <c r="D1460" s="19"/>
      <c r="E1460" s="19"/>
      <c r="G1460" s="16"/>
      <c r="H1460" s="16"/>
      <c r="I1460" s="16"/>
      <c r="J1460" s="19"/>
      <c r="K1460" s="19"/>
      <c r="L1460" s="19"/>
      <c r="M1460" s="19"/>
      <c r="N1460" s="19"/>
      <c r="O1460" s="19"/>
      <c r="P1460" s="19"/>
      <c r="Q1460" s="19"/>
      <c r="R1460" s="19"/>
      <c r="S1460" s="19"/>
      <c r="T1460" s="19"/>
    </row>
    <row r="1461" spans="1:20" ht="13.2" x14ac:dyDescent="0.25">
      <c r="A1461" s="39"/>
      <c r="B1461" s="37"/>
      <c r="D1461" s="19"/>
      <c r="E1461" s="19"/>
      <c r="G1461" s="16"/>
      <c r="H1461" s="16"/>
      <c r="I1461" s="16"/>
      <c r="J1461" s="19"/>
      <c r="K1461" s="19"/>
      <c r="L1461" s="19"/>
      <c r="M1461" s="19"/>
      <c r="N1461" s="19"/>
      <c r="O1461" s="19"/>
      <c r="P1461" s="19"/>
      <c r="Q1461" s="19"/>
      <c r="R1461" s="19"/>
      <c r="S1461" s="19"/>
      <c r="T1461" s="19"/>
    </row>
    <row r="1462" spans="1:20" ht="13.2" x14ac:dyDescent="0.25">
      <c r="A1462" s="39"/>
      <c r="B1462" s="37"/>
      <c r="D1462" s="19"/>
      <c r="E1462" s="19"/>
      <c r="G1462" s="16"/>
      <c r="H1462" s="16"/>
      <c r="I1462" s="16"/>
      <c r="J1462" s="19"/>
      <c r="K1462" s="19"/>
      <c r="L1462" s="19"/>
      <c r="M1462" s="19"/>
      <c r="N1462" s="19"/>
      <c r="O1462" s="19"/>
      <c r="P1462" s="19"/>
      <c r="Q1462" s="19"/>
      <c r="R1462" s="19"/>
      <c r="S1462" s="19"/>
      <c r="T1462" s="19"/>
    </row>
    <row r="1463" spans="1:20" ht="13.2" x14ac:dyDescent="0.25">
      <c r="A1463" s="39"/>
      <c r="B1463" s="37"/>
      <c r="D1463" s="19"/>
      <c r="E1463" s="19"/>
      <c r="G1463" s="16"/>
      <c r="H1463" s="16"/>
      <c r="I1463" s="16"/>
      <c r="J1463" s="19"/>
      <c r="K1463" s="19"/>
      <c r="L1463" s="19"/>
      <c r="M1463" s="19"/>
      <c r="N1463" s="19"/>
      <c r="O1463" s="19"/>
      <c r="P1463" s="19"/>
      <c r="Q1463" s="19"/>
      <c r="R1463" s="19"/>
      <c r="S1463" s="19"/>
      <c r="T1463" s="19"/>
    </row>
    <row r="1464" spans="1:20" ht="13.2" x14ac:dyDescent="0.25">
      <c r="A1464" s="39"/>
      <c r="B1464" s="37"/>
      <c r="D1464" s="19"/>
      <c r="E1464" s="19"/>
      <c r="G1464" s="16"/>
      <c r="H1464" s="16"/>
      <c r="I1464" s="16"/>
      <c r="J1464" s="19"/>
      <c r="K1464" s="19"/>
      <c r="L1464" s="19"/>
      <c r="M1464" s="19"/>
      <c r="N1464" s="19"/>
      <c r="O1464" s="19"/>
      <c r="P1464" s="19"/>
      <c r="Q1464" s="19"/>
      <c r="R1464" s="19"/>
      <c r="S1464" s="19"/>
      <c r="T1464" s="19"/>
    </row>
    <row r="1465" spans="1:20" ht="13.2" x14ac:dyDescent="0.25">
      <c r="A1465" s="39"/>
      <c r="B1465" s="37"/>
      <c r="D1465" s="19"/>
      <c r="E1465" s="19"/>
      <c r="G1465" s="16"/>
      <c r="H1465" s="16"/>
      <c r="I1465" s="16"/>
      <c r="J1465" s="19"/>
      <c r="K1465" s="19"/>
      <c r="L1465" s="19"/>
      <c r="M1465" s="19"/>
      <c r="N1465" s="19"/>
      <c r="O1465" s="19"/>
      <c r="P1465" s="19"/>
      <c r="Q1465" s="19"/>
      <c r="R1465" s="19"/>
      <c r="S1465" s="19"/>
      <c r="T1465" s="19"/>
    </row>
    <row r="1466" spans="1:20" ht="13.2" x14ac:dyDescent="0.25">
      <c r="A1466" s="39"/>
      <c r="B1466" s="37"/>
      <c r="D1466" s="19"/>
      <c r="E1466" s="19"/>
      <c r="G1466" s="16"/>
      <c r="H1466" s="16"/>
      <c r="I1466" s="16"/>
      <c r="J1466" s="19"/>
      <c r="K1466" s="19"/>
      <c r="L1466" s="19"/>
      <c r="M1466" s="19"/>
      <c r="N1466" s="19"/>
      <c r="O1466" s="19"/>
      <c r="P1466" s="19"/>
      <c r="Q1466" s="19"/>
      <c r="R1466" s="19"/>
      <c r="S1466" s="19"/>
      <c r="T1466" s="19"/>
    </row>
    <row r="1467" spans="1:20" ht="13.2" x14ac:dyDescent="0.25">
      <c r="A1467" s="39"/>
      <c r="B1467" s="37"/>
      <c r="D1467" s="19"/>
      <c r="E1467" s="19"/>
      <c r="G1467" s="16"/>
      <c r="H1467" s="16"/>
      <c r="I1467" s="16"/>
      <c r="J1467" s="19"/>
      <c r="K1467" s="19"/>
      <c r="L1467" s="19"/>
      <c r="M1467" s="19"/>
      <c r="N1467" s="19"/>
      <c r="O1467" s="19"/>
      <c r="P1467" s="19"/>
      <c r="Q1467" s="19"/>
      <c r="R1467" s="19"/>
      <c r="S1467" s="19"/>
      <c r="T1467" s="19"/>
    </row>
    <row r="1468" spans="1:20" ht="13.2" x14ac:dyDescent="0.25">
      <c r="A1468" s="39"/>
      <c r="B1468" s="37"/>
      <c r="D1468" s="19"/>
      <c r="E1468" s="19"/>
      <c r="G1468" s="16"/>
      <c r="H1468" s="16"/>
      <c r="I1468" s="16"/>
      <c r="J1468" s="19"/>
      <c r="K1468" s="19"/>
      <c r="L1468" s="19"/>
      <c r="M1468" s="19"/>
      <c r="N1468" s="19"/>
      <c r="O1468" s="19"/>
      <c r="P1468" s="19"/>
      <c r="Q1468" s="19"/>
      <c r="R1468" s="19"/>
      <c r="S1468" s="19"/>
      <c r="T1468" s="19"/>
    </row>
    <row r="1469" spans="1:20" ht="13.2" x14ac:dyDescent="0.25">
      <c r="A1469" s="39"/>
      <c r="B1469" s="37"/>
      <c r="D1469" s="19"/>
      <c r="E1469" s="19"/>
      <c r="G1469" s="16"/>
      <c r="H1469" s="16"/>
      <c r="I1469" s="16"/>
      <c r="J1469" s="19"/>
      <c r="K1469" s="19"/>
      <c r="L1469" s="19"/>
      <c r="M1469" s="19"/>
      <c r="N1469" s="19"/>
      <c r="O1469" s="19"/>
      <c r="P1469" s="19"/>
      <c r="Q1469" s="19"/>
      <c r="R1469" s="19"/>
      <c r="S1469" s="19"/>
      <c r="T1469" s="19"/>
    </row>
    <row r="1470" spans="1:20" ht="13.2" x14ac:dyDescent="0.25">
      <c r="A1470" s="39"/>
      <c r="B1470" s="37"/>
      <c r="D1470" s="19"/>
      <c r="E1470" s="19"/>
      <c r="G1470" s="16"/>
      <c r="H1470" s="16"/>
      <c r="I1470" s="16"/>
      <c r="J1470" s="19"/>
      <c r="K1470" s="19"/>
      <c r="L1470" s="19"/>
      <c r="M1470" s="19"/>
      <c r="N1470" s="19"/>
      <c r="O1470" s="19"/>
      <c r="P1470" s="19"/>
      <c r="Q1470" s="19"/>
      <c r="R1470" s="19"/>
      <c r="S1470" s="19"/>
      <c r="T1470" s="19"/>
    </row>
    <row r="1471" spans="1:20" ht="13.2" x14ac:dyDescent="0.25">
      <c r="A1471" s="39"/>
      <c r="B1471" s="37"/>
      <c r="D1471" s="19"/>
      <c r="E1471" s="19"/>
      <c r="G1471" s="16"/>
      <c r="H1471" s="16"/>
      <c r="I1471" s="16"/>
      <c r="J1471" s="19"/>
      <c r="K1471" s="19"/>
      <c r="L1471" s="19"/>
      <c r="M1471" s="19"/>
      <c r="N1471" s="19"/>
      <c r="O1471" s="19"/>
      <c r="P1471" s="19"/>
      <c r="Q1471" s="19"/>
      <c r="R1471" s="19"/>
      <c r="S1471" s="19"/>
      <c r="T1471" s="19"/>
    </row>
    <row r="1472" spans="1:20" ht="13.2" x14ac:dyDescent="0.25">
      <c r="A1472" s="39"/>
      <c r="B1472" s="37"/>
      <c r="D1472" s="19"/>
      <c r="E1472" s="19"/>
      <c r="G1472" s="16"/>
      <c r="H1472" s="16"/>
      <c r="I1472" s="16"/>
      <c r="J1472" s="19"/>
      <c r="K1472" s="19"/>
      <c r="L1472" s="19"/>
      <c r="M1472" s="19"/>
      <c r="N1472" s="19"/>
      <c r="O1472" s="19"/>
      <c r="P1472" s="19"/>
      <c r="Q1472" s="19"/>
      <c r="R1472" s="19"/>
      <c r="S1472" s="19"/>
      <c r="T1472" s="19"/>
    </row>
    <row r="1473" spans="1:20" ht="13.2" x14ac:dyDescent="0.25">
      <c r="A1473" s="39"/>
      <c r="B1473" s="37"/>
      <c r="D1473" s="19"/>
      <c r="E1473" s="19"/>
      <c r="G1473" s="16"/>
      <c r="H1473" s="16"/>
      <c r="I1473" s="16"/>
      <c r="J1473" s="19"/>
      <c r="K1473" s="19"/>
      <c r="L1473" s="19"/>
      <c r="M1473" s="19"/>
      <c r="N1473" s="19"/>
      <c r="O1473" s="19"/>
      <c r="P1473" s="19"/>
      <c r="Q1473" s="19"/>
      <c r="R1473" s="19"/>
      <c r="S1473" s="19"/>
      <c r="T1473" s="19"/>
    </row>
    <row r="1474" spans="1:20" ht="13.2" x14ac:dyDescent="0.25">
      <c r="A1474" s="39"/>
      <c r="B1474" s="37"/>
      <c r="D1474" s="19"/>
      <c r="E1474" s="19"/>
      <c r="G1474" s="16"/>
      <c r="H1474" s="16"/>
      <c r="I1474" s="16"/>
      <c r="J1474" s="19"/>
      <c r="K1474" s="19"/>
      <c r="L1474" s="19"/>
      <c r="M1474" s="19"/>
      <c r="N1474" s="19"/>
      <c r="O1474" s="19"/>
      <c r="P1474" s="19"/>
      <c r="Q1474" s="19"/>
      <c r="R1474" s="19"/>
      <c r="S1474" s="19"/>
      <c r="T1474" s="19"/>
    </row>
    <row r="1475" spans="1:20" ht="13.2" x14ac:dyDescent="0.25">
      <c r="A1475" s="39"/>
      <c r="B1475" s="37"/>
      <c r="D1475" s="19"/>
      <c r="E1475" s="19"/>
      <c r="G1475" s="16"/>
      <c r="H1475" s="16"/>
      <c r="I1475" s="16"/>
      <c r="J1475" s="19"/>
      <c r="K1475" s="19"/>
      <c r="L1475" s="19"/>
      <c r="M1475" s="19"/>
      <c r="N1475" s="19"/>
      <c r="O1475" s="19"/>
      <c r="P1475" s="19"/>
      <c r="Q1475" s="19"/>
      <c r="R1475" s="19"/>
      <c r="S1475" s="19"/>
      <c r="T1475" s="19"/>
    </row>
    <row r="1476" spans="1:20" ht="13.2" x14ac:dyDescent="0.25">
      <c r="A1476" s="39"/>
      <c r="B1476" s="37"/>
      <c r="D1476" s="19"/>
      <c r="E1476" s="19"/>
      <c r="G1476" s="16"/>
      <c r="H1476" s="16"/>
      <c r="I1476" s="16"/>
      <c r="J1476" s="19"/>
      <c r="K1476" s="19"/>
      <c r="L1476" s="19"/>
      <c r="M1476" s="19"/>
      <c r="N1476" s="19"/>
      <c r="O1476" s="19"/>
      <c r="P1476" s="19"/>
      <c r="Q1476" s="19"/>
      <c r="R1476" s="19"/>
      <c r="S1476" s="19"/>
      <c r="T1476" s="19"/>
    </row>
    <row r="1477" spans="1:20" ht="13.2" x14ac:dyDescent="0.25">
      <c r="A1477" s="39"/>
      <c r="B1477" s="37"/>
      <c r="D1477" s="19"/>
      <c r="E1477" s="19"/>
      <c r="G1477" s="16"/>
      <c r="H1477" s="16"/>
      <c r="I1477" s="16"/>
      <c r="J1477" s="19"/>
      <c r="K1477" s="19"/>
      <c r="L1477" s="19"/>
      <c r="M1477" s="19"/>
      <c r="N1477" s="19"/>
      <c r="O1477" s="19"/>
      <c r="P1477" s="19"/>
      <c r="Q1477" s="19"/>
      <c r="R1477" s="19"/>
      <c r="S1477" s="19"/>
      <c r="T1477" s="19"/>
    </row>
    <row r="1478" spans="1:20" ht="13.2" x14ac:dyDescent="0.25">
      <c r="A1478" s="39"/>
      <c r="B1478" s="37"/>
      <c r="D1478" s="19"/>
      <c r="E1478" s="19"/>
      <c r="G1478" s="16"/>
      <c r="H1478" s="16"/>
      <c r="I1478" s="16"/>
      <c r="J1478" s="19"/>
      <c r="K1478" s="19"/>
      <c r="L1478" s="19"/>
      <c r="M1478" s="19"/>
      <c r="N1478" s="19"/>
      <c r="O1478" s="19"/>
      <c r="P1478" s="19"/>
      <c r="Q1478" s="19"/>
      <c r="R1478" s="19"/>
      <c r="S1478" s="19"/>
      <c r="T1478" s="19"/>
    </row>
    <row r="1479" spans="1:20" ht="13.2" x14ac:dyDescent="0.25">
      <c r="A1479" s="39"/>
      <c r="B1479" s="37"/>
      <c r="D1479" s="19"/>
      <c r="E1479" s="19"/>
      <c r="G1479" s="16"/>
      <c r="H1479" s="16"/>
      <c r="I1479" s="16"/>
      <c r="J1479" s="19"/>
      <c r="K1479" s="19"/>
      <c r="L1479" s="19"/>
      <c r="M1479" s="19"/>
      <c r="N1479" s="19"/>
      <c r="O1479" s="19"/>
      <c r="P1479" s="19"/>
      <c r="Q1479" s="19"/>
      <c r="R1479" s="19"/>
      <c r="S1479" s="19"/>
      <c r="T1479" s="19"/>
    </row>
    <row r="1480" spans="1:20" ht="13.2" x14ac:dyDescent="0.25">
      <c r="A1480" s="39"/>
      <c r="B1480" s="37"/>
      <c r="D1480" s="19"/>
      <c r="E1480" s="19"/>
      <c r="G1480" s="16"/>
      <c r="H1480" s="16"/>
      <c r="I1480" s="16"/>
      <c r="J1480" s="19"/>
      <c r="K1480" s="19"/>
      <c r="L1480" s="19"/>
      <c r="M1480" s="19"/>
      <c r="N1480" s="19"/>
      <c r="O1480" s="19"/>
      <c r="P1480" s="19"/>
      <c r="Q1480" s="19"/>
      <c r="R1480" s="19"/>
      <c r="S1480" s="19"/>
      <c r="T1480" s="19"/>
    </row>
    <row r="1481" spans="1:20" ht="13.2" x14ac:dyDescent="0.25">
      <c r="A1481" s="39"/>
      <c r="B1481" s="37"/>
      <c r="D1481" s="19"/>
      <c r="E1481" s="19"/>
      <c r="G1481" s="16"/>
      <c r="H1481" s="16"/>
      <c r="I1481" s="16"/>
      <c r="J1481" s="19"/>
      <c r="K1481" s="19"/>
      <c r="L1481" s="19"/>
      <c r="M1481" s="19"/>
      <c r="N1481" s="19"/>
      <c r="O1481" s="19"/>
      <c r="P1481" s="19"/>
      <c r="Q1481" s="19"/>
      <c r="R1481" s="19"/>
      <c r="S1481" s="19"/>
      <c r="T1481" s="19"/>
    </row>
    <row r="1482" spans="1:20" ht="13.2" x14ac:dyDescent="0.25">
      <c r="A1482" s="39"/>
      <c r="B1482" s="37"/>
      <c r="D1482" s="19"/>
      <c r="E1482" s="19"/>
      <c r="G1482" s="16"/>
      <c r="H1482" s="16"/>
      <c r="I1482" s="16"/>
      <c r="J1482" s="19"/>
      <c r="K1482" s="19"/>
      <c r="L1482" s="19"/>
      <c r="M1482" s="19"/>
      <c r="N1482" s="19"/>
      <c r="O1482" s="19"/>
      <c r="P1482" s="19"/>
      <c r="Q1482" s="19"/>
      <c r="R1482" s="19"/>
      <c r="S1482" s="19"/>
      <c r="T1482" s="19"/>
    </row>
    <row r="1483" spans="1:20" ht="13.2" x14ac:dyDescent="0.25">
      <c r="A1483" s="39"/>
      <c r="B1483" s="37"/>
      <c r="D1483" s="19"/>
      <c r="E1483" s="19"/>
      <c r="G1483" s="16"/>
      <c r="H1483" s="16"/>
      <c r="I1483" s="16"/>
      <c r="J1483" s="19"/>
      <c r="K1483" s="19"/>
      <c r="L1483" s="19"/>
      <c r="M1483" s="19"/>
      <c r="N1483" s="19"/>
      <c r="O1483" s="19"/>
      <c r="P1483" s="19"/>
      <c r="Q1483" s="19"/>
      <c r="R1483" s="19"/>
      <c r="S1483" s="19"/>
      <c r="T1483" s="19"/>
    </row>
    <row r="1484" spans="1:20" ht="13.2" x14ac:dyDescent="0.25">
      <c r="A1484" s="39"/>
      <c r="B1484" s="37"/>
      <c r="D1484" s="19"/>
      <c r="E1484" s="19"/>
      <c r="G1484" s="16"/>
      <c r="H1484" s="16"/>
      <c r="I1484" s="16"/>
      <c r="J1484" s="19"/>
      <c r="K1484" s="19"/>
      <c r="L1484" s="19"/>
      <c r="M1484" s="19"/>
      <c r="N1484" s="19"/>
      <c r="O1484" s="19"/>
      <c r="P1484" s="19"/>
      <c r="Q1484" s="19"/>
      <c r="R1484" s="19"/>
      <c r="S1484" s="19"/>
      <c r="T1484" s="19"/>
    </row>
    <row r="1485" spans="1:20" ht="13.2" x14ac:dyDescent="0.25">
      <c r="A1485" s="39"/>
      <c r="B1485" s="37"/>
      <c r="D1485" s="19"/>
      <c r="E1485" s="19"/>
      <c r="G1485" s="16"/>
      <c r="H1485" s="16"/>
      <c r="I1485" s="16"/>
      <c r="J1485" s="19"/>
      <c r="K1485" s="19"/>
      <c r="L1485" s="19"/>
      <c r="M1485" s="19"/>
      <c r="N1485" s="19"/>
      <c r="O1485" s="19"/>
      <c r="P1485" s="19"/>
      <c r="Q1485" s="19"/>
      <c r="R1485" s="19"/>
      <c r="S1485" s="19"/>
      <c r="T1485" s="19"/>
    </row>
    <row r="1486" spans="1:20" ht="13.2" x14ac:dyDescent="0.25">
      <c r="A1486" s="39"/>
      <c r="B1486" s="37"/>
      <c r="D1486" s="19"/>
      <c r="E1486" s="19"/>
      <c r="G1486" s="16"/>
      <c r="H1486" s="16"/>
      <c r="I1486" s="16"/>
      <c r="J1486" s="19"/>
      <c r="K1486" s="19"/>
      <c r="L1486" s="19"/>
      <c r="M1486" s="19"/>
      <c r="N1486" s="19"/>
      <c r="O1486" s="19"/>
      <c r="P1486" s="19"/>
      <c r="Q1486" s="19"/>
      <c r="R1486" s="19"/>
      <c r="S1486" s="19"/>
      <c r="T1486" s="19"/>
    </row>
    <row r="1487" spans="1:20" ht="13.2" x14ac:dyDescent="0.25">
      <c r="A1487" s="39"/>
      <c r="B1487" s="37"/>
      <c r="D1487" s="19"/>
      <c r="E1487" s="19"/>
      <c r="G1487" s="16"/>
      <c r="H1487" s="16"/>
      <c r="I1487" s="16"/>
      <c r="J1487" s="19"/>
      <c r="K1487" s="19"/>
      <c r="L1487" s="19"/>
      <c r="M1487" s="19"/>
      <c r="N1487" s="19"/>
      <c r="O1487" s="19"/>
      <c r="P1487" s="19"/>
      <c r="Q1487" s="19"/>
      <c r="R1487" s="19"/>
      <c r="S1487" s="19"/>
      <c r="T1487" s="19"/>
    </row>
    <row r="1488" spans="1:20" ht="13.2" x14ac:dyDescent="0.25">
      <c r="A1488" s="39"/>
      <c r="B1488" s="37"/>
      <c r="D1488" s="19"/>
      <c r="E1488" s="19"/>
      <c r="G1488" s="16"/>
      <c r="H1488" s="16"/>
      <c r="I1488" s="16"/>
      <c r="J1488" s="19"/>
      <c r="K1488" s="19"/>
      <c r="L1488" s="19"/>
      <c r="M1488" s="19"/>
      <c r="N1488" s="19"/>
      <c r="O1488" s="19"/>
      <c r="P1488" s="19"/>
      <c r="Q1488" s="19"/>
      <c r="R1488" s="19"/>
      <c r="S1488" s="19"/>
      <c r="T1488" s="19"/>
    </row>
    <row r="1489" spans="1:20" ht="13.2" x14ac:dyDescent="0.25">
      <c r="A1489" s="39"/>
      <c r="B1489" s="37"/>
      <c r="D1489" s="19"/>
      <c r="E1489" s="19"/>
      <c r="G1489" s="16"/>
      <c r="H1489" s="16"/>
      <c r="I1489" s="16"/>
      <c r="J1489" s="19"/>
      <c r="K1489" s="19"/>
      <c r="L1489" s="19"/>
      <c r="M1489" s="19"/>
      <c r="N1489" s="19"/>
      <c r="O1489" s="19"/>
      <c r="P1489" s="19"/>
      <c r="Q1489" s="19"/>
      <c r="R1489" s="19"/>
      <c r="S1489" s="19"/>
      <c r="T1489" s="19"/>
    </row>
    <row r="1490" spans="1:20" ht="13.2" x14ac:dyDescent="0.25">
      <c r="A1490" s="39"/>
      <c r="B1490" s="37"/>
      <c r="D1490" s="19"/>
      <c r="E1490" s="19"/>
      <c r="G1490" s="16"/>
      <c r="H1490" s="16"/>
      <c r="I1490" s="16"/>
      <c r="J1490" s="19"/>
      <c r="K1490" s="19"/>
      <c r="L1490" s="19"/>
      <c r="M1490" s="19"/>
      <c r="N1490" s="19"/>
      <c r="O1490" s="19"/>
      <c r="P1490" s="19"/>
      <c r="Q1490" s="19"/>
      <c r="R1490" s="19"/>
      <c r="S1490" s="19"/>
      <c r="T1490" s="19"/>
    </row>
    <row r="1491" spans="1:20" ht="13.2" x14ac:dyDescent="0.25">
      <c r="A1491" s="39"/>
      <c r="B1491" s="37"/>
      <c r="D1491" s="19"/>
      <c r="E1491" s="19"/>
      <c r="G1491" s="16"/>
      <c r="H1491" s="16"/>
      <c r="I1491" s="16"/>
      <c r="J1491" s="19"/>
      <c r="K1491" s="19"/>
      <c r="L1491" s="19"/>
      <c r="M1491" s="19"/>
      <c r="N1491" s="19"/>
      <c r="O1491" s="19"/>
      <c r="P1491" s="19"/>
      <c r="Q1491" s="19"/>
      <c r="R1491" s="19"/>
      <c r="S1491" s="19"/>
      <c r="T1491" s="19"/>
    </row>
    <row r="1492" spans="1:20" ht="13.2" x14ac:dyDescent="0.25">
      <c r="A1492" s="39"/>
      <c r="B1492" s="37"/>
      <c r="D1492" s="19"/>
      <c r="E1492" s="19"/>
      <c r="G1492" s="16"/>
      <c r="H1492" s="16"/>
      <c r="I1492" s="16"/>
      <c r="J1492" s="19"/>
      <c r="K1492" s="19"/>
      <c r="L1492" s="19"/>
      <c r="M1492" s="19"/>
      <c r="N1492" s="19"/>
      <c r="O1492" s="19"/>
      <c r="P1492" s="19"/>
      <c r="Q1492" s="19"/>
      <c r="R1492" s="19"/>
      <c r="S1492" s="19"/>
      <c r="T1492" s="19"/>
    </row>
    <row r="1493" spans="1:20" ht="13.2" x14ac:dyDescent="0.25">
      <c r="A1493" s="39"/>
      <c r="B1493" s="37"/>
      <c r="D1493" s="19"/>
      <c r="E1493" s="19"/>
      <c r="G1493" s="16"/>
      <c r="H1493" s="16"/>
      <c r="I1493" s="16"/>
      <c r="J1493" s="19"/>
      <c r="K1493" s="19"/>
      <c r="L1493" s="19"/>
      <c r="M1493" s="19"/>
      <c r="N1493" s="19"/>
      <c r="O1493" s="19"/>
      <c r="P1493" s="19"/>
      <c r="Q1493" s="19"/>
      <c r="R1493" s="19"/>
      <c r="S1493" s="19"/>
      <c r="T1493" s="19"/>
    </row>
    <row r="1494" spans="1:20" ht="13.2" x14ac:dyDescent="0.25">
      <c r="A1494" s="39"/>
      <c r="B1494" s="37"/>
      <c r="D1494" s="19"/>
      <c r="E1494" s="19"/>
      <c r="G1494" s="16"/>
      <c r="H1494" s="16"/>
      <c r="I1494" s="16"/>
      <c r="J1494" s="19"/>
      <c r="K1494" s="19"/>
      <c r="L1494" s="19"/>
      <c r="M1494" s="19"/>
      <c r="N1494" s="19"/>
      <c r="O1494" s="19"/>
      <c r="P1494" s="19"/>
      <c r="Q1494" s="19"/>
      <c r="R1494" s="19"/>
      <c r="S1494" s="19"/>
      <c r="T1494" s="19"/>
    </row>
    <row r="1495" spans="1:20" ht="13.2" x14ac:dyDescent="0.25">
      <c r="A1495" s="39"/>
      <c r="B1495" s="37"/>
      <c r="D1495" s="19"/>
      <c r="E1495" s="19"/>
      <c r="G1495" s="16"/>
      <c r="H1495" s="16"/>
      <c r="I1495" s="16"/>
      <c r="J1495" s="19"/>
      <c r="K1495" s="19"/>
      <c r="L1495" s="19"/>
      <c r="M1495" s="19"/>
      <c r="N1495" s="19"/>
      <c r="O1495" s="19"/>
      <c r="P1495" s="19"/>
      <c r="Q1495" s="19"/>
      <c r="R1495" s="19"/>
      <c r="S1495" s="19"/>
      <c r="T1495" s="19"/>
    </row>
    <row r="1496" spans="1:20" ht="13.2" x14ac:dyDescent="0.25">
      <c r="A1496" s="39"/>
      <c r="B1496" s="37"/>
      <c r="D1496" s="19"/>
      <c r="E1496" s="19"/>
      <c r="G1496" s="16"/>
      <c r="H1496" s="16"/>
      <c r="I1496" s="16"/>
      <c r="J1496" s="19"/>
      <c r="K1496" s="19"/>
      <c r="L1496" s="19"/>
      <c r="M1496" s="19"/>
      <c r="N1496" s="19"/>
      <c r="O1496" s="19"/>
      <c r="P1496" s="19"/>
      <c r="Q1496" s="19"/>
      <c r="R1496" s="19"/>
      <c r="S1496" s="19"/>
      <c r="T1496" s="19"/>
    </row>
    <row r="1497" spans="1:20" ht="13.2" x14ac:dyDescent="0.25">
      <c r="A1497" s="39"/>
      <c r="B1497" s="37"/>
      <c r="D1497" s="19"/>
      <c r="E1497" s="19"/>
      <c r="G1497" s="16"/>
      <c r="H1497" s="16"/>
      <c r="I1497" s="16"/>
      <c r="J1497" s="19"/>
      <c r="K1497" s="19"/>
      <c r="L1497" s="19"/>
      <c r="M1497" s="19"/>
      <c r="N1497" s="19"/>
      <c r="O1497" s="19"/>
      <c r="P1497" s="19"/>
      <c r="Q1497" s="19"/>
      <c r="R1497" s="19"/>
      <c r="S1497" s="19"/>
      <c r="T1497" s="19"/>
    </row>
    <row r="1498" spans="1:20" ht="13.2" x14ac:dyDescent="0.25">
      <c r="A1498" s="39"/>
      <c r="B1498" s="37"/>
      <c r="D1498" s="19"/>
      <c r="E1498" s="19"/>
      <c r="G1498" s="16"/>
      <c r="H1498" s="16"/>
      <c r="I1498" s="16"/>
      <c r="J1498" s="19"/>
      <c r="K1498" s="19"/>
      <c r="L1498" s="19"/>
      <c r="M1498" s="19"/>
      <c r="N1498" s="19"/>
      <c r="O1498" s="19"/>
      <c r="P1498" s="19"/>
      <c r="Q1498" s="19"/>
      <c r="R1498" s="19"/>
      <c r="S1498" s="19"/>
      <c r="T1498" s="19"/>
    </row>
    <row r="1499" spans="1:20" ht="13.2" x14ac:dyDescent="0.25">
      <c r="A1499" s="39"/>
      <c r="B1499" s="37"/>
      <c r="D1499" s="19"/>
      <c r="E1499" s="19"/>
      <c r="G1499" s="16"/>
      <c r="H1499" s="16"/>
      <c r="I1499" s="16"/>
      <c r="J1499" s="19"/>
      <c r="K1499" s="19"/>
      <c r="L1499" s="19"/>
      <c r="M1499" s="19"/>
      <c r="N1499" s="19"/>
      <c r="O1499" s="19"/>
      <c r="P1499" s="19"/>
      <c r="Q1499" s="19"/>
      <c r="R1499" s="19"/>
      <c r="S1499" s="19"/>
      <c r="T1499" s="19"/>
    </row>
    <row r="1500" spans="1:20" ht="13.2" x14ac:dyDescent="0.25">
      <c r="A1500" s="39"/>
      <c r="B1500" s="37"/>
      <c r="D1500" s="19"/>
      <c r="E1500" s="19"/>
      <c r="G1500" s="16"/>
      <c r="H1500" s="16"/>
      <c r="I1500" s="16"/>
      <c r="J1500" s="19"/>
      <c r="K1500" s="19"/>
      <c r="L1500" s="19"/>
      <c r="M1500" s="19"/>
      <c r="N1500" s="19"/>
      <c r="O1500" s="19"/>
      <c r="P1500" s="19"/>
      <c r="Q1500" s="19"/>
      <c r="R1500" s="19"/>
      <c r="S1500" s="19"/>
      <c r="T1500" s="19"/>
    </row>
    <row r="1501" spans="1:20" ht="13.2" x14ac:dyDescent="0.25">
      <c r="A1501" s="39"/>
      <c r="B1501" s="37"/>
      <c r="D1501" s="19"/>
      <c r="E1501" s="19"/>
      <c r="G1501" s="16"/>
      <c r="H1501" s="16"/>
      <c r="I1501" s="16"/>
      <c r="J1501" s="19"/>
      <c r="K1501" s="19"/>
      <c r="L1501" s="19"/>
      <c r="M1501" s="19"/>
      <c r="N1501" s="19"/>
      <c r="O1501" s="19"/>
      <c r="P1501" s="19"/>
      <c r="Q1501" s="19"/>
      <c r="R1501" s="19"/>
      <c r="S1501" s="19"/>
      <c r="T1501" s="19"/>
    </row>
    <row r="1502" spans="1:20" ht="13.2" x14ac:dyDescent="0.25">
      <c r="A1502" s="39"/>
      <c r="B1502" s="37"/>
      <c r="D1502" s="19"/>
      <c r="E1502" s="19"/>
      <c r="G1502" s="16"/>
      <c r="H1502" s="16"/>
      <c r="I1502" s="16"/>
      <c r="J1502" s="19"/>
      <c r="K1502" s="19"/>
      <c r="L1502" s="19"/>
      <c r="M1502" s="19"/>
      <c r="N1502" s="19"/>
      <c r="O1502" s="19"/>
      <c r="P1502" s="19"/>
      <c r="Q1502" s="19"/>
      <c r="R1502" s="19"/>
      <c r="S1502" s="19"/>
      <c r="T1502" s="19"/>
    </row>
    <row r="1503" spans="1:20" ht="13.2" x14ac:dyDescent="0.25">
      <c r="A1503" s="39"/>
      <c r="B1503" s="37"/>
      <c r="D1503" s="19"/>
      <c r="E1503" s="19"/>
      <c r="G1503" s="16"/>
      <c r="H1503" s="16"/>
      <c r="I1503" s="16"/>
      <c r="J1503" s="19"/>
      <c r="K1503" s="19"/>
      <c r="L1503" s="19"/>
      <c r="M1503" s="19"/>
      <c r="N1503" s="19"/>
      <c r="O1503" s="19"/>
      <c r="P1503" s="19"/>
      <c r="Q1503" s="19"/>
      <c r="R1503" s="19"/>
      <c r="S1503" s="19"/>
      <c r="T1503" s="19"/>
    </row>
    <row r="1504" spans="1:20" ht="13.2" x14ac:dyDescent="0.25">
      <c r="A1504" s="39"/>
      <c r="B1504" s="37"/>
      <c r="D1504" s="19"/>
      <c r="E1504" s="19"/>
      <c r="G1504" s="16"/>
      <c r="H1504" s="16"/>
      <c r="I1504" s="16"/>
      <c r="J1504" s="19"/>
      <c r="K1504" s="19"/>
      <c r="L1504" s="19"/>
      <c r="M1504" s="19"/>
      <c r="N1504" s="19"/>
      <c r="O1504" s="19"/>
      <c r="P1504" s="19"/>
      <c r="Q1504" s="19"/>
      <c r="R1504" s="19"/>
      <c r="S1504" s="19"/>
      <c r="T1504" s="19"/>
    </row>
    <row r="1505" spans="1:20" ht="13.2" x14ac:dyDescent="0.25">
      <c r="A1505" s="39"/>
      <c r="B1505" s="37"/>
      <c r="D1505" s="19"/>
      <c r="E1505" s="19"/>
      <c r="G1505" s="16"/>
      <c r="H1505" s="16"/>
      <c r="I1505" s="16"/>
      <c r="J1505" s="19"/>
      <c r="K1505" s="19"/>
      <c r="L1505" s="19"/>
      <c r="M1505" s="19"/>
      <c r="N1505" s="19"/>
      <c r="O1505" s="19"/>
      <c r="P1505" s="19"/>
      <c r="Q1505" s="19"/>
      <c r="R1505" s="19"/>
      <c r="S1505" s="19"/>
      <c r="T1505" s="19"/>
    </row>
    <row r="1506" spans="1:20" ht="13.2" x14ac:dyDescent="0.25">
      <c r="A1506" s="39"/>
      <c r="B1506" s="37"/>
      <c r="D1506" s="19"/>
      <c r="E1506" s="19"/>
      <c r="G1506" s="16"/>
      <c r="H1506" s="16"/>
      <c r="I1506" s="16"/>
      <c r="J1506" s="19"/>
      <c r="K1506" s="19"/>
      <c r="L1506" s="19"/>
      <c r="M1506" s="19"/>
      <c r="N1506" s="19"/>
      <c r="O1506" s="19"/>
      <c r="P1506" s="19"/>
      <c r="Q1506" s="19"/>
      <c r="R1506" s="19"/>
      <c r="S1506" s="19"/>
      <c r="T1506" s="19"/>
    </row>
    <row r="1507" spans="1:20" ht="13.2" x14ac:dyDescent="0.25">
      <c r="A1507" s="39"/>
      <c r="B1507" s="37"/>
      <c r="D1507" s="19"/>
      <c r="E1507" s="19"/>
      <c r="G1507" s="16"/>
      <c r="H1507" s="16"/>
      <c r="I1507" s="16"/>
      <c r="J1507" s="19"/>
      <c r="K1507" s="19"/>
      <c r="L1507" s="19"/>
      <c r="M1507" s="19"/>
      <c r="N1507" s="19"/>
      <c r="O1507" s="19"/>
      <c r="P1507" s="19"/>
      <c r="Q1507" s="19"/>
      <c r="R1507" s="19"/>
      <c r="S1507" s="19"/>
      <c r="T1507" s="19"/>
    </row>
    <row r="1508" spans="1:20" ht="13.2" x14ac:dyDescent="0.25">
      <c r="A1508" s="39"/>
      <c r="B1508" s="37"/>
      <c r="D1508" s="19"/>
      <c r="E1508" s="19"/>
      <c r="G1508" s="16"/>
      <c r="H1508" s="16"/>
      <c r="I1508" s="16"/>
      <c r="J1508" s="19"/>
      <c r="K1508" s="19"/>
      <c r="L1508" s="19"/>
      <c r="M1508" s="19"/>
      <c r="N1508" s="19"/>
      <c r="O1508" s="19"/>
      <c r="P1508" s="19"/>
      <c r="Q1508" s="19"/>
      <c r="R1508" s="19"/>
      <c r="S1508" s="19"/>
      <c r="T1508" s="19"/>
    </row>
    <row r="1509" spans="1:20" ht="13.2" x14ac:dyDescent="0.25">
      <c r="A1509" s="39"/>
      <c r="B1509" s="37"/>
      <c r="D1509" s="19"/>
      <c r="E1509" s="19"/>
      <c r="G1509" s="16"/>
      <c r="H1509" s="16"/>
      <c r="I1509" s="16"/>
      <c r="J1509" s="19"/>
      <c r="K1509" s="19"/>
      <c r="L1509" s="19"/>
      <c r="M1509" s="19"/>
      <c r="N1509" s="19"/>
      <c r="O1509" s="19"/>
      <c r="P1509" s="19"/>
      <c r="Q1509" s="19"/>
      <c r="R1509" s="19"/>
      <c r="S1509" s="19"/>
      <c r="T1509" s="19"/>
    </row>
    <row r="1510" spans="1:20" ht="13.2" x14ac:dyDescent="0.25">
      <c r="A1510" s="39"/>
      <c r="B1510" s="37"/>
      <c r="D1510" s="19"/>
      <c r="E1510" s="19"/>
      <c r="G1510" s="16"/>
      <c r="H1510" s="16"/>
      <c r="I1510" s="16"/>
      <c r="J1510" s="19"/>
      <c r="K1510" s="19"/>
      <c r="L1510" s="19"/>
      <c r="M1510" s="19"/>
      <c r="N1510" s="19"/>
      <c r="O1510" s="19"/>
      <c r="P1510" s="19"/>
      <c r="Q1510" s="19"/>
      <c r="R1510" s="19"/>
      <c r="S1510" s="19"/>
      <c r="T1510" s="19"/>
    </row>
    <row r="1511" spans="1:20" ht="13.2" x14ac:dyDescent="0.25">
      <c r="A1511" s="39"/>
      <c r="B1511" s="37"/>
      <c r="D1511" s="19"/>
      <c r="E1511" s="19"/>
      <c r="G1511" s="16"/>
      <c r="H1511" s="16"/>
      <c r="I1511" s="16"/>
      <c r="J1511" s="19"/>
      <c r="K1511" s="19"/>
      <c r="L1511" s="19"/>
      <c r="M1511" s="19"/>
      <c r="N1511" s="19"/>
      <c r="O1511" s="19"/>
      <c r="P1511" s="19"/>
      <c r="Q1511" s="19"/>
      <c r="R1511" s="19"/>
      <c r="S1511" s="19"/>
      <c r="T1511" s="19"/>
    </row>
    <row r="1512" spans="1:20" ht="13.2" x14ac:dyDescent="0.25">
      <c r="A1512" s="39"/>
      <c r="B1512" s="37"/>
      <c r="D1512" s="19"/>
      <c r="E1512" s="19"/>
      <c r="G1512" s="16"/>
      <c r="H1512" s="16"/>
      <c r="I1512" s="16"/>
      <c r="J1512" s="19"/>
      <c r="K1512" s="19"/>
      <c r="L1512" s="19"/>
      <c r="M1512" s="19"/>
      <c r="N1512" s="19"/>
      <c r="O1512" s="19"/>
      <c r="P1512" s="19"/>
      <c r="Q1512" s="19"/>
      <c r="R1512" s="19"/>
      <c r="S1512" s="19"/>
      <c r="T1512" s="19"/>
    </row>
    <row r="1513" spans="1:20" ht="13.2" x14ac:dyDescent="0.25">
      <c r="A1513" s="39"/>
      <c r="B1513" s="37"/>
      <c r="D1513" s="19"/>
      <c r="E1513" s="19"/>
      <c r="G1513" s="16"/>
      <c r="H1513" s="16"/>
      <c r="I1513" s="16"/>
      <c r="J1513" s="19"/>
      <c r="K1513" s="19"/>
      <c r="L1513" s="19"/>
      <c r="M1513" s="19"/>
      <c r="N1513" s="19"/>
      <c r="O1513" s="19"/>
      <c r="P1513" s="19"/>
      <c r="Q1513" s="19"/>
      <c r="R1513" s="19"/>
      <c r="S1513" s="19"/>
      <c r="T1513" s="19"/>
    </row>
    <row r="1514" spans="1:20" ht="13.2" x14ac:dyDescent="0.25">
      <c r="A1514" s="39"/>
      <c r="B1514" s="37"/>
      <c r="D1514" s="19"/>
      <c r="E1514" s="19"/>
      <c r="G1514" s="16"/>
      <c r="H1514" s="16"/>
      <c r="I1514" s="16"/>
      <c r="J1514" s="19"/>
      <c r="K1514" s="19"/>
      <c r="L1514" s="19"/>
      <c r="M1514" s="19"/>
      <c r="N1514" s="19"/>
      <c r="O1514" s="19"/>
      <c r="P1514" s="19"/>
      <c r="Q1514" s="19"/>
      <c r="R1514" s="19"/>
      <c r="S1514" s="19"/>
      <c r="T1514" s="19"/>
    </row>
    <row r="1515" spans="1:20" ht="13.2" x14ac:dyDescent="0.25">
      <c r="A1515" s="39"/>
      <c r="B1515" s="37"/>
      <c r="D1515" s="19"/>
      <c r="E1515" s="19"/>
      <c r="G1515" s="16"/>
      <c r="H1515" s="16"/>
      <c r="I1515" s="16"/>
      <c r="J1515" s="19"/>
      <c r="K1515" s="19"/>
      <c r="L1515" s="19"/>
      <c r="M1515" s="19"/>
      <c r="N1515" s="19"/>
      <c r="O1515" s="19"/>
      <c r="P1515" s="19"/>
      <c r="Q1515" s="19"/>
      <c r="R1515" s="19"/>
      <c r="S1515" s="19"/>
      <c r="T1515" s="19"/>
    </row>
    <row r="1516" spans="1:20" ht="13.2" x14ac:dyDescent="0.25">
      <c r="A1516" s="39"/>
      <c r="B1516" s="37"/>
      <c r="D1516" s="19"/>
      <c r="E1516" s="19"/>
      <c r="G1516" s="16"/>
      <c r="H1516" s="16"/>
      <c r="I1516" s="16"/>
      <c r="J1516" s="19"/>
      <c r="K1516" s="19"/>
      <c r="L1516" s="19"/>
      <c r="M1516" s="19"/>
      <c r="N1516" s="19"/>
      <c r="O1516" s="19"/>
      <c r="P1516" s="19"/>
      <c r="Q1516" s="19"/>
      <c r="R1516" s="19"/>
      <c r="S1516" s="19"/>
      <c r="T1516" s="19"/>
    </row>
    <row r="1517" spans="1:20" ht="13.2" x14ac:dyDescent="0.25">
      <c r="A1517" s="39"/>
      <c r="B1517" s="37"/>
      <c r="D1517" s="19"/>
      <c r="E1517" s="19"/>
      <c r="G1517" s="16"/>
      <c r="H1517" s="16"/>
      <c r="I1517" s="16"/>
      <c r="J1517" s="19"/>
      <c r="K1517" s="19"/>
      <c r="L1517" s="19"/>
      <c r="M1517" s="19"/>
      <c r="N1517" s="19"/>
      <c r="O1517" s="19"/>
      <c r="P1517" s="19"/>
      <c r="Q1517" s="19"/>
      <c r="R1517" s="19"/>
      <c r="S1517" s="19"/>
      <c r="T1517" s="19"/>
    </row>
    <row r="1518" spans="1:20" ht="13.2" x14ac:dyDescent="0.25">
      <c r="A1518" s="39"/>
      <c r="B1518" s="37"/>
      <c r="D1518" s="19"/>
      <c r="E1518" s="19"/>
      <c r="G1518" s="16"/>
      <c r="H1518" s="16"/>
      <c r="I1518" s="16"/>
      <c r="J1518" s="19"/>
      <c r="K1518" s="19"/>
      <c r="L1518" s="19"/>
      <c r="M1518" s="19"/>
      <c r="N1518" s="19"/>
      <c r="O1518" s="19"/>
      <c r="P1518" s="19"/>
      <c r="Q1518" s="19"/>
      <c r="R1518" s="19"/>
      <c r="S1518" s="19"/>
      <c r="T1518" s="19"/>
    </row>
    <row r="1519" spans="1:20" ht="13.2" x14ac:dyDescent="0.25">
      <c r="A1519" s="39"/>
      <c r="B1519" s="37"/>
      <c r="D1519" s="19"/>
      <c r="E1519" s="19"/>
      <c r="G1519" s="16"/>
      <c r="H1519" s="16"/>
      <c r="I1519" s="16"/>
      <c r="J1519" s="19"/>
      <c r="K1519" s="19"/>
      <c r="L1519" s="19"/>
      <c r="M1519" s="19"/>
      <c r="N1519" s="19"/>
      <c r="O1519" s="19"/>
      <c r="P1519" s="19"/>
      <c r="Q1519" s="19"/>
      <c r="R1519" s="19"/>
      <c r="S1519" s="19"/>
      <c r="T1519" s="19"/>
    </row>
    <row r="1520" spans="1:20" ht="13.2" x14ac:dyDescent="0.25">
      <c r="A1520" s="39"/>
      <c r="B1520" s="37"/>
      <c r="D1520" s="19"/>
      <c r="E1520" s="19"/>
      <c r="G1520" s="16"/>
      <c r="H1520" s="16"/>
      <c r="I1520" s="16"/>
      <c r="J1520" s="19"/>
      <c r="K1520" s="19"/>
      <c r="L1520" s="19"/>
      <c r="M1520" s="19"/>
      <c r="N1520" s="19"/>
      <c r="O1520" s="19"/>
      <c r="P1520" s="19"/>
      <c r="Q1520" s="19"/>
      <c r="R1520" s="19"/>
      <c r="S1520" s="19"/>
      <c r="T1520" s="19"/>
    </row>
    <row r="1521" spans="1:20" ht="13.2" x14ac:dyDescent="0.25">
      <c r="A1521" s="39"/>
      <c r="B1521" s="37"/>
      <c r="D1521" s="19"/>
      <c r="E1521" s="19"/>
      <c r="G1521" s="16"/>
      <c r="H1521" s="16"/>
      <c r="I1521" s="16"/>
      <c r="J1521" s="19"/>
      <c r="K1521" s="19"/>
      <c r="L1521" s="19"/>
      <c r="M1521" s="19"/>
      <c r="N1521" s="19"/>
      <c r="O1521" s="19"/>
      <c r="P1521" s="19"/>
      <c r="Q1521" s="19"/>
      <c r="R1521" s="19"/>
      <c r="S1521" s="19"/>
      <c r="T1521" s="19"/>
    </row>
    <row r="1522" spans="1:20" ht="13.2" x14ac:dyDescent="0.25">
      <c r="A1522" s="39"/>
      <c r="B1522" s="37"/>
      <c r="D1522" s="19"/>
      <c r="E1522" s="19"/>
      <c r="G1522" s="16"/>
      <c r="H1522" s="16"/>
      <c r="I1522" s="16"/>
      <c r="J1522" s="19"/>
      <c r="K1522" s="19"/>
      <c r="L1522" s="19"/>
      <c r="M1522" s="19"/>
      <c r="N1522" s="19"/>
      <c r="O1522" s="19"/>
      <c r="P1522" s="19"/>
      <c r="Q1522" s="19"/>
      <c r="R1522" s="19"/>
      <c r="S1522" s="19"/>
      <c r="T1522" s="19"/>
    </row>
    <row r="1523" spans="1:20" ht="13.2" x14ac:dyDescent="0.25">
      <c r="A1523" s="39"/>
      <c r="B1523" s="37"/>
      <c r="D1523" s="19"/>
      <c r="E1523" s="19"/>
      <c r="G1523" s="16"/>
      <c r="H1523" s="16"/>
      <c r="I1523" s="16"/>
      <c r="J1523" s="19"/>
      <c r="K1523" s="19"/>
      <c r="L1523" s="19"/>
      <c r="M1523" s="19"/>
      <c r="N1523" s="19"/>
      <c r="O1523" s="19"/>
      <c r="P1523" s="19"/>
      <c r="Q1523" s="19"/>
      <c r="R1523" s="19"/>
      <c r="S1523" s="19"/>
      <c r="T1523" s="19"/>
    </row>
    <row r="1524" spans="1:20" ht="13.2" x14ac:dyDescent="0.25">
      <c r="A1524" s="39"/>
      <c r="B1524" s="37"/>
      <c r="D1524" s="19"/>
      <c r="E1524" s="19"/>
      <c r="G1524" s="16"/>
      <c r="H1524" s="16"/>
      <c r="I1524" s="16"/>
      <c r="J1524" s="19"/>
      <c r="K1524" s="19"/>
      <c r="L1524" s="19"/>
      <c r="M1524" s="19"/>
      <c r="N1524" s="19"/>
      <c r="O1524" s="19"/>
      <c r="P1524" s="19"/>
      <c r="Q1524" s="19"/>
      <c r="R1524" s="19"/>
      <c r="S1524" s="19"/>
      <c r="T1524" s="19"/>
    </row>
    <row r="1525" spans="1:20" ht="13.2" x14ac:dyDescent="0.25">
      <c r="A1525" s="39"/>
      <c r="B1525" s="37"/>
      <c r="D1525" s="19"/>
      <c r="E1525" s="19"/>
      <c r="G1525" s="16"/>
      <c r="H1525" s="16"/>
      <c r="I1525" s="16"/>
      <c r="J1525" s="19"/>
      <c r="K1525" s="19"/>
      <c r="L1525" s="19"/>
      <c r="M1525" s="19"/>
      <c r="N1525" s="19"/>
      <c r="O1525" s="19"/>
      <c r="P1525" s="19"/>
      <c r="Q1525" s="19"/>
      <c r="R1525" s="19"/>
      <c r="S1525" s="19"/>
      <c r="T1525" s="19"/>
    </row>
    <row r="1526" spans="1:20" ht="13.2" x14ac:dyDescent="0.25">
      <c r="A1526" s="39"/>
      <c r="B1526" s="37"/>
      <c r="D1526" s="19"/>
      <c r="E1526" s="19"/>
      <c r="G1526" s="16"/>
      <c r="H1526" s="16"/>
      <c r="I1526" s="16"/>
      <c r="J1526" s="19"/>
      <c r="K1526" s="19"/>
      <c r="L1526" s="19"/>
      <c r="M1526" s="19"/>
      <c r="N1526" s="19"/>
      <c r="O1526" s="19"/>
      <c r="P1526" s="19"/>
      <c r="Q1526" s="19"/>
      <c r="R1526" s="19"/>
      <c r="S1526" s="19"/>
      <c r="T1526" s="19"/>
    </row>
    <row r="1527" spans="1:20" ht="13.2" x14ac:dyDescent="0.25">
      <c r="A1527" s="39"/>
      <c r="B1527" s="37"/>
      <c r="D1527" s="19"/>
      <c r="E1527" s="19"/>
      <c r="G1527" s="16"/>
      <c r="H1527" s="16"/>
      <c r="I1527" s="16"/>
      <c r="J1527" s="19"/>
      <c r="K1527" s="19"/>
      <c r="L1527" s="19"/>
      <c r="M1527" s="19"/>
      <c r="N1527" s="19"/>
      <c r="O1527" s="19"/>
      <c r="P1527" s="19"/>
      <c r="Q1527" s="19"/>
      <c r="R1527" s="19"/>
      <c r="S1527" s="19"/>
      <c r="T1527" s="19"/>
    </row>
    <row r="1528" spans="1:20" ht="13.2" x14ac:dyDescent="0.25">
      <c r="A1528" s="39"/>
      <c r="B1528" s="37"/>
      <c r="D1528" s="19"/>
      <c r="E1528" s="19"/>
      <c r="G1528" s="16"/>
      <c r="H1528" s="16"/>
      <c r="I1528" s="16"/>
      <c r="J1528" s="19"/>
      <c r="K1528" s="19"/>
      <c r="L1528" s="19"/>
      <c r="M1528" s="19"/>
      <c r="N1528" s="19"/>
      <c r="O1528" s="19"/>
      <c r="P1528" s="19"/>
      <c r="Q1528" s="19"/>
      <c r="R1528" s="19"/>
      <c r="S1528" s="19"/>
      <c r="T1528" s="19"/>
    </row>
    <row r="1529" spans="1:20" ht="13.2" x14ac:dyDescent="0.25">
      <c r="A1529" s="39"/>
      <c r="B1529" s="37"/>
      <c r="D1529" s="19"/>
      <c r="E1529" s="19"/>
      <c r="G1529" s="16"/>
      <c r="H1529" s="16"/>
      <c r="I1529" s="16"/>
      <c r="J1529" s="19"/>
      <c r="K1529" s="19"/>
      <c r="L1529" s="19"/>
      <c r="M1529" s="19"/>
      <c r="N1529" s="19"/>
      <c r="O1529" s="19"/>
      <c r="P1529" s="19"/>
      <c r="Q1529" s="19"/>
      <c r="R1529" s="19"/>
      <c r="S1529" s="19"/>
      <c r="T1529" s="19"/>
    </row>
    <row r="1530" spans="1:20" ht="13.2" x14ac:dyDescent="0.25">
      <c r="A1530" s="39"/>
      <c r="B1530" s="37"/>
      <c r="D1530" s="19"/>
      <c r="E1530" s="19"/>
      <c r="G1530" s="16"/>
      <c r="H1530" s="16"/>
      <c r="I1530" s="16"/>
      <c r="J1530" s="19"/>
      <c r="K1530" s="19"/>
      <c r="L1530" s="19"/>
      <c r="M1530" s="19"/>
      <c r="N1530" s="19"/>
      <c r="O1530" s="19"/>
      <c r="P1530" s="19"/>
      <c r="Q1530" s="19"/>
      <c r="R1530" s="19"/>
      <c r="S1530" s="19"/>
      <c r="T1530" s="19"/>
    </row>
    <row r="1531" spans="1:20" ht="13.2" x14ac:dyDescent="0.25">
      <c r="A1531" s="39"/>
      <c r="B1531" s="37"/>
      <c r="D1531" s="19"/>
      <c r="E1531" s="19"/>
      <c r="G1531" s="16"/>
      <c r="H1531" s="16"/>
      <c r="I1531" s="16"/>
      <c r="J1531" s="19"/>
      <c r="K1531" s="19"/>
      <c r="L1531" s="19"/>
      <c r="M1531" s="19"/>
      <c r="N1531" s="19"/>
      <c r="O1531" s="19"/>
      <c r="P1531" s="19"/>
      <c r="Q1531" s="19"/>
      <c r="R1531" s="19"/>
      <c r="S1531" s="19"/>
      <c r="T1531" s="19"/>
    </row>
    <row r="1532" spans="1:20" ht="13.2" x14ac:dyDescent="0.25">
      <c r="A1532" s="39"/>
      <c r="B1532" s="37"/>
      <c r="D1532" s="19"/>
      <c r="E1532" s="19"/>
      <c r="G1532" s="16"/>
      <c r="H1532" s="16"/>
      <c r="I1532" s="16"/>
      <c r="J1532" s="19"/>
      <c r="K1532" s="19"/>
      <c r="L1532" s="19"/>
      <c r="M1532" s="19"/>
      <c r="N1532" s="19"/>
      <c r="O1532" s="19"/>
      <c r="P1532" s="19"/>
      <c r="Q1532" s="19"/>
      <c r="R1532" s="19"/>
      <c r="S1532" s="19"/>
      <c r="T1532" s="19"/>
    </row>
    <row r="1533" spans="1:20" ht="13.2" x14ac:dyDescent="0.25">
      <c r="A1533" s="39"/>
      <c r="B1533" s="37"/>
      <c r="D1533" s="19"/>
      <c r="E1533" s="19"/>
      <c r="G1533" s="16"/>
      <c r="H1533" s="16"/>
      <c r="I1533" s="16"/>
      <c r="J1533" s="19"/>
      <c r="K1533" s="19"/>
      <c r="L1533" s="19"/>
      <c r="M1533" s="19"/>
      <c r="N1533" s="19"/>
      <c r="O1533" s="19"/>
      <c r="P1533" s="19"/>
      <c r="Q1533" s="19"/>
      <c r="R1533" s="19"/>
      <c r="S1533" s="19"/>
      <c r="T1533" s="19"/>
    </row>
    <row r="1534" spans="1:20" ht="13.2" x14ac:dyDescent="0.25">
      <c r="A1534" s="39"/>
      <c r="B1534" s="37"/>
      <c r="D1534" s="19"/>
      <c r="E1534" s="19"/>
      <c r="G1534" s="16"/>
      <c r="H1534" s="16"/>
      <c r="I1534" s="16"/>
      <c r="J1534" s="19"/>
      <c r="K1534" s="19"/>
      <c r="L1534" s="19"/>
      <c r="M1534" s="19"/>
      <c r="N1534" s="19"/>
      <c r="O1534" s="19"/>
      <c r="P1534" s="19"/>
      <c r="Q1534" s="19"/>
      <c r="R1534" s="19"/>
      <c r="S1534" s="19"/>
      <c r="T1534" s="19"/>
    </row>
    <row r="1535" spans="1:20" ht="13.2" x14ac:dyDescent="0.25">
      <c r="A1535" s="39"/>
      <c r="B1535" s="37"/>
      <c r="D1535" s="19"/>
      <c r="E1535" s="19"/>
      <c r="G1535" s="16"/>
      <c r="H1535" s="16"/>
      <c r="I1535" s="16"/>
      <c r="J1535" s="19"/>
      <c r="K1535" s="19"/>
      <c r="L1535" s="19"/>
      <c r="M1535" s="19"/>
      <c r="N1535" s="19"/>
      <c r="O1535" s="19"/>
      <c r="P1535" s="19"/>
      <c r="Q1535" s="19"/>
      <c r="R1535" s="19"/>
      <c r="S1535" s="19"/>
      <c r="T1535" s="19"/>
    </row>
    <row r="1536" spans="1:20" ht="13.2" x14ac:dyDescent="0.25">
      <c r="A1536" s="39"/>
      <c r="B1536" s="37"/>
      <c r="D1536" s="19"/>
      <c r="E1536" s="19"/>
      <c r="G1536" s="16"/>
      <c r="H1536" s="16"/>
      <c r="I1536" s="16"/>
      <c r="J1536" s="19"/>
      <c r="K1536" s="19"/>
      <c r="L1536" s="19"/>
      <c r="M1536" s="19"/>
      <c r="N1536" s="19"/>
      <c r="O1536" s="19"/>
      <c r="P1536" s="19"/>
      <c r="Q1536" s="19"/>
      <c r="R1536" s="19"/>
      <c r="S1536" s="19"/>
      <c r="T1536" s="19"/>
    </row>
    <row r="1537" spans="1:20" ht="13.2" x14ac:dyDescent="0.25">
      <c r="A1537" s="39"/>
      <c r="B1537" s="37"/>
      <c r="D1537" s="19"/>
      <c r="E1537" s="19"/>
      <c r="G1537" s="16"/>
      <c r="H1537" s="16"/>
      <c r="I1537" s="16"/>
      <c r="J1537" s="19"/>
      <c r="K1537" s="19"/>
      <c r="L1537" s="19"/>
      <c r="M1537" s="19"/>
      <c r="N1537" s="19"/>
      <c r="O1537" s="19"/>
      <c r="P1537" s="19"/>
      <c r="Q1537" s="19"/>
      <c r="R1537" s="19"/>
      <c r="S1537" s="19"/>
      <c r="T1537" s="19"/>
    </row>
    <row r="1538" spans="1:20" ht="13.2" x14ac:dyDescent="0.25">
      <c r="A1538" s="39"/>
      <c r="B1538" s="37"/>
      <c r="D1538" s="19"/>
      <c r="E1538" s="19"/>
      <c r="G1538" s="16"/>
      <c r="H1538" s="16"/>
      <c r="I1538" s="16"/>
      <c r="J1538" s="19"/>
      <c r="K1538" s="19"/>
      <c r="L1538" s="19"/>
      <c r="M1538" s="19"/>
      <c r="N1538" s="19"/>
      <c r="O1538" s="19"/>
      <c r="P1538" s="19"/>
      <c r="Q1538" s="19"/>
      <c r="R1538" s="19"/>
      <c r="S1538" s="19"/>
      <c r="T1538" s="19"/>
    </row>
    <row r="1539" spans="1:20" ht="13.2" x14ac:dyDescent="0.25">
      <c r="A1539" s="39"/>
      <c r="B1539" s="37"/>
      <c r="D1539" s="19"/>
      <c r="E1539" s="19"/>
      <c r="G1539" s="16"/>
      <c r="H1539" s="16"/>
      <c r="I1539" s="16"/>
      <c r="J1539" s="19"/>
      <c r="K1539" s="19"/>
      <c r="L1539" s="19"/>
      <c r="M1539" s="19"/>
      <c r="N1539" s="19"/>
      <c r="O1539" s="19"/>
      <c r="P1539" s="19"/>
      <c r="Q1539" s="19"/>
      <c r="R1539" s="19"/>
      <c r="S1539" s="19"/>
      <c r="T1539" s="19"/>
    </row>
    <row r="1540" spans="1:20" ht="13.2" x14ac:dyDescent="0.25">
      <c r="A1540" s="39"/>
      <c r="B1540" s="37"/>
      <c r="D1540" s="19"/>
      <c r="E1540" s="19"/>
      <c r="G1540" s="16"/>
      <c r="H1540" s="16"/>
      <c r="I1540" s="16"/>
      <c r="J1540" s="19"/>
      <c r="K1540" s="19"/>
      <c r="L1540" s="19"/>
      <c r="M1540" s="19"/>
      <c r="N1540" s="19"/>
      <c r="O1540" s="19"/>
      <c r="P1540" s="19"/>
      <c r="Q1540" s="19"/>
      <c r="R1540" s="19"/>
      <c r="S1540" s="19"/>
      <c r="T1540" s="19"/>
    </row>
    <row r="1541" spans="1:20" ht="13.2" x14ac:dyDescent="0.25">
      <c r="A1541" s="39"/>
      <c r="B1541" s="37"/>
      <c r="D1541" s="19"/>
      <c r="E1541" s="19"/>
      <c r="G1541" s="16"/>
      <c r="H1541" s="16"/>
      <c r="I1541" s="16"/>
      <c r="J1541" s="19"/>
      <c r="K1541" s="19"/>
      <c r="L1541" s="19"/>
      <c r="M1541" s="19"/>
      <c r="N1541" s="19"/>
      <c r="O1541" s="19"/>
      <c r="P1541" s="19"/>
      <c r="Q1541" s="19"/>
      <c r="R1541" s="19"/>
      <c r="S1541" s="19"/>
      <c r="T1541" s="19"/>
    </row>
    <row r="1542" spans="1:20" ht="13.2" x14ac:dyDescent="0.25">
      <c r="A1542" s="39"/>
      <c r="B1542" s="37"/>
      <c r="D1542" s="19"/>
      <c r="E1542" s="19"/>
      <c r="G1542" s="16"/>
      <c r="H1542" s="16"/>
      <c r="I1542" s="16"/>
      <c r="J1542" s="19"/>
      <c r="K1542" s="19"/>
      <c r="L1542" s="19"/>
      <c r="M1542" s="19"/>
      <c r="N1542" s="19"/>
      <c r="O1542" s="19"/>
      <c r="P1542" s="19"/>
      <c r="Q1542" s="19"/>
      <c r="R1542" s="19"/>
      <c r="S1542" s="19"/>
      <c r="T1542" s="19"/>
    </row>
    <row r="1543" spans="1:20" ht="13.2" x14ac:dyDescent="0.25">
      <c r="A1543" s="39"/>
      <c r="B1543" s="37"/>
      <c r="D1543" s="19"/>
      <c r="E1543" s="19"/>
      <c r="G1543" s="16"/>
      <c r="H1543" s="16"/>
      <c r="I1543" s="16"/>
      <c r="J1543" s="19"/>
      <c r="K1543" s="19"/>
      <c r="L1543" s="19"/>
      <c r="M1543" s="19"/>
      <c r="N1543" s="19"/>
      <c r="O1543" s="19"/>
      <c r="P1543" s="19"/>
      <c r="Q1543" s="19"/>
      <c r="R1543" s="19"/>
      <c r="S1543" s="19"/>
      <c r="T1543" s="19"/>
    </row>
    <row r="1544" spans="1:20" ht="13.2" x14ac:dyDescent="0.25">
      <c r="A1544" s="39"/>
      <c r="B1544" s="37"/>
      <c r="D1544" s="19"/>
      <c r="E1544" s="19"/>
      <c r="G1544" s="16"/>
      <c r="H1544" s="16"/>
      <c r="I1544" s="16"/>
      <c r="J1544" s="19"/>
      <c r="K1544" s="19"/>
      <c r="L1544" s="19"/>
      <c r="M1544" s="19"/>
      <c r="N1544" s="19"/>
      <c r="O1544" s="19"/>
      <c r="P1544" s="19"/>
      <c r="Q1544" s="19"/>
      <c r="R1544" s="19"/>
      <c r="S1544" s="19"/>
      <c r="T1544" s="19"/>
    </row>
    <row r="1545" spans="1:20" ht="13.2" x14ac:dyDescent="0.25">
      <c r="A1545" s="39"/>
      <c r="B1545" s="37"/>
      <c r="D1545" s="19"/>
      <c r="E1545" s="19"/>
      <c r="G1545" s="16"/>
      <c r="H1545" s="16"/>
      <c r="I1545" s="16"/>
      <c r="J1545" s="19"/>
      <c r="K1545" s="19"/>
      <c r="L1545" s="19"/>
      <c r="M1545" s="19"/>
      <c r="N1545" s="19"/>
      <c r="O1545" s="19"/>
      <c r="P1545" s="19"/>
      <c r="Q1545" s="19"/>
      <c r="R1545" s="19"/>
      <c r="S1545" s="19"/>
      <c r="T1545" s="19"/>
    </row>
    <row r="1546" spans="1:20" ht="13.2" x14ac:dyDescent="0.25">
      <c r="A1546" s="39"/>
      <c r="B1546" s="37"/>
      <c r="D1546" s="19"/>
      <c r="E1546" s="19"/>
      <c r="G1546" s="16"/>
      <c r="H1546" s="16"/>
      <c r="I1546" s="16"/>
      <c r="J1546" s="19"/>
      <c r="K1546" s="19"/>
      <c r="L1546" s="19"/>
      <c r="M1546" s="19"/>
      <c r="N1546" s="19"/>
      <c r="O1546" s="19"/>
      <c r="P1546" s="19"/>
      <c r="Q1546" s="19"/>
      <c r="R1546" s="19"/>
      <c r="S1546" s="19"/>
      <c r="T1546" s="19"/>
    </row>
    <row r="1547" spans="1:20" ht="13.2" x14ac:dyDescent="0.25">
      <c r="A1547" s="39"/>
      <c r="B1547" s="37"/>
      <c r="D1547" s="19"/>
      <c r="E1547" s="19"/>
      <c r="G1547" s="16"/>
      <c r="H1547" s="16"/>
      <c r="I1547" s="16"/>
      <c r="J1547" s="19"/>
      <c r="K1547" s="19"/>
      <c r="L1547" s="19"/>
      <c r="M1547" s="19"/>
      <c r="N1547" s="19"/>
      <c r="O1547" s="19"/>
      <c r="P1547" s="19"/>
      <c r="Q1547" s="19"/>
      <c r="R1547" s="19"/>
      <c r="S1547" s="19"/>
      <c r="T1547" s="19"/>
    </row>
    <row r="1548" spans="1:20" ht="13.2" x14ac:dyDescent="0.25">
      <c r="A1548" s="39"/>
      <c r="B1548" s="37"/>
      <c r="D1548" s="19"/>
      <c r="E1548" s="19"/>
      <c r="G1548" s="16"/>
      <c r="H1548" s="16"/>
      <c r="I1548" s="16"/>
      <c r="J1548" s="19"/>
      <c r="K1548" s="19"/>
      <c r="L1548" s="19"/>
      <c r="M1548" s="19"/>
      <c r="N1548" s="19"/>
      <c r="O1548" s="19"/>
      <c r="P1548" s="19"/>
      <c r="Q1548" s="19"/>
      <c r="R1548" s="19"/>
      <c r="S1548" s="19"/>
      <c r="T1548" s="19"/>
    </row>
    <row r="1549" spans="1:20" ht="13.2" x14ac:dyDescent="0.25">
      <c r="A1549" s="39"/>
      <c r="B1549" s="37"/>
      <c r="D1549" s="19"/>
      <c r="E1549" s="19"/>
      <c r="G1549" s="16"/>
      <c r="H1549" s="16"/>
      <c r="I1549" s="16"/>
      <c r="J1549" s="19"/>
      <c r="K1549" s="19"/>
      <c r="L1549" s="19"/>
      <c r="M1549" s="19"/>
      <c r="N1549" s="19"/>
      <c r="O1549" s="19"/>
      <c r="P1549" s="19"/>
      <c r="Q1549" s="19"/>
      <c r="R1549" s="19"/>
      <c r="S1549" s="19"/>
      <c r="T1549" s="19"/>
    </row>
    <row r="1550" spans="1:20" ht="13.2" x14ac:dyDescent="0.25">
      <c r="A1550" s="39"/>
      <c r="B1550" s="37"/>
      <c r="D1550" s="19"/>
      <c r="E1550" s="19"/>
      <c r="G1550" s="16"/>
      <c r="H1550" s="16"/>
      <c r="I1550" s="16"/>
      <c r="J1550" s="19"/>
      <c r="K1550" s="19"/>
      <c r="L1550" s="19"/>
      <c r="M1550" s="19"/>
      <c r="N1550" s="19"/>
      <c r="O1550" s="19"/>
      <c r="P1550" s="19"/>
      <c r="Q1550" s="19"/>
      <c r="R1550" s="19"/>
      <c r="S1550" s="19"/>
      <c r="T1550" s="19"/>
    </row>
    <row r="1551" spans="1:20" ht="13.2" x14ac:dyDescent="0.25">
      <c r="A1551" s="39"/>
      <c r="B1551" s="37"/>
      <c r="D1551" s="19"/>
      <c r="E1551" s="19"/>
      <c r="G1551" s="16"/>
      <c r="H1551" s="16"/>
      <c r="I1551" s="16"/>
      <c r="J1551" s="19"/>
      <c r="K1551" s="19"/>
      <c r="L1551" s="19"/>
      <c r="M1551" s="19"/>
      <c r="N1551" s="19"/>
      <c r="O1551" s="19"/>
      <c r="P1551" s="19"/>
      <c r="Q1551" s="19"/>
      <c r="R1551" s="19"/>
      <c r="S1551" s="19"/>
      <c r="T1551" s="19"/>
    </row>
    <row r="1552" spans="1:20" ht="13.2" x14ac:dyDescent="0.25">
      <c r="A1552" s="39"/>
      <c r="B1552" s="37"/>
      <c r="D1552" s="19"/>
      <c r="E1552" s="19"/>
      <c r="G1552" s="16"/>
      <c r="H1552" s="16"/>
      <c r="I1552" s="16"/>
      <c r="J1552" s="19"/>
      <c r="K1552" s="19"/>
      <c r="L1552" s="19"/>
      <c r="M1552" s="19"/>
      <c r="N1552" s="19"/>
      <c r="O1552" s="19"/>
      <c r="P1552" s="19"/>
      <c r="Q1552" s="19"/>
      <c r="R1552" s="19"/>
      <c r="S1552" s="19"/>
      <c r="T1552" s="19"/>
    </row>
    <row r="1553" spans="1:20" ht="13.2" x14ac:dyDescent="0.25">
      <c r="A1553" s="39"/>
      <c r="B1553" s="37"/>
      <c r="D1553" s="19"/>
      <c r="E1553" s="19"/>
      <c r="G1553" s="16"/>
      <c r="H1553" s="16"/>
      <c r="I1553" s="16"/>
      <c r="J1553" s="19"/>
      <c r="K1553" s="19"/>
      <c r="L1553" s="19"/>
      <c r="M1553" s="19"/>
      <c r="N1553" s="19"/>
      <c r="O1553" s="19"/>
      <c r="P1553" s="19"/>
      <c r="Q1553" s="19"/>
      <c r="R1553" s="19"/>
      <c r="S1553" s="19"/>
      <c r="T1553" s="19"/>
    </row>
    <row r="1554" spans="1:20" ht="13.2" x14ac:dyDescent="0.25">
      <c r="A1554" s="39"/>
      <c r="B1554" s="37"/>
      <c r="D1554" s="19"/>
      <c r="E1554" s="19"/>
      <c r="G1554" s="16"/>
      <c r="H1554" s="16"/>
      <c r="I1554" s="16"/>
      <c r="J1554" s="19"/>
      <c r="K1554" s="19"/>
      <c r="L1554" s="19"/>
      <c r="M1554" s="19"/>
      <c r="N1554" s="19"/>
      <c r="O1554" s="19"/>
      <c r="P1554" s="19"/>
      <c r="Q1554" s="19"/>
      <c r="R1554" s="19"/>
      <c r="S1554" s="19"/>
      <c r="T1554" s="19"/>
    </row>
    <row r="1555" spans="1:20" ht="13.2" x14ac:dyDescent="0.25">
      <c r="A1555" s="39"/>
      <c r="B1555" s="37"/>
      <c r="D1555" s="19"/>
      <c r="E1555" s="19"/>
      <c r="G1555" s="16"/>
      <c r="H1555" s="16"/>
      <c r="I1555" s="16"/>
      <c r="J1555" s="19"/>
      <c r="K1555" s="19"/>
      <c r="L1555" s="19"/>
      <c r="M1555" s="19"/>
      <c r="N1555" s="19"/>
      <c r="O1555" s="19"/>
      <c r="P1555" s="19"/>
      <c r="Q1555" s="19"/>
      <c r="R1555" s="19"/>
      <c r="S1555" s="19"/>
      <c r="T1555" s="19"/>
    </row>
    <row r="1556" spans="1:20" ht="13.2" x14ac:dyDescent="0.25">
      <c r="A1556" s="39"/>
      <c r="B1556" s="37"/>
      <c r="D1556" s="19"/>
      <c r="E1556" s="19"/>
      <c r="G1556" s="16"/>
      <c r="H1556" s="16"/>
      <c r="I1556" s="16"/>
      <c r="J1556" s="19"/>
      <c r="K1556" s="19"/>
      <c r="L1556" s="19"/>
      <c r="M1556" s="19"/>
      <c r="N1556" s="19"/>
      <c r="O1556" s="19"/>
      <c r="P1556" s="19"/>
      <c r="Q1556" s="19"/>
      <c r="R1556" s="19"/>
      <c r="S1556" s="19"/>
      <c r="T1556" s="19"/>
    </row>
    <row r="1557" spans="1:20" ht="13.2" x14ac:dyDescent="0.25">
      <c r="A1557" s="39"/>
      <c r="B1557" s="37"/>
      <c r="D1557" s="19"/>
      <c r="E1557" s="19"/>
      <c r="G1557" s="16"/>
      <c r="H1557" s="16"/>
      <c r="I1557" s="16"/>
      <c r="J1557" s="19"/>
      <c r="K1557" s="19"/>
      <c r="L1557" s="19"/>
      <c r="M1557" s="19"/>
      <c r="N1557" s="19"/>
      <c r="O1557" s="19"/>
      <c r="P1557" s="19"/>
      <c r="Q1557" s="19"/>
      <c r="R1557" s="19"/>
      <c r="S1557" s="19"/>
      <c r="T1557" s="19"/>
    </row>
    <row r="1558" spans="1:20" ht="13.2" x14ac:dyDescent="0.25">
      <c r="A1558" s="39"/>
      <c r="B1558" s="37"/>
      <c r="D1558" s="19"/>
      <c r="E1558" s="19"/>
      <c r="G1558" s="16"/>
      <c r="H1558" s="16"/>
      <c r="I1558" s="16"/>
      <c r="J1558" s="19"/>
      <c r="K1558" s="19"/>
      <c r="L1558" s="19"/>
      <c r="M1558" s="19"/>
      <c r="N1558" s="19"/>
      <c r="O1558" s="19"/>
      <c r="P1558" s="19"/>
      <c r="Q1558" s="19"/>
      <c r="R1558" s="19"/>
      <c r="S1558" s="19"/>
      <c r="T1558" s="19"/>
    </row>
    <row r="1559" spans="1:20" ht="13.2" x14ac:dyDescent="0.25">
      <c r="A1559" s="39"/>
      <c r="B1559" s="37"/>
      <c r="D1559" s="19"/>
      <c r="E1559" s="19"/>
      <c r="G1559" s="16"/>
      <c r="H1559" s="16"/>
      <c r="I1559" s="16"/>
      <c r="J1559" s="19"/>
      <c r="K1559" s="19"/>
      <c r="L1559" s="19"/>
      <c r="M1559" s="19"/>
      <c r="N1559" s="19"/>
      <c r="O1559" s="19"/>
      <c r="P1559" s="19"/>
      <c r="Q1559" s="19"/>
      <c r="R1559" s="19"/>
      <c r="S1559" s="19"/>
      <c r="T1559" s="19"/>
    </row>
    <row r="1560" spans="1:20" ht="13.2" x14ac:dyDescent="0.25">
      <c r="A1560" s="39"/>
      <c r="B1560" s="37"/>
      <c r="D1560" s="19"/>
      <c r="E1560" s="19"/>
      <c r="G1560" s="16"/>
      <c r="H1560" s="16"/>
      <c r="I1560" s="16"/>
      <c r="J1560" s="19"/>
      <c r="K1560" s="19"/>
      <c r="L1560" s="19"/>
      <c r="M1560" s="19"/>
      <c r="N1560" s="19"/>
      <c r="O1560" s="19"/>
      <c r="P1560" s="19"/>
      <c r="Q1560" s="19"/>
      <c r="R1560" s="19"/>
      <c r="S1560" s="19"/>
      <c r="T1560" s="19"/>
    </row>
    <row r="1561" spans="1:20" ht="13.2" x14ac:dyDescent="0.25">
      <c r="A1561" s="39"/>
      <c r="B1561" s="37"/>
      <c r="D1561" s="19"/>
      <c r="E1561" s="19"/>
      <c r="G1561" s="16"/>
      <c r="H1561" s="16"/>
      <c r="I1561" s="16"/>
      <c r="J1561" s="19"/>
      <c r="K1561" s="19"/>
      <c r="L1561" s="19"/>
      <c r="M1561" s="19"/>
      <c r="N1561" s="19"/>
      <c r="O1561" s="19"/>
      <c r="P1561" s="19"/>
      <c r="Q1561" s="19"/>
      <c r="R1561" s="19"/>
      <c r="S1561" s="19"/>
      <c r="T1561" s="19"/>
    </row>
    <row r="1562" spans="1:20" ht="13.2" x14ac:dyDescent="0.25">
      <c r="A1562" s="39"/>
      <c r="B1562" s="37"/>
      <c r="D1562" s="19"/>
      <c r="E1562" s="19"/>
      <c r="G1562" s="16"/>
      <c r="H1562" s="16"/>
      <c r="I1562" s="16"/>
      <c r="J1562" s="19"/>
      <c r="K1562" s="19"/>
      <c r="L1562" s="19"/>
      <c r="M1562" s="19"/>
      <c r="N1562" s="19"/>
      <c r="O1562" s="19"/>
      <c r="P1562" s="19"/>
      <c r="Q1562" s="19"/>
      <c r="R1562" s="19"/>
      <c r="S1562" s="19"/>
      <c r="T1562" s="19"/>
    </row>
    <row r="1563" spans="1:20" ht="13.2" x14ac:dyDescent="0.25">
      <c r="A1563" s="39"/>
      <c r="B1563" s="37"/>
      <c r="D1563" s="19"/>
      <c r="E1563" s="19"/>
      <c r="G1563" s="16"/>
      <c r="H1563" s="16"/>
      <c r="I1563" s="16"/>
      <c r="J1563" s="19"/>
      <c r="K1563" s="19"/>
      <c r="L1563" s="19"/>
      <c r="M1563" s="19"/>
      <c r="N1563" s="19"/>
      <c r="O1563" s="19"/>
      <c r="P1563" s="19"/>
      <c r="Q1563" s="19"/>
      <c r="R1563" s="19"/>
      <c r="S1563" s="19"/>
      <c r="T1563" s="19"/>
    </row>
    <row r="1564" spans="1:20" ht="13.2" x14ac:dyDescent="0.25">
      <c r="A1564" s="39"/>
      <c r="B1564" s="37"/>
      <c r="D1564" s="19"/>
      <c r="E1564" s="19"/>
      <c r="G1564" s="16"/>
      <c r="H1564" s="16"/>
      <c r="I1564" s="16"/>
      <c r="J1564" s="19"/>
      <c r="K1564" s="19"/>
      <c r="L1564" s="19"/>
      <c r="M1564" s="19"/>
      <c r="N1564" s="19"/>
      <c r="O1564" s="19"/>
      <c r="P1564" s="19"/>
      <c r="Q1564" s="19"/>
      <c r="R1564" s="19"/>
      <c r="S1564" s="19"/>
      <c r="T1564" s="19"/>
    </row>
    <row r="1565" spans="1:20" ht="13.2" x14ac:dyDescent="0.25">
      <c r="A1565" s="39"/>
      <c r="B1565" s="37"/>
      <c r="D1565" s="19"/>
      <c r="E1565" s="19"/>
      <c r="G1565" s="16"/>
      <c r="H1565" s="16"/>
      <c r="I1565" s="16"/>
      <c r="J1565" s="19"/>
      <c r="K1565" s="19"/>
      <c r="L1565" s="19"/>
      <c r="M1565" s="19"/>
      <c r="N1565" s="19"/>
      <c r="O1565" s="19"/>
      <c r="P1565" s="19"/>
      <c r="Q1565" s="19"/>
      <c r="R1565" s="19"/>
      <c r="S1565" s="19"/>
      <c r="T1565" s="19"/>
    </row>
    <row r="1566" spans="1:20" ht="13.2" x14ac:dyDescent="0.25">
      <c r="A1566" s="39"/>
      <c r="B1566" s="37"/>
      <c r="D1566" s="19"/>
      <c r="E1566" s="19"/>
      <c r="G1566" s="16"/>
      <c r="H1566" s="16"/>
      <c r="I1566" s="16"/>
      <c r="J1566" s="19"/>
      <c r="K1566" s="19"/>
      <c r="L1566" s="19"/>
      <c r="M1566" s="19"/>
      <c r="N1566" s="19"/>
      <c r="O1566" s="19"/>
      <c r="P1566" s="19"/>
      <c r="Q1566" s="19"/>
      <c r="R1566" s="19"/>
      <c r="S1566" s="19"/>
      <c r="T1566" s="19"/>
    </row>
    <row r="1567" spans="1:20" ht="13.2" x14ac:dyDescent="0.25">
      <c r="A1567" s="39"/>
      <c r="B1567" s="37"/>
      <c r="D1567" s="19"/>
      <c r="E1567" s="19"/>
      <c r="G1567" s="16"/>
      <c r="H1567" s="16"/>
      <c r="I1567" s="16"/>
      <c r="J1567" s="19"/>
      <c r="K1567" s="19"/>
      <c r="L1567" s="19"/>
      <c r="M1567" s="19"/>
      <c r="N1567" s="19"/>
      <c r="O1567" s="19"/>
      <c r="P1567" s="19"/>
      <c r="Q1567" s="19"/>
      <c r="R1567" s="19"/>
      <c r="S1567" s="19"/>
      <c r="T1567" s="19"/>
    </row>
    <row r="1568" spans="1:20" ht="13.2" x14ac:dyDescent="0.25">
      <c r="A1568" s="39"/>
      <c r="B1568" s="37"/>
      <c r="D1568" s="19"/>
      <c r="E1568" s="19"/>
      <c r="G1568" s="16"/>
      <c r="H1568" s="16"/>
      <c r="I1568" s="16"/>
      <c r="J1568" s="19"/>
      <c r="K1568" s="19"/>
      <c r="L1568" s="19"/>
      <c r="M1568" s="19"/>
      <c r="N1568" s="19"/>
      <c r="O1568" s="19"/>
      <c r="P1568" s="19"/>
      <c r="Q1568" s="19"/>
      <c r="R1568" s="19"/>
      <c r="S1568" s="19"/>
      <c r="T1568" s="19"/>
    </row>
    <row r="1569" spans="1:20" ht="13.2" x14ac:dyDescent="0.25">
      <c r="A1569" s="39"/>
      <c r="B1569" s="37"/>
      <c r="D1569" s="19"/>
      <c r="E1569" s="19"/>
      <c r="G1569" s="16"/>
      <c r="H1569" s="16"/>
      <c r="I1569" s="16"/>
      <c r="J1569" s="19"/>
      <c r="K1569" s="19"/>
      <c r="L1569" s="19"/>
      <c r="M1569" s="19"/>
      <c r="N1569" s="19"/>
      <c r="O1569" s="19"/>
      <c r="P1569" s="19"/>
      <c r="Q1569" s="19"/>
      <c r="R1569" s="19"/>
      <c r="S1569" s="19"/>
      <c r="T1569" s="19"/>
    </row>
    <row r="1570" spans="1:20" ht="13.2" x14ac:dyDescent="0.25">
      <c r="A1570" s="39"/>
      <c r="B1570" s="37"/>
      <c r="D1570" s="19"/>
      <c r="E1570" s="19"/>
      <c r="G1570" s="16"/>
      <c r="H1570" s="16"/>
      <c r="I1570" s="16"/>
      <c r="J1570" s="19"/>
      <c r="K1570" s="19"/>
      <c r="L1570" s="19"/>
      <c r="M1570" s="19"/>
      <c r="N1570" s="19"/>
      <c r="O1570" s="19"/>
      <c r="P1570" s="19"/>
      <c r="Q1570" s="19"/>
      <c r="R1570" s="19"/>
      <c r="S1570" s="19"/>
      <c r="T1570" s="19"/>
    </row>
    <row r="1571" spans="1:20" ht="13.2" x14ac:dyDescent="0.25">
      <c r="A1571" s="39"/>
      <c r="B1571" s="37"/>
      <c r="D1571" s="19"/>
      <c r="E1571" s="19"/>
      <c r="G1571" s="16"/>
      <c r="H1571" s="16"/>
      <c r="I1571" s="16"/>
      <c r="J1571" s="19"/>
      <c r="K1571" s="19"/>
      <c r="L1571" s="19"/>
      <c r="M1571" s="19"/>
      <c r="N1571" s="19"/>
      <c r="O1571" s="19"/>
      <c r="P1571" s="19"/>
      <c r="Q1571" s="19"/>
      <c r="R1571" s="19"/>
      <c r="S1571" s="19"/>
      <c r="T1571" s="19"/>
    </row>
    <row r="1572" spans="1:20" ht="13.2" x14ac:dyDescent="0.25">
      <c r="A1572" s="39"/>
      <c r="B1572" s="37"/>
      <c r="D1572" s="19"/>
      <c r="E1572" s="19"/>
      <c r="G1572" s="16"/>
      <c r="H1572" s="16"/>
      <c r="I1572" s="16"/>
      <c r="J1572" s="19"/>
      <c r="K1572" s="19"/>
      <c r="L1572" s="19"/>
      <c r="M1572" s="19"/>
      <c r="N1572" s="19"/>
      <c r="O1572" s="19"/>
      <c r="P1572" s="19"/>
      <c r="Q1572" s="19"/>
      <c r="R1572" s="19"/>
      <c r="S1572" s="19"/>
      <c r="T1572" s="19"/>
    </row>
    <row r="1573" spans="1:20" ht="13.2" x14ac:dyDescent="0.25">
      <c r="A1573" s="39"/>
      <c r="B1573" s="37"/>
      <c r="D1573" s="19"/>
      <c r="E1573" s="19"/>
      <c r="G1573" s="16"/>
      <c r="H1573" s="16"/>
      <c r="I1573" s="16"/>
      <c r="J1573" s="19"/>
      <c r="K1573" s="19"/>
      <c r="L1573" s="19"/>
      <c r="M1573" s="19"/>
      <c r="N1573" s="19"/>
      <c r="O1573" s="19"/>
      <c r="P1573" s="19"/>
      <c r="Q1573" s="19"/>
      <c r="R1573" s="19"/>
      <c r="S1573" s="19"/>
      <c r="T1573" s="19"/>
    </row>
    <row r="1574" spans="1:20" ht="13.2" x14ac:dyDescent="0.25">
      <c r="A1574" s="39"/>
      <c r="B1574" s="37"/>
      <c r="D1574" s="19"/>
      <c r="E1574" s="19"/>
      <c r="G1574" s="16"/>
      <c r="H1574" s="16"/>
      <c r="I1574" s="16"/>
      <c r="J1574" s="19"/>
      <c r="K1574" s="19"/>
      <c r="L1574" s="19"/>
      <c r="M1574" s="19"/>
      <c r="N1574" s="19"/>
      <c r="O1574" s="19"/>
      <c r="P1574" s="19"/>
      <c r="Q1574" s="19"/>
      <c r="R1574" s="19"/>
      <c r="S1574" s="19"/>
      <c r="T1574" s="19"/>
    </row>
    <row r="1575" spans="1:20" ht="13.2" x14ac:dyDescent="0.25">
      <c r="A1575" s="39"/>
      <c r="B1575" s="37"/>
      <c r="D1575" s="19"/>
      <c r="E1575" s="19"/>
      <c r="G1575" s="16"/>
      <c r="H1575" s="16"/>
      <c r="I1575" s="16"/>
      <c r="J1575" s="19"/>
      <c r="K1575" s="19"/>
      <c r="L1575" s="19"/>
      <c r="M1575" s="19"/>
      <c r="N1575" s="19"/>
      <c r="O1575" s="19"/>
      <c r="P1575" s="19"/>
      <c r="Q1575" s="19"/>
      <c r="R1575" s="19"/>
      <c r="S1575" s="19"/>
      <c r="T1575" s="19"/>
    </row>
    <row r="1576" spans="1:20" ht="13.2" x14ac:dyDescent="0.25">
      <c r="A1576" s="39"/>
      <c r="B1576" s="37"/>
      <c r="D1576" s="19"/>
      <c r="E1576" s="19"/>
      <c r="G1576" s="16"/>
      <c r="H1576" s="16"/>
      <c r="I1576" s="16"/>
      <c r="J1576" s="19"/>
      <c r="K1576" s="19"/>
      <c r="L1576" s="19"/>
      <c r="M1576" s="19"/>
      <c r="N1576" s="19"/>
      <c r="O1576" s="19"/>
      <c r="P1576" s="19"/>
      <c r="Q1576" s="19"/>
      <c r="R1576" s="19"/>
      <c r="S1576" s="19"/>
      <c r="T1576" s="19"/>
    </row>
    <row r="1577" spans="1:20" ht="13.2" x14ac:dyDescent="0.25">
      <c r="A1577" s="39"/>
      <c r="B1577" s="37"/>
      <c r="D1577" s="19"/>
      <c r="E1577" s="19"/>
      <c r="G1577" s="16"/>
      <c r="H1577" s="16"/>
      <c r="I1577" s="16"/>
      <c r="J1577" s="19"/>
      <c r="K1577" s="19"/>
      <c r="L1577" s="19"/>
      <c r="M1577" s="19"/>
      <c r="N1577" s="19"/>
      <c r="O1577" s="19"/>
      <c r="P1577" s="19"/>
      <c r="Q1577" s="19"/>
      <c r="R1577" s="19"/>
      <c r="S1577" s="19"/>
      <c r="T1577" s="19"/>
    </row>
    <row r="1578" spans="1:20" ht="13.2" x14ac:dyDescent="0.25">
      <c r="A1578" s="39"/>
      <c r="B1578" s="37"/>
      <c r="D1578" s="19"/>
      <c r="E1578" s="19"/>
      <c r="G1578" s="16"/>
      <c r="H1578" s="16"/>
      <c r="I1578" s="16"/>
      <c r="J1578" s="19"/>
      <c r="K1578" s="19"/>
      <c r="L1578" s="19"/>
      <c r="M1578" s="19"/>
      <c r="N1578" s="19"/>
      <c r="O1578" s="19"/>
      <c r="P1578" s="19"/>
      <c r="Q1578" s="19"/>
      <c r="R1578" s="19"/>
      <c r="S1578" s="19"/>
      <c r="T1578" s="19"/>
    </row>
    <row r="1579" spans="1:20" ht="13.2" x14ac:dyDescent="0.25">
      <c r="A1579" s="39"/>
      <c r="B1579" s="37"/>
      <c r="D1579" s="19"/>
      <c r="E1579" s="19"/>
      <c r="G1579" s="16"/>
      <c r="H1579" s="16"/>
      <c r="I1579" s="16"/>
      <c r="J1579" s="19"/>
      <c r="K1579" s="19"/>
      <c r="L1579" s="19"/>
      <c r="M1579" s="19"/>
      <c r="N1579" s="19"/>
      <c r="O1579" s="19"/>
      <c r="P1579" s="19"/>
      <c r="Q1579" s="19"/>
      <c r="R1579" s="19"/>
      <c r="S1579" s="19"/>
      <c r="T1579" s="19"/>
    </row>
    <row r="1580" spans="1:20" ht="13.2" x14ac:dyDescent="0.25">
      <c r="A1580" s="39"/>
      <c r="B1580" s="37"/>
      <c r="D1580" s="19"/>
      <c r="E1580" s="19"/>
      <c r="G1580" s="16"/>
      <c r="H1580" s="16"/>
      <c r="I1580" s="16"/>
      <c r="J1580" s="19"/>
      <c r="K1580" s="19"/>
      <c r="L1580" s="19"/>
      <c r="M1580" s="19"/>
      <c r="N1580" s="19"/>
      <c r="O1580" s="19"/>
      <c r="P1580" s="19"/>
      <c r="Q1580" s="19"/>
      <c r="R1580" s="19"/>
      <c r="S1580" s="19"/>
      <c r="T1580" s="19"/>
    </row>
    <row r="1581" spans="1:20" ht="13.2" x14ac:dyDescent="0.25">
      <c r="A1581" s="39"/>
      <c r="B1581" s="37"/>
      <c r="D1581" s="19"/>
      <c r="E1581" s="19"/>
      <c r="G1581" s="16"/>
      <c r="H1581" s="16"/>
      <c r="I1581" s="16"/>
      <c r="J1581" s="19"/>
      <c r="K1581" s="19"/>
      <c r="L1581" s="19"/>
      <c r="M1581" s="19"/>
      <c r="N1581" s="19"/>
      <c r="O1581" s="19"/>
      <c r="P1581" s="19"/>
      <c r="Q1581" s="19"/>
      <c r="R1581" s="19"/>
      <c r="S1581" s="19"/>
      <c r="T1581" s="19"/>
    </row>
    <row r="1582" spans="1:20" ht="13.2" x14ac:dyDescent="0.25">
      <c r="A1582" s="39"/>
      <c r="B1582" s="37"/>
      <c r="D1582" s="19"/>
      <c r="E1582" s="19"/>
      <c r="G1582" s="16"/>
      <c r="H1582" s="16"/>
      <c r="I1582" s="16"/>
      <c r="J1582" s="19"/>
      <c r="K1582" s="19"/>
      <c r="L1582" s="19"/>
      <c r="M1582" s="19"/>
      <c r="N1582" s="19"/>
      <c r="O1582" s="19"/>
      <c r="P1582" s="19"/>
      <c r="Q1582" s="19"/>
      <c r="R1582" s="19"/>
      <c r="S1582" s="19"/>
      <c r="T1582" s="19"/>
    </row>
    <row r="1583" spans="1:20" ht="13.2" x14ac:dyDescent="0.25">
      <c r="A1583" s="39"/>
      <c r="B1583" s="37"/>
      <c r="D1583" s="19"/>
      <c r="E1583" s="19"/>
      <c r="G1583" s="16"/>
      <c r="H1583" s="16"/>
      <c r="I1583" s="16"/>
      <c r="J1583" s="19"/>
      <c r="K1583" s="19"/>
      <c r="L1583" s="19"/>
      <c r="M1583" s="19"/>
      <c r="N1583" s="19"/>
      <c r="O1583" s="19"/>
      <c r="P1583" s="19"/>
      <c r="Q1583" s="19"/>
      <c r="R1583" s="19"/>
      <c r="S1583" s="19"/>
      <c r="T1583" s="19"/>
    </row>
    <row r="1584" spans="1:20" ht="13.2" x14ac:dyDescent="0.25">
      <c r="A1584" s="39"/>
      <c r="B1584" s="37"/>
      <c r="D1584" s="19"/>
      <c r="E1584" s="19"/>
      <c r="G1584" s="16"/>
      <c r="H1584" s="16"/>
      <c r="I1584" s="16"/>
      <c r="J1584" s="19"/>
      <c r="K1584" s="19"/>
      <c r="L1584" s="19"/>
      <c r="M1584" s="19"/>
      <c r="N1584" s="19"/>
      <c r="O1584" s="19"/>
      <c r="P1584" s="19"/>
      <c r="Q1584" s="19"/>
      <c r="R1584" s="19"/>
      <c r="S1584" s="19"/>
      <c r="T1584" s="19"/>
    </row>
    <row r="1585" spans="1:20" ht="13.2" x14ac:dyDescent="0.25">
      <c r="A1585" s="39"/>
      <c r="B1585" s="37"/>
      <c r="D1585" s="19"/>
      <c r="E1585" s="19"/>
      <c r="G1585" s="16"/>
      <c r="H1585" s="16"/>
      <c r="I1585" s="16"/>
      <c r="J1585" s="19"/>
      <c r="K1585" s="19"/>
      <c r="L1585" s="19"/>
      <c r="M1585" s="19"/>
      <c r="N1585" s="19"/>
      <c r="O1585" s="19"/>
      <c r="P1585" s="19"/>
      <c r="Q1585" s="19"/>
      <c r="R1585" s="19"/>
      <c r="S1585" s="19"/>
      <c r="T1585" s="19"/>
    </row>
    <row r="1586" spans="1:20" ht="13.2" x14ac:dyDescent="0.25">
      <c r="A1586" s="39"/>
      <c r="B1586" s="37"/>
      <c r="D1586" s="19"/>
      <c r="E1586" s="19"/>
      <c r="G1586" s="16"/>
      <c r="H1586" s="16"/>
      <c r="I1586" s="16"/>
      <c r="J1586" s="19"/>
      <c r="K1586" s="19"/>
      <c r="L1586" s="19"/>
      <c r="M1586" s="19"/>
      <c r="N1586" s="19"/>
      <c r="O1586" s="19"/>
      <c r="P1586" s="19"/>
      <c r="Q1586" s="19"/>
      <c r="R1586" s="19"/>
      <c r="S1586" s="19"/>
      <c r="T1586" s="19"/>
    </row>
    <row r="1587" spans="1:20" ht="13.2" x14ac:dyDescent="0.25">
      <c r="A1587" s="39"/>
      <c r="B1587" s="37"/>
      <c r="D1587" s="19"/>
      <c r="E1587" s="19"/>
      <c r="G1587" s="16"/>
      <c r="H1587" s="16"/>
      <c r="I1587" s="16"/>
      <c r="J1587" s="19"/>
      <c r="K1587" s="19"/>
      <c r="L1587" s="19"/>
      <c r="M1587" s="19"/>
      <c r="N1587" s="19"/>
      <c r="O1587" s="19"/>
      <c r="P1587" s="19"/>
      <c r="Q1587" s="19"/>
      <c r="R1587" s="19"/>
      <c r="S1587" s="19"/>
      <c r="T1587" s="19"/>
    </row>
    <row r="1588" spans="1:20" ht="13.2" x14ac:dyDescent="0.25">
      <c r="A1588" s="39"/>
      <c r="B1588" s="37"/>
      <c r="D1588" s="19"/>
      <c r="E1588" s="19"/>
      <c r="G1588" s="16"/>
      <c r="H1588" s="16"/>
      <c r="I1588" s="16"/>
      <c r="J1588" s="19"/>
      <c r="K1588" s="19"/>
      <c r="L1588" s="19"/>
      <c r="M1588" s="19"/>
      <c r="N1588" s="19"/>
      <c r="O1588" s="19"/>
      <c r="P1588" s="19"/>
      <c r="Q1588" s="19"/>
      <c r="R1588" s="19"/>
      <c r="S1588" s="19"/>
      <c r="T1588" s="19"/>
    </row>
    <row r="1589" spans="1:20" ht="13.2" x14ac:dyDescent="0.25">
      <c r="A1589" s="39"/>
      <c r="B1589" s="37"/>
      <c r="D1589" s="19"/>
      <c r="E1589" s="19"/>
      <c r="G1589" s="16"/>
      <c r="H1589" s="16"/>
      <c r="I1589" s="16"/>
      <c r="J1589" s="19"/>
      <c r="K1589" s="19"/>
      <c r="L1589" s="19"/>
      <c r="M1589" s="19"/>
      <c r="N1589" s="19"/>
      <c r="O1589" s="19"/>
      <c r="P1589" s="19"/>
      <c r="Q1589" s="19"/>
      <c r="R1589" s="19"/>
      <c r="S1589" s="19"/>
      <c r="T1589" s="19"/>
    </row>
    <row r="1590" spans="1:20" ht="13.2" x14ac:dyDescent="0.25">
      <c r="A1590" s="39"/>
      <c r="B1590" s="37"/>
      <c r="D1590" s="19"/>
      <c r="E1590" s="19"/>
      <c r="G1590" s="16"/>
      <c r="H1590" s="16"/>
      <c r="I1590" s="16"/>
      <c r="J1590" s="19"/>
      <c r="K1590" s="19"/>
      <c r="L1590" s="19"/>
      <c r="M1590" s="19"/>
      <c r="N1590" s="19"/>
      <c r="O1590" s="19"/>
      <c r="P1590" s="19"/>
      <c r="Q1590" s="19"/>
      <c r="R1590" s="19"/>
      <c r="S1590" s="19"/>
      <c r="T1590" s="19"/>
    </row>
    <row r="1591" spans="1:20" ht="13.2" x14ac:dyDescent="0.25">
      <c r="A1591" s="39"/>
      <c r="B1591" s="37"/>
      <c r="D1591" s="19"/>
      <c r="E1591" s="19"/>
      <c r="G1591" s="16"/>
      <c r="H1591" s="16"/>
      <c r="I1591" s="16"/>
      <c r="J1591" s="19"/>
      <c r="K1591" s="19"/>
      <c r="L1591" s="19"/>
      <c r="M1591" s="19"/>
      <c r="N1591" s="19"/>
      <c r="O1591" s="19"/>
      <c r="P1591" s="19"/>
      <c r="Q1591" s="19"/>
      <c r="R1591" s="19"/>
      <c r="S1591" s="19"/>
      <c r="T1591" s="19"/>
    </row>
    <row r="1592" spans="1:20" ht="13.2" x14ac:dyDescent="0.25">
      <c r="A1592" s="39"/>
      <c r="B1592" s="37"/>
      <c r="D1592" s="19"/>
      <c r="E1592" s="19"/>
      <c r="G1592" s="16"/>
      <c r="H1592" s="16"/>
      <c r="I1592" s="16"/>
      <c r="J1592" s="19"/>
      <c r="K1592" s="19"/>
      <c r="L1592" s="19"/>
      <c r="M1592" s="19"/>
      <c r="N1592" s="19"/>
      <c r="O1592" s="19"/>
      <c r="P1592" s="19"/>
      <c r="Q1592" s="19"/>
      <c r="R1592" s="19"/>
      <c r="S1592" s="19"/>
      <c r="T1592" s="19"/>
    </row>
    <row r="1593" spans="1:20" ht="13.2" x14ac:dyDescent="0.25">
      <c r="A1593" s="39"/>
      <c r="B1593" s="37"/>
      <c r="D1593" s="19"/>
      <c r="E1593" s="19"/>
      <c r="G1593" s="16"/>
      <c r="H1593" s="16"/>
      <c r="I1593" s="16"/>
      <c r="J1593" s="19"/>
      <c r="K1593" s="19"/>
      <c r="L1593" s="19"/>
      <c r="M1593" s="19"/>
      <c r="N1593" s="19"/>
      <c r="O1593" s="19"/>
      <c r="P1593" s="19"/>
      <c r="Q1593" s="19"/>
      <c r="R1593" s="19"/>
      <c r="S1593" s="19"/>
      <c r="T1593" s="19"/>
    </row>
    <row r="1594" spans="1:20" ht="13.2" x14ac:dyDescent="0.25">
      <c r="A1594" s="39"/>
      <c r="B1594" s="37"/>
      <c r="D1594" s="19"/>
      <c r="E1594" s="19"/>
      <c r="G1594" s="16"/>
      <c r="H1594" s="16"/>
      <c r="I1594" s="16"/>
      <c r="J1594" s="19"/>
      <c r="K1594" s="19"/>
      <c r="L1594" s="19"/>
      <c r="M1594" s="19"/>
      <c r="N1594" s="19"/>
      <c r="O1594" s="19"/>
      <c r="P1594" s="19"/>
      <c r="Q1594" s="19"/>
      <c r="R1594" s="19"/>
      <c r="S1594" s="19"/>
      <c r="T1594" s="19"/>
    </row>
    <row r="1595" spans="1:20" ht="13.2" x14ac:dyDescent="0.25">
      <c r="A1595" s="39"/>
      <c r="B1595" s="37"/>
      <c r="D1595" s="19"/>
      <c r="E1595" s="19"/>
      <c r="G1595" s="16"/>
      <c r="H1595" s="16"/>
      <c r="I1595" s="16"/>
      <c r="J1595" s="19"/>
      <c r="K1595" s="19"/>
      <c r="L1595" s="19"/>
      <c r="M1595" s="19"/>
      <c r="N1595" s="19"/>
      <c r="O1595" s="19"/>
      <c r="P1595" s="19"/>
      <c r="Q1595" s="19"/>
      <c r="R1595" s="19"/>
      <c r="S1595" s="19"/>
      <c r="T1595" s="19"/>
    </row>
    <row r="1596" spans="1:20" ht="13.2" x14ac:dyDescent="0.25">
      <c r="A1596" s="39"/>
      <c r="B1596" s="37"/>
      <c r="D1596" s="19"/>
      <c r="E1596" s="19"/>
      <c r="G1596" s="16"/>
      <c r="H1596" s="16"/>
      <c r="I1596" s="16"/>
      <c r="J1596" s="19"/>
      <c r="K1596" s="19"/>
      <c r="L1596" s="19"/>
      <c r="M1596" s="19"/>
      <c r="N1596" s="19"/>
      <c r="O1596" s="19"/>
      <c r="P1596" s="19"/>
      <c r="Q1596" s="19"/>
      <c r="R1596" s="19"/>
      <c r="S1596" s="19"/>
      <c r="T1596" s="19"/>
    </row>
    <row r="1597" spans="1:20" ht="13.2" x14ac:dyDescent="0.25">
      <c r="A1597" s="39"/>
      <c r="B1597" s="37"/>
      <c r="D1597" s="19"/>
      <c r="E1597" s="19"/>
      <c r="G1597" s="16"/>
      <c r="H1597" s="16"/>
      <c r="I1597" s="16"/>
      <c r="J1597" s="19"/>
      <c r="K1597" s="19"/>
      <c r="L1597" s="19"/>
      <c r="M1597" s="19"/>
      <c r="N1597" s="19"/>
      <c r="O1597" s="19"/>
      <c r="P1597" s="19"/>
      <c r="Q1597" s="19"/>
      <c r="R1597" s="19"/>
      <c r="S1597" s="19"/>
      <c r="T1597" s="19"/>
    </row>
    <row r="1598" spans="1:20" ht="13.2" x14ac:dyDescent="0.25">
      <c r="A1598" s="39"/>
      <c r="B1598" s="37"/>
      <c r="D1598" s="19"/>
      <c r="E1598" s="19"/>
      <c r="G1598" s="16"/>
      <c r="H1598" s="16"/>
      <c r="I1598" s="16"/>
      <c r="J1598" s="19"/>
      <c r="K1598" s="19"/>
      <c r="L1598" s="19"/>
      <c r="M1598" s="19"/>
      <c r="N1598" s="19"/>
      <c r="O1598" s="19"/>
      <c r="P1598" s="19"/>
      <c r="Q1598" s="19"/>
      <c r="R1598" s="19"/>
      <c r="S1598" s="19"/>
      <c r="T1598" s="19"/>
    </row>
    <row r="1599" spans="1:20" ht="13.2" x14ac:dyDescent="0.25">
      <c r="A1599" s="39"/>
      <c r="B1599" s="37"/>
      <c r="D1599" s="19"/>
      <c r="E1599" s="19"/>
      <c r="G1599" s="16"/>
      <c r="H1599" s="16"/>
      <c r="I1599" s="16"/>
      <c r="J1599" s="19"/>
      <c r="K1599" s="19"/>
      <c r="L1599" s="19"/>
      <c r="M1599" s="19"/>
      <c r="N1599" s="19"/>
      <c r="O1599" s="19"/>
      <c r="P1599" s="19"/>
      <c r="Q1599" s="19"/>
      <c r="R1599" s="19"/>
      <c r="S1599" s="19"/>
      <c r="T1599" s="19"/>
    </row>
    <row r="1600" spans="1:20" ht="13.2" x14ac:dyDescent="0.25">
      <c r="A1600" s="39"/>
      <c r="B1600" s="37"/>
      <c r="D1600" s="19"/>
      <c r="E1600" s="19"/>
      <c r="G1600" s="16"/>
      <c r="H1600" s="16"/>
      <c r="I1600" s="16"/>
      <c r="J1600" s="19"/>
      <c r="K1600" s="19"/>
      <c r="L1600" s="19"/>
      <c r="M1600" s="19"/>
      <c r="N1600" s="19"/>
      <c r="O1600" s="19"/>
      <c r="P1600" s="19"/>
      <c r="Q1600" s="19"/>
      <c r="R1600" s="19"/>
      <c r="S1600" s="19"/>
      <c r="T1600" s="19"/>
    </row>
    <row r="1601" spans="1:20" ht="13.2" x14ac:dyDescent="0.25">
      <c r="A1601" s="39"/>
      <c r="B1601" s="37"/>
      <c r="D1601" s="19"/>
      <c r="E1601" s="19"/>
      <c r="G1601" s="16"/>
      <c r="H1601" s="16"/>
      <c r="I1601" s="16"/>
      <c r="J1601" s="19"/>
      <c r="K1601" s="19"/>
      <c r="L1601" s="19"/>
      <c r="M1601" s="19"/>
      <c r="N1601" s="19"/>
      <c r="O1601" s="19"/>
      <c r="P1601" s="19"/>
      <c r="Q1601" s="19"/>
      <c r="R1601" s="19"/>
      <c r="S1601" s="19"/>
      <c r="T1601" s="19"/>
    </row>
    <row r="1602" spans="1:20" ht="13.2" x14ac:dyDescent="0.25">
      <c r="A1602" s="39"/>
      <c r="B1602" s="37"/>
      <c r="D1602" s="19"/>
      <c r="E1602" s="19"/>
      <c r="G1602" s="16"/>
      <c r="H1602" s="16"/>
      <c r="I1602" s="16"/>
      <c r="J1602" s="19"/>
      <c r="K1602" s="19"/>
      <c r="L1602" s="19"/>
      <c r="M1602" s="19"/>
      <c r="N1602" s="19"/>
      <c r="O1602" s="19"/>
      <c r="P1602" s="19"/>
      <c r="Q1602" s="19"/>
      <c r="R1602" s="19"/>
      <c r="S1602" s="19"/>
      <c r="T1602" s="19"/>
    </row>
    <row r="1603" spans="1:20" ht="13.2" x14ac:dyDescent="0.25">
      <c r="A1603" s="39"/>
      <c r="B1603" s="37"/>
      <c r="D1603" s="19"/>
      <c r="E1603" s="19"/>
      <c r="G1603" s="16"/>
      <c r="H1603" s="16"/>
      <c r="I1603" s="16"/>
      <c r="J1603" s="19"/>
      <c r="K1603" s="19"/>
      <c r="L1603" s="19"/>
      <c r="M1603" s="19"/>
      <c r="N1603" s="19"/>
      <c r="O1603" s="19"/>
      <c r="P1603" s="19"/>
      <c r="Q1603" s="19"/>
      <c r="R1603" s="19"/>
      <c r="S1603" s="19"/>
      <c r="T1603" s="19"/>
    </row>
    <row r="1604" spans="1:20" ht="13.2" x14ac:dyDescent="0.25">
      <c r="A1604" s="39"/>
      <c r="B1604" s="37"/>
      <c r="D1604" s="19"/>
      <c r="E1604" s="19"/>
      <c r="G1604" s="16"/>
      <c r="H1604" s="16"/>
      <c r="I1604" s="16"/>
      <c r="J1604" s="19"/>
      <c r="K1604" s="19"/>
      <c r="L1604" s="19"/>
      <c r="M1604" s="19"/>
      <c r="N1604" s="19"/>
      <c r="O1604" s="19"/>
      <c r="P1604" s="19"/>
      <c r="Q1604" s="19"/>
      <c r="R1604" s="19"/>
      <c r="S1604" s="19"/>
      <c r="T1604" s="19"/>
    </row>
    <row r="1605" spans="1:20" ht="13.2" x14ac:dyDescent="0.25">
      <c r="A1605" s="39"/>
      <c r="B1605" s="37"/>
      <c r="D1605" s="19"/>
      <c r="E1605" s="19"/>
      <c r="G1605" s="16"/>
      <c r="H1605" s="16"/>
      <c r="I1605" s="16"/>
      <c r="J1605" s="19"/>
      <c r="K1605" s="19"/>
      <c r="L1605" s="19"/>
      <c r="M1605" s="19"/>
      <c r="N1605" s="19"/>
      <c r="O1605" s="19"/>
      <c r="P1605" s="19"/>
      <c r="Q1605" s="19"/>
      <c r="R1605" s="19"/>
      <c r="S1605" s="19"/>
      <c r="T1605" s="19"/>
    </row>
    <row r="1606" spans="1:20" ht="13.2" x14ac:dyDescent="0.25">
      <c r="A1606" s="39"/>
      <c r="B1606" s="37"/>
      <c r="D1606" s="19"/>
      <c r="E1606" s="19"/>
      <c r="G1606" s="16"/>
      <c r="H1606" s="16"/>
      <c r="I1606" s="16"/>
      <c r="J1606" s="19"/>
      <c r="K1606" s="19"/>
      <c r="L1606" s="19"/>
      <c r="M1606" s="19"/>
      <c r="N1606" s="19"/>
      <c r="O1606" s="19"/>
      <c r="P1606" s="19"/>
      <c r="Q1606" s="19"/>
      <c r="R1606" s="19"/>
      <c r="S1606" s="19"/>
      <c r="T1606" s="19"/>
    </row>
    <row r="1607" spans="1:20" ht="13.2" x14ac:dyDescent="0.25">
      <c r="A1607" s="39"/>
      <c r="B1607" s="37"/>
      <c r="D1607" s="19"/>
      <c r="E1607" s="19"/>
      <c r="G1607" s="16"/>
      <c r="H1607" s="16"/>
      <c r="I1607" s="16"/>
      <c r="J1607" s="19"/>
      <c r="K1607" s="19"/>
      <c r="L1607" s="19"/>
      <c r="M1607" s="19"/>
      <c r="N1607" s="19"/>
      <c r="O1607" s="19"/>
      <c r="P1607" s="19"/>
      <c r="Q1607" s="19"/>
      <c r="R1607" s="19"/>
      <c r="S1607" s="19"/>
      <c r="T1607" s="19"/>
    </row>
    <row r="1608" spans="1:20" ht="13.2" x14ac:dyDescent="0.25">
      <c r="A1608" s="39"/>
      <c r="B1608" s="37"/>
      <c r="D1608" s="19"/>
      <c r="E1608" s="19"/>
      <c r="G1608" s="16"/>
      <c r="H1608" s="16"/>
      <c r="I1608" s="16"/>
      <c r="J1608" s="19"/>
      <c r="K1608" s="19"/>
      <c r="L1608" s="19"/>
      <c r="M1608" s="19"/>
      <c r="N1608" s="19"/>
      <c r="O1608" s="19"/>
      <c r="P1608" s="19"/>
      <c r="Q1608" s="19"/>
      <c r="R1608" s="19"/>
      <c r="S1608" s="19"/>
      <c r="T1608" s="19"/>
    </row>
    <row r="1609" spans="1:20" ht="13.2" x14ac:dyDescent="0.25">
      <c r="A1609" s="39"/>
      <c r="B1609" s="37"/>
      <c r="D1609" s="19"/>
      <c r="E1609" s="19"/>
      <c r="G1609" s="16"/>
      <c r="H1609" s="16"/>
      <c r="I1609" s="16"/>
      <c r="J1609" s="19"/>
      <c r="K1609" s="19"/>
      <c r="L1609" s="19"/>
      <c r="M1609" s="19"/>
      <c r="N1609" s="19"/>
      <c r="O1609" s="19"/>
      <c r="P1609" s="19"/>
      <c r="Q1609" s="19"/>
      <c r="R1609" s="19"/>
      <c r="S1609" s="19"/>
      <c r="T1609" s="19"/>
    </row>
    <row r="1610" spans="1:20" ht="13.2" x14ac:dyDescent="0.25">
      <c r="A1610" s="39"/>
      <c r="B1610" s="37"/>
      <c r="D1610" s="19"/>
      <c r="E1610" s="19"/>
      <c r="G1610" s="16"/>
      <c r="H1610" s="16"/>
      <c r="I1610" s="16"/>
      <c r="J1610" s="19"/>
      <c r="K1610" s="19"/>
      <c r="L1610" s="19"/>
      <c r="M1610" s="19"/>
      <c r="N1610" s="19"/>
      <c r="O1610" s="19"/>
      <c r="P1610" s="19"/>
      <c r="Q1610" s="19"/>
      <c r="R1610" s="19"/>
      <c r="S1610" s="19"/>
      <c r="T1610" s="19"/>
    </row>
    <row r="1611" spans="1:20" ht="13.2" x14ac:dyDescent="0.25">
      <c r="A1611" s="39"/>
      <c r="B1611" s="37"/>
      <c r="D1611" s="19"/>
      <c r="E1611" s="19"/>
      <c r="G1611" s="16"/>
      <c r="H1611" s="16"/>
      <c r="I1611" s="16"/>
      <c r="J1611" s="19"/>
      <c r="K1611" s="19"/>
      <c r="L1611" s="19"/>
      <c r="M1611" s="19"/>
      <c r="N1611" s="19"/>
      <c r="O1611" s="19"/>
      <c r="P1611" s="19"/>
      <c r="Q1611" s="19"/>
      <c r="R1611" s="19"/>
      <c r="S1611" s="19"/>
      <c r="T1611" s="19"/>
    </row>
    <row r="1612" spans="1:20" ht="13.2" x14ac:dyDescent="0.25">
      <c r="A1612" s="39"/>
      <c r="B1612" s="37"/>
      <c r="D1612" s="19"/>
      <c r="E1612" s="19"/>
      <c r="G1612" s="16"/>
      <c r="H1612" s="16"/>
      <c r="I1612" s="16"/>
      <c r="J1612" s="19"/>
      <c r="K1612" s="19"/>
      <c r="L1612" s="19"/>
      <c r="M1612" s="19"/>
      <c r="N1612" s="19"/>
      <c r="O1612" s="19"/>
      <c r="P1612" s="19"/>
      <c r="Q1612" s="19"/>
      <c r="R1612" s="19"/>
      <c r="S1612" s="19"/>
      <c r="T1612" s="19"/>
    </row>
    <row r="1613" spans="1:20" ht="13.2" x14ac:dyDescent="0.25">
      <c r="A1613" s="39"/>
      <c r="B1613" s="37"/>
      <c r="D1613" s="19"/>
      <c r="E1613" s="19"/>
      <c r="G1613" s="16"/>
      <c r="H1613" s="16"/>
      <c r="I1613" s="16"/>
      <c r="J1613" s="19"/>
      <c r="K1613" s="19"/>
      <c r="L1613" s="19"/>
      <c r="M1613" s="19"/>
      <c r="N1613" s="19"/>
      <c r="O1613" s="19"/>
      <c r="P1613" s="19"/>
      <c r="Q1613" s="19"/>
      <c r="R1613" s="19"/>
      <c r="S1613" s="19"/>
      <c r="T1613" s="19"/>
    </row>
    <row r="1614" spans="1:20" ht="13.2" x14ac:dyDescent="0.25">
      <c r="A1614" s="39"/>
      <c r="B1614" s="37"/>
      <c r="D1614" s="19"/>
      <c r="E1614" s="19"/>
      <c r="G1614" s="16"/>
      <c r="H1614" s="16"/>
      <c r="I1614" s="16"/>
      <c r="J1614" s="19"/>
      <c r="K1614" s="19"/>
      <c r="L1614" s="19"/>
      <c r="M1614" s="19"/>
      <c r="N1614" s="19"/>
      <c r="O1614" s="19"/>
      <c r="P1614" s="19"/>
      <c r="Q1614" s="19"/>
      <c r="R1614" s="19"/>
      <c r="S1614" s="19"/>
      <c r="T1614" s="19"/>
    </row>
    <row r="1615" spans="1:20" ht="13.2" x14ac:dyDescent="0.25">
      <c r="A1615" s="39"/>
      <c r="B1615" s="37"/>
      <c r="D1615" s="19"/>
      <c r="E1615" s="19"/>
      <c r="G1615" s="16"/>
      <c r="H1615" s="16"/>
      <c r="I1615" s="16"/>
      <c r="J1615" s="19"/>
      <c r="K1615" s="19"/>
      <c r="L1615" s="19"/>
      <c r="M1615" s="19"/>
      <c r="N1615" s="19"/>
      <c r="O1615" s="19"/>
      <c r="P1615" s="19"/>
      <c r="Q1615" s="19"/>
      <c r="R1615" s="19"/>
      <c r="S1615" s="19"/>
      <c r="T1615" s="19"/>
    </row>
    <row r="1616" spans="1:20" ht="13.2" x14ac:dyDescent="0.25">
      <c r="A1616" s="39"/>
      <c r="B1616" s="37"/>
      <c r="D1616" s="19"/>
      <c r="E1616" s="19"/>
      <c r="G1616" s="16"/>
      <c r="H1616" s="16"/>
      <c r="I1616" s="16"/>
      <c r="J1616" s="19"/>
      <c r="K1616" s="19"/>
      <c r="L1616" s="19"/>
      <c r="M1616" s="19"/>
      <c r="N1616" s="19"/>
      <c r="O1616" s="19"/>
      <c r="P1616" s="19"/>
      <c r="Q1616" s="19"/>
      <c r="R1616" s="19"/>
      <c r="S1616" s="19"/>
      <c r="T1616" s="19"/>
    </row>
    <row r="1617" spans="1:20" ht="13.2" x14ac:dyDescent="0.25">
      <c r="A1617" s="39"/>
      <c r="B1617" s="37"/>
      <c r="D1617" s="19"/>
      <c r="E1617" s="19"/>
      <c r="G1617" s="16"/>
      <c r="H1617" s="16"/>
      <c r="I1617" s="16"/>
      <c r="J1617" s="19"/>
      <c r="K1617" s="19"/>
      <c r="L1617" s="19"/>
      <c r="M1617" s="19"/>
      <c r="N1617" s="19"/>
      <c r="O1617" s="19"/>
      <c r="P1617" s="19"/>
      <c r="Q1617" s="19"/>
      <c r="R1617" s="19"/>
      <c r="S1617" s="19"/>
      <c r="T1617" s="19"/>
    </row>
    <row r="1618" spans="1:20" ht="13.2" x14ac:dyDescent="0.25">
      <c r="A1618" s="39"/>
      <c r="B1618" s="37"/>
      <c r="D1618" s="19"/>
      <c r="E1618" s="19"/>
      <c r="G1618" s="16"/>
      <c r="H1618" s="16"/>
      <c r="I1618" s="16"/>
      <c r="J1618" s="19"/>
      <c r="K1618" s="19"/>
      <c r="L1618" s="19"/>
      <c r="M1618" s="19"/>
      <c r="N1618" s="19"/>
      <c r="O1618" s="19"/>
      <c r="P1618" s="19"/>
      <c r="Q1618" s="19"/>
      <c r="R1618" s="19"/>
      <c r="S1618" s="19"/>
      <c r="T1618" s="19"/>
    </row>
    <row r="1619" spans="1:20" ht="13.2" x14ac:dyDescent="0.25">
      <c r="A1619" s="39"/>
      <c r="B1619" s="37"/>
      <c r="D1619" s="19"/>
      <c r="E1619" s="19"/>
      <c r="G1619" s="16"/>
      <c r="H1619" s="16"/>
      <c r="I1619" s="16"/>
      <c r="J1619" s="19"/>
      <c r="K1619" s="19"/>
      <c r="L1619" s="19"/>
      <c r="M1619" s="19"/>
      <c r="N1619" s="19"/>
      <c r="O1619" s="19"/>
      <c r="P1619" s="19"/>
      <c r="Q1619" s="19"/>
      <c r="R1619" s="19"/>
      <c r="S1619" s="19"/>
      <c r="T1619" s="19"/>
    </row>
    <row r="1620" spans="1:20" ht="13.2" x14ac:dyDescent="0.25">
      <c r="A1620" s="39"/>
      <c r="B1620" s="37"/>
      <c r="D1620" s="19"/>
      <c r="E1620" s="19"/>
      <c r="G1620" s="16"/>
      <c r="H1620" s="16"/>
      <c r="I1620" s="16"/>
      <c r="J1620" s="19"/>
      <c r="K1620" s="19"/>
      <c r="L1620" s="19"/>
      <c r="M1620" s="19"/>
      <c r="N1620" s="19"/>
      <c r="O1620" s="19"/>
      <c r="P1620" s="19"/>
      <c r="Q1620" s="19"/>
      <c r="R1620" s="19"/>
      <c r="S1620" s="19"/>
      <c r="T1620" s="19"/>
    </row>
    <row r="1621" spans="1:20" ht="13.2" x14ac:dyDescent="0.25">
      <c r="A1621" s="39"/>
      <c r="B1621" s="37"/>
      <c r="D1621" s="19"/>
      <c r="E1621" s="19"/>
      <c r="G1621" s="16"/>
      <c r="H1621" s="16"/>
      <c r="I1621" s="16"/>
      <c r="J1621" s="19"/>
      <c r="K1621" s="19"/>
      <c r="L1621" s="19"/>
      <c r="M1621" s="19"/>
      <c r="N1621" s="19"/>
      <c r="O1621" s="19"/>
      <c r="P1621" s="19"/>
      <c r="Q1621" s="19"/>
      <c r="R1621" s="19"/>
      <c r="S1621" s="19"/>
      <c r="T1621" s="19"/>
    </row>
    <row r="1622" spans="1:20" ht="13.2" x14ac:dyDescent="0.25">
      <c r="A1622" s="39"/>
      <c r="B1622" s="37"/>
      <c r="D1622" s="19"/>
      <c r="E1622" s="19"/>
      <c r="G1622" s="16"/>
      <c r="H1622" s="16"/>
      <c r="I1622" s="16"/>
      <c r="J1622" s="19"/>
      <c r="K1622" s="19"/>
      <c r="L1622" s="19"/>
      <c r="M1622" s="19"/>
      <c r="N1622" s="19"/>
      <c r="O1622" s="19"/>
      <c r="P1622" s="19"/>
      <c r="Q1622" s="19"/>
      <c r="R1622" s="19"/>
      <c r="S1622" s="19"/>
      <c r="T1622" s="19"/>
    </row>
    <row r="1623" spans="1:20" ht="13.2" x14ac:dyDescent="0.25">
      <c r="A1623" s="39"/>
      <c r="B1623" s="37"/>
      <c r="D1623" s="19"/>
      <c r="E1623" s="19"/>
      <c r="G1623" s="16"/>
      <c r="H1623" s="16"/>
      <c r="I1623" s="16"/>
      <c r="J1623" s="19"/>
      <c r="K1623" s="19"/>
      <c r="L1623" s="19"/>
      <c r="M1623" s="19"/>
      <c r="N1623" s="19"/>
      <c r="O1623" s="19"/>
      <c r="P1623" s="19"/>
      <c r="Q1623" s="19"/>
      <c r="R1623" s="19"/>
      <c r="S1623" s="19"/>
      <c r="T1623" s="19"/>
    </row>
    <row r="1624" spans="1:20" ht="13.2" x14ac:dyDescent="0.25">
      <c r="A1624" s="39"/>
      <c r="B1624" s="37"/>
      <c r="D1624" s="19"/>
      <c r="E1624" s="19"/>
      <c r="G1624" s="16"/>
      <c r="H1624" s="16"/>
      <c r="I1624" s="16"/>
      <c r="J1624" s="19"/>
      <c r="K1624" s="19"/>
      <c r="L1624" s="19"/>
      <c r="M1624" s="19"/>
      <c r="N1624" s="19"/>
      <c r="O1624" s="19"/>
      <c r="P1624" s="19"/>
      <c r="Q1624" s="19"/>
      <c r="R1624" s="19"/>
      <c r="S1624" s="19"/>
      <c r="T1624" s="19"/>
    </row>
    <row r="1625" spans="1:20" ht="13.2" x14ac:dyDescent="0.25">
      <c r="A1625" s="39"/>
      <c r="B1625" s="37"/>
      <c r="D1625" s="19"/>
      <c r="E1625" s="19"/>
      <c r="G1625" s="16"/>
      <c r="H1625" s="16"/>
      <c r="I1625" s="16"/>
      <c r="J1625" s="19"/>
      <c r="K1625" s="19"/>
      <c r="L1625" s="19"/>
      <c r="M1625" s="19"/>
      <c r="N1625" s="19"/>
      <c r="O1625" s="19"/>
      <c r="P1625" s="19"/>
      <c r="Q1625" s="19"/>
      <c r="R1625" s="19"/>
      <c r="S1625" s="19"/>
      <c r="T1625" s="19"/>
    </row>
    <row r="1626" spans="1:20" ht="13.2" x14ac:dyDescent="0.25">
      <c r="A1626" s="39"/>
      <c r="B1626" s="37"/>
      <c r="D1626" s="19"/>
      <c r="E1626" s="19"/>
      <c r="G1626" s="16"/>
      <c r="H1626" s="16"/>
      <c r="I1626" s="16"/>
      <c r="J1626" s="19"/>
      <c r="K1626" s="19"/>
      <c r="L1626" s="19"/>
      <c r="M1626" s="19"/>
      <c r="N1626" s="19"/>
      <c r="O1626" s="19"/>
      <c r="P1626" s="19"/>
      <c r="Q1626" s="19"/>
      <c r="R1626" s="19"/>
      <c r="S1626" s="19"/>
      <c r="T1626" s="19"/>
    </row>
    <row r="1627" spans="1:20" ht="13.2" x14ac:dyDescent="0.25">
      <c r="A1627" s="39"/>
      <c r="B1627" s="37"/>
      <c r="D1627" s="19"/>
      <c r="E1627" s="19"/>
      <c r="G1627" s="16"/>
      <c r="H1627" s="16"/>
      <c r="I1627" s="16"/>
      <c r="J1627" s="19"/>
      <c r="K1627" s="19"/>
      <c r="L1627" s="19"/>
      <c r="M1627" s="19"/>
      <c r="N1627" s="19"/>
      <c r="O1627" s="19"/>
      <c r="P1627" s="19"/>
      <c r="Q1627" s="19"/>
      <c r="R1627" s="19"/>
      <c r="S1627" s="19"/>
      <c r="T1627" s="19"/>
    </row>
    <row r="1628" spans="1:20" ht="13.2" x14ac:dyDescent="0.25">
      <c r="A1628" s="39"/>
      <c r="B1628" s="37"/>
      <c r="D1628" s="19"/>
      <c r="E1628" s="19"/>
      <c r="G1628" s="16"/>
      <c r="H1628" s="16"/>
      <c r="I1628" s="16"/>
      <c r="J1628" s="19"/>
      <c r="K1628" s="19"/>
      <c r="L1628" s="19"/>
      <c r="M1628" s="19"/>
      <c r="N1628" s="19"/>
      <c r="O1628" s="19"/>
      <c r="P1628" s="19"/>
      <c r="Q1628" s="19"/>
      <c r="R1628" s="19"/>
      <c r="S1628" s="19"/>
      <c r="T1628" s="19"/>
    </row>
    <row r="1629" spans="1:20" ht="13.2" x14ac:dyDescent="0.25">
      <c r="A1629" s="39"/>
      <c r="B1629" s="37"/>
      <c r="D1629" s="19"/>
      <c r="E1629" s="19"/>
      <c r="G1629" s="16"/>
      <c r="H1629" s="16"/>
      <c r="I1629" s="16"/>
      <c r="J1629" s="19"/>
      <c r="K1629" s="19"/>
      <c r="L1629" s="19"/>
      <c r="M1629" s="19"/>
      <c r="N1629" s="19"/>
      <c r="O1629" s="19"/>
      <c r="P1629" s="19"/>
      <c r="Q1629" s="19"/>
      <c r="R1629" s="19"/>
      <c r="S1629" s="19"/>
      <c r="T1629" s="19"/>
    </row>
    <row r="1630" spans="1:20" ht="13.2" x14ac:dyDescent="0.25">
      <c r="A1630" s="39"/>
      <c r="B1630" s="37"/>
      <c r="D1630" s="19"/>
      <c r="E1630" s="19"/>
      <c r="G1630" s="16"/>
      <c r="H1630" s="16"/>
      <c r="I1630" s="16"/>
      <c r="J1630" s="19"/>
      <c r="K1630" s="19"/>
      <c r="L1630" s="19"/>
      <c r="M1630" s="19"/>
      <c r="N1630" s="19"/>
      <c r="O1630" s="19"/>
      <c r="P1630" s="19"/>
      <c r="Q1630" s="19"/>
      <c r="R1630" s="19"/>
      <c r="S1630" s="19"/>
      <c r="T1630" s="19"/>
    </row>
    <row r="1631" spans="1:20" ht="13.2" x14ac:dyDescent="0.25">
      <c r="A1631" s="39"/>
      <c r="B1631" s="37"/>
      <c r="D1631" s="19"/>
      <c r="E1631" s="19"/>
      <c r="G1631" s="16"/>
      <c r="H1631" s="16"/>
      <c r="I1631" s="16"/>
      <c r="J1631" s="19"/>
      <c r="K1631" s="19"/>
      <c r="L1631" s="19"/>
      <c r="M1631" s="19"/>
      <c r="N1631" s="19"/>
      <c r="O1631" s="19"/>
      <c r="P1631" s="19"/>
      <c r="Q1631" s="19"/>
      <c r="R1631" s="19"/>
      <c r="S1631" s="19"/>
      <c r="T1631" s="19"/>
    </row>
    <row r="1632" spans="1:20" ht="13.2" x14ac:dyDescent="0.25">
      <c r="A1632" s="39"/>
      <c r="B1632" s="37"/>
      <c r="D1632" s="19"/>
      <c r="E1632" s="19"/>
      <c r="G1632" s="16"/>
      <c r="H1632" s="16"/>
      <c r="I1632" s="16"/>
      <c r="J1632" s="19"/>
      <c r="K1632" s="19"/>
      <c r="L1632" s="19"/>
      <c r="M1632" s="19"/>
      <c r="N1632" s="19"/>
      <c r="O1632" s="19"/>
      <c r="P1632" s="19"/>
      <c r="Q1632" s="19"/>
      <c r="R1632" s="19"/>
      <c r="S1632" s="19"/>
      <c r="T1632" s="19"/>
    </row>
    <row r="1633" spans="1:20" ht="13.2" x14ac:dyDescent="0.25">
      <c r="A1633" s="39"/>
      <c r="B1633" s="37"/>
      <c r="D1633" s="19"/>
      <c r="E1633" s="19"/>
      <c r="G1633" s="16"/>
      <c r="H1633" s="16"/>
      <c r="I1633" s="16"/>
      <c r="J1633" s="19"/>
      <c r="K1633" s="19"/>
      <c r="L1633" s="19"/>
      <c r="M1633" s="19"/>
      <c r="N1633" s="19"/>
      <c r="O1633" s="19"/>
      <c r="P1633" s="19"/>
      <c r="Q1633" s="19"/>
      <c r="R1633" s="19"/>
      <c r="S1633" s="19"/>
      <c r="T1633" s="19"/>
    </row>
    <row r="1634" spans="1:20" ht="13.2" x14ac:dyDescent="0.25">
      <c r="A1634" s="39"/>
      <c r="B1634" s="37"/>
      <c r="D1634" s="19"/>
      <c r="E1634" s="19"/>
      <c r="G1634" s="16"/>
      <c r="H1634" s="16"/>
      <c r="I1634" s="16"/>
      <c r="J1634" s="19"/>
      <c r="K1634" s="19"/>
      <c r="L1634" s="19"/>
      <c r="M1634" s="19"/>
      <c r="N1634" s="19"/>
      <c r="O1634" s="19"/>
      <c r="P1634" s="19"/>
      <c r="Q1634" s="19"/>
      <c r="R1634" s="19"/>
      <c r="S1634" s="19"/>
      <c r="T1634" s="19"/>
    </row>
    <row r="1635" spans="1:20" ht="13.2" x14ac:dyDescent="0.25">
      <c r="A1635" s="39"/>
      <c r="B1635" s="37"/>
      <c r="D1635" s="19"/>
      <c r="E1635" s="19"/>
      <c r="G1635" s="16"/>
      <c r="H1635" s="16"/>
      <c r="I1635" s="16"/>
      <c r="J1635" s="19"/>
      <c r="K1635" s="19"/>
      <c r="L1635" s="19"/>
      <c r="M1635" s="19"/>
      <c r="N1635" s="19"/>
      <c r="O1635" s="19"/>
      <c r="P1635" s="19"/>
      <c r="Q1635" s="19"/>
      <c r="R1635" s="19"/>
      <c r="S1635" s="19"/>
      <c r="T1635" s="19"/>
    </row>
    <row r="1636" spans="1:20" ht="13.2" x14ac:dyDescent="0.25">
      <c r="A1636" s="39"/>
      <c r="B1636" s="37"/>
      <c r="D1636" s="19"/>
      <c r="E1636" s="19"/>
      <c r="G1636" s="16"/>
      <c r="H1636" s="16"/>
      <c r="I1636" s="16"/>
      <c r="J1636" s="19"/>
      <c r="K1636" s="19"/>
      <c r="L1636" s="19"/>
      <c r="M1636" s="19"/>
      <c r="N1636" s="19"/>
      <c r="O1636" s="19"/>
      <c r="P1636" s="19"/>
      <c r="Q1636" s="19"/>
      <c r="R1636" s="19"/>
      <c r="S1636" s="19"/>
      <c r="T1636" s="19"/>
    </row>
    <row r="1637" spans="1:20" ht="13.2" x14ac:dyDescent="0.25">
      <c r="A1637" s="39"/>
      <c r="B1637" s="37"/>
      <c r="D1637" s="19"/>
      <c r="E1637" s="19"/>
      <c r="G1637" s="16"/>
      <c r="H1637" s="16"/>
      <c r="I1637" s="16"/>
      <c r="J1637" s="19"/>
      <c r="K1637" s="19"/>
      <c r="L1637" s="19"/>
      <c r="M1637" s="19"/>
      <c r="N1637" s="19"/>
      <c r="O1637" s="19"/>
      <c r="P1637" s="19"/>
      <c r="Q1637" s="19"/>
      <c r="R1637" s="19"/>
      <c r="S1637" s="19"/>
      <c r="T1637" s="19"/>
    </row>
    <row r="1638" spans="1:20" ht="13.2" x14ac:dyDescent="0.25">
      <c r="A1638" s="39"/>
      <c r="B1638" s="37"/>
      <c r="D1638" s="19"/>
      <c r="E1638" s="19"/>
      <c r="G1638" s="16"/>
      <c r="H1638" s="16"/>
      <c r="I1638" s="16"/>
      <c r="J1638" s="19"/>
      <c r="K1638" s="19"/>
      <c r="L1638" s="19"/>
      <c r="M1638" s="19"/>
      <c r="N1638" s="19"/>
      <c r="O1638" s="19"/>
      <c r="P1638" s="19"/>
      <c r="Q1638" s="19"/>
      <c r="R1638" s="19"/>
      <c r="S1638" s="19"/>
      <c r="T1638" s="19"/>
    </row>
    <row r="1639" spans="1:20" ht="13.2" x14ac:dyDescent="0.25">
      <c r="A1639" s="39"/>
      <c r="B1639" s="37"/>
      <c r="D1639" s="19"/>
      <c r="E1639" s="19"/>
      <c r="G1639" s="16"/>
      <c r="H1639" s="16"/>
      <c r="I1639" s="16"/>
      <c r="J1639" s="19"/>
      <c r="K1639" s="19"/>
      <c r="L1639" s="19"/>
      <c r="M1639" s="19"/>
      <c r="N1639" s="19"/>
      <c r="O1639" s="19"/>
      <c r="P1639" s="19"/>
      <c r="Q1639" s="19"/>
      <c r="R1639" s="19"/>
      <c r="S1639" s="19"/>
      <c r="T1639" s="19"/>
    </row>
    <row r="1640" spans="1:20" ht="13.2" x14ac:dyDescent="0.25">
      <c r="A1640" s="39"/>
      <c r="B1640" s="37"/>
      <c r="D1640" s="19"/>
      <c r="E1640" s="19"/>
      <c r="G1640" s="16"/>
      <c r="H1640" s="16"/>
      <c r="I1640" s="16"/>
      <c r="J1640" s="19"/>
      <c r="K1640" s="19"/>
      <c r="L1640" s="19"/>
      <c r="M1640" s="19"/>
      <c r="N1640" s="19"/>
      <c r="O1640" s="19"/>
      <c r="P1640" s="19"/>
      <c r="Q1640" s="19"/>
      <c r="R1640" s="19"/>
      <c r="S1640" s="19"/>
      <c r="T1640" s="19"/>
    </row>
    <row r="1641" spans="1:20" ht="13.2" x14ac:dyDescent="0.25">
      <c r="A1641" s="39"/>
      <c r="B1641" s="37"/>
      <c r="D1641" s="19"/>
      <c r="E1641" s="19"/>
      <c r="G1641" s="16"/>
      <c r="H1641" s="16"/>
      <c r="I1641" s="16"/>
      <c r="J1641" s="19"/>
      <c r="K1641" s="19"/>
      <c r="L1641" s="19"/>
      <c r="M1641" s="19"/>
      <c r="N1641" s="19"/>
      <c r="O1641" s="19"/>
      <c r="P1641" s="19"/>
      <c r="Q1641" s="19"/>
      <c r="R1641" s="19"/>
      <c r="S1641" s="19"/>
      <c r="T1641" s="19"/>
    </row>
    <row r="1642" spans="1:20" ht="13.2" x14ac:dyDescent="0.25">
      <c r="A1642" s="39"/>
      <c r="B1642" s="37"/>
      <c r="D1642" s="19"/>
      <c r="E1642" s="19"/>
      <c r="G1642" s="16"/>
      <c r="H1642" s="16"/>
      <c r="I1642" s="16"/>
      <c r="J1642" s="19"/>
      <c r="K1642" s="19"/>
      <c r="L1642" s="19"/>
      <c r="M1642" s="19"/>
      <c r="N1642" s="19"/>
      <c r="O1642" s="19"/>
      <c r="P1642" s="19"/>
      <c r="Q1642" s="19"/>
      <c r="R1642" s="19"/>
      <c r="S1642" s="19"/>
      <c r="T1642" s="19"/>
    </row>
    <row r="1643" spans="1:20" ht="13.2" x14ac:dyDescent="0.25">
      <c r="A1643" s="39"/>
      <c r="B1643" s="37"/>
      <c r="D1643" s="19"/>
      <c r="E1643" s="19"/>
      <c r="G1643" s="16"/>
      <c r="H1643" s="16"/>
      <c r="I1643" s="16"/>
      <c r="J1643" s="19"/>
      <c r="K1643" s="19"/>
      <c r="L1643" s="19"/>
      <c r="M1643" s="19"/>
      <c r="N1643" s="19"/>
      <c r="O1643" s="19"/>
      <c r="P1643" s="19"/>
      <c r="Q1643" s="19"/>
      <c r="R1643" s="19"/>
      <c r="S1643" s="19"/>
      <c r="T1643" s="19"/>
    </row>
    <row r="1644" spans="1:20" ht="13.2" x14ac:dyDescent="0.25">
      <c r="A1644" s="39"/>
      <c r="B1644" s="37"/>
      <c r="D1644" s="19"/>
      <c r="E1644" s="19"/>
      <c r="G1644" s="16"/>
      <c r="H1644" s="16"/>
      <c r="I1644" s="16"/>
      <c r="J1644" s="19"/>
      <c r="K1644" s="19"/>
      <c r="L1644" s="19"/>
      <c r="M1644" s="19"/>
      <c r="N1644" s="19"/>
      <c r="O1644" s="19"/>
      <c r="P1644" s="19"/>
      <c r="Q1644" s="19"/>
      <c r="R1644" s="19"/>
      <c r="S1644" s="19"/>
      <c r="T1644" s="19"/>
    </row>
    <row r="1645" spans="1:20" ht="13.2" x14ac:dyDescent="0.25">
      <c r="A1645" s="39"/>
      <c r="B1645" s="37"/>
      <c r="D1645" s="19"/>
      <c r="E1645" s="19"/>
      <c r="G1645" s="16"/>
      <c r="H1645" s="16"/>
      <c r="I1645" s="16"/>
      <c r="J1645" s="19"/>
      <c r="K1645" s="19"/>
      <c r="L1645" s="19"/>
      <c r="M1645" s="19"/>
      <c r="N1645" s="19"/>
      <c r="O1645" s="19"/>
      <c r="P1645" s="19"/>
      <c r="Q1645" s="19"/>
      <c r="R1645" s="19"/>
      <c r="S1645" s="19"/>
      <c r="T1645" s="19"/>
    </row>
    <row r="1646" spans="1:20" ht="13.2" x14ac:dyDescent="0.25">
      <c r="A1646" s="39"/>
      <c r="B1646" s="37"/>
      <c r="D1646" s="19"/>
      <c r="E1646" s="19"/>
      <c r="G1646" s="16"/>
      <c r="H1646" s="16"/>
      <c r="I1646" s="16"/>
      <c r="J1646" s="19"/>
      <c r="K1646" s="19"/>
      <c r="L1646" s="19"/>
      <c r="M1646" s="19"/>
      <c r="N1646" s="19"/>
      <c r="O1646" s="19"/>
      <c r="P1646" s="19"/>
      <c r="Q1646" s="19"/>
      <c r="R1646" s="19"/>
      <c r="S1646" s="19"/>
      <c r="T1646" s="19"/>
    </row>
    <row r="1647" spans="1:20" ht="13.2" x14ac:dyDescent="0.25">
      <c r="A1647" s="39"/>
      <c r="B1647" s="37"/>
      <c r="D1647" s="19"/>
      <c r="E1647" s="19"/>
      <c r="G1647" s="16"/>
      <c r="H1647" s="16"/>
      <c r="I1647" s="16"/>
      <c r="J1647" s="19"/>
      <c r="K1647" s="19"/>
      <c r="L1647" s="19"/>
      <c r="M1647" s="19"/>
      <c r="N1647" s="19"/>
      <c r="O1647" s="19"/>
      <c r="P1647" s="19"/>
      <c r="Q1647" s="19"/>
      <c r="R1647" s="19"/>
      <c r="S1647" s="19"/>
      <c r="T1647" s="19"/>
    </row>
    <row r="1648" spans="1:20" ht="13.2" x14ac:dyDescent="0.25">
      <c r="A1648" s="39"/>
      <c r="B1648" s="37"/>
      <c r="D1648" s="19"/>
      <c r="E1648" s="19"/>
      <c r="G1648" s="16"/>
      <c r="H1648" s="16"/>
      <c r="I1648" s="16"/>
      <c r="J1648" s="19"/>
      <c r="K1648" s="19"/>
      <c r="L1648" s="19"/>
      <c r="M1648" s="19"/>
      <c r="N1648" s="19"/>
      <c r="O1648" s="19"/>
      <c r="P1648" s="19"/>
      <c r="Q1648" s="19"/>
      <c r="R1648" s="19"/>
      <c r="S1648" s="19"/>
      <c r="T1648" s="19"/>
    </row>
    <row r="1649" spans="1:20" ht="13.2" x14ac:dyDescent="0.25">
      <c r="A1649" s="39"/>
      <c r="B1649" s="37"/>
      <c r="D1649" s="19"/>
      <c r="E1649" s="19"/>
      <c r="G1649" s="16"/>
      <c r="H1649" s="16"/>
      <c r="I1649" s="16"/>
      <c r="J1649" s="19"/>
      <c r="K1649" s="19"/>
      <c r="L1649" s="19"/>
      <c r="M1649" s="19"/>
      <c r="N1649" s="19"/>
      <c r="O1649" s="19"/>
      <c r="P1649" s="19"/>
      <c r="Q1649" s="19"/>
      <c r="R1649" s="19"/>
      <c r="S1649" s="19"/>
      <c r="T1649" s="19"/>
    </row>
    <row r="1650" spans="1:20" ht="13.2" x14ac:dyDescent="0.25">
      <c r="A1650" s="39"/>
      <c r="B1650" s="37"/>
      <c r="D1650" s="19"/>
      <c r="E1650" s="19"/>
      <c r="G1650" s="16"/>
      <c r="H1650" s="16"/>
      <c r="I1650" s="16"/>
      <c r="J1650" s="19"/>
      <c r="K1650" s="19"/>
      <c r="L1650" s="19"/>
      <c r="M1650" s="19"/>
      <c r="N1650" s="19"/>
      <c r="O1650" s="19"/>
      <c r="P1650" s="19"/>
      <c r="Q1650" s="19"/>
      <c r="R1650" s="19"/>
      <c r="S1650" s="19"/>
      <c r="T1650" s="19"/>
    </row>
    <row r="1651" spans="1:20" ht="13.2" x14ac:dyDescent="0.25">
      <c r="A1651" s="39"/>
      <c r="B1651" s="37"/>
      <c r="D1651" s="19"/>
      <c r="E1651" s="19"/>
      <c r="G1651" s="16"/>
      <c r="H1651" s="16"/>
      <c r="I1651" s="16"/>
      <c r="J1651" s="19"/>
      <c r="K1651" s="19"/>
      <c r="L1651" s="19"/>
      <c r="M1651" s="19"/>
      <c r="N1651" s="19"/>
      <c r="O1651" s="19"/>
      <c r="P1651" s="19"/>
      <c r="Q1651" s="19"/>
      <c r="R1651" s="19"/>
      <c r="S1651" s="19"/>
      <c r="T1651" s="19"/>
    </row>
    <row r="1652" spans="1:20" ht="13.2" x14ac:dyDescent="0.25">
      <c r="A1652" s="39"/>
      <c r="B1652" s="37"/>
      <c r="D1652" s="19"/>
      <c r="E1652" s="19"/>
      <c r="G1652" s="16"/>
      <c r="H1652" s="16"/>
      <c r="I1652" s="16"/>
      <c r="J1652" s="19"/>
      <c r="K1652" s="19"/>
      <c r="L1652" s="19"/>
      <c r="M1652" s="19"/>
      <c r="N1652" s="19"/>
      <c r="O1652" s="19"/>
      <c r="P1652" s="19"/>
      <c r="Q1652" s="19"/>
      <c r="R1652" s="19"/>
      <c r="S1652" s="19"/>
      <c r="T1652" s="19"/>
    </row>
    <row r="1653" spans="1:20" ht="13.2" x14ac:dyDescent="0.25">
      <c r="A1653" s="39"/>
      <c r="B1653" s="37"/>
      <c r="D1653" s="19"/>
      <c r="E1653" s="19"/>
      <c r="G1653" s="16"/>
      <c r="H1653" s="16"/>
      <c r="I1653" s="16"/>
      <c r="J1653" s="19"/>
      <c r="K1653" s="19"/>
      <c r="L1653" s="19"/>
      <c r="M1653" s="19"/>
      <c r="N1653" s="19"/>
      <c r="O1653" s="19"/>
      <c r="P1653" s="19"/>
      <c r="Q1653" s="19"/>
      <c r="R1653" s="19"/>
      <c r="S1653" s="19"/>
      <c r="T1653" s="19"/>
    </row>
    <row r="1654" spans="1:20" ht="13.2" x14ac:dyDescent="0.25">
      <c r="A1654" s="39"/>
      <c r="B1654" s="37"/>
      <c r="D1654" s="19"/>
      <c r="E1654" s="19"/>
      <c r="G1654" s="16"/>
      <c r="H1654" s="16"/>
      <c r="I1654" s="16"/>
      <c r="J1654" s="19"/>
      <c r="K1654" s="19"/>
      <c r="L1654" s="19"/>
      <c r="M1654" s="19"/>
      <c r="N1654" s="19"/>
      <c r="O1654" s="19"/>
      <c r="P1654" s="19"/>
      <c r="Q1654" s="19"/>
      <c r="R1654" s="19"/>
      <c r="S1654" s="19"/>
      <c r="T1654" s="19"/>
    </row>
    <row r="1655" spans="1:20" ht="13.2" x14ac:dyDescent="0.25">
      <c r="A1655" s="39"/>
      <c r="B1655" s="37"/>
      <c r="D1655" s="19"/>
      <c r="E1655" s="19"/>
      <c r="G1655" s="16"/>
      <c r="H1655" s="16"/>
      <c r="I1655" s="16"/>
      <c r="J1655" s="19"/>
      <c r="K1655" s="19"/>
      <c r="L1655" s="19"/>
      <c r="M1655" s="19"/>
      <c r="N1655" s="19"/>
      <c r="O1655" s="19"/>
      <c r="P1655" s="19"/>
      <c r="Q1655" s="19"/>
      <c r="R1655" s="19"/>
      <c r="S1655" s="19"/>
      <c r="T1655" s="19"/>
    </row>
    <row r="1656" spans="1:20" ht="13.2" x14ac:dyDescent="0.25">
      <c r="A1656" s="39"/>
      <c r="B1656" s="37"/>
      <c r="D1656" s="19"/>
      <c r="E1656" s="19"/>
      <c r="G1656" s="16"/>
      <c r="H1656" s="16"/>
      <c r="I1656" s="16"/>
      <c r="J1656" s="19"/>
      <c r="K1656" s="19"/>
      <c r="L1656" s="19"/>
      <c r="M1656" s="19"/>
      <c r="N1656" s="19"/>
      <c r="O1656" s="19"/>
      <c r="P1656" s="19"/>
      <c r="Q1656" s="19"/>
      <c r="R1656" s="19"/>
      <c r="S1656" s="19"/>
      <c r="T1656" s="19"/>
    </row>
    <row r="1657" spans="1:20" ht="13.2" x14ac:dyDescent="0.25">
      <c r="A1657" s="39"/>
      <c r="B1657" s="37"/>
      <c r="D1657" s="19"/>
      <c r="E1657" s="19"/>
      <c r="G1657" s="16"/>
      <c r="H1657" s="16"/>
      <c r="I1657" s="16"/>
      <c r="J1657" s="19"/>
      <c r="K1657" s="19"/>
      <c r="L1657" s="19"/>
      <c r="M1657" s="19"/>
      <c r="N1657" s="19"/>
      <c r="O1657" s="19"/>
      <c r="P1657" s="19"/>
      <c r="Q1657" s="19"/>
      <c r="R1657" s="19"/>
      <c r="S1657" s="19"/>
      <c r="T1657" s="19"/>
    </row>
    <row r="1658" spans="1:20" ht="13.2" x14ac:dyDescent="0.25">
      <c r="A1658" s="39"/>
      <c r="B1658" s="37"/>
      <c r="D1658" s="19"/>
      <c r="E1658" s="19"/>
      <c r="G1658" s="16"/>
      <c r="H1658" s="16"/>
      <c r="I1658" s="16"/>
      <c r="J1658" s="19"/>
      <c r="K1658" s="19"/>
      <c r="L1658" s="19"/>
      <c r="M1658" s="19"/>
      <c r="N1658" s="19"/>
      <c r="O1658" s="19"/>
      <c r="P1658" s="19"/>
      <c r="Q1658" s="19"/>
      <c r="R1658" s="19"/>
      <c r="S1658" s="19"/>
      <c r="T1658" s="19"/>
    </row>
    <row r="1659" spans="1:20" ht="13.2" x14ac:dyDescent="0.25">
      <c r="A1659" s="39"/>
      <c r="B1659" s="37"/>
      <c r="D1659" s="19"/>
      <c r="E1659" s="19"/>
      <c r="G1659" s="16"/>
      <c r="H1659" s="16"/>
      <c r="I1659" s="16"/>
      <c r="J1659" s="19"/>
      <c r="K1659" s="19"/>
      <c r="L1659" s="19"/>
      <c r="M1659" s="19"/>
      <c r="N1659" s="19"/>
      <c r="O1659" s="19"/>
      <c r="P1659" s="19"/>
      <c r="Q1659" s="19"/>
      <c r="R1659" s="19"/>
      <c r="S1659" s="19"/>
      <c r="T1659" s="19"/>
    </row>
    <row r="1660" spans="1:20" ht="13.2" x14ac:dyDescent="0.25">
      <c r="A1660" s="39"/>
      <c r="B1660" s="37"/>
      <c r="D1660" s="19"/>
      <c r="E1660" s="19"/>
      <c r="G1660" s="16"/>
      <c r="H1660" s="16"/>
      <c r="I1660" s="16"/>
      <c r="J1660" s="19"/>
      <c r="K1660" s="19"/>
      <c r="L1660" s="19"/>
      <c r="M1660" s="19"/>
      <c r="N1660" s="19"/>
      <c r="O1660" s="19"/>
      <c r="P1660" s="19"/>
      <c r="Q1660" s="19"/>
      <c r="R1660" s="19"/>
      <c r="S1660" s="19"/>
      <c r="T1660" s="19"/>
    </row>
    <row r="1661" spans="1:20" ht="13.2" x14ac:dyDescent="0.25">
      <c r="A1661" s="39"/>
      <c r="B1661" s="37"/>
      <c r="D1661" s="19"/>
      <c r="E1661" s="19"/>
      <c r="G1661" s="16"/>
      <c r="H1661" s="16"/>
      <c r="I1661" s="16"/>
      <c r="J1661" s="19"/>
      <c r="K1661" s="19"/>
      <c r="L1661" s="19"/>
      <c r="M1661" s="19"/>
      <c r="N1661" s="19"/>
      <c r="O1661" s="19"/>
      <c r="P1661" s="19"/>
      <c r="Q1661" s="19"/>
      <c r="R1661" s="19"/>
      <c r="S1661" s="19"/>
      <c r="T1661" s="19"/>
    </row>
    <row r="1662" spans="1:20" ht="13.2" x14ac:dyDescent="0.25">
      <c r="A1662" s="39"/>
      <c r="B1662" s="37"/>
      <c r="D1662" s="19"/>
      <c r="E1662" s="19"/>
      <c r="G1662" s="16"/>
      <c r="H1662" s="16"/>
      <c r="I1662" s="16"/>
      <c r="J1662" s="19"/>
      <c r="K1662" s="19"/>
      <c r="L1662" s="19"/>
      <c r="M1662" s="19"/>
      <c r="N1662" s="19"/>
      <c r="O1662" s="19"/>
      <c r="P1662" s="19"/>
      <c r="Q1662" s="19"/>
      <c r="R1662" s="19"/>
      <c r="S1662" s="19"/>
      <c r="T1662" s="19"/>
    </row>
    <row r="1663" spans="1:20" ht="13.2" x14ac:dyDescent="0.25">
      <c r="A1663" s="39"/>
      <c r="B1663" s="37"/>
      <c r="D1663" s="19"/>
      <c r="E1663" s="19"/>
      <c r="G1663" s="16"/>
      <c r="H1663" s="16"/>
      <c r="I1663" s="16"/>
      <c r="J1663" s="19"/>
      <c r="K1663" s="19"/>
      <c r="L1663" s="19"/>
      <c r="M1663" s="19"/>
      <c r="N1663" s="19"/>
      <c r="O1663" s="19"/>
      <c r="P1663" s="19"/>
      <c r="Q1663" s="19"/>
      <c r="R1663" s="19"/>
      <c r="S1663" s="19"/>
      <c r="T1663" s="19"/>
    </row>
    <row r="1664" spans="1:20" ht="13.2" x14ac:dyDescent="0.25">
      <c r="A1664" s="39"/>
      <c r="B1664" s="37"/>
      <c r="D1664" s="19"/>
      <c r="E1664" s="19"/>
      <c r="G1664" s="16"/>
      <c r="H1664" s="16"/>
      <c r="I1664" s="16"/>
      <c r="J1664" s="19"/>
      <c r="K1664" s="19"/>
      <c r="L1664" s="19"/>
      <c r="M1664" s="19"/>
      <c r="N1664" s="19"/>
      <c r="O1664" s="19"/>
      <c r="P1664" s="19"/>
      <c r="Q1664" s="19"/>
      <c r="R1664" s="19"/>
      <c r="S1664" s="19"/>
      <c r="T1664" s="19"/>
    </row>
    <row r="1665" spans="1:20" ht="13.2" x14ac:dyDescent="0.25">
      <c r="A1665" s="39"/>
      <c r="B1665" s="37"/>
      <c r="D1665" s="19"/>
      <c r="E1665" s="19"/>
      <c r="G1665" s="16"/>
      <c r="H1665" s="16"/>
      <c r="I1665" s="16"/>
      <c r="J1665" s="19"/>
      <c r="K1665" s="19"/>
      <c r="L1665" s="19"/>
      <c r="M1665" s="19"/>
      <c r="N1665" s="19"/>
      <c r="O1665" s="19"/>
      <c r="P1665" s="19"/>
      <c r="Q1665" s="19"/>
      <c r="R1665" s="19"/>
      <c r="S1665" s="19"/>
      <c r="T1665" s="19"/>
    </row>
    <row r="1666" spans="1:20" ht="13.2" x14ac:dyDescent="0.25">
      <c r="A1666" s="39"/>
      <c r="B1666" s="37"/>
      <c r="D1666" s="19"/>
      <c r="E1666" s="19"/>
      <c r="G1666" s="16"/>
      <c r="H1666" s="16"/>
      <c r="I1666" s="16"/>
      <c r="J1666" s="19"/>
      <c r="K1666" s="19"/>
      <c r="L1666" s="19"/>
      <c r="M1666" s="19"/>
      <c r="N1666" s="19"/>
      <c r="O1666" s="19"/>
      <c r="P1666" s="19"/>
      <c r="Q1666" s="19"/>
      <c r="R1666" s="19"/>
      <c r="S1666" s="19"/>
      <c r="T1666" s="19"/>
    </row>
    <row r="1667" spans="1:20" ht="13.2" x14ac:dyDescent="0.25">
      <c r="A1667" s="39"/>
      <c r="B1667" s="37"/>
      <c r="D1667" s="19"/>
      <c r="E1667" s="19"/>
      <c r="G1667" s="16"/>
      <c r="H1667" s="16"/>
      <c r="I1667" s="16"/>
      <c r="J1667" s="19"/>
      <c r="K1667" s="19"/>
      <c r="L1667" s="19"/>
      <c r="M1667" s="19"/>
      <c r="N1667" s="19"/>
      <c r="O1667" s="19"/>
      <c r="P1667" s="19"/>
      <c r="Q1667" s="19"/>
      <c r="R1667" s="19"/>
      <c r="S1667" s="19"/>
      <c r="T1667" s="19"/>
    </row>
    <row r="1668" spans="1:20" ht="13.2" x14ac:dyDescent="0.25">
      <c r="A1668" s="39"/>
      <c r="B1668" s="37"/>
      <c r="D1668" s="19"/>
      <c r="E1668" s="19"/>
      <c r="G1668" s="16"/>
      <c r="H1668" s="16"/>
      <c r="I1668" s="16"/>
      <c r="J1668" s="19"/>
      <c r="K1668" s="19"/>
      <c r="L1668" s="19"/>
      <c r="M1668" s="19"/>
      <c r="N1668" s="19"/>
      <c r="O1668" s="19"/>
      <c r="P1668" s="19"/>
      <c r="Q1668" s="19"/>
      <c r="R1668" s="19"/>
      <c r="S1668" s="19"/>
      <c r="T1668" s="19"/>
    </row>
    <row r="1669" spans="1:20" ht="13.2" x14ac:dyDescent="0.25">
      <c r="A1669" s="39"/>
      <c r="B1669" s="37"/>
      <c r="D1669" s="19"/>
      <c r="E1669" s="19"/>
      <c r="G1669" s="16"/>
      <c r="H1669" s="16"/>
      <c r="I1669" s="16"/>
      <c r="J1669" s="19"/>
      <c r="K1669" s="19"/>
      <c r="L1669" s="19"/>
      <c r="M1669" s="19"/>
      <c r="N1669" s="19"/>
      <c r="O1669" s="19"/>
      <c r="P1669" s="19"/>
      <c r="Q1669" s="19"/>
      <c r="R1669" s="19"/>
      <c r="S1669" s="19"/>
      <c r="T1669" s="19"/>
    </row>
    <row r="1670" spans="1:20" ht="13.2" x14ac:dyDescent="0.25">
      <c r="A1670" s="39"/>
      <c r="B1670" s="37"/>
      <c r="D1670" s="19"/>
      <c r="E1670" s="19"/>
      <c r="G1670" s="16"/>
      <c r="H1670" s="16"/>
      <c r="I1670" s="16"/>
      <c r="J1670" s="19"/>
      <c r="K1670" s="19"/>
      <c r="L1670" s="19"/>
      <c r="M1670" s="19"/>
      <c r="N1670" s="19"/>
      <c r="O1670" s="19"/>
      <c r="P1670" s="19"/>
      <c r="Q1670" s="19"/>
      <c r="R1670" s="19"/>
      <c r="S1670" s="19"/>
      <c r="T1670" s="19"/>
    </row>
    <row r="1671" spans="1:20" ht="13.2" x14ac:dyDescent="0.25">
      <c r="A1671" s="39"/>
      <c r="B1671" s="37"/>
      <c r="D1671" s="19"/>
      <c r="E1671" s="19"/>
      <c r="G1671" s="16"/>
      <c r="H1671" s="16"/>
      <c r="I1671" s="16"/>
      <c r="J1671" s="19"/>
      <c r="K1671" s="19"/>
      <c r="L1671" s="19"/>
      <c r="M1671" s="19"/>
      <c r="N1671" s="19"/>
      <c r="O1671" s="19"/>
      <c r="P1671" s="19"/>
      <c r="Q1671" s="19"/>
      <c r="R1671" s="19"/>
      <c r="S1671" s="19"/>
      <c r="T1671" s="19"/>
    </row>
    <row r="1672" spans="1:20" ht="13.2" x14ac:dyDescent="0.25">
      <c r="A1672" s="39"/>
      <c r="B1672" s="37"/>
      <c r="D1672" s="19"/>
      <c r="E1672" s="19"/>
      <c r="G1672" s="16"/>
      <c r="H1672" s="16"/>
      <c r="I1672" s="16"/>
      <c r="J1672" s="19"/>
      <c r="K1672" s="19"/>
      <c r="L1672" s="19"/>
      <c r="M1672" s="19"/>
      <c r="N1672" s="19"/>
      <c r="O1672" s="19"/>
      <c r="P1672" s="19"/>
      <c r="Q1672" s="19"/>
      <c r="R1672" s="19"/>
      <c r="S1672" s="19"/>
      <c r="T1672" s="19"/>
    </row>
    <row r="1673" spans="1:20" ht="13.2" x14ac:dyDescent="0.25">
      <c r="A1673" s="39"/>
      <c r="B1673" s="37"/>
      <c r="D1673" s="19"/>
      <c r="E1673" s="19"/>
      <c r="G1673" s="16"/>
      <c r="H1673" s="16"/>
      <c r="I1673" s="16"/>
      <c r="J1673" s="19"/>
      <c r="K1673" s="19"/>
      <c r="L1673" s="19"/>
      <c r="M1673" s="19"/>
      <c r="N1673" s="19"/>
      <c r="O1673" s="19"/>
      <c r="P1673" s="19"/>
      <c r="Q1673" s="19"/>
      <c r="R1673" s="19"/>
      <c r="S1673" s="19"/>
      <c r="T1673" s="19"/>
    </row>
    <row r="1674" spans="1:20" ht="13.2" x14ac:dyDescent="0.25">
      <c r="A1674" s="39"/>
      <c r="B1674" s="37"/>
      <c r="D1674" s="19"/>
      <c r="E1674" s="19"/>
      <c r="G1674" s="16"/>
      <c r="H1674" s="16"/>
      <c r="I1674" s="16"/>
      <c r="J1674" s="19"/>
      <c r="K1674" s="19"/>
      <c r="L1674" s="19"/>
      <c r="M1674" s="19"/>
      <c r="N1674" s="19"/>
      <c r="O1674" s="19"/>
      <c r="P1674" s="19"/>
      <c r="Q1674" s="19"/>
      <c r="R1674" s="19"/>
      <c r="S1674" s="19"/>
      <c r="T1674" s="19"/>
    </row>
    <row r="1675" spans="1:20" ht="13.2" x14ac:dyDescent="0.25">
      <c r="A1675" s="39"/>
      <c r="B1675" s="37"/>
      <c r="D1675" s="19"/>
      <c r="E1675" s="19"/>
      <c r="G1675" s="16"/>
      <c r="H1675" s="16"/>
      <c r="I1675" s="16"/>
      <c r="J1675" s="19"/>
      <c r="K1675" s="19"/>
      <c r="L1675" s="19"/>
      <c r="M1675" s="19"/>
      <c r="N1675" s="19"/>
      <c r="O1675" s="19"/>
      <c r="P1675" s="19"/>
      <c r="Q1675" s="19"/>
      <c r="R1675" s="19"/>
      <c r="S1675" s="19"/>
      <c r="T1675" s="19"/>
    </row>
    <row r="1676" spans="1:20" ht="13.2" x14ac:dyDescent="0.25">
      <c r="A1676" s="39"/>
      <c r="B1676" s="37"/>
      <c r="D1676" s="19"/>
      <c r="E1676" s="19"/>
      <c r="G1676" s="16"/>
      <c r="H1676" s="16"/>
      <c r="I1676" s="16"/>
      <c r="J1676" s="19"/>
      <c r="K1676" s="19"/>
      <c r="L1676" s="19"/>
      <c r="M1676" s="19"/>
      <c r="N1676" s="19"/>
      <c r="O1676" s="19"/>
      <c r="P1676" s="19"/>
      <c r="Q1676" s="19"/>
      <c r="R1676" s="19"/>
      <c r="S1676" s="19"/>
      <c r="T1676" s="19"/>
    </row>
    <row r="1677" spans="1:20" ht="13.2" x14ac:dyDescent="0.25">
      <c r="A1677" s="39"/>
      <c r="B1677" s="37"/>
      <c r="D1677" s="19"/>
      <c r="E1677" s="19"/>
      <c r="G1677" s="16"/>
      <c r="H1677" s="16"/>
      <c r="I1677" s="16"/>
      <c r="J1677" s="19"/>
      <c r="K1677" s="19"/>
      <c r="L1677" s="19"/>
      <c r="M1677" s="19"/>
      <c r="N1677" s="19"/>
      <c r="O1677" s="19"/>
      <c r="P1677" s="19"/>
      <c r="Q1677" s="19"/>
      <c r="R1677" s="19"/>
      <c r="S1677" s="19"/>
      <c r="T1677" s="19"/>
    </row>
    <row r="1678" spans="1:20" ht="13.2" x14ac:dyDescent="0.25">
      <c r="A1678" s="39"/>
      <c r="B1678" s="37"/>
      <c r="D1678" s="19"/>
      <c r="E1678" s="19"/>
      <c r="G1678" s="16"/>
      <c r="H1678" s="16"/>
      <c r="I1678" s="16"/>
      <c r="J1678" s="19"/>
      <c r="K1678" s="19"/>
      <c r="L1678" s="19"/>
      <c r="M1678" s="19"/>
      <c r="N1678" s="19"/>
      <c r="O1678" s="19"/>
      <c r="P1678" s="19"/>
      <c r="Q1678" s="19"/>
      <c r="R1678" s="19"/>
      <c r="S1678" s="19"/>
      <c r="T1678" s="19"/>
    </row>
    <row r="1679" spans="1:20" ht="13.2" x14ac:dyDescent="0.25">
      <c r="A1679" s="39"/>
      <c r="B1679" s="37"/>
      <c r="D1679" s="19"/>
      <c r="E1679" s="19"/>
      <c r="G1679" s="16"/>
      <c r="H1679" s="16"/>
      <c r="I1679" s="16"/>
      <c r="J1679" s="19"/>
      <c r="K1679" s="19"/>
      <c r="L1679" s="19"/>
      <c r="M1679" s="19"/>
      <c r="N1679" s="19"/>
      <c r="O1679" s="19"/>
      <c r="P1679" s="19"/>
      <c r="Q1679" s="19"/>
      <c r="R1679" s="19"/>
      <c r="S1679" s="19"/>
      <c r="T1679" s="19"/>
    </row>
    <row r="1680" spans="1:20" ht="13.2" x14ac:dyDescent="0.25">
      <c r="A1680" s="39"/>
      <c r="B1680" s="37"/>
      <c r="D1680" s="19"/>
      <c r="E1680" s="19"/>
      <c r="G1680" s="16"/>
      <c r="H1680" s="16"/>
      <c r="I1680" s="16"/>
      <c r="J1680" s="19"/>
      <c r="K1680" s="19"/>
      <c r="L1680" s="19"/>
      <c r="M1680" s="19"/>
      <c r="N1680" s="19"/>
      <c r="O1680" s="19"/>
      <c r="P1680" s="19"/>
      <c r="Q1680" s="19"/>
      <c r="R1680" s="19"/>
      <c r="S1680" s="19"/>
      <c r="T1680" s="19"/>
    </row>
    <row r="1681" spans="1:20" ht="13.2" x14ac:dyDescent="0.25">
      <c r="A1681" s="39"/>
      <c r="B1681" s="37"/>
      <c r="D1681" s="19"/>
      <c r="E1681" s="19"/>
      <c r="G1681" s="16"/>
      <c r="H1681" s="16"/>
      <c r="I1681" s="16"/>
      <c r="J1681" s="19"/>
      <c r="K1681" s="19"/>
      <c r="L1681" s="19"/>
      <c r="M1681" s="19"/>
      <c r="N1681" s="19"/>
      <c r="O1681" s="19"/>
      <c r="P1681" s="19"/>
      <c r="Q1681" s="19"/>
      <c r="R1681" s="19"/>
      <c r="S1681" s="19"/>
      <c r="T1681" s="19"/>
    </row>
    <row r="1682" spans="1:20" ht="13.2" x14ac:dyDescent="0.25">
      <c r="A1682" s="39"/>
      <c r="B1682" s="37"/>
      <c r="D1682" s="19"/>
      <c r="E1682" s="19"/>
      <c r="G1682" s="16"/>
      <c r="H1682" s="16"/>
      <c r="I1682" s="16"/>
      <c r="J1682" s="19"/>
      <c r="K1682" s="19"/>
      <c r="L1682" s="19"/>
      <c r="M1682" s="19"/>
      <c r="N1682" s="19"/>
      <c r="O1682" s="19"/>
      <c r="P1682" s="19"/>
      <c r="Q1682" s="19"/>
      <c r="R1682" s="19"/>
      <c r="S1682" s="19"/>
      <c r="T1682" s="19"/>
    </row>
    <row r="1683" spans="1:20" ht="13.2" x14ac:dyDescent="0.25">
      <c r="A1683" s="39"/>
      <c r="B1683" s="37"/>
      <c r="D1683" s="19"/>
      <c r="E1683" s="19"/>
      <c r="G1683" s="16"/>
      <c r="H1683" s="16"/>
      <c r="I1683" s="16"/>
      <c r="J1683" s="19"/>
      <c r="K1683" s="19"/>
      <c r="L1683" s="19"/>
      <c r="M1683" s="19"/>
      <c r="N1683" s="19"/>
      <c r="O1683" s="19"/>
      <c r="P1683" s="19"/>
      <c r="Q1683" s="19"/>
      <c r="R1683" s="19"/>
      <c r="S1683" s="19"/>
      <c r="T1683" s="19"/>
    </row>
    <row r="1684" spans="1:20" ht="13.2" x14ac:dyDescent="0.25">
      <c r="A1684" s="39"/>
      <c r="B1684" s="37"/>
      <c r="D1684" s="19"/>
      <c r="E1684" s="19"/>
      <c r="G1684" s="16"/>
      <c r="H1684" s="16"/>
      <c r="I1684" s="16"/>
      <c r="J1684" s="19"/>
      <c r="K1684" s="19"/>
      <c r="L1684" s="19"/>
      <c r="M1684" s="19"/>
      <c r="N1684" s="19"/>
      <c r="O1684" s="19"/>
      <c r="P1684" s="19"/>
      <c r="Q1684" s="19"/>
      <c r="R1684" s="19"/>
      <c r="S1684" s="19"/>
      <c r="T1684" s="19"/>
    </row>
    <row r="1685" spans="1:20" ht="13.2" x14ac:dyDescent="0.25">
      <c r="A1685" s="39"/>
      <c r="B1685" s="37"/>
      <c r="D1685" s="19"/>
      <c r="E1685" s="19"/>
      <c r="G1685" s="16"/>
      <c r="H1685" s="16"/>
      <c r="I1685" s="16"/>
      <c r="J1685" s="19"/>
      <c r="K1685" s="19"/>
      <c r="L1685" s="19"/>
      <c r="M1685" s="19"/>
      <c r="N1685" s="19"/>
      <c r="O1685" s="19"/>
      <c r="P1685" s="19"/>
      <c r="Q1685" s="19"/>
      <c r="R1685" s="19"/>
      <c r="S1685" s="19"/>
      <c r="T1685" s="19"/>
    </row>
    <row r="1686" spans="1:20" ht="13.2" x14ac:dyDescent="0.25">
      <c r="A1686" s="39"/>
      <c r="B1686" s="37"/>
      <c r="D1686" s="19"/>
      <c r="E1686" s="19"/>
      <c r="G1686" s="16"/>
      <c r="H1686" s="16"/>
      <c r="I1686" s="16"/>
      <c r="J1686" s="19"/>
      <c r="K1686" s="19"/>
      <c r="L1686" s="19"/>
      <c r="M1686" s="19"/>
      <c r="N1686" s="19"/>
      <c r="O1686" s="19"/>
      <c r="P1686" s="19"/>
      <c r="Q1686" s="19"/>
      <c r="R1686" s="19"/>
      <c r="S1686" s="19"/>
      <c r="T1686" s="19"/>
    </row>
    <row r="1687" spans="1:20" ht="13.2" x14ac:dyDescent="0.25">
      <c r="A1687" s="39"/>
      <c r="B1687" s="37"/>
      <c r="D1687" s="19"/>
      <c r="E1687" s="19"/>
      <c r="G1687" s="16"/>
      <c r="H1687" s="16"/>
      <c r="I1687" s="16"/>
      <c r="J1687" s="19"/>
      <c r="K1687" s="19"/>
      <c r="L1687" s="19"/>
      <c r="M1687" s="19"/>
      <c r="N1687" s="19"/>
      <c r="O1687" s="19"/>
      <c r="P1687" s="19"/>
      <c r="Q1687" s="19"/>
      <c r="R1687" s="19"/>
      <c r="S1687" s="19"/>
      <c r="T1687" s="19"/>
    </row>
    <row r="1688" spans="1:20" ht="13.2" x14ac:dyDescent="0.25">
      <c r="A1688" s="39"/>
      <c r="B1688" s="37"/>
      <c r="D1688" s="19"/>
      <c r="E1688" s="19"/>
      <c r="G1688" s="16"/>
      <c r="H1688" s="16"/>
      <c r="I1688" s="16"/>
      <c r="J1688" s="19"/>
      <c r="K1688" s="19"/>
      <c r="L1688" s="19"/>
      <c r="M1688" s="19"/>
      <c r="N1688" s="19"/>
      <c r="O1688" s="19"/>
      <c r="P1688" s="19"/>
      <c r="Q1688" s="19"/>
      <c r="R1688" s="19"/>
      <c r="S1688" s="19"/>
      <c r="T1688" s="19"/>
    </row>
    <row r="1689" spans="1:20" ht="13.2" x14ac:dyDescent="0.25">
      <c r="A1689" s="39"/>
      <c r="B1689" s="37"/>
      <c r="D1689" s="19"/>
      <c r="E1689" s="19"/>
      <c r="G1689" s="16"/>
      <c r="H1689" s="16"/>
      <c r="I1689" s="16"/>
      <c r="J1689" s="19"/>
      <c r="K1689" s="19"/>
      <c r="L1689" s="19"/>
      <c r="M1689" s="19"/>
      <c r="N1689" s="19"/>
      <c r="O1689" s="19"/>
      <c r="P1689" s="19"/>
      <c r="Q1689" s="19"/>
      <c r="R1689" s="19"/>
      <c r="S1689" s="19"/>
      <c r="T1689" s="19"/>
    </row>
    <row r="1690" spans="1:20" ht="13.2" x14ac:dyDescent="0.25">
      <c r="A1690" s="39"/>
      <c r="B1690" s="37"/>
      <c r="D1690" s="19"/>
      <c r="E1690" s="19"/>
      <c r="G1690" s="16"/>
      <c r="H1690" s="16"/>
      <c r="I1690" s="16"/>
      <c r="J1690" s="19"/>
      <c r="K1690" s="19"/>
      <c r="L1690" s="19"/>
      <c r="M1690" s="19"/>
      <c r="N1690" s="19"/>
      <c r="O1690" s="19"/>
      <c r="P1690" s="19"/>
      <c r="Q1690" s="19"/>
      <c r="R1690" s="19"/>
      <c r="S1690" s="19"/>
      <c r="T1690" s="19"/>
    </row>
    <row r="1691" spans="1:20" ht="13.2" x14ac:dyDescent="0.25">
      <c r="A1691" s="39"/>
      <c r="B1691" s="37"/>
      <c r="D1691" s="19"/>
      <c r="E1691" s="19"/>
      <c r="G1691" s="16"/>
      <c r="H1691" s="16"/>
      <c r="I1691" s="16"/>
      <c r="J1691" s="19"/>
      <c r="K1691" s="19"/>
      <c r="L1691" s="19"/>
      <c r="M1691" s="19"/>
      <c r="N1691" s="19"/>
      <c r="O1691" s="19"/>
      <c r="P1691" s="19"/>
      <c r="Q1691" s="19"/>
      <c r="R1691" s="19"/>
      <c r="S1691" s="19"/>
      <c r="T1691" s="19"/>
    </row>
    <row r="1692" spans="1:20" ht="13.2" x14ac:dyDescent="0.25">
      <c r="A1692" s="39"/>
      <c r="B1692" s="37"/>
      <c r="D1692" s="19"/>
      <c r="E1692" s="19"/>
      <c r="G1692" s="16"/>
      <c r="H1692" s="16"/>
      <c r="I1692" s="16"/>
      <c r="J1692" s="19"/>
      <c r="K1692" s="19"/>
      <c r="L1692" s="19"/>
      <c r="M1692" s="19"/>
      <c r="N1692" s="19"/>
      <c r="O1692" s="19"/>
      <c r="P1692" s="19"/>
      <c r="Q1692" s="19"/>
      <c r="R1692" s="19"/>
      <c r="S1692" s="19"/>
      <c r="T1692" s="19"/>
    </row>
    <row r="1693" spans="1:20" ht="13.2" x14ac:dyDescent="0.25">
      <c r="A1693" s="39"/>
      <c r="B1693" s="37"/>
      <c r="D1693" s="19"/>
      <c r="E1693" s="19"/>
      <c r="G1693" s="16"/>
      <c r="H1693" s="16"/>
      <c r="I1693" s="16"/>
      <c r="J1693" s="19"/>
      <c r="K1693" s="19"/>
      <c r="L1693" s="19"/>
      <c r="M1693" s="19"/>
      <c r="N1693" s="19"/>
      <c r="O1693" s="19"/>
      <c r="P1693" s="19"/>
      <c r="Q1693" s="19"/>
      <c r="R1693" s="19"/>
      <c r="S1693" s="19"/>
      <c r="T1693" s="19"/>
    </row>
    <row r="1694" spans="1:20" ht="13.2" x14ac:dyDescent="0.25">
      <c r="A1694" s="39"/>
      <c r="B1694" s="37"/>
      <c r="D1694" s="19"/>
      <c r="E1694" s="19"/>
      <c r="G1694" s="16"/>
      <c r="H1694" s="16"/>
      <c r="I1694" s="16"/>
      <c r="J1694" s="19"/>
      <c r="K1694" s="19"/>
      <c r="L1694" s="19"/>
      <c r="M1694" s="19"/>
      <c r="N1694" s="19"/>
      <c r="O1694" s="19"/>
      <c r="P1694" s="19"/>
      <c r="Q1694" s="19"/>
      <c r="R1694" s="19"/>
      <c r="S1694" s="19"/>
      <c r="T1694" s="19"/>
    </row>
    <row r="1695" spans="1:20" ht="13.2" x14ac:dyDescent="0.25">
      <c r="A1695" s="39"/>
      <c r="B1695" s="37"/>
      <c r="D1695" s="19"/>
      <c r="E1695" s="19"/>
      <c r="G1695" s="16"/>
      <c r="H1695" s="16"/>
      <c r="I1695" s="16"/>
      <c r="J1695" s="19"/>
      <c r="K1695" s="19"/>
      <c r="L1695" s="19"/>
      <c r="M1695" s="19"/>
      <c r="N1695" s="19"/>
      <c r="O1695" s="19"/>
      <c r="P1695" s="19"/>
      <c r="Q1695" s="19"/>
      <c r="R1695" s="19"/>
      <c r="S1695" s="19"/>
      <c r="T1695" s="19"/>
    </row>
    <row r="1696" spans="1:20" ht="13.2" x14ac:dyDescent="0.25">
      <c r="A1696" s="39"/>
      <c r="B1696" s="37"/>
      <c r="D1696" s="19"/>
      <c r="E1696" s="19"/>
      <c r="G1696" s="16"/>
      <c r="H1696" s="16"/>
      <c r="I1696" s="16"/>
      <c r="J1696" s="19"/>
      <c r="K1696" s="19"/>
      <c r="L1696" s="19"/>
      <c r="M1696" s="19"/>
      <c r="N1696" s="19"/>
      <c r="O1696" s="19"/>
      <c r="P1696" s="19"/>
      <c r="Q1696" s="19"/>
      <c r="R1696" s="19"/>
      <c r="S1696" s="19"/>
      <c r="T1696" s="19"/>
    </row>
    <row r="1697" spans="1:20" ht="13.2" x14ac:dyDescent="0.25">
      <c r="A1697" s="39"/>
      <c r="B1697" s="37"/>
      <c r="D1697" s="19"/>
      <c r="E1697" s="19"/>
      <c r="G1697" s="16"/>
      <c r="H1697" s="16"/>
      <c r="I1697" s="16"/>
      <c r="J1697" s="19"/>
      <c r="K1697" s="19"/>
      <c r="L1697" s="19"/>
      <c r="M1697" s="19"/>
      <c r="N1697" s="19"/>
      <c r="O1697" s="19"/>
      <c r="P1697" s="19"/>
      <c r="Q1697" s="19"/>
      <c r="R1697" s="19"/>
      <c r="S1697" s="19"/>
      <c r="T1697" s="19"/>
    </row>
    <row r="1698" spans="1:20" ht="13.2" x14ac:dyDescent="0.25">
      <c r="A1698" s="39"/>
      <c r="B1698" s="37"/>
      <c r="D1698" s="19"/>
      <c r="E1698" s="19"/>
      <c r="G1698" s="16"/>
      <c r="H1698" s="16"/>
      <c r="I1698" s="16"/>
      <c r="J1698" s="19"/>
      <c r="K1698" s="19"/>
      <c r="L1698" s="19"/>
      <c r="M1698" s="19"/>
      <c r="N1698" s="19"/>
      <c r="O1698" s="19"/>
      <c r="P1698" s="19"/>
      <c r="Q1698" s="19"/>
      <c r="R1698" s="19"/>
      <c r="S1698" s="19"/>
      <c r="T1698" s="19"/>
    </row>
    <row r="1699" spans="1:20" ht="13.2" x14ac:dyDescent="0.25">
      <c r="A1699" s="39"/>
      <c r="B1699" s="37"/>
      <c r="D1699" s="19"/>
      <c r="E1699" s="19"/>
      <c r="G1699" s="16"/>
      <c r="H1699" s="16"/>
      <c r="I1699" s="16"/>
      <c r="J1699" s="19"/>
      <c r="K1699" s="19"/>
      <c r="L1699" s="19"/>
      <c r="M1699" s="19"/>
      <c r="N1699" s="19"/>
      <c r="O1699" s="19"/>
      <c r="P1699" s="19"/>
      <c r="Q1699" s="19"/>
      <c r="R1699" s="19"/>
      <c r="S1699" s="19"/>
      <c r="T1699" s="19"/>
    </row>
    <row r="1700" spans="1:20" ht="13.2" x14ac:dyDescent="0.25">
      <c r="A1700" s="39"/>
      <c r="B1700" s="37"/>
      <c r="D1700" s="19"/>
      <c r="E1700" s="19"/>
      <c r="G1700" s="16"/>
      <c r="H1700" s="16"/>
      <c r="I1700" s="16"/>
      <c r="J1700" s="19"/>
      <c r="K1700" s="19"/>
      <c r="L1700" s="19"/>
      <c r="M1700" s="19"/>
      <c r="N1700" s="19"/>
      <c r="O1700" s="19"/>
      <c r="P1700" s="19"/>
      <c r="Q1700" s="19"/>
      <c r="R1700" s="19"/>
      <c r="S1700" s="19"/>
      <c r="T1700" s="19"/>
    </row>
    <row r="1701" spans="1:20" ht="13.2" x14ac:dyDescent="0.25">
      <c r="A1701" s="39"/>
      <c r="B1701" s="37"/>
      <c r="D1701" s="19"/>
      <c r="E1701" s="19"/>
      <c r="G1701" s="16"/>
      <c r="H1701" s="16"/>
      <c r="I1701" s="16"/>
      <c r="J1701" s="19"/>
      <c r="K1701" s="19"/>
      <c r="L1701" s="19"/>
      <c r="M1701" s="19"/>
      <c r="N1701" s="19"/>
      <c r="O1701" s="19"/>
      <c r="P1701" s="19"/>
      <c r="Q1701" s="19"/>
      <c r="R1701" s="19"/>
      <c r="S1701" s="19"/>
      <c r="T1701" s="19"/>
    </row>
    <row r="1702" spans="1:20" ht="13.2" x14ac:dyDescent="0.25">
      <c r="A1702" s="39"/>
      <c r="B1702" s="37"/>
      <c r="D1702" s="19"/>
      <c r="E1702" s="19"/>
      <c r="G1702" s="16"/>
      <c r="H1702" s="16"/>
      <c r="I1702" s="16"/>
      <c r="J1702" s="19"/>
      <c r="K1702" s="19"/>
      <c r="L1702" s="19"/>
      <c r="M1702" s="19"/>
      <c r="N1702" s="19"/>
      <c r="O1702" s="19"/>
      <c r="P1702" s="19"/>
      <c r="Q1702" s="19"/>
      <c r="R1702" s="19"/>
      <c r="S1702" s="19"/>
      <c r="T1702" s="19"/>
    </row>
    <row r="1703" spans="1:20" ht="13.2" x14ac:dyDescent="0.25">
      <c r="A1703" s="39"/>
      <c r="B1703" s="37"/>
      <c r="D1703" s="19"/>
      <c r="E1703" s="19"/>
      <c r="G1703" s="16"/>
      <c r="H1703" s="16"/>
      <c r="I1703" s="16"/>
      <c r="J1703" s="19"/>
      <c r="K1703" s="19"/>
      <c r="L1703" s="19"/>
      <c r="M1703" s="19"/>
      <c r="N1703" s="19"/>
      <c r="O1703" s="19"/>
      <c r="P1703" s="19"/>
      <c r="Q1703" s="19"/>
      <c r="R1703" s="19"/>
      <c r="S1703" s="19"/>
      <c r="T1703" s="19"/>
    </row>
    <row r="1704" spans="1:20" ht="13.2" x14ac:dyDescent="0.25">
      <c r="A1704" s="39"/>
      <c r="B1704" s="37"/>
      <c r="D1704" s="19"/>
      <c r="E1704" s="19"/>
      <c r="G1704" s="16"/>
      <c r="H1704" s="16"/>
      <c r="I1704" s="16"/>
      <c r="J1704" s="19"/>
      <c r="K1704" s="19"/>
      <c r="L1704" s="19"/>
      <c r="M1704" s="19"/>
      <c r="N1704" s="19"/>
      <c r="O1704" s="19"/>
      <c r="P1704" s="19"/>
      <c r="Q1704" s="19"/>
      <c r="R1704" s="19"/>
      <c r="S1704" s="19"/>
      <c r="T1704" s="19"/>
    </row>
    <row r="1705" spans="1:20" ht="13.2" x14ac:dyDescent="0.25">
      <c r="A1705" s="39"/>
      <c r="B1705" s="37"/>
      <c r="D1705" s="19"/>
      <c r="E1705" s="19"/>
      <c r="G1705" s="16"/>
      <c r="H1705" s="16"/>
      <c r="I1705" s="16"/>
      <c r="J1705" s="19"/>
      <c r="K1705" s="19"/>
      <c r="L1705" s="19"/>
      <c r="M1705" s="19"/>
      <c r="N1705" s="19"/>
      <c r="O1705" s="19"/>
      <c r="P1705" s="19"/>
      <c r="Q1705" s="19"/>
      <c r="R1705" s="19"/>
      <c r="S1705" s="19"/>
      <c r="T1705" s="19"/>
    </row>
    <row r="1706" spans="1:20" ht="13.2" x14ac:dyDescent="0.25">
      <c r="A1706" s="39"/>
      <c r="B1706" s="37"/>
      <c r="D1706" s="19"/>
      <c r="E1706" s="19"/>
      <c r="G1706" s="16"/>
      <c r="H1706" s="16"/>
      <c r="I1706" s="16"/>
      <c r="J1706" s="19"/>
      <c r="K1706" s="19"/>
      <c r="L1706" s="19"/>
      <c r="M1706" s="19"/>
      <c r="N1706" s="19"/>
      <c r="O1706" s="19"/>
      <c r="P1706" s="19"/>
      <c r="Q1706" s="19"/>
      <c r="R1706" s="19"/>
      <c r="S1706" s="19"/>
      <c r="T1706" s="19"/>
    </row>
    <row r="1707" spans="1:20" ht="13.2" x14ac:dyDescent="0.25">
      <c r="A1707" s="39"/>
      <c r="B1707" s="37"/>
      <c r="D1707" s="19"/>
      <c r="E1707" s="19"/>
      <c r="G1707" s="16"/>
      <c r="H1707" s="16"/>
      <c r="I1707" s="16"/>
      <c r="J1707" s="19"/>
      <c r="K1707" s="19"/>
      <c r="L1707" s="19"/>
      <c r="M1707" s="19"/>
      <c r="N1707" s="19"/>
      <c r="O1707" s="19"/>
      <c r="P1707" s="19"/>
      <c r="Q1707" s="19"/>
      <c r="R1707" s="19"/>
      <c r="S1707" s="19"/>
      <c r="T1707" s="19"/>
    </row>
    <row r="1708" spans="1:20" ht="13.2" x14ac:dyDescent="0.25">
      <c r="A1708" s="39"/>
      <c r="B1708" s="37"/>
      <c r="D1708" s="19"/>
      <c r="E1708" s="19"/>
      <c r="G1708" s="16"/>
      <c r="H1708" s="16"/>
      <c r="I1708" s="16"/>
      <c r="J1708" s="19"/>
      <c r="K1708" s="19"/>
      <c r="L1708" s="19"/>
      <c r="M1708" s="19"/>
      <c r="N1708" s="19"/>
      <c r="O1708" s="19"/>
      <c r="P1708" s="19"/>
      <c r="Q1708" s="19"/>
      <c r="R1708" s="19"/>
      <c r="S1708" s="19"/>
      <c r="T1708" s="19"/>
    </row>
    <row r="1709" spans="1:20" ht="13.2" x14ac:dyDescent="0.25">
      <c r="A1709" s="39"/>
      <c r="B1709" s="37"/>
      <c r="D1709" s="19"/>
      <c r="E1709" s="19"/>
      <c r="G1709" s="16"/>
      <c r="H1709" s="16"/>
      <c r="I1709" s="16"/>
      <c r="J1709" s="19"/>
      <c r="K1709" s="19"/>
      <c r="L1709" s="19"/>
      <c r="M1709" s="19"/>
      <c r="N1709" s="19"/>
      <c r="O1709" s="19"/>
      <c r="P1709" s="19"/>
      <c r="Q1709" s="19"/>
      <c r="R1709" s="19"/>
      <c r="S1709" s="19"/>
      <c r="T1709" s="19"/>
    </row>
    <row r="1710" spans="1:20" ht="13.2" x14ac:dyDescent="0.25">
      <c r="A1710" s="39"/>
      <c r="B1710" s="37"/>
      <c r="D1710" s="19"/>
      <c r="E1710" s="19"/>
      <c r="G1710" s="16"/>
      <c r="H1710" s="16"/>
      <c r="I1710" s="16"/>
      <c r="J1710" s="19"/>
      <c r="K1710" s="19"/>
      <c r="L1710" s="19"/>
      <c r="M1710" s="19"/>
      <c r="N1710" s="19"/>
      <c r="O1710" s="19"/>
      <c r="P1710" s="19"/>
      <c r="Q1710" s="19"/>
      <c r="R1710" s="19"/>
      <c r="S1710" s="19"/>
      <c r="T1710" s="19"/>
    </row>
    <row r="1711" spans="1:20" ht="13.2" x14ac:dyDescent="0.25">
      <c r="A1711" s="39"/>
      <c r="B1711" s="37"/>
      <c r="D1711" s="19"/>
      <c r="E1711" s="19"/>
      <c r="G1711" s="16"/>
      <c r="H1711" s="16"/>
      <c r="I1711" s="16"/>
      <c r="J1711" s="19"/>
      <c r="K1711" s="19"/>
      <c r="L1711" s="19"/>
      <c r="M1711" s="19"/>
      <c r="N1711" s="19"/>
      <c r="O1711" s="19"/>
      <c r="P1711" s="19"/>
      <c r="Q1711" s="19"/>
      <c r="R1711" s="19"/>
      <c r="S1711" s="19"/>
      <c r="T1711" s="19"/>
    </row>
    <row r="1712" spans="1:20" ht="13.2" x14ac:dyDescent="0.25">
      <c r="A1712" s="39"/>
      <c r="B1712" s="37"/>
      <c r="D1712" s="19"/>
      <c r="E1712" s="19"/>
      <c r="G1712" s="16"/>
      <c r="H1712" s="16"/>
      <c r="I1712" s="16"/>
      <c r="J1712" s="19"/>
      <c r="K1712" s="19"/>
      <c r="L1712" s="19"/>
      <c r="M1712" s="19"/>
      <c r="N1712" s="19"/>
      <c r="O1712" s="19"/>
      <c r="P1712" s="19"/>
      <c r="Q1712" s="19"/>
      <c r="R1712" s="19"/>
      <c r="S1712" s="19"/>
      <c r="T1712" s="19"/>
    </row>
    <row r="1713" spans="1:20" ht="13.2" x14ac:dyDescent="0.25">
      <c r="A1713" s="39"/>
      <c r="B1713" s="37"/>
      <c r="D1713" s="19"/>
      <c r="E1713" s="19"/>
      <c r="G1713" s="16"/>
      <c r="H1713" s="16"/>
      <c r="I1713" s="16"/>
      <c r="J1713" s="19"/>
      <c r="K1713" s="19"/>
      <c r="L1713" s="19"/>
      <c r="M1713" s="19"/>
      <c r="N1713" s="19"/>
      <c r="O1713" s="19"/>
      <c r="P1713" s="19"/>
      <c r="Q1713" s="19"/>
      <c r="R1713" s="19"/>
      <c r="S1713" s="19"/>
      <c r="T1713" s="19"/>
    </row>
    <row r="1714" spans="1:20" ht="13.2" x14ac:dyDescent="0.25">
      <c r="A1714" s="39"/>
      <c r="B1714" s="37"/>
      <c r="D1714" s="19"/>
      <c r="E1714" s="19"/>
      <c r="G1714" s="16"/>
      <c r="H1714" s="16"/>
      <c r="I1714" s="16"/>
      <c r="J1714" s="19"/>
      <c r="K1714" s="19"/>
      <c r="L1714" s="19"/>
      <c r="M1714" s="19"/>
      <c r="N1714" s="19"/>
      <c r="O1714" s="19"/>
      <c r="P1714" s="19"/>
      <c r="Q1714" s="19"/>
      <c r="R1714" s="19"/>
      <c r="S1714" s="19"/>
      <c r="T1714" s="19"/>
    </row>
    <row r="1715" spans="1:20" ht="13.2" x14ac:dyDescent="0.25">
      <c r="A1715" s="39"/>
      <c r="B1715" s="37"/>
      <c r="D1715" s="19"/>
      <c r="E1715" s="19"/>
      <c r="G1715" s="16"/>
      <c r="H1715" s="16"/>
      <c r="I1715" s="16"/>
      <c r="J1715" s="19"/>
      <c r="K1715" s="19"/>
      <c r="L1715" s="19"/>
      <c r="M1715" s="19"/>
      <c r="N1715" s="19"/>
      <c r="O1715" s="19"/>
      <c r="P1715" s="19"/>
      <c r="Q1715" s="19"/>
      <c r="R1715" s="19"/>
      <c r="S1715" s="19"/>
      <c r="T1715" s="19"/>
    </row>
    <row r="1716" spans="1:20" ht="13.2" x14ac:dyDescent="0.25">
      <c r="A1716" s="39"/>
      <c r="B1716" s="37"/>
      <c r="D1716" s="19"/>
      <c r="E1716" s="19"/>
      <c r="G1716" s="16"/>
      <c r="H1716" s="16"/>
      <c r="I1716" s="16"/>
      <c r="J1716" s="19"/>
      <c r="K1716" s="19"/>
      <c r="L1716" s="19"/>
      <c r="M1716" s="19"/>
      <c r="N1716" s="19"/>
      <c r="O1716" s="19"/>
      <c r="P1716" s="19"/>
      <c r="Q1716" s="19"/>
      <c r="R1716" s="19"/>
      <c r="S1716" s="19"/>
      <c r="T1716" s="19"/>
    </row>
    <row r="1717" spans="1:20" ht="13.2" x14ac:dyDescent="0.25">
      <c r="A1717" s="39"/>
      <c r="B1717" s="37"/>
      <c r="D1717" s="19"/>
      <c r="E1717" s="19"/>
      <c r="G1717" s="16"/>
      <c r="H1717" s="16"/>
      <c r="I1717" s="16"/>
      <c r="J1717" s="19"/>
      <c r="K1717" s="19"/>
      <c r="L1717" s="19"/>
      <c r="M1717" s="19"/>
      <c r="N1717" s="19"/>
      <c r="O1717" s="19"/>
      <c r="P1717" s="19"/>
      <c r="Q1717" s="19"/>
      <c r="R1717" s="19"/>
      <c r="S1717" s="19"/>
      <c r="T1717" s="19"/>
    </row>
    <row r="1718" spans="1:20" ht="13.2" x14ac:dyDescent="0.25">
      <c r="A1718" s="39"/>
      <c r="B1718" s="37"/>
      <c r="D1718" s="19"/>
      <c r="E1718" s="19"/>
      <c r="G1718" s="16"/>
      <c r="H1718" s="16"/>
      <c r="I1718" s="16"/>
      <c r="J1718" s="19"/>
      <c r="K1718" s="19"/>
      <c r="L1718" s="19"/>
      <c r="M1718" s="19"/>
      <c r="N1718" s="19"/>
      <c r="O1718" s="19"/>
      <c r="P1718" s="19"/>
      <c r="Q1718" s="19"/>
      <c r="R1718" s="19"/>
      <c r="S1718" s="19"/>
      <c r="T1718" s="19"/>
    </row>
    <row r="1719" spans="1:20" ht="13.2" x14ac:dyDescent="0.25">
      <c r="A1719" s="39"/>
      <c r="B1719" s="37"/>
      <c r="D1719" s="19"/>
      <c r="E1719" s="19"/>
      <c r="G1719" s="16"/>
      <c r="H1719" s="16"/>
      <c r="I1719" s="16"/>
      <c r="J1719" s="19"/>
      <c r="K1719" s="19"/>
      <c r="L1719" s="19"/>
      <c r="M1719" s="19"/>
      <c r="N1719" s="19"/>
      <c r="O1719" s="19"/>
      <c r="P1719" s="19"/>
      <c r="Q1719" s="19"/>
      <c r="R1719" s="19"/>
      <c r="S1719" s="19"/>
      <c r="T1719" s="19"/>
    </row>
    <row r="1720" spans="1:20" ht="13.2" x14ac:dyDescent="0.25">
      <c r="A1720" s="39"/>
      <c r="B1720" s="37"/>
      <c r="D1720" s="19"/>
      <c r="E1720" s="19"/>
      <c r="G1720" s="16"/>
      <c r="H1720" s="16"/>
      <c r="I1720" s="16"/>
      <c r="J1720" s="19"/>
      <c r="K1720" s="19"/>
      <c r="L1720" s="19"/>
      <c r="M1720" s="19"/>
      <c r="N1720" s="19"/>
      <c r="O1720" s="19"/>
      <c r="P1720" s="19"/>
      <c r="Q1720" s="19"/>
      <c r="R1720" s="19"/>
      <c r="S1720" s="19"/>
      <c r="T1720" s="19"/>
    </row>
    <row r="1721" spans="1:20" ht="13.2" x14ac:dyDescent="0.25">
      <c r="A1721" s="39"/>
      <c r="B1721" s="37"/>
      <c r="D1721" s="19"/>
      <c r="E1721" s="19"/>
      <c r="G1721" s="16"/>
      <c r="H1721" s="16"/>
      <c r="I1721" s="16"/>
      <c r="J1721" s="19"/>
      <c r="K1721" s="19"/>
      <c r="L1721" s="19"/>
      <c r="M1721" s="19"/>
      <c r="N1721" s="19"/>
      <c r="O1721" s="19"/>
      <c r="P1721" s="19"/>
      <c r="Q1721" s="19"/>
      <c r="R1721" s="19"/>
      <c r="S1721" s="19"/>
      <c r="T1721" s="19"/>
    </row>
    <row r="1722" spans="1:20" ht="13.2" x14ac:dyDescent="0.25">
      <c r="A1722" s="39"/>
      <c r="B1722" s="37"/>
      <c r="D1722" s="19"/>
      <c r="E1722" s="19"/>
      <c r="G1722" s="16"/>
      <c r="H1722" s="16"/>
      <c r="I1722" s="16"/>
      <c r="J1722" s="19"/>
      <c r="K1722" s="19"/>
      <c r="L1722" s="19"/>
      <c r="M1722" s="19"/>
      <c r="N1722" s="19"/>
      <c r="O1722" s="19"/>
      <c r="P1722" s="19"/>
      <c r="Q1722" s="19"/>
      <c r="R1722" s="19"/>
      <c r="S1722" s="19"/>
      <c r="T1722" s="19"/>
    </row>
    <row r="1723" spans="1:20" ht="13.2" x14ac:dyDescent="0.25">
      <c r="A1723" s="39"/>
      <c r="B1723" s="37"/>
      <c r="D1723" s="19"/>
      <c r="E1723" s="19"/>
      <c r="G1723" s="16"/>
      <c r="H1723" s="16"/>
      <c r="I1723" s="16"/>
      <c r="J1723" s="19"/>
      <c r="K1723" s="19"/>
      <c r="L1723" s="19"/>
      <c r="M1723" s="19"/>
      <c r="N1723" s="19"/>
      <c r="O1723" s="19"/>
      <c r="P1723" s="19"/>
      <c r="Q1723" s="19"/>
      <c r="R1723" s="19"/>
      <c r="S1723" s="19"/>
      <c r="T1723" s="19"/>
    </row>
    <row r="1724" spans="1:20" ht="13.2" x14ac:dyDescent="0.25">
      <c r="A1724" s="39"/>
      <c r="B1724" s="37"/>
      <c r="D1724" s="19"/>
      <c r="E1724" s="19"/>
      <c r="G1724" s="16"/>
      <c r="H1724" s="16"/>
      <c r="I1724" s="16"/>
      <c r="J1724" s="19"/>
      <c r="K1724" s="19"/>
      <c r="L1724" s="19"/>
      <c r="M1724" s="19"/>
      <c r="N1724" s="19"/>
      <c r="O1724" s="19"/>
      <c r="P1724" s="19"/>
      <c r="Q1724" s="19"/>
      <c r="R1724" s="19"/>
      <c r="S1724" s="19"/>
      <c r="T1724" s="19"/>
    </row>
    <row r="1725" spans="1:20" ht="13.2" x14ac:dyDescent="0.25">
      <c r="A1725" s="39"/>
      <c r="B1725" s="37"/>
      <c r="D1725" s="19"/>
      <c r="E1725" s="19"/>
      <c r="G1725" s="16"/>
      <c r="H1725" s="16"/>
      <c r="I1725" s="16"/>
      <c r="J1725" s="19"/>
      <c r="K1725" s="19"/>
      <c r="L1725" s="19"/>
      <c r="M1725" s="19"/>
      <c r="N1725" s="19"/>
      <c r="O1725" s="19"/>
      <c r="P1725" s="19"/>
      <c r="Q1725" s="19"/>
      <c r="R1725" s="19"/>
      <c r="S1725" s="19"/>
      <c r="T1725" s="19"/>
    </row>
    <row r="1726" spans="1:20" ht="13.2" x14ac:dyDescent="0.25">
      <c r="A1726" s="39"/>
      <c r="B1726" s="37"/>
      <c r="D1726" s="19"/>
      <c r="E1726" s="19"/>
      <c r="G1726" s="16"/>
      <c r="H1726" s="16"/>
      <c r="I1726" s="16"/>
      <c r="J1726" s="19"/>
      <c r="K1726" s="19"/>
      <c r="L1726" s="19"/>
      <c r="M1726" s="19"/>
      <c r="N1726" s="19"/>
      <c r="O1726" s="19"/>
      <c r="P1726" s="19"/>
      <c r="Q1726" s="19"/>
      <c r="R1726" s="19"/>
      <c r="S1726" s="19"/>
      <c r="T1726" s="19"/>
    </row>
    <row r="1727" spans="1:20" ht="13.2" x14ac:dyDescent="0.25">
      <c r="A1727" s="39"/>
      <c r="B1727" s="37"/>
      <c r="D1727" s="19"/>
      <c r="E1727" s="19"/>
      <c r="G1727" s="16"/>
      <c r="H1727" s="16"/>
      <c r="I1727" s="16"/>
      <c r="J1727" s="19"/>
      <c r="K1727" s="19"/>
      <c r="L1727" s="19"/>
      <c r="M1727" s="19"/>
      <c r="N1727" s="19"/>
      <c r="O1727" s="19"/>
      <c r="P1727" s="19"/>
      <c r="Q1727" s="19"/>
      <c r="R1727" s="19"/>
      <c r="S1727" s="19"/>
      <c r="T1727" s="19"/>
    </row>
    <row r="1728" spans="1:20" ht="13.2" x14ac:dyDescent="0.25">
      <c r="A1728" s="39"/>
      <c r="B1728" s="37"/>
      <c r="D1728" s="19"/>
      <c r="E1728" s="19"/>
      <c r="G1728" s="16"/>
      <c r="H1728" s="16"/>
      <c r="I1728" s="16"/>
      <c r="J1728" s="19"/>
      <c r="K1728" s="19"/>
      <c r="L1728" s="19"/>
      <c r="M1728" s="19"/>
      <c r="N1728" s="19"/>
      <c r="O1728" s="19"/>
      <c r="P1728" s="19"/>
      <c r="Q1728" s="19"/>
      <c r="R1728" s="19"/>
      <c r="S1728" s="19"/>
      <c r="T1728" s="19"/>
    </row>
    <row r="1729" spans="1:20" ht="13.2" x14ac:dyDescent="0.25">
      <c r="A1729" s="39"/>
      <c r="B1729" s="37"/>
      <c r="D1729" s="19"/>
      <c r="E1729" s="19"/>
      <c r="G1729" s="16"/>
      <c r="H1729" s="16"/>
      <c r="I1729" s="16"/>
      <c r="J1729" s="19"/>
      <c r="K1729" s="19"/>
      <c r="L1729" s="19"/>
      <c r="M1729" s="19"/>
      <c r="N1729" s="19"/>
      <c r="O1729" s="19"/>
      <c r="P1729" s="19"/>
      <c r="Q1729" s="19"/>
      <c r="R1729" s="19"/>
      <c r="S1729" s="19"/>
      <c r="T1729" s="19"/>
    </row>
    <row r="1730" spans="1:20" ht="13.2" x14ac:dyDescent="0.25">
      <c r="A1730" s="39"/>
      <c r="B1730" s="37"/>
      <c r="D1730" s="19"/>
      <c r="E1730" s="19"/>
      <c r="G1730" s="16"/>
      <c r="H1730" s="16"/>
      <c r="I1730" s="16"/>
      <c r="J1730" s="19"/>
      <c r="K1730" s="19"/>
      <c r="L1730" s="19"/>
      <c r="M1730" s="19"/>
      <c r="N1730" s="19"/>
      <c r="O1730" s="19"/>
      <c r="P1730" s="19"/>
      <c r="Q1730" s="19"/>
      <c r="R1730" s="19"/>
      <c r="S1730" s="19"/>
      <c r="T1730" s="19"/>
    </row>
    <row r="1731" spans="1:20" ht="13.2" x14ac:dyDescent="0.25">
      <c r="A1731" s="39"/>
      <c r="B1731" s="37"/>
      <c r="D1731" s="19"/>
      <c r="E1731" s="19"/>
      <c r="G1731" s="16"/>
      <c r="H1731" s="16"/>
      <c r="I1731" s="16"/>
      <c r="J1731" s="19"/>
      <c r="K1731" s="19"/>
      <c r="L1731" s="19"/>
      <c r="M1731" s="19"/>
      <c r="N1731" s="19"/>
      <c r="O1731" s="19"/>
      <c r="P1731" s="19"/>
      <c r="Q1731" s="19"/>
      <c r="R1731" s="19"/>
      <c r="S1731" s="19"/>
      <c r="T1731" s="19"/>
    </row>
    <row r="1732" spans="1:20" ht="13.2" x14ac:dyDescent="0.25">
      <c r="A1732" s="39"/>
      <c r="B1732" s="37"/>
      <c r="D1732" s="19"/>
      <c r="E1732" s="19"/>
      <c r="G1732" s="16"/>
      <c r="H1732" s="16"/>
      <c r="I1732" s="16"/>
      <c r="J1732" s="19"/>
      <c r="K1732" s="19"/>
      <c r="L1732" s="19"/>
      <c r="M1732" s="19"/>
      <c r="N1732" s="19"/>
      <c r="O1732" s="19"/>
      <c r="P1732" s="19"/>
      <c r="Q1732" s="19"/>
      <c r="R1732" s="19"/>
      <c r="S1732" s="19"/>
      <c r="T1732" s="1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L1614"/>
  <sheetViews>
    <sheetView workbookViewId="0"/>
  </sheetViews>
  <sheetFormatPr defaultColWidth="12.6640625" defaultRowHeight="15.75" customHeight="1" x14ac:dyDescent="0.25"/>
  <sheetData>
    <row r="1" spans="1:116" ht="15.75" customHeight="1" x14ac:dyDescent="0.25">
      <c r="A1" t="str">
        <f ca="1">IFERROR(__xludf.DUMMYFUNCTION("QUERY(Persons!A5:DL2116,""SELECT *"",1)"),"id")</f>
        <v>id</v>
      </c>
      <c r="B1" t="str">
        <f ca="1">IFERROR(__xludf.DUMMYFUNCTION("""COMPUTED_VALUE"""),"label")</f>
        <v>label</v>
      </c>
      <c r="C1" t="str">
        <f ca="1">IFERROR(__xludf.DUMMYFUNCTION("""COMPUTED_VALUE"""),"honorific_id")</f>
        <v>honorific_id</v>
      </c>
      <c r="D1" t="str">
        <f ca="1">IFERROR(__xludf.DUMMYFUNCTION("""COMPUTED_VALUE"""),"honorific_label")</f>
        <v>honorific_label</v>
      </c>
      <c r="E1" t="str">
        <f ca="1">IFERROR(__xludf.DUMMYFUNCTION("""COMPUTED_VALUE"""),"first_name")</f>
        <v>first_name</v>
      </c>
      <c r="F1" t="str">
        <f ca="1">IFERROR(__xludf.DUMMYFUNCTION("""COMPUTED_VALUE"""),"first_name_alternative")</f>
        <v>first_name_alternative</v>
      </c>
      <c r="G1" t="str">
        <f ca="1">IFERROR(__xludf.DUMMYFUNCTION("""COMPUTED_VALUE"""),"connector1")</f>
        <v>connector1</v>
      </c>
      <c r="H1" t="str">
        <f ca="1">IFERROR(__xludf.DUMMYFUNCTION("""COMPUTED_VALUE"""),"family_name")</f>
        <v>family_name</v>
      </c>
      <c r="I1" t="str">
        <f ca="1">IFERROR(__xludf.DUMMYFUNCTION("""COMPUTED_VALUE"""),"family_name_incl_connector")</f>
        <v>family_name_incl_connector</v>
      </c>
      <c r="J1" t="str">
        <f ca="1">IFERROR(__xludf.DUMMYFUNCTION("""COMPUTED_VALUE"""),"connector2")</f>
        <v>connector2</v>
      </c>
      <c r="K1" t="str">
        <f ca="1">IFERROR(__xludf.DUMMYFUNCTION("""COMPUTED_VALUE"""),"surname")</f>
        <v>surname</v>
      </c>
      <c r="L1" t="str">
        <f ca="1">IFERROR(__xludf.DUMMYFUNCTION("""COMPUTED_VALUE"""),"surname_incl_connector")</f>
        <v>surname_incl_connector</v>
      </c>
      <c r="M1" t="str">
        <f ca="1">IFERROR(__xludf.DUMMYFUNCTION("""COMPUTED_VALUE"""),"connector_patronym")</f>
        <v>connector_patronym</v>
      </c>
      <c r="N1" t="str">
        <f ca="1">IFERROR(__xludf.DUMMYFUNCTION("""COMPUTED_VALUE"""),"patronym")</f>
        <v>patronym</v>
      </c>
      <c r="O1" t="str">
        <f ca="1">IFERROR(__xludf.DUMMYFUNCTION("""COMPUTED_VALUE"""),"patronym_incl_connector")</f>
        <v>patronym_incl_connector</v>
      </c>
      <c r="P1" t="str">
        <f ca="1">IFERROR(__xludf.DUMMYFUNCTION("""COMPUTED_VALUE"""),"surname_alternative")</f>
        <v>surname_alternative</v>
      </c>
      <c r="Q1" t="str">
        <f ca="1">IFERROR(__xludf.DUMMYFUNCTION("""COMPUTED_VALUE"""),"identifier_other")</f>
        <v>identifier_other</v>
      </c>
      <c r="R1" t="str">
        <f ca="1">IFERROR(__xludf.DUMMYFUNCTION("""COMPUTED_VALUE"""),"senior_or_junior")</f>
        <v>senior_or_junior</v>
      </c>
      <c r="S1" t="str">
        <f ca="1">IFERROR(__xludf.DUMMYFUNCTION("""COMPUTED_VALUE"""),"label_language")</f>
        <v>label_language</v>
      </c>
      <c r="T1" t="str">
        <f ca="1">IFERROR(__xludf.DUMMYFUNCTION("""COMPUTED_VALUE"""),"entity_logical_type")</f>
        <v>entity_logical_type</v>
      </c>
      <c r="U1" t="str">
        <f ca="1">IFERROR(__xludf.DUMMYFUNCTION("""COMPUTED_VALUE"""),"sex_id")</f>
        <v>sex_id</v>
      </c>
      <c r="V1" t="str">
        <f ca="1">IFERROR(__xludf.DUMMYFUNCTION("""COMPUTED_VALUE"""),"sex_label")</f>
        <v>sex_label</v>
      </c>
      <c r="W1" t="str">
        <f ca="1">IFERROR(__xludf.DUMMYFUNCTION("""COMPUTED_VALUE"""),"order")</f>
        <v>order</v>
      </c>
      <c r="X1" t="str">
        <f ca="1">IFERROR(__xludf.DUMMYFUNCTION("""COMPUTED_VALUE"""),"order_id")</f>
        <v>order_id</v>
      </c>
      <c r="Y1" t="str">
        <f ca="1">IFERROR(__xludf.DUMMYFUNCTION("""COMPUTED_VALUE"""),"order_label")</f>
        <v>order_label</v>
      </c>
      <c r="Z1" t="str">
        <f ca="1">IFERROR(__xludf.DUMMYFUNCTION("""COMPUTED_VALUE"""),"pages_or_folios")</f>
        <v>pages_or_folios</v>
      </c>
      <c r="AA1" t="str">
        <f ca="1">IFERROR(__xludf.DUMMYFUNCTION("""COMPUTED_VALUE"""),"network")</f>
        <v>network</v>
      </c>
      <c r="AB1" t="str">
        <f ca="1">IFERROR(__xludf.DUMMYFUNCTION("""COMPUTED_VALUE"""),"role_in_the_process")</f>
        <v>role_in_the_process</v>
      </c>
      <c r="AC1" t="str">
        <f ca="1">IFERROR(__xludf.DUMMYFUNCTION("""COMPUTED_VALUE"""),"dead")</f>
        <v>dead</v>
      </c>
      <c r="AD1" t="str">
        <f ca="1">IFERROR(__xludf.DUMMYFUNCTION("""COMPUTED_VALUE"""),"dead_or_alive_id")</f>
        <v>dead_or_alive_id</v>
      </c>
      <c r="AE1" t="str">
        <f ca="1">IFERROR(__xludf.DUMMYFUNCTION("""COMPUTED_VALUE"""),"dead_or_alive_label")</f>
        <v>dead_or_alive_label</v>
      </c>
      <c r="AF1" t="str">
        <f ca="1">IFERROR(__xludf.DUMMYFUNCTION("""COMPUTED_VALUE"""),"dead_or_alive_temporal_rel_type")</f>
        <v>dead_or_alive_temporal_rel_type</v>
      </c>
      <c r="AG1" t="str">
        <f ca="1">IFERROR(__xludf.DUMMYFUNCTION("""COMPUTED_VALUE"""),"dead_or_alive_temporal_rel_value")</f>
        <v>dead_or_alive_temporal_rel_value</v>
      </c>
      <c r="AH1" t="str">
        <f ca="1">IFERROR(__xludf.DUMMYFUNCTION("""COMPUTED_VALUE"""),"relations_1_type_id")</f>
        <v>relations_1_type_id</v>
      </c>
      <c r="AI1" t="str">
        <f ca="1">IFERROR(__xludf.DUMMYFUNCTION("""COMPUTED_VALUE"""),"relations_1_type_label")</f>
        <v>relations_1_type_label</v>
      </c>
      <c r="AJ1" t="str">
        <f ca="1">IFERROR(__xludf.DUMMYFUNCTION("""COMPUTED_VALUE"""),"relations_1_value_id")</f>
        <v>relations_1_value_id</v>
      </c>
      <c r="AK1" t="str">
        <f ca="1">IFERROR(__xludf.DUMMYFUNCTION("""COMPUTED_VALUE"""),"relations_1_value_label")</f>
        <v>relations_1_value_label</v>
      </c>
      <c r="AL1" t="str">
        <f ca="1">IFERROR(__xludf.DUMMYFUNCTION("""COMPUTED_VALUE"""),"relations_2_type_id")</f>
        <v>relations_2_type_id</v>
      </c>
      <c r="AM1" t="str">
        <f ca="1">IFERROR(__xludf.DUMMYFUNCTION("""COMPUTED_VALUE"""),"relations_2_type_label")</f>
        <v>relations_2_type_label</v>
      </c>
      <c r="AN1" t="str">
        <f ca="1">IFERROR(__xludf.DUMMYFUNCTION("""COMPUTED_VALUE"""),"relations_2_value_id")</f>
        <v>relations_2_value_id</v>
      </c>
      <c r="AO1" t="str">
        <f ca="1">IFERROR(__xludf.DUMMYFUNCTION("""COMPUTED_VALUE"""),"relations_2_value_label")</f>
        <v>relations_2_value_label</v>
      </c>
      <c r="AP1" t="str">
        <f ca="1">IFERROR(__xludf.DUMMYFUNCTION("""COMPUTED_VALUE"""),"relations_3_type_id")</f>
        <v>relations_3_type_id</v>
      </c>
      <c r="AQ1" t="str">
        <f ca="1">IFERROR(__xludf.DUMMYFUNCTION("""COMPUTED_VALUE"""),"relations_3_type_label")</f>
        <v>relations_3_type_label</v>
      </c>
      <c r="AR1" t="str">
        <f ca="1">IFERROR(__xludf.DUMMYFUNCTION("""COMPUTED_VALUE"""),"relations_3_value_id")</f>
        <v>relations_3_value_id</v>
      </c>
      <c r="AS1" t="str">
        <f ca="1">IFERROR(__xludf.DUMMYFUNCTION("""COMPUTED_VALUE"""),"relations_3_value_label")</f>
        <v>relations_3_value_label</v>
      </c>
      <c r="AT1" t="str">
        <f ca="1">IFERROR(__xludf.DUMMYFUNCTION("""COMPUTED_VALUE"""),"relations_4_type_id")</f>
        <v>relations_4_type_id</v>
      </c>
      <c r="AU1" t="str">
        <f ca="1">IFERROR(__xludf.DUMMYFUNCTION("""COMPUTED_VALUE"""),"relations_4_type_label")</f>
        <v>relations_4_type_label</v>
      </c>
      <c r="AV1" t="str">
        <f ca="1">IFERROR(__xludf.DUMMYFUNCTION("""COMPUTED_VALUE"""),"relations_4_value_id")</f>
        <v>relations_4_value_id</v>
      </c>
      <c r="AW1" t="str">
        <f ca="1">IFERROR(__xludf.DUMMYFUNCTION("""COMPUTED_VALUE"""),"relations_4_value_label")</f>
        <v>relations_4_value_label</v>
      </c>
      <c r="AX1" t="str">
        <f ca="1">IFERROR(__xludf.DUMMYFUNCTION("""COMPUTED_VALUE"""),"relations_5_type_id")</f>
        <v>relations_5_type_id</v>
      </c>
      <c r="AY1" t="str">
        <f ca="1">IFERROR(__xludf.DUMMYFUNCTION("""COMPUTED_VALUE"""),"relations_5_type_label")</f>
        <v>relations_5_type_label</v>
      </c>
      <c r="AZ1" t="str">
        <f ca="1">IFERROR(__xludf.DUMMYFUNCTION("""COMPUTED_VALUE"""),"relations_5_value_id")</f>
        <v>relations_5_value_id</v>
      </c>
      <c r="BA1" t="str">
        <f ca="1">IFERROR(__xludf.DUMMYFUNCTION("""COMPUTED_VALUE"""),"relations_5_value_label")</f>
        <v>relations_5_value_label</v>
      </c>
      <c r="BB1" t="str">
        <f ca="1">IFERROR(__xludf.DUMMYFUNCTION("""COMPUTED_VALUE"""),"relations_6_type_id")</f>
        <v>relations_6_type_id</v>
      </c>
      <c r="BC1" t="str">
        <f ca="1">IFERROR(__xludf.DUMMYFUNCTION("""COMPUTED_VALUE"""),"relations_6_type_label")</f>
        <v>relations_6_type_label</v>
      </c>
      <c r="BD1" t="str">
        <f ca="1">IFERROR(__xludf.DUMMYFUNCTION("""COMPUTED_VALUE"""),"relations_6_value_id")</f>
        <v>relations_6_value_id</v>
      </c>
      <c r="BE1" t="str">
        <f ca="1">IFERROR(__xludf.DUMMYFUNCTION("""COMPUTED_VALUE"""),"relations_6_value_label")</f>
        <v>relations_6_value_label</v>
      </c>
      <c r="BF1" t="str">
        <f ca="1">IFERROR(__xludf.DUMMYFUNCTION("""COMPUTED_VALUE"""),"relations_7_type_id")</f>
        <v>relations_7_type_id</v>
      </c>
      <c r="BG1" t="str">
        <f ca="1">IFERROR(__xludf.DUMMYFUNCTION("""COMPUTED_VALUE"""),"relations_7_type_label")</f>
        <v>relations_7_type_label</v>
      </c>
      <c r="BH1" t="str">
        <f ca="1">IFERROR(__xludf.DUMMYFUNCTION("""COMPUTED_VALUE"""),"relations_7_value_id")</f>
        <v>relations_7_value_id</v>
      </c>
      <c r="BI1" t="str">
        <f ca="1">IFERROR(__xludf.DUMMYFUNCTION("""COMPUTED_VALUE"""),"relations_7_value_label")</f>
        <v>relations_7_value_label</v>
      </c>
      <c r="BJ1" t="str">
        <f ca="1">IFERROR(__xludf.DUMMYFUNCTION("""COMPUTED_VALUE"""),"relations_8_type_id")</f>
        <v>relations_8_type_id</v>
      </c>
      <c r="BK1" t="str">
        <f ca="1">IFERROR(__xludf.DUMMYFUNCTION("""COMPUTED_VALUE"""),"relations_8_type_label")</f>
        <v>relations_8_type_label</v>
      </c>
      <c r="BL1" t="str">
        <f ca="1">IFERROR(__xludf.DUMMYFUNCTION("""COMPUTED_VALUE"""),"relations_8_value_id")</f>
        <v>relations_8_value_id</v>
      </c>
      <c r="BM1" t="str">
        <f ca="1">IFERROR(__xludf.DUMMYFUNCTION("""COMPUTED_VALUE"""),"relations_8_value_label")</f>
        <v>relations_8_value_label</v>
      </c>
      <c r="BN1" t="str">
        <f ca="1">IFERROR(__xludf.DUMMYFUNCTION("""COMPUTED_VALUE"""),"relations_9_type_id")</f>
        <v>relations_9_type_id</v>
      </c>
      <c r="BO1" t="str">
        <f ca="1">IFERROR(__xludf.DUMMYFUNCTION("""COMPUTED_VALUE"""),"relations_9_type_label")</f>
        <v>relations_9_type_label</v>
      </c>
      <c r="BP1" t="str">
        <f ca="1">IFERROR(__xludf.DUMMYFUNCTION("""COMPUTED_VALUE"""),"relations_9_value_id")</f>
        <v>relations_9_value_id</v>
      </c>
      <c r="BQ1" t="str">
        <f ca="1">IFERROR(__xludf.DUMMYFUNCTION("""COMPUTED_VALUE"""),"relations_9_value_label")</f>
        <v>relations_9_value_label</v>
      </c>
      <c r="BR1" t="str">
        <f ca="1">IFERROR(__xludf.DUMMYFUNCTION("""COMPUTED_VALUE"""),"relations_10_type_id")</f>
        <v>relations_10_type_id</v>
      </c>
      <c r="BS1" t="str">
        <f ca="1">IFERROR(__xludf.DUMMYFUNCTION("""COMPUTED_VALUE"""),"relations_10_type_label")</f>
        <v>relations_10_type_label</v>
      </c>
      <c r="BT1" t="str">
        <f ca="1">IFERROR(__xludf.DUMMYFUNCTION("""COMPUTED_VALUE"""),"relations_10_value_id")</f>
        <v>relations_10_value_id</v>
      </c>
      <c r="BU1" t="str">
        <f ca="1">IFERROR(__xludf.DUMMYFUNCTION("""COMPUTED_VALUE"""),"relations_10_value_label")</f>
        <v>relations_10_value_label</v>
      </c>
      <c r="BV1" t="str">
        <f ca="1">IFERROR(__xludf.DUMMYFUNCTION("""COMPUTED_VALUE"""),"relations_11_type_id")</f>
        <v>relations_11_type_id</v>
      </c>
      <c r="BW1" t="str">
        <f ca="1">IFERROR(__xludf.DUMMYFUNCTION("""COMPUTED_VALUE"""),"relations_11_type_label")</f>
        <v>relations_11_type_label</v>
      </c>
      <c r="BX1" t="str">
        <f ca="1">IFERROR(__xludf.DUMMYFUNCTION("""COMPUTED_VALUE"""),"relations_11_value_id")</f>
        <v>relations_11_value_id</v>
      </c>
      <c r="BY1" t="str">
        <f ca="1">IFERROR(__xludf.DUMMYFUNCTION("""COMPUTED_VALUE"""),"relations_11_value_label")</f>
        <v>relations_11_value_label</v>
      </c>
      <c r="BZ1" t="str">
        <f ca="1">IFERROR(__xludf.DUMMYFUNCTION("""COMPUTED_VALUE"""),"relations_12_type_id")</f>
        <v>relations_12_type_id</v>
      </c>
      <c r="CA1" t="str">
        <f ca="1">IFERROR(__xludf.DUMMYFUNCTION("""COMPUTED_VALUE"""),"relations_12_type_label")</f>
        <v>relations_12_type_label</v>
      </c>
      <c r="CB1" t="str">
        <f ca="1">IFERROR(__xludf.DUMMYFUNCTION("""COMPUTED_VALUE"""),"relations_12_value_id")</f>
        <v>relations_12_value_id</v>
      </c>
      <c r="CC1" t="str">
        <f ca="1">IFERROR(__xludf.DUMMYFUNCTION("""COMPUTED_VALUE"""),"relations_12_value_label")</f>
        <v>relations_12_value_label</v>
      </c>
      <c r="CD1" t="str">
        <f ca="1">IFERROR(__xludf.DUMMYFUNCTION("""COMPUTED_VALUE"""),"relations_13_type_id")</f>
        <v>relations_13_type_id</v>
      </c>
      <c r="CE1" t="str">
        <f ca="1">IFERROR(__xludf.DUMMYFUNCTION("""COMPUTED_VALUE"""),"relations_13_type_label")</f>
        <v>relations_13_type_label</v>
      </c>
      <c r="CF1" t="str">
        <f ca="1">IFERROR(__xludf.DUMMYFUNCTION("""COMPUTED_VALUE"""),"relations_13_value_id")</f>
        <v>relations_13_value_id</v>
      </c>
      <c r="CG1" t="str">
        <f ca="1">IFERROR(__xludf.DUMMYFUNCTION("""COMPUTED_VALUE"""),"relations_13_value_label")</f>
        <v>relations_13_value_label</v>
      </c>
      <c r="CH1" t="str">
        <f ca="1">IFERROR(__xludf.DUMMYFUNCTION("""COMPUTED_VALUE"""),"guarantors_id")</f>
        <v>guarantors_id</v>
      </c>
      <c r="CI1" t="str">
        <f ca="1">IFERROR(__xludf.DUMMYFUNCTION("""COMPUTED_VALUE"""),"guarantors_label")</f>
        <v>guarantors_label</v>
      </c>
      <c r="CJ1" t="str">
        <f ca="1">IFERROR(__xludf.DUMMYFUNCTION("""COMPUTED_VALUE"""),"introducers_id")</f>
        <v>introducers_id</v>
      </c>
      <c r="CK1" t="str">
        <f ca="1">IFERROR(__xludf.DUMMYFUNCTION("""COMPUTED_VALUE"""),"introducers_label")</f>
        <v>introducers_label</v>
      </c>
      <c r="CL1" t="str">
        <f ca="1">IFERROR(__xludf.DUMMYFUNCTION("""COMPUTED_VALUE"""),"connector1_alternative")</f>
        <v>connector1_alternative</v>
      </c>
      <c r="CM1" t="str">
        <f ca="1">IFERROR(__xludf.DUMMYFUNCTION("""COMPUTED_VALUE"""),"family_name_alternative")</f>
        <v>family_name_alternative</v>
      </c>
      <c r="CN1" t="str">
        <f ca="1">IFERROR(__xludf.DUMMYFUNCTION("""COMPUTED_VALUE"""),"connector2_alternative")</f>
        <v>connector2_alternative</v>
      </c>
      <c r="CO1" t="str">
        <f ca="1">IFERROR(__xludf.DUMMYFUNCTION("""COMPUTED_VALUE"""),"another_surname_alternative")</f>
        <v>another_surname_alternative</v>
      </c>
      <c r="CP1" t="str">
        <f ca="1">IFERROR(__xludf.DUMMYFUNCTION("""COMPUTED_VALUE"""),"identifier_other_alternative")</f>
        <v>identifier_other_alternative</v>
      </c>
      <c r="CQ1" t="str">
        <f ca="1">IFERROR(__xludf.DUMMYFUNCTION("""COMPUTED_VALUE"""),"nickname")</f>
        <v>nickname</v>
      </c>
      <c r="CR1" t="str">
        <f ca="1">IFERROR(__xludf.DUMMYFUNCTION("""COMPUTED_VALUE"""),"origin_or_residence_id")</f>
        <v>origin_or_residence_id</v>
      </c>
      <c r="CS1" t="str">
        <f ca="1">IFERROR(__xludf.DUMMYFUNCTION("""COMPUTED_VALUE"""),"origin_or_residence_label")</f>
        <v>origin_or_residence_label</v>
      </c>
      <c r="CT1" t="str">
        <f ca="1">IFERROR(__xludf.DUMMYFUNCTION("""COMPUTED_VALUE"""),"origin_id")</f>
        <v>origin_id</v>
      </c>
      <c r="CU1" t="str">
        <f ca="1">IFERROR(__xludf.DUMMYFUNCTION("""COMPUTED_VALUE"""),"origin_label")</f>
        <v>origin_label</v>
      </c>
      <c r="CV1" t="str">
        <f ca="1">IFERROR(__xludf.DUMMYFUNCTION("""COMPUTED_VALUE"""),"residence_id")</f>
        <v>residence_id</v>
      </c>
      <c r="CW1" t="str">
        <f ca="1">IFERROR(__xludf.DUMMYFUNCTION("""COMPUTED_VALUE"""),"residence_label")</f>
        <v>residence_label</v>
      </c>
      <c r="CX1" t="str">
        <f ca="1">IFERROR(__xludf.DUMMYFUNCTION("""COMPUTED_VALUE"""),"occupation_or_office_id")</f>
        <v>occupation_or_office_id</v>
      </c>
      <c r="CY1" t="str">
        <f ca="1">IFERROR(__xludf.DUMMYFUNCTION("""COMPUTED_VALUE"""),"occupation_or_office_label")</f>
        <v>occupation_or_office_label</v>
      </c>
      <c r="CZ1" t="str">
        <f ca="1">IFERROR(__xludf.DUMMYFUNCTION("""COMPUTED_VALUE"""),"occupation_general")</f>
        <v>occupation_general</v>
      </c>
      <c r="DA1" t="str">
        <f ca="1">IFERROR(__xludf.DUMMYFUNCTION("""COMPUTED_VALUE"""),"occupation_type")</f>
        <v>occupation_type</v>
      </c>
      <c r="DB1" t="str">
        <f ca="1">IFERROR(__xludf.DUMMYFUNCTION("""COMPUTED_VALUE"""),"occupation_id")</f>
        <v>occupation_id</v>
      </c>
      <c r="DC1" t="str">
        <f ca="1">IFERROR(__xludf.DUMMYFUNCTION("""COMPUTED_VALUE"""),"occupation_label")</f>
        <v>occupation_label</v>
      </c>
      <c r="DD1" t="str">
        <f ca="1">IFERROR(__xludf.DUMMYFUNCTION("""COMPUTED_VALUE"""),"office_id")</f>
        <v>office_id</v>
      </c>
      <c r="DE1" t="str">
        <f ca="1">IFERROR(__xludf.DUMMYFUNCTION("""COMPUTED_VALUE"""),"office_label")</f>
        <v>office_label</v>
      </c>
      <c r="DF1" t="str">
        <f ca="1">IFERROR(__xludf.DUMMYFUNCTION("""COMPUTED_VALUE"""),"deponent")</f>
        <v>deponent</v>
      </c>
      <c r="DG1" t="str">
        <f ca="1">IFERROR(__xludf.DUMMYFUNCTION("""COMPUTED_VALUE"""),"own_deposition_folios")</f>
        <v>own_deposition_folios</v>
      </c>
      <c r="DH1" t="str">
        <f ca="1">IFERROR(__xludf.DUMMYFUNCTION("""COMPUTED_VALUE"""),"congregations")</f>
        <v>congregations</v>
      </c>
      <c r="DI1" t="str">
        <f ca="1">IFERROR(__xludf.DUMMYFUNCTION("""COMPUTED_VALUE"""),"cong_locations")</f>
        <v>cong_locations</v>
      </c>
      <c r="DJ1" t="str">
        <f ca="1">IFERROR(__xludf.DUMMYFUNCTION("""COMPUTED_VALUE"""),"cong_settlements")</f>
        <v>cong_settlements</v>
      </c>
      <c r="DK1" t="str">
        <f ca="1">IFERROR(__xludf.DUMMYFUNCTION("""COMPUTED_VALUE"""),"note")</f>
        <v>note</v>
      </c>
      <c r="DL1" t="str">
        <f ca="1">IFERROR(__xludf.DUMMYFUNCTION("""COMPUTED_VALUE"""),"editor")</f>
        <v>editor</v>
      </c>
    </row>
    <row r="2" spans="1:116" ht="15.75" customHeight="1" x14ac:dyDescent="0.25">
      <c r="A2" t="str">
        <f ca="1">IFERROR(__xludf.DUMMYFUNCTION("""COMPUTED_VALUE"""),"P0001")</f>
        <v>P0001</v>
      </c>
      <c r="B2" t="str">
        <f ca="1">IFERROR(__xludf.DUMMYFUNCTION("""COMPUTED_VALUE"""),"Albertus de Castellario")</f>
        <v>Albertus de Castellario</v>
      </c>
      <c r="D2" t="str">
        <f ca="1">IFERROR(__xludf.DUMMYFUNCTION("""COMPUTED_VALUE"""),"#VALUE!")</f>
        <v>#VALUE!</v>
      </c>
      <c r="E2" t="str">
        <f ca="1">IFERROR(__xludf.DUMMYFUNCTION("""COMPUTED_VALUE"""),"Albertus")</f>
        <v>Albertus</v>
      </c>
      <c r="J2" t="str">
        <f ca="1">IFERROR(__xludf.DUMMYFUNCTION("""COMPUTED_VALUE"""),"de")</f>
        <v>de</v>
      </c>
      <c r="K2" t="str">
        <f ca="1">IFERROR(__xludf.DUMMYFUNCTION("""COMPUTED_VALUE"""),"Castellario")</f>
        <v>Castellario</v>
      </c>
      <c r="L2" t="str">
        <f ca="1">IFERROR(__xludf.DUMMYFUNCTION("""COMPUTED_VALUE"""),"de Castellario")</f>
        <v>de Castellario</v>
      </c>
      <c r="S2" t="str">
        <f ca="1">IFERROR(__xludf.DUMMYFUNCTION("""COMPUTED_VALUE"""),"Latin")</f>
        <v>Latin</v>
      </c>
      <c r="T2" t="str">
        <f ca="1">IFERROR(__xludf.DUMMYFUNCTION("""COMPUTED_VALUE"""),"definite")</f>
        <v>definite</v>
      </c>
      <c r="U2" t="str">
        <f ca="1">IFERROR(__xludf.DUMMYFUNCTION("""COMPUTED_VALUE"""),"C2553")</f>
        <v>C2553</v>
      </c>
      <c r="V2" t="str">
        <f ca="1">IFERROR(__xludf.DUMMYFUNCTION("""COMPUTED_VALUE"""),"male")</f>
        <v>male</v>
      </c>
      <c r="W2" t="str">
        <f ca="1">IFERROR(__xludf.DUMMYFUNCTION("""COMPUTED_VALUE"""),"OP")</f>
        <v>OP</v>
      </c>
      <c r="X2" t="str">
        <f ca="1">IFERROR(__xludf.DUMMYFUNCTION("""COMPUTED_VALUE"""),"C0059")</f>
        <v>C0059</v>
      </c>
      <c r="Y2" t="str">
        <f ca="1">IFERROR(__xludf.DUMMYFUNCTION("""COMPUTED_VALUE"""),"Ordo predicatorum")</f>
        <v>Ordo predicatorum</v>
      </c>
      <c r="Z2" t="str">
        <f ca="1">IFERROR(__xludf.DUMMYFUNCTION("""COMPUTED_VALUE"""),"163, 172, 173, 176, 179, 180, 183, 185, 186, 188, 191, 192, 194, 195, 197, 199, 200, 201, 202, 203, 204, 205, 206, 207, 208, 209, 210, 211, 212, 213, 214, 215, 216, 217, 218, 219, 220, 221, 224, 225, 227, 228, 229, 230, 231, 233, 234, 235, 236, 237, 251")</f>
        <v>163, 172, 173, 176, 179, 180, 183, 185, 186, 188, 191, 192, 194, 195, 197, 199, 200, 201, 202, 203, 204, 205, 206, 207, 208, 209, 210, 211, 212, 213, 214, 215, 216, 217, 218, 219, 220, 221, 224, 225, 227, 228, 229, 230, 231, 233, 234, 235, 236, 237, 251</v>
      </c>
      <c r="AA2" t="str">
        <f ca="1">IFERROR(__xludf.DUMMYFUNCTION("""COMPUTED_VALUE"""),"i")</f>
        <v>i</v>
      </c>
      <c r="AB2" t="str">
        <f ca="1">IFERROR(__xludf.DUMMYFUNCTION("""COMPUTED_VALUE"""),"inquisitor")</f>
        <v>inquisitor</v>
      </c>
      <c r="AD2" t="str">
        <f ca="1">IFERROR(__xludf.DUMMYFUNCTION("""COMPUTED_VALUE"""),"C3287")</f>
        <v>C3287</v>
      </c>
      <c r="AE2" t="str">
        <f ca="1">IFERROR(__xludf.DUMMYFUNCTION("""COMPUTED_VALUE"""),"alive")</f>
        <v>alive</v>
      </c>
      <c r="AF2" t="str">
        <f ca="1">IFERROR(__xludf.DUMMYFUNCTION("""COMPUTED_VALUE"""),"C1753")</f>
        <v>C1753</v>
      </c>
      <c r="AG2" t="str">
        <f ca="1">IFERROR(__xludf.DUMMYFUNCTION("""COMPUTED_VALUE"""),"1335-01-20")</f>
        <v>1335-01-20</v>
      </c>
      <c r="AI2" t="str">
        <f ca="1">IFERROR(__xludf.DUMMYFUNCTION("""COMPUTED_VALUE"""),"#VALUE!")</f>
        <v>#VALUE!</v>
      </c>
      <c r="AK2" t="str">
        <f ca="1">IFERROR(__xludf.DUMMYFUNCTION("""COMPUTED_VALUE"""),"#VALUE!")</f>
        <v>#VALUE!</v>
      </c>
      <c r="AM2" t="str">
        <f ca="1">IFERROR(__xludf.DUMMYFUNCTION("""COMPUTED_VALUE"""),"#VALUE!")</f>
        <v>#VALUE!</v>
      </c>
      <c r="AO2" t="str">
        <f ca="1">IFERROR(__xludf.DUMMYFUNCTION("""COMPUTED_VALUE"""),"#VALUE!")</f>
        <v>#VALUE!</v>
      </c>
      <c r="AQ2" t="str">
        <f ca="1">IFERROR(__xludf.DUMMYFUNCTION("""COMPUTED_VALUE"""),"#VALUE!")</f>
        <v>#VALUE!</v>
      </c>
      <c r="AS2" t="str">
        <f ca="1">IFERROR(__xludf.DUMMYFUNCTION("""COMPUTED_VALUE"""),"#VALUE!")</f>
        <v>#VALUE!</v>
      </c>
      <c r="AU2" t="str">
        <f ca="1">IFERROR(__xludf.DUMMYFUNCTION("""COMPUTED_VALUE"""),"#VALUE!")</f>
        <v>#VALUE!</v>
      </c>
      <c r="AW2" t="str">
        <f ca="1">IFERROR(__xludf.DUMMYFUNCTION("""COMPUTED_VALUE"""),"#VALUE!")</f>
        <v>#VALUE!</v>
      </c>
      <c r="AY2" t="str">
        <f ca="1">IFERROR(__xludf.DUMMYFUNCTION("""COMPUTED_VALUE"""),"#VALUE!")</f>
        <v>#VALUE!</v>
      </c>
      <c r="BA2" t="str">
        <f ca="1">IFERROR(__xludf.DUMMYFUNCTION("""COMPUTED_VALUE"""),"#VALUE!")</f>
        <v>#VALUE!</v>
      </c>
      <c r="BC2" t="str">
        <f ca="1">IFERROR(__xludf.DUMMYFUNCTION("""COMPUTED_VALUE"""),"#VALUE!")</f>
        <v>#VALUE!</v>
      </c>
      <c r="BE2" t="str">
        <f ca="1">IFERROR(__xludf.DUMMYFUNCTION("""COMPUTED_VALUE"""),"#VALUE!")</f>
        <v>#VALUE!</v>
      </c>
      <c r="BG2" t="str">
        <f ca="1">IFERROR(__xludf.DUMMYFUNCTION("""COMPUTED_VALUE"""),"#VALUE!")</f>
        <v>#VALUE!</v>
      </c>
      <c r="BI2" t="str">
        <f ca="1">IFERROR(__xludf.DUMMYFUNCTION("""COMPUTED_VALUE"""),"#VALUE!")</f>
        <v>#VALUE!</v>
      </c>
      <c r="BK2" t="str">
        <f ca="1">IFERROR(__xludf.DUMMYFUNCTION("""COMPUTED_VALUE"""),"#VALUE!")</f>
        <v>#VALUE!</v>
      </c>
      <c r="BM2" t="str">
        <f ca="1">IFERROR(__xludf.DUMMYFUNCTION("""COMPUTED_VALUE"""),"#VALUE!")</f>
        <v>#VALUE!</v>
      </c>
      <c r="BO2" t="str">
        <f ca="1">IFERROR(__xludf.DUMMYFUNCTION("""COMPUTED_VALUE"""),"#VALUE!")</f>
        <v>#VALUE!</v>
      </c>
      <c r="BQ2" t="str">
        <f ca="1">IFERROR(__xludf.DUMMYFUNCTION("""COMPUTED_VALUE"""),"#VALUE!")</f>
        <v>#VALUE!</v>
      </c>
      <c r="BS2" t="str">
        <f ca="1">IFERROR(__xludf.DUMMYFUNCTION("""COMPUTED_VALUE"""),"#VALUE!")</f>
        <v>#VALUE!</v>
      </c>
      <c r="BU2" t="str">
        <f ca="1">IFERROR(__xludf.DUMMYFUNCTION("""COMPUTED_VALUE"""),"#VALUE!")</f>
        <v>#VALUE!</v>
      </c>
      <c r="BW2" t="str">
        <f ca="1">IFERROR(__xludf.DUMMYFUNCTION("""COMPUTED_VALUE"""),"#VALUE!")</f>
        <v>#VALUE!</v>
      </c>
      <c r="BY2" t="str">
        <f ca="1">IFERROR(__xludf.DUMMYFUNCTION("""COMPUTED_VALUE"""),"#VALUE!")</f>
        <v>#VALUE!</v>
      </c>
      <c r="CA2" t="str">
        <f ca="1">IFERROR(__xludf.DUMMYFUNCTION("""COMPUTED_VALUE"""),"#VALUE!")</f>
        <v>#VALUE!</v>
      </c>
      <c r="CC2" t="str">
        <f ca="1">IFERROR(__xludf.DUMMYFUNCTION("""COMPUTED_VALUE"""),"#VALUE!")</f>
        <v>#VALUE!</v>
      </c>
      <c r="CE2" t="str">
        <f ca="1">IFERROR(__xludf.DUMMYFUNCTION("""COMPUTED_VALUE"""),"#VALUE!")</f>
        <v>#VALUE!</v>
      </c>
      <c r="CG2" t="str">
        <f ca="1">IFERROR(__xludf.DUMMYFUNCTION("""COMPUTED_VALUE"""),"#VALUE!")</f>
        <v>#VALUE!</v>
      </c>
      <c r="CI2" t="str">
        <f ca="1">IFERROR(__xludf.DUMMYFUNCTION("""COMPUTED_VALUE"""),"#VALUE!")</f>
        <v>#VALUE!</v>
      </c>
      <c r="CK2" t="str">
        <f ca="1">IFERROR(__xludf.DUMMYFUNCTION("""COMPUTED_VALUE"""),"#VALUE!")</f>
        <v>#VALUE!</v>
      </c>
      <c r="CS2" t="str">
        <f ca="1">IFERROR(__xludf.DUMMYFUNCTION("""COMPUTED_VALUE"""),"#VALUE!")</f>
        <v>#VALUE!</v>
      </c>
      <c r="CT2" t="str">
        <f ca="1">IFERROR(__xludf.DUMMYFUNCTION("""COMPUTED_VALUE"""),"L0040")</f>
        <v>L0040</v>
      </c>
      <c r="CU2" t="str">
        <f ca="1">IFERROR(__xludf.DUMMYFUNCTION("""COMPUTED_VALUE"""),"Cuneo")</f>
        <v>Cuneo</v>
      </c>
      <c r="CW2" t="str">
        <f ca="1">IFERROR(__xludf.DUMMYFUNCTION("""COMPUTED_VALUE"""),"#VALUE!")</f>
        <v>#VALUE!</v>
      </c>
      <c r="CX2" t="str">
        <f ca="1">IFERROR(__xludf.DUMMYFUNCTION("""COMPUTED_VALUE"""),"C0072")</f>
        <v>C0072</v>
      </c>
      <c r="CY2" t="str">
        <f ca="1">IFERROR(__xludf.DUMMYFUNCTION("""COMPUTED_VALUE"""),"inquisitor heretice pravitatis")</f>
        <v>inquisitor heretice pravitatis</v>
      </c>
      <c r="DA2" t="str">
        <f ca="1">IFERROR(__xludf.DUMMYFUNCTION("""COMPUTED_VALUE"""),"churchperson")</f>
        <v>churchperson</v>
      </c>
      <c r="DB2" t="str">
        <f ca="1">IFERROR(__xludf.DUMMYFUNCTION("""COMPUTED_VALUE"""),"C0359")</f>
        <v>C0359</v>
      </c>
      <c r="DC2" t="str">
        <f ca="1">IFERROR(__xludf.DUMMYFUNCTION("""COMPUTED_VALUE"""),"frater")</f>
        <v>frater</v>
      </c>
      <c r="DD2" t="str">
        <f ca="1">IFERROR(__xludf.DUMMYFUNCTION("""COMPUTED_VALUE"""),"C0121")</f>
        <v>C0121</v>
      </c>
      <c r="DE2" t="str">
        <f ca="1">IFERROR(__xludf.DUMMYFUNCTION("""COMPUTED_VALUE"""),"inquisitor")</f>
        <v>inquisitor</v>
      </c>
      <c r="DI2" t="str">
        <f ca="1">IFERROR(__xludf.DUMMYFUNCTION("""COMPUTED_VALUE"""),"#VALUE!")</f>
        <v>#VALUE!</v>
      </c>
      <c r="DJ2" t="str">
        <f ca="1">IFERROR(__xludf.DUMMYFUNCTION("""COMPUTED_VALUE"""),"#VALUE!")</f>
        <v>#VALUE!</v>
      </c>
      <c r="DL2" t="str">
        <f ca="1">IFERROR(__xludf.DUMMYFUNCTION("""COMPUTED_VALUE"""),"Davor Salihović")</f>
        <v>Davor Salihović</v>
      </c>
    </row>
    <row r="3" spans="1:116" ht="15.75" customHeight="1" x14ac:dyDescent="0.25">
      <c r="A3" t="str">
        <f ca="1">IFERROR(__xludf.DUMMYFUNCTION("""COMPUTED_VALUE"""),"P0002")</f>
        <v>P0002</v>
      </c>
      <c r="B3" t="str">
        <f ca="1">IFERROR(__xludf.DUMMYFUNCTION("""COMPUTED_VALUE"""),"Villelmus")</f>
        <v>Villelmus</v>
      </c>
      <c r="C3" t="str">
        <f ca="1">IFERROR(__xludf.DUMMYFUNCTION("""COMPUTED_VALUE"""),"C3252")</f>
        <v>C3252</v>
      </c>
      <c r="D3" t="str">
        <f ca="1">IFERROR(__xludf.DUMMYFUNCTION("""COMPUTED_VALUE"""),"dominus")</f>
        <v>dominus</v>
      </c>
      <c r="E3" t="str">
        <f ca="1">IFERROR(__xludf.DUMMYFUNCTION("""COMPUTED_VALUE"""),"Villelmus")</f>
        <v>Villelmus</v>
      </c>
      <c r="Q3" t="str">
        <f ca="1">IFERROR(__xludf.DUMMYFUNCTION("""COMPUTED_VALUE"""),"sacerdos de Coazze")</f>
        <v>sacerdos de Coazze</v>
      </c>
      <c r="S3" t="str">
        <f ca="1">IFERROR(__xludf.DUMMYFUNCTION("""COMPUTED_VALUE"""),"Latin")</f>
        <v>Latin</v>
      </c>
      <c r="T3" t="str">
        <f ca="1">IFERROR(__xludf.DUMMYFUNCTION("""COMPUTED_VALUE"""),"definite")</f>
        <v>definite</v>
      </c>
      <c r="U3" t="str">
        <f ca="1">IFERROR(__xludf.DUMMYFUNCTION("""COMPUTED_VALUE"""),"C2553")</f>
        <v>C2553</v>
      </c>
      <c r="V3" t="str">
        <f ca="1">IFERROR(__xludf.DUMMYFUNCTION("""COMPUTED_VALUE"""),"male")</f>
        <v>male</v>
      </c>
      <c r="Z3" t="str">
        <f ca="1">IFERROR(__xludf.DUMMYFUNCTION("""COMPUTED_VALUE"""),"163")</f>
        <v>163</v>
      </c>
      <c r="AA3" t="str">
        <f ca="1">IFERROR(__xludf.DUMMYFUNCTION("""COMPUTED_VALUE"""),"o")</f>
        <v>o</v>
      </c>
      <c r="AB3" t="str">
        <f ca="1">IFERROR(__xludf.DUMMYFUNCTION("""COMPUTED_VALUE"""),"informer")</f>
        <v>informer</v>
      </c>
      <c r="AD3" t="str">
        <f ca="1">IFERROR(__xludf.DUMMYFUNCTION("""COMPUTED_VALUE"""),"C3287")</f>
        <v>C3287</v>
      </c>
      <c r="AE3" t="str">
        <f ca="1">IFERROR(__xludf.DUMMYFUNCTION("""COMPUTED_VALUE"""),"alive")</f>
        <v>alive</v>
      </c>
      <c r="AF3" t="str">
        <f ca="1">IFERROR(__xludf.DUMMYFUNCTION("""COMPUTED_VALUE"""),"C1753")</f>
        <v>C1753</v>
      </c>
      <c r="AG3" t="str">
        <f ca="1">IFERROR(__xludf.DUMMYFUNCTION("""COMPUTED_VALUE"""),"1335-01-20")</f>
        <v>1335-01-20</v>
      </c>
      <c r="AI3" t="str">
        <f ca="1">IFERROR(__xludf.DUMMYFUNCTION("""COMPUTED_VALUE"""),"#VALUE!")</f>
        <v>#VALUE!</v>
      </c>
      <c r="AK3" t="str">
        <f ca="1">IFERROR(__xludf.DUMMYFUNCTION("""COMPUTED_VALUE"""),"#VALUE!")</f>
        <v>#VALUE!</v>
      </c>
      <c r="AM3" t="str">
        <f ca="1">IFERROR(__xludf.DUMMYFUNCTION("""COMPUTED_VALUE"""),"#VALUE!")</f>
        <v>#VALUE!</v>
      </c>
      <c r="AO3" t="str">
        <f ca="1">IFERROR(__xludf.DUMMYFUNCTION("""COMPUTED_VALUE"""),"#VALUE!")</f>
        <v>#VALUE!</v>
      </c>
      <c r="AQ3" t="str">
        <f ca="1">IFERROR(__xludf.DUMMYFUNCTION("""COMPUTED_VALUE"""),"#VALUE!")</f>
        <v>#VALUE!</v>
      </c>
      <c r="AS3" t="str">
        <f ca="1">IFERROR(__xludf.DUMMYFUNCTION("""COMPUTED_VALUE"""),"#VALUE!")</f>
        <v>#VALUE!</v>
      </c>
      <c r="AU3" t="str">
        <f ca="1">IFERROR(__xludf.DUMMYFUNCTION("""COMPUTED_VALUE"""),"#VALUE!")</f>
        <v>#VALUE!</v>
      </c>
      <c r="AW3" t="str">
        <f ca="1">IFERROR(__xludf.DUMMYFUNCTION("""COMPUTED_VALUE"""),"#VALUE!")</f>
        <v>#VALUE!</v>
      </c>
      <c r="AY3" t="str">
        <f ca="1">IFERROR(__xludf.DUMMYFUNCTION("""COMPUTED_VALUE"""),"#VALUE!")</f>
        <v>#VALUE!</v>
      </c>
      <c r="BA3" t="str">
        <f ca="1">IFERROR(__xludf.DUMMYFUNCTION("""COMPUTED_VALUE"""),"#VALUE!")</f>
        <v>#VALUE!</v>
      </c>
      <c r="BC3" t="str">
        <f ca="1">IFERROR(__xludf.DUMMYFUNCTION("""COMPUTED_VALUE"""),"#VALUE!")</f>
        <v>#VALUE!</v>
      </c>
      <c r="BE3" t="str">
        <f ca="1">IFERROR(__xludf.DUMMYFUNCTION("""COMPUTED_VALUE"""),"#VALUE!")</f>
        <v>#VALUE!</v>
      </c>
      <c r="BG3" t="str">
        <f ca="1">IFERROR(__xludf.DUMMYFUNCTION("""COMPUTED_VALUE"""),"#VALUE!")</f>
        <v>#VALUE!</v>
      </c>
      <c r="BI3" t="str">
        <f ca="1">IFERROR(__xludf.DUMMYFUNCTION("""COMPUTED_VALUE"""),"#VALUE!")</f>
        <v>#VALUE!</v>
      </c>
      <c r="BK3" t="str">
        <f ca="1">IFERROR(__xludf.DUMMYFUNCTION("""COMPUTED_VALUE"""),"#VALUE!")</f>
        <v>#VALUE!</v>
      </c>
      <c r="BM3" t="str">
        <f ca="1">IFERROR(__xludf.DUMMYFUNCTION("""COMPUTED_VALUE"""),"#VALUE!")</f>
        <v>#VALUE!</v>
      </c>
      <c r="BO3" t="str">
        <f ca="1">IFERROR(__xludf.DUMMYFUNCTION("""COMPUTED_VALUE"""),"#VALUE!")</f>
        <v>#VALUE!</v>
      </c>
      <c r="BQ3" t="str">
        <f ca="1">IFERROR(__xludf.DUMMYFUNCTION("""COMPUTED_VALUE"""),"#VALUE!")</f>
        <v>#VALUE!</v>
      </c>
      <c r="BS3" t="str">
        <f ca="1">IFERROR(__xludf.DUMMYFUNCTION("""COMPUTED_VALUE"""),"#VALUE!")</f>
        <v>#VALUE!</v>
      </c>
      <c r="BU3" t="str">
        <f ca="1">IFERROR(__xludf.DUMMYFUNCTION("""COMPUTED_VALUE"""),"#VALUE!")</f>
        <v>#VALUE!</v>
      </c>
      <c r="BW3" t="str">
        <f ca="1">IFERROR(__xludf.DUMMYFUNCTION("""COMPUTED_VALUE"""),"#VALUE!")</f>
        <v>#VALUE!</v>
      </c>
      <c r="BY3" t="str">
        <f ca="1">IFERROR(__xludf.DUMMYFUNCTION("""COMPUTED_VALUE"""),"#VALUE!")</f>
        <v>#VALUE!</v>
      </c>
      <c r="CA3" t="str">
        <f ca="1">IFERROR(__xludf.DUMMYFUNCTION("""COMPUTED_VALUE"""),"#VALUE!")</f>
        <v>#VALUE!</v>
      </c>
      <c r="CC3" t="str">
        <f ca="1">IFERROR(__xludf.DUMMYFUNCTION("""COMPUTED_VALUE"""),"#VALUE!")</f>
        <v>#VALUE!</v>
      </c>
      <c r="CE3" t="str">
        <f ca="1">IFERROR(__xludf.DUMMYFUNCTION("""COMPUTED_VALUE"""),"#VALUE!")</f>
        <v>#VALUE!</v>
      </c>
      <c r="CG3" t="str">
        <f ca="1">IFERROR(__xludf.DUMMYFUNCTION("""COMPUTED_VALUE"""),"#VALUE!")</f>
        <v>#VALUE!</v>
      </c>
      <c r="CI3" t="str">
        <f ca="1">IFERROR(__xludf.DUMMYFUNCTION("""COMPUTED_VALUE"""),"#VALUE!")</f>
        <v>#VALUE!</v>
      </c>
      <c r="CK3" t="str">
        <f ca="1">IFERROR(__xludf.DUMMYFUNCTION("""COMPUTED_VALUE"""),"#VALUE!")</f>
        <v>#VALUE!</v>
      </c>
      <c r="CS3" t="str">
        <f ca="1">IFERROR(__xludf.DUMMYFUNCTION("""COMPUTED_VALUE"""),"#VALUE!")</f>
        <v>#VALUE!</v>
      </c>
      <c r="CU3" t="str">
        <f ca="1">IFERROR(__xludf.DUMMYFUNCTION("""COMPUTED_VALUE"""),"#VALUE!")</f>
        <v>#VALUE!</v>
      </c>
      <c r="CV3" t="str">
        <f ca="1">IFERROR(__xludf.DUMMYFUNCTION("""COMPUTED_VALUE"""),"L0002")</f>
        <v>L0002</v>
      </c>
      <c r="CW3" t="str">
        <f ca="1">IFERROR(__xludf.DUMMYFUNCTION("""COMPUTED_VALUE"""),"Coazze")</f>
        <v>Coazze</v>
      </c>
      <c r="CX3" t="str">
        <f ca="1">IFERROR(__xludf.DUMMYFUNCTION("""COMPUTED_VALUE"""),"C0194")</f>
        <v>C0194</v>
      </c>
      <c r="CY3" t="str">
        <f ca="1">IFERROR(__xludf.DUMMYFUNCTION("""COMPUTED_VALUE"""),"sacerdos")</f>
        <v>sacerdos</v>
      </c>
      <c r="DA3" t="str">
        <f ca="1">IFERROR(__xludf.DUMMYFUNCTION("""COMPUTED_VALUE"""),"churchperson")</f>
        <v>churchperson</v>
      </c>
      <c r="DB3" t="str">
        <f ca="1">IFERROR(__xludf.DUMMYFUNCTION("""COMPUTED_VALUE"""),"C0194")</f>
        <v>C0194</v>
      </c>
      <c r="DC3" t="str">
        <f ca="1">IFERROR(__xludf.DUMMYFUNCTION("""COMPUTED_VALUE"""),"sacerdos")</f>
        <v>sacerdos</v>
      </c>
      <c r="DE3" t="str">
        <f ca="1">IFERROR(__xludf.DUMMYFUNCTION("""COMPUTED_VALUE"""),"#VALUE!")</f>
        <v>#VALUE!</v>
      </c>
      <c r="DI3" t="str">
        <f ca="1">IFERROR(__xludf.DUMMYFUNCTION("""COMPUTED_VALUE"""),"#VALUE!")</f>
        <v>#VALUE!</v>
      </c>
      <c r="DJ3" t="str">
        <f ca="1">IFERROR(__xludf.DUMMYFUNCTION("""COMPUTED_VALUE"""),"#VALUE!")</f>
        <v>#VALUE!</v>
      </c>
      <c r="DL3" t="str">
        <f ca="1">IFERROR(__xludf.DUMMYFUNCTION("""COMPUTED_VALUE"""),"Davor Salihović")</f>
        <v>Davor Salihović</v>
      </c>
    </row>
    <row r="4" spans="1:116" ht="15.75" customHeight="1" x14ac:dyDescent="0.25">
      <c r="A4" t="str">
        <f ca="1">IFERROR(__xludf.DUMMYFUNCTION("""COMPUTED_VALUE"""),"P0003")</f>
        <v>P0003</v>
      </c>
      <c r="B4" t="str">
        <f ca="1">IFERROR(__xludf.DUMMYFUNCTION("""COMPUTED_VALUE"""),"Iohannes de Villelmina")</f>
        <v>Iohannes de Villelmina</v>
      </c>
      <c r="D4" t="str">
        <f ca="1">IFERROR(__xludf.DUMMYFUNCTION("""COMPUTED_VALUE"""),"#VALUE!")</f>
        <v>#VALUE!</v>
      </c>
      <c r="E4" t="str">
        <f ca="1">IFERROR(__xludf.DUMMYFUNCTION("""COMPUTED_VALUE"""),"Iohannes")</f>
        <v>Iohannes</v>
      </c>
      <c r="G4" t="str">
        <f ca="1">IFERROR(__xludf.DUMMYFUNCTION("""COMPUTED_VALUE"""),"de")</f>
        <v>de</v>
      </c>
      <c r="H4" t="str">
        <f ca="1">IFERROR(__xludf.DUMMYFUNCTION("""COMPUTED_VALUE"""),"Villelmina")</f>
        <v>Villelmina</v>
      </c>
      <c r="I4" t="str">
        <f ca="1">IFERROR(__xludf.DUMMYFUNCTION("""COMPUTED_VALUE"""),"de Villelmina")</f>
        <v>de Villelmina</v>
      </c>
      <c r="S4" t="str">
        <f ca="1">IFERROR(__xludf.DUMMYFUNCTION("""COMPUTED_VALUE"""),"Latin")</f>
        <v>Latin</v>
      </c>
      <c r="T4" t="str">
        <f ca="1">IFERROR(__xludf.DUMMYFUNCTION("""COMPUTED_VALUE"""),"definite")</f>
        <v>definite</v>
      </c>
      <c r="U4" t="str">
        <f ca="1">IFERROR(__xludf.DUMMYFUNCTION("""COMPUTED_VALUE"""),"C2553")</f>
        <v>C2553</v>
      </c>
      <c r="V4" t="str">
        <f ca="1">IFERROR(__xludf.DUMMYFUNCTION("""COMPUTED_VALUE"""),"male")</f>
        <v>male</v>
      </c>
      <c r="Z4" t="str">
        <f ca="1">IFERROR(__xludf.DUMMYFUNCTION("""COMPUTED_VALUE"""),"163")</f>
        <v>163</v>
      </c>
      <c r="AA4" t="str">
        <f ca="1">IFERROR(__xludf.DUMMYFUNCTION("""COMPUTED_VALUE"""),"d")</f>
        <v>d</v>
      </c>
      <c r="AB4" t="str">
        <f ca="1">IFERROR(__xludf.DUMMYFUNCTION("""COMPUTED_VALUE"""),"suspect")</f>
        <v>suspect</v>
      </c>
      <c r="AE4" t="str">
        <f ca="1">IFERROR(__xludf.DUMMYFUNCTION("""COMPUTED_VALUE"""),"#VALUE!")</f>
        <v>#VALUE!</v>
      </c>
      <c r="AF4" t="str">
        <f ca="1">IFERROR(__xludf.DUMMYFUNCTION("""COMPUTED_VALUE"""),"#N/A")</f>
        <v>#N/A</v>
      </c>
      <c r="AG4" t="str">
        <f ca="1">IFERROR(__xludf.DUMMYFUNCTION("""COMPUTED_VALUE"""),"#N/A")</f>
        <v>#N/A</v>
      </c>
      <c r="AH4" t="str">
        <f ca="1">IFERROR(__xludf.DUMMYFUNCTION("""COMPUTED_VALUE"""),"C2336")</f>
        <v>C2336</v>
      </c>
      <c r="AI4" t="str">
        <f ca="1">IFERROR(__xludf.DUMMYFUNCTION("""COMPUTED_VALUE"""),"son")</f>
        <v>son</v>
      </c>
      <c r="AJ4" t="str">
        <f ca="1">IFERROR(__xludf.DUMMYFUNCTION("""COMPUTED_VALUE"""),"P0004")</f>
        <v>P0004</v>
      </c>
      <c r="AK4" t="str">
        <f ca="1">IFERROR(__xludf.DUMMYFUNCTION("""COMPUTED_VALUE"""),"filius Iohannis de Villelmina")</f>
        <v>filius Iohannis de Villelmina</v>
      </c>
      <c r="AM4" t="str">
        <f ca="1">IFERROR(__xludf.DUMMYFUNCTION("""COMPUTED_VALUE"""),"#VALUE!")</f>
        <v>#VALUE!</v>
      </c>
      <c r="AO4" t="str">
        <f ca="1">IFERROR(__xludf.DUMMYFUNCTION("""COMPUTED_VALUE"""),"#VALUE!")</f>
        <v>#VALUE!</v>
      </c>
      <c r="AQ4" t="str">
        <f ca="1">IFERROR(__xludf.DUMMYFUNCTION("""COMPUTED_VALUE"""),"#VALUE!")</f>
        <v>#VALUE!</v>
      </c>
      <c r="AS4" t="str">
        <f ca="1">IFERROR(__xludf.DUMMYFUNCTION("""COMPUTED_VALUE"""),"#VALUE!")</f>
        <v>#VALUE!</v>
      </c>
      <c r="AU4" t="str">
        <f ca="1">IFERROR(__xludf.DUMMYFUNCTION("""COMPUTED_VALUE"""),"#VALUE!")</f>
        <v>#VALUE!</v>
      </c>
      <c r="AW4" t="str">
        <f ca="1">IFERROR(__xludf.DUMMYFUNCTION("""COMPUTED_VALUE"""),"#VALUE!")</f>
        <v>#VALUE!</v>
      </c>
      <c r="AY4" t="str">
        <f ca="1">IFERROR(__xludf.DUMMYFUNCTION("""COMPUTED_VALUE"""),"#VALUE!")</f>
        <v>#VALUE!</v>
      </c>
      <c r="BA4" t="str">
        <f ca="1">IFERROR(__xludf.DUMMYFUNCTION("""COMPUTED_VALUE"""),"#VALUE!")</f>
        <v>#VALUE!</v>
      </c>
      <c r="BC4" t="str">
        <f ca="1">IFERROR(__xludf.DUMMYFUNCTION("""COMPUTED_VALUE"""),"#VALUE!")</f>
        <v>#VALUE!</v>
      </c>
      <c r="BE4" t="str">
        <f ca="1">IFERROR(__xludf.DUMMYFUNCTION("""COMPUTED_VALUE"""),"#VALUE!")</f>
        <v>#VALUE!</v>
      </c>
      <c r="BG4" t="str">
        <f ca="1">IFERROR(__xludf.DUMMYFUNCTION("""COMPUTED_VALUE"""),"#VALUE!")</f>
        <v>#VALUE!</v>
      </c>
      <c r="BI4" t="str">
        <f ca="1">IFERROR(__xludf.DUMMYFUNCTION("""COMPUTED_VALUE"""),"#VALUE!")</f>
        <v>#VALUE!</v>
      </c>
      <c r="BK4" t="str">
        <f ca="1">IFERROR(__xludf.DUMMYFUNCTION("""COMPUTED_VALUE"""),"#VALUE!")</f>
        <v>#VALUE!</v>
      </c>
      <c r="BM4" t="str">
        <f ca="1">IFERROR(__xludf.DUMMYFUNCTION("""COMPUTED_VALUE"""),"#VALUE!")</f>
        <v>#VALUE!</v>
      </c>
      <c r="BO4" t="str">
        <f ca="1">IFERROR(__xludf.DUMMYFUNCTION("""COMPUTED_VALUE"""),"#VALUE!")</f>
        <v>#VALUE!</v>
      </c>
      <c r="BQ4" t="str">
        <f ca="1">IFERROR(__xludf.DUMMYFUNCTION("""COMPUTED_VALUE"""),"#VALUE!")</f>
        <v>#VALUE!</v>
      </c>
      <c r="BS4" t="str">
        <f ca="1">IFERROR(__xludf.DUMMYFUNCTION("""COMPUTED_VALUE"""),"#VALUE!")</f>
        <v>#VALUE!</v>
      </c>
      <c r="BU4" t="str">
        <f ca="1">IFERROR(__xludf.DUMMYFUNCTION("""COMPUTED_VALUE"""),"#VALUE!")</f>
        <v>#VALUE!</v>
      </c>
      <c r="BW4" t="str">
        <f ca="1">IFERROR(__xludf.DUMMYFUNCTION("""COMPUTED_VALUE"""),"#VALUE!")</f>
        <v>#VALUE!</v>
      </c>
      <c r="BY4" t="str">
        <f ca="1">IFERROR(__xludf.DUMMYFUNCTION("""COMPUTED_VALUE"""),"#VALUE!")</f>
        <v>#VALUE!</v>
      </c>
      <c r="CA4" t="str">
        <f ca="1">IFERROR(__xludf.DUMMYFUNCTION("""COMPUTED_VALUE"""),"#VALUE!")</f>
        <v>#VALUE!</v>
      </c>
      <c r="CC4" t="str">
        <f ca="1">IFERROR(__xludf.DUMMYFUNCTION("""COMPUTED_VALUE"""),"#VALUE!")</f>
        <v>#VALUE!</v>
      </c>
      <c r="CE4" t="str">
        <f ca="1">IFERROR(__xludf.DUMMYFUNCTION("""COMPUTED_VALUE"""),"#VALUE!")</f>
        <v>#VALUE!</v>
      </c>
      <c r="CG4" t="str">
        <f ca="1">IFERROR(__xludf.DUMMYFUNCTION("""COMPUTED_VALUE"""),"#VALUE!")</f>
        <v>#VALUE!</v>
      </c>
      <c r="CI4" t="str">
        <f ca="1">IFERROR(__xludf.DUMMYFUNCTION("""COMPUTED_VALUE"""),"#VALUE!")</f>
        <v>#VALUE!</v>
      </c>
      <c r="CK4" t="str">
        <f ca="1">IFERROR(__xludf.DUMMYFUNCTION("""COMPUTED_VALUE"""),"#VALUE!")</f>
        <v>#VALUE!</v>
      </c>
      <c r="CS4" t="str">
        <f ca="1">IFERROR(__xludf.DUMMYFUNCTION("""COMPUTED_VALUE"""),"#VALUE!")</f>
        <v>#VALUE!</v>
      </c>
      <c r="CU4" t="str">
        <f ca="1">IFERROR(__xludf.DUMMYFUNCTION("""COMPUTED_VALUE"""),"#VALUE!")</f>
        <v>#VALUE!</v>
      </c>
      <c r="CV4" t="str">
        <f ca="1">IFERROR(__xludf.DUMMYFUNCTION("""COMPUTED_VALUE"""),"L0002")</f>
        <v>L0002</v>
      </c>
      <c r="CW4" t="str">
        <f ca="1">IFERROR(__xludf.DUMMYFUNCTION("""COMPUTED_VALUE"""),"Coazze")</f>
        <v>Coazze</v>
      </c>
      <c r="CY4" t="str">
        <f ca="1">IFERROR(__xludf.DUMMYFUNCTION("""COMPUTED_VALUE"""),"#VALUE!")</f>
        <v>#VALUE!</v>
      </c>
      <c r="DC4" t="str">
        <f ca="1">IFERROR(__xludf.DUMMYFUNCTION("""COMPUTED_VALUE"""),"#VALUE!")</f>
        <v>#VALUE!</v>
      </c>
      <c r="DE4" t="str">
        <f ca="1">IFERROR(__xludf.DUMMYFUNCTION("""COMPUTED_VALUE"""),"#VALUE!")</f>
        <v>#VALUE!</v>
      </c>
      <c r="DI4" t="str">
        <f ca="1">IFERROR(__xludf.DUMMYFUNCTION("""COMPUTED_VALUE"""),"#VALUE!")</f>
        <v>#VALUE!</v>
      </c>
      <c r="DJ4" t="str">
        <f ca="1">IFERROR(__xludf.DUMMYFUNCTION("""COMPUTED_VALUE"""),"#VALUE!")</f>
        <v>#VALUE!</v>
      </c>
      <c r="DL4" t="str">
        <f ca="1">IFERROR(__xludf.DUMMYFUNCTION("""COMPUTED_VALUE"""),"Davor Salihović")</f>
        <v>Davor Salihović</v>
      </c>
    </row>
    <row r="5" spans="1:116" ht="15.75" customHeight="1" x14ac:dyDescent="0.25">
      <c r="A5" t="str">
        <f ca="1">IFERROR(__xludf.DUMMYFUNCTION("""COMPUTED_VALUE"""),"P0004")</f>
        <v>P0004</v>
      </c>
      <c r="B5" t="str">
        <f ca="1">IFERROR(__xludf.DUMMYFUNCTION("""COMPUTED_VALUE"""),"filius Iohannis de Villelmina")</f>
        <v>filius Iohannis de Villelmina</v>
      </c>
      <c r="D5" t="str">
        <f ca="1">IFERROR(__xludf.DUMMYFUNCTION("""COMPUTED_VALUE"""),"#VALUE!")</f>
        <v>#VALUE!</v>
      </c>
      <c r="E5" t="str">
        <f ca="1">IFERROR(__xludf.DUMMYFUNCTION("""COMPUTED_VALUE"""),"filius Iohannis de Villelmina")</f>
        <v>filius Iohannis de Villelmina</v>
      </c>
      <c r="G5" t="str">
        <f ca="1">IFERROR(__xludf.DUMMYFUNCTION("""COMPUTED_VALUE"""),"de")</f>
        <v>de</v>
      </c>
      <c r="H5" t="str">
        <f ca="1">IFERROR(__xludf.DUMMYFUNCTION("""COMPUTED_VALUE"""),"Villelmina")</f>
        <v>Villelmina</v>
      </c>
      <c r="I5" t="str">
        <f ca="1">IFERROR(__xludf.DUMMYFUNCTION("""COMPUTED_VALUE"""),"de Villelmina")</f>
        <v>de Villelmina</v>
      </c>
      <c r="Q5" t="str">
        <f ca="1">IFERROR(__xludf.DUMMYFUNCTION("""COMPUTED_VALUE"""),"filius Iohannis de Villelmina")</f>
        <v>filius Iohannis de Villelmina</v>
      </c>
      <c r="S5" t="str">
        <f ca="1">IFERROR(__xludf.DUMMYFUNCTION("""COMPUTED_VALUE"""),"Latin")</f>
        <v>Latin</v>
      </c>
      <c r="T5" t="str">
        <f ca="1">IFERROR(__xludf.DUMMYFUNCTION("""COMPUTED_VALUE"""),"indefinite")</f>
        <v>indefinite</v>
      </c>
      <c r="U5" t="str">
        <f ca="1">IFERROR(__xludf.DUMMYFUNCTION("""COMPUTED_VALUE"""),"C2553")</f>
        <v>C2553</v>
      </c>
      <c r="V5" t="str">
        <f ca="1">IFERROR(__xludf.DUMMYFUNCTION("""COMPUTED_VALUE"""),"male")</f>
        <v>male</v>
      </c>
      <c r="Z5" t="str">
        <f ca="1">IFERROR(__xludf.DUMMYFUNCTION("""COMPUTED_VALUE"""),"163")</f>
        <v>163</v>
      </c>
      <c r="AA5" t="str">
        <f ca="1">IFERROR(__xludf.DUMMYFUNCTION("""COMPUTED_VALUE"""),"d")</f>
        <v>d</v>
      </c>
      <c r="AB5" t="str">
        <f ca="1">IFERROR(__xludf.DUMMYFUNCTION("""COMPUTED_VALUE"""),"suspect")</f>
        <v>suspect</v>
      </c>
      <c r="AE5" t="str">
        <f ca="1">IFERROR(__xludf.DUMMYFUNCTION("""COMPUTED_VALUE"""),"#VALUE!")</f>
        <v>#VALUE!</v>
      </c>
      <c r="AF5" t="str">
        <f ca="1">IFERROR(__xludf.DUMMYFUNCTION("""COMPUTED_VALUE"""),"#N/A")</f>
        <v>#N/A</v>
      </c>
      <c r="AG5" t="str">
        <f ca="1">IFERROR(__xludf.DUMMYFUNCTION("""COMPUTED_VALUE"""),"#N/A")</f>
        <v>#N/A</v>
      </c>
      <c r="AI5" t="str">
        <f ca="1">IFERROR(__xludf.DUMMYFUNCTION("""COMPUTED_VALUE"""),"#VALUE!")</f>
        <v>#VALUE!</v>
      </c>
      <c r="AK5" t="str">
        <f ca="1">IFERROR(__xludf.DUMMYFUNCTION("""COMPUTED_VALUE"""),"#VALUE!")</f>
        <v>#VALUE!</v>
      </c>
      <c r="AM5" t="str">
        <f ca="1">IFERROR(__xludf.DUMMYFUNCTION("""COMPUTED_VALUE"""),"#VALUE!")</f>
        <v>#VALUE!</v>
      </c>
      <c r="AO5" t="str">
        <f ca="1">IFERROR(__xludf.DUMMYFUNCTION("""COMPUTED_VALUE"""),"#VALUE!")</f>
        <v>#VALUE!</v>
      </c>
      <c r="AQ5" t="str">
        <f ca="1">IFERROR(__xludf.DUMMYFUNCTION("""COMPUTED_VALUE"""),"#VALUE!")</f>
        <v>#VALUE!</v>
      </c>
      <c r="AS5" t="str">
        <f ca="1">IFERROR(__xludf.DUMMYFUNCTION("""COMPUTED_VALUE"""),"#VALUE!")</f>
        <v>#VALUE!</v>
      </c>
      <c r="AU5" t="str">
        <f ca="1">IFERROR(__xludf.DUMMYFUNCTION("""COMPUTED_VALUE"""),"#VALUE!")</f>
        <v>#VALUE!</v>
      </c>
      <c r="AW5" t="str">
        <f ca="1">IFERROR(__xludf.DUMMYFUNCTION("""COMPUTED_VALUE"""),"#VALUE!")</f>
        <v>#VALUE!</v>
      </c>
      <c r="AY5" t="str">
        <f ca="1">IFERROR(__xludf.DUMMYFUNCTION("""COMPUTED_VALUE"""),"#VALUE!")</f>
        <v>#VALUE!</v>
      </c>
      <c r="BA5" t="str">
        <f ca="1">IFERROR(__xludf.DUMMYFUNCTION("""COMPUTED_VALUE"""),"#VALUE!")</f>
        <v>#VALUE!</v>
      </c>
      <c r="BC5" t="str">
        <f ca="1">IFERROR(__xludf.DUMMYFUNCTION("""COMPUTED_VALUE"""),"#VALUE!")</f>
        <v>#VALUE!</v>
      </c>
      <c r="BE5" t="str">
        <f ca="1">IFERROR(__xludf.DUMMYFUNCTION("""COMPUTED_VALUE"""),"#VALUE!")</f>
        <v>#VALUE!</v>
      </c>
      <c r="BG5" t="str">
        <f ca="1">IFERROR(__xludf.DUMMYFUNCTION("""COMPUTED_VALUE"""),"#VALUE!")</f>
        <v>#VALUE!</v>
      </c>
      <c r="BI5" t="str">
        <f ca="1">IFERROR(__xludf.DUMMYFUNCTION("""COMPUTED_VALUE"""),"#VALUE!")</f>
        <v>#VALUE!</v>
      </c>
      <c r="BK5" t="str">
        <f ca="1">IFERROR(__xludf.DUMMYFUNCTION("""COMPUTED_VALUE"""),"#VALUE!")</f>
        <v>#VALUE!</v>
      </c>
      <c r="BM5" t="str">
        <f ca="1">IFERROR(__xludf.DUMMYFUNCTION("""COMPUTED_VALUE"""),"#VALUE!")</f>
        <v>#VALUE!</v>
      </c>
      <c r="BO5" t="str">
        <f ca="1">IFERROR(__xludf.DUMMYFUNCTION("""COMPUTED_VALUE"""),"#VALUE!")</f>
        <v>#VALUE!</v>
      </c>
      <c r="BQ5" t="str">
        <f ca="1">IFERROR(__xludf.DUMMYFUNCTION("""COMPUTED_VALUE"""),"#VALUE!")</f>
        <v>#VALUE!</v>
      </c>
      <c r="BS5" t="str">
        <f ca="1">IFERROR(__xludf.DUMMYFUNCTION("""COMPUTED_VALUE"""),"#VALUE!")</f>
        <v>#VALUE!</v>
      </c>
      <c r="BU5" t="str">
        <f ca="1">IFERROR(__xludf.DUMMYFUNCTION("""COMPUTED_VALUE"""),"#VALUE!")</f>
        <v>#VALUE!</v>
      </c>
      <c r="BW5" t="str">
        <f ca="1">IFERROR(__xludf.DUMMYFUNCTION("""COMPUTED_VALUE"""),"#VALUE!")</f>
        <v>#VALUE!</v>
      </c>
      <c r="BY5" t="str">
        <f ca="1">IFERROR(__xludf.DUMMYFUNCTION("""COMPUTED_VALUE"""),"#VALUE!")</f>
        <v>#VALUE!</v>
      </c>
      <c r="CA5" t="str">
        <f ca="1">IFERROR(__xludf.DUMMYFUNCTION("""COMPUTED_VALUE"""),"#VALUE!")</f>
        <v>#VALUE!</v>
      </c>
      <c r="CC5" t="str">
        <f ca="1">IFERROR(__xludf.DUMMYFUNCTION("""COMPUTED_VALUE"""),"#VALUE!")</f>
        <v>#VALUE!</v>
      </c>
      <c r="CE5" t="str">
        <f ca="1">IFERROR(__xludf.DUMMYFUNCTION("""COMPUTED_VALUE"""),"#VALUE!")</f>
        <v>#VALUE!</v>
      </c>
      <c r="CG5" t="str">
        <f ca="1">IFERROR(__xludf.DUMMYFUNCTION("""COMPUTED_VALUE"""),"#VALUE!")</f>
        <v>#VALUE!</v>
      </c>
      <c r="CI5" t="str">
        <f ca="1">IFERROR(__xludf.DUMMYFUNCTION("""COMPUTED_VALUE"""),"#VALUE!")</f>
        <v>#VALUE!</v>
      </c>
      <c r="CK5" t="str">
        <f ca="1">IFERROR(__xludf.DUMMYFUNCTION("""COMPUTED_VALUE"""),"#VALUE!")</f>
        <v>#VALUE!</v>
      </c>
      <c r="CS5" t="str">
        <f ca="1">IFERROR(__xludf.DUMMYFUNCTION("""COMPUTED_VALUE"""),"#VALUE!")</f>
        <v>#VALUE!</v>
      </c>
      <c r="CU5" t="str">
        <f ca="1">IFERROR(__xludf.DUMMYFUNCTION("""COMPUTED_VALUE"""),"#VALUE!")</f>
        <v>#VALUE!</v>
      </c>
      <c r="CV5" t="str">
        <f ca="1">IFERROR(__xludf.DUMMYFUNCTION("""COMPUTED_VALUE"""),"L0002")</f>
        <v>L0002</v>
      </c>
      <c r="CW5" t="str">
        <f ca="1">IFERROR(__xludf.DUMMYFUNCTION("""COMPUTED_VALUE"""),"Coazze")</f>
        <v>Coazze</v>
      </c>
      <c r="CY5" t="str">
        <f ca="1">IFERROR(__xludf.DUMMYFUNCTION("""COMPUTED_VALUE"""),"#VALUE!")</f>
        <v>#VALUE!</v>
      </c>
      <c r="DC5" t="str">
        <f ca="1">IFERROR(__xludf.DUMMYFUNCTION("""COMPUTED_VALUE"""),"#VALUE!")</f>
        <v>#VALUE!</v>
      </c>
      <c r="DE5" t="str">
        <f ca="1">IFERROR(__xludf.DUMMYFUNCTION("""COMPUTED_VALUE"""),"#VALUE!")</f>
        <v>#VALUE!</v>
      </c>
      <c r="DI5" t="str">
        <f ca="1">IFERROR(__xludf.DUMMYFUNCTION("""COMPUTED_VALUE"""),"#VALUE!")</f>
        <v>#VALUE!</v>
      </c>
      <c r="DJ5" t="str">
        <f ca="1">IFERROR(__xludf.DUMMYFUNCTION("""COMPUTED_VALUE"""),"#VALUE!")</f>
        <v>#VALUE!</v>
      </c>
      <c r="DL5" t="str">
        <f ca="1">IFERROR(__xludf.DUMMYFUNCTION("""COMPUTED_VALUE"""),"Davor Salihović")</f>
        <v>Davor Salihović</v>
      </c>
    </row>
    <row r="6" spans="1:116" ht="15.75" customHeight="1" x14ac:dyDescent="0.25">
      <c r="A6" t="str">
        <f ca="1">IFERROR(__xludf.DUMMYFUNCTION("""COMPUTED_VALUE"""),"P0005")</f>
        <v>P0005</v>
      </c>
      <c r="B6" t="str">
        <f ca="1">IFERROR(__xludf.DUMMYFUNCTION("""COMPUTED_VALUE"""),"Rosa Put, uxor Stephani Put")</f>
        <v>Rosa Put, uxor Stephani Put</v>
      </c>
      <c r="D6" t="str">
        <f ca="1">IFERROR(__xludf.DUMMYFUNCTION("""COMPUTED_VALUE"""),"#VALUE!")</f>
        <v>#VALUE!</v>
      </c>
      <c r="E6" t="str">
        <f ca="1">IFERROR(__xludf.DUMMYFUNCTION("""COMPUTED_VALUE"""),"Rosa")</f>
        <v>Rosa</v>
      </c>
      <c r="K6" t="str">
        <f ca="1">IFERROR(__xludf.DUMMYFUNCTION("""COMPUTED_VALUE"""),"Put")</f>
        <v>Put</v>
      </c>
      <c r="L6" t="str">
        <f ca="1">IFERROR(__xludf.DUMMYFUNCTION("""COMPUTED_VALUE"""),"Put")</f>
        <v>Put</v>
      </c>
      <c r="Q6" t="str">
        <f ca="1">IFERROR(__xludf.DUMMYFUNCTION("""COMPUTED_VALUE"""),"uxor Stephani Put")</f>
        <v>uxor Stephani Put</v>
      </c>
      <c r="S6" t="str">
        <f ca="1">IFERROR(__xludf.DUMMYFUNCTION("""COMPUTED_VALUE"""),"Latin")</f>
        <v>Latin</v>
      </c>
      <c r="T6" t="str">
        <f ca="1">IFERROR(__xludf.DUMMYFUNCTION("""COMPUTED_VALUE"""),"definite")</f>
        <v>definite</v>
      </c>
      <c r="U6" t="str">
        <f ca="1">IFERROR(__xludf.DUMMYFUNCTION("""COMPUTED_VALUE"""),"C2552")</f>
        <v>C2552</v>
      </c>
      <c r="V6" t="str">
        <f ca="1">IFERROR(__xludf.DUMMYFUNCTION("""COMPUTED_VALUE"""),"female")</f>
        <v>female</v>
      </c>
      <c r="Z6" t="str">
        <f ca="1">IFERROR(__xludf.DUMMYFUNCTION("""COMPUTED_VALUE"""),"163")</f>
        <v>163</v>
      </c>
      <c r="AA6" t="str">
        <f ca="1">IFERROR(__xludf.DUMMYFUNCTION("""COMPUTED_VALUE"""),"d")</f>
        <v>d</v>
      </c>
      <c r="AB6" t="str">
        <f ca="1">IFERROR(__xludf.DUMMYFUNCTION("""COMPUTED_VALUE"""),"suspect")</f>
        <v>suspect</v>
      </c>
      <c r="AE6" t="str">
        <f ca="1">IFERROR(__xludf.DUMMYFUNCTION("""COMPUTED_VALUE"""),"#VALUE!")</f>
        <v>#VALUE!</v>
      </c>
      <c r="AF6" t="str">
        <f ca="1">IFERROR(__xludf.DUMMYFUNCTION("""COMPUTED_VALUE"""),"#N/A")</f>
        <v>#N/A</v>
      </c>
      <c r="AG6" t="str">
        <f ca="1">IFERROR(__xludf.DUMMYFUNCTION("""COMPUTED_VALUE"""),"#N/A")</f>
        <v>#N/A</v>
      </c>
      <c r="AI6" t="str">
        <f ca="1">IFERROR(__xludf.DUMMYFUNCTION("""COMPUTED_VALUE"""),"#VALUE!")</f>
        <v>#VALUE!</v>
      </c>
      <c r="AK6" t="str">
        <f ca="1">IFERROR(__xludf.DUMMYFUNCTION("""COMPUTED_VALUE"""),"#VALUE!")</f>
        <v>#VALUE!</v>
      </c>
      <c r="AM6" t="str">
        <f ca="1">IFERROR(__xludf.DUMMYFUNCTION("""COMPUTED_VALUE"""),"#VALUE!")</f>
        <v>#VALUE!</v>
      </c>
      <c r="AO6" t="str">
        <f ca="1">IFERROR(__xludf.DUMMYFUNCTION("""COMPUTED_VALUE"""),"#VALUE!")</f>
        <v>#VALUE!</v>
      </c>
      <c r="AQ6" t="str">
        <f ca="1">IFERROR(__xludf.DUMMYFUNCTION("""COMPUTED_VALUE"""),"#VALUE!")</f>
        <v>#VALUE!</v>
      </c>
      <c r="AS6" t="str">
        <f ca="1">IFERROR(__xludf.DUMMYFUNCTION("""COMPUTED_VALUE"""),"#VALUE!")</f>
        <v>#VALUE!</v>
      </c>
      <c r="AU6" t="str">
        <f ca="1">IFERROR(__xludf.DUMMYFUNCTION("""COMPUTED_VALUE"""),"#VALUE!")</f>
        <v>#VALUE!</v>
      </c>
      <c r="AW6" t="str">
        <f ca="1">IFERROR(__xludf.DUMMYFUNCTION("""COMPUTED_VALUE"""),"#VALUE!")</f>
        <v>#VALUE!</v>
      </c>
      <c r="AY6" t="str">
        <f ca="1">IFERROR(__xludf.DUMMYFUNCTION("""COMPUTED_VALUE"""),"#VALUE!")</f>
        <v>#VALUE!</v>
      </c>
      <c r="BA6" t="str">
        <f ca="1">IFERROR(__xludf.DUMMYFUNCTION("""COMPUTED_VALUE"""),"#VALUE!")</f>
        <v>#VALUE!</v>
      </c>
      <c r="BC6" t="str">
        <f ca="1">IFERROR(__xludf.DUMMYFUNCTION("""COMPUTED_VALUE"""),"#VALUE!")</f>
        <v>#VALUE!</v>
      </c>
      <c r="BE6" t="str">
        <f ca="1">IFERROR(__xludf.DUMMYFUNCTION("""COMPUTED_VALUE"""),"#VALUE!")</f>
        <v>#VALUE!</v>
      </c>
      <c r="BG6" t="str">
        <f ca="1">IFERROR(__xludf.DUMMYFUNCTION("""COMPUTED_VALUE"""),"#VALUE!")</f>
        <v>#VALUE!</v>
      </c>
      <c r="BI6" t="str">
        <f ca="1">IFERROR(__xludf.DUMMYFUNCTION("""COMPUTED_VALUE"""),"#VALUE!")</f>
        <v>#VALUE!</v>
      </c>
      <c r="BK6" t="str">
        <f ca="1">IFERROR(__xludf.DUMMYFUNCTION("""COMPUTED_VALUE"""),"#VALUE!")</f>
        <v>#VALUE!</v>
      </c>
      <c r="BM6" t="str">
        <f ca="1">IFERROR(__xludf.DUMMYFUNCTION("""COMPUTED_VALUE"""),"#VALUE!")</f>
        <v>#VALUE!</v>
      </c>
      <c r="BO6" t="str">
        <f ca="1">IFERROR(__xludf.DUMMYFUNCTION("""COMPUTED_VALUE"""),"#VALUE!")</f>
        <v>#VALUE!</v>
      </c>
      <c r="BQ6" t="str">
        <f ca="1">IFERROR(__xludf.DUMMYFUNCTION("""COMPUTED_VALUE"""),"#VALUE!")</f>
        <v>#VALUE!</v>
      </c>
      <c r="BS6" t="str">
        <f ca="1">IFERROR(__xludf.DUMMYFUNCTION("""COMPUTED_VALUE"""),"#VALUE!")</f>
        <v>#VALUE!</v>
      </c>
      <c r="BU6" t="str">
        <f ca="1">IFERROR(__xludf.DUMMYFUNCTION("""COMPUTED_VALUE"""),"#VALUE!")</f>
        <v>#VALUE!</v>
      </c>
      <c r="BW6" t="str">
        <f ca="1">IFERROR(__xludf.DUMMYFUNCTION("""COMPUTED_VALUE"""),"#VALUE!")</f>
        <v>#VALUE!</v>
      </c>
      <c r="BY6" t="str">
        <f ca="1">IFERROR(__xludf.DUMMYFUNCTION("""COMPUTED_VALUE"""),"#VALUE!")</f>
        <v>#VALUE!</v>
      </c>
      <c r="CA6" t="str">
        <f ca="1">IFERROR(__xludf.DUMMYFUNCTION("""COMPUTED_VALUE"""),"#VALUE!")</f>
        <v>#VALUE!</v>
      </c>
      <c r="CC6" t="str">
        <f ca="1">IFERROR(__xludf.DUMMYFUNCTION("""COMPUTED_VALUE"""),"#VALUE!")</f>
        <v>#VALUE!</v>
      </c>
      <c r="CE6" t="str">
        <f ca="1">IFERROR(__xludf.DUMMYFUNCTION("""COMPUTED_VALUE"""),"#VALUE!")</f>
        <v>#VALUE!</v>
      </c>
      <c r="CG6" t="str">
        <f ca="1">IFERROR(__xludf.DUMMYFUNCTION("""COMPUTED_VALUE"""),"#VALUE!")</f>
        <v>#VALUE!</v>
      </c>
      <c r="CI6" t="str">
        <f ca="1">IFERROR(__xludf.DUMMYFUNCTION("""COMPUTED_VALUE"""),"#VALUE!")</f>
        <v>#VALUE!</v>
      </c>
      <c r="CK6" t="str">
        <f ca="1">IFERROR(__xludf.DUMMYFUNCTION("""COMPUTED_VALUE"""),"#VALUE!")</f>
        <v>#VALUE!</v>
      </c>
      <c r="CS6" t="str">
        <f ca="1">IFERROR(__xludf.DUMMYFUNCTION("""COMPUTED_VALUE"""),"#VALUE!")</f>
        <v>#VALUE!</v>
      </c>
      <c r="CU6" t="str">
        <f ca="1">IFERROR(__xludf.DUMMYFUNCTION("""COMPUTED_VALUE"""),"#VALUE!")</f>
        <v>#VALUE!</v>
      </c>
      <c r="CV6" t="str">
        <f ca="1">IFERROR(__xludf.DUMMYFUNCTION("""COMPUTED_VALUE"""),"L0002")</f>
        <v>L0002</v>
      </c>
      <c r="CW6" t="str">
        <f ca="1">IFERROR(__xludf.DUMMYFUNCTION("""COMPUTED_VALUE"""),"Coazze")</f>
        <v>Coazze</v>
      </c>
      <c r="CY6" t="str">
        <f ca="1">IFERROR(__xludf.DUMMYFUNCTION("""COMPUTED_VALUE"""),"#VALUE!")</f>
        <v>#VALUE!</v>
      </c>
      <c r="DC6" t="str">
        <f ca="1">IFERROR(__xludf.DUMMYFUNCTION("""COMPUTED_VALUE"""),"#VALUE!")</f>
        <v>#VALUE!</v>
      </c>
      <c r="DE6" t="str">
        <f ca="1">IFERROR(__xludf.DUMMYFUNCTION("""COMPUTED_VALUE"""),"#VALUE!")</f>
        <v>#VALUE!</v>
      </c>
      <c r="DI6" t="str">
        <f ca="1">IFERROR(__xludf.DUMMYFUNCTION("""COMPUTED_VALUE"""),"#VALUE!")</f>
        <v>#VALUE!</v>
      </c>
      <c r="DJ6" t="str">
        <f ca="1">IFERROR(__xludf.DUMMYFUNCTION("""COMPUTED_VALUE"""),"#VALUE!")</f>
        <v>#VALUE!</v>
      </c>
      <c r="DL6" t="str">
        <f ca="1">IFERROR(__xludf.DUMMYFUNCTION("""COMPUTED_VALUE"""),"Davor Salihović")</f>
        <v>Davor Salihović</v>
      </c>
    </row>
    <row r="7" spans="1:116" ht="15.75" customHeight="1" x14ac:dyDescent="0.25">
      <c r="A7" t="str">
        <f ca="1">IFERROR(__xludf.DUMMYFUNCTION("""COMPUTED_VALUE"""),"P0006")</f>
        <v>P0006</v>
      </c>
      <c r="B7" t="str">
        <f ca="1">IFERROR(__xludf.DUMMYFUNCTION("""COMPUTED_VALUE"""),"Stephanus Put")</f>
        <v>Stephanus Put</v>
      </c>
      <c r="D7" t="str">
        <f ca="1">IFERROR(__xludf.DUMMYFUNCTION("""COMPUTED_VALUE"""),"#VALUE!")</f>
        <v>#VALUE!</v>
      </c>
      <c r="E7" t="str">
        <f ca="1">IFERROR(__xludf.DUMMYFUNCTION("""COMPUTED_VALUE"""),"Stephanus")</f>
        <v>Stephanus</v>
      </c>
      <c r="K7" t="str">
        <f ca="1">IFERROR(__xludf.DUMMYFUNCTION("""COMPUTED_VALUE"""),"Put")</f>
        <v>Put</v>
      </c>
      <c r="L7" t="str">
        <f ca="1">IFERROR(__xludf.DUMMYFUNCTION("""COMPUTED_VALUE"""),"Put")</f>
        <v>Put</v>
      </c>
      <c r="S7" t="str">
        <f ca="1">IFERROR(__xludf.DUMMYFUNCTION("""COMPUTED_VALUE"""),"Latin")</f>
        <v>Latin</v>
      </c>
      <c r="T7" t="str">
        <f ca="1">IFERROR(__xludf.DUMMYFUNCTION("""COMPUTED_VALUE"""),"definite")</f>
        <v>definite</v>
      </c>
      <c r="U7" t="str">
        <f ca="1">IFERROR(__xludf.DUMMYFUNCTION("""COMPUTED_VALUE"""),"C2553")</f>
        <v>C2553</v>
      </c>
      <c r="V7" t="str">
        <f ca="1">IFERROR(__xludf.DUMMYFUNCTION("""COMPUTED_VALUE"""),"male")</f>
        <v>male</v>
      </c>
      <c r="Z7" t="str">
        <f ca="1">IFERROR(__xludf.DUMMYFUNCTION("""COMPUTED_VALUE"""),"163")</f>
        <v>163</v>
      </c>
      <c r="AA7" t="str">
        <f ca="1">IFERROR(__xludf.DUMMYFUNCTION("""COMPUTED_VALUE"""),"d")</f>
        <v>d</v>
      </c>
      <c r="AB7" t="str">
        <f ca="1">IFERROR(__xludf.DUMMYFUNCTION("""COMPUTED_VALUE"""),"NA")</f>
        <v>NA</v>
      </c>
      <c r="AE7" t="str">
        <f ca="1">IFERROR(__xludf.DUMMYFUNCTION("""COMPUTED_VALUE"""),"#VALUE!")</f>
        <v>#VALUE!</v>
      </c>
      <c r="AF7" t="str">
        <f ca="1">IFERROR(__xludf.DUMMYFUNCTION("""COMPUTED_VALUE"""),"#N/A")</f>
        <v>#N/A</v>
      </c>
      <c r="AG7" t="str">
        <f ca="1">IFERROR(__xludf.DUMMYFUNCTION("""COMPUTED_VALUE"""),"#N/A")</f>
        <v>#N/A</v>
      </c>
      <c r="AH7" t="str">
        <f ca="1">IFERROR(__xludf.DUMMYFUNCTION("""COMPUTED_VALUE"""),"C2348")</f>
        <v>C2348</v>
      </c>
      <c r="AI7" t="str">
        <f ca="1">IFERROR(__xludf.DUMMYFUNCTION("""COMPUTED_VALUE"""),"wife")</f>
        <v>wife</v>
      </c>
      <c r="AJ7" t="str">
        <f ca="1">IFERROR(__xludf.DUMMYFUNCTION("""COMPUTED_VALUE"""),"P0005")</f>
        <v>P0005</v>
      </c>
      <c r="AK7" t="str">
        <f ca="1">IFERROR(__xludf.DUMMYFUNCTION("""COMPUTED_VALUE"""),"Rosa Put, uxor Stephani Put")</f>
        <v>Rosa Put, uxor Stephani Put</v>
      </c>
      <c r="AM7" t="str">
        <f ca="1">IFERROR(__xludf.DUMMYFUNCTION("""COMPUTED_VALUE"""),"#VALUE!")</f>
        <v>#VALUE!</v>
      </c>
      <c r="AO7" t="str">
        <f ca="1">IFERROR(__xludf.DUMMYFUNCTION("""COMPUTED_VALUE"""),"#VALUE!")</f>
        <v>#VALUE!</v>
      </c>
      <c r="AQ7" t="str">
        <f ca="1">IFERROR(__xludf.DUMMYFUNCTION("""COMPUTED_VALUE"""),"#VALUE!")</f>
        <v>#VALUE!</v>
      </c>
      <c r="AS7" t="str">
        <f ca="1">IFERROR(__xludf.DUMMYFUNCTION("""COMPUTED_VALUE"""),"#VALUE!")</f>
        <v>#VALUE!</v>
      </c>
      <c r="AU7" t="str">
        <f ca="1">IFERROR(__xludf.DUMMYFUNCTION("""COMPUTED_VALUE"""),"#VALUE!")</f>
        <v>#VALUE!</v>
      </c>
      <c r="AW7" t="str">
        <f ca="1">IFERROR(__xludf.DUMMYFUNCTION("""COMPUTED_VALUE"""),"#VALUE!")</f>
        <v>#VALUE!</v>
      </c>
      <c r="AY7" t="str">
        <f ca="1">IFERROR(__xludf.DUMMYFUNCTION("""COMPUTED_VALUE"""),"#VALUE!")</f>
        <v>#VALUE!</v>
      </c>
      <c r="BA7" t="str">
        <f ca="1">IFERROR(__xludf.DUMMYFUNCTION("""COMPUTED_VALUE"""),"#VALUE!")</f>
        <v>#VALUE!</v>
      </c>
      <c r="BC7" t="str">
        <f ca="1">IFERROR(__xludf.DUMMYFUNCTION("""COMPUTED_VALUE"""),"#VALUE!")</f>
        <v>#VALUE!</v>
      </c>
      <c r="BE7" t="str">
        <f ca="1">IFERROR(__xludf.DUMMYFUNCTION("""COMPUTED_VALUE"""),"#VALUE!")</f>
        <v>#VALUE!</v>
      </c>
      <c r="BG7" t="str">
        <f ca="1">IFERROR(__xludf.DUMMYFUNCTION("""COMPUTED_VALUE"""),"#VALUE!")</f>
        <v>#VALUE!</v>
      </c>
      <c r="BI7" t="str">
        <f ca="1">IFERROR(__xludf.DUMMYFUNCTION("""COMPUTED_VALUE"""),"#VALUE!")</f>
        <v>#VALUE!</v>
      </c>
      <c r="BK7" t="str">
        <f ca="1">IFERROR(__xludf.DUMMYFUNCTION("""COMPUTED_VALUE"""),"#VALUE!")</f>
        <v>#VALUE!</v>
      </c>
      <c r="BM7" t="str">
        <f ca="1">IFERROR(__xludf.DUMMYFUNCTION("""COMPUTED_VALUE"""),"#VALUE!")</f>
        <v>#VALUE!</v>
      </c>
      <c r="BO7" t="str">
        <f ca="1">IFERROR(__xludf.DUMMYFUNCTION("""COMPUTED_VALUE"""),"#VALUE!")</f>
        <v>#VALUE!</v>
      </c>
      <c r="BQ7" t="str">
        <f ca="1">IFERROR(__xludf.DUMMYFUNCTION("""COMPUTED_VALUE"""),"#VALUE!")</f>
        <v>#VALUE!</v>
      </c>
      <c r="BS7" t="str">
        <f ca="1">IFERROR(__xludf.DUMMYFUNCTION("""COMPUTED_VALUE"""),"#VALUE!")</f>
        <v>#VALUE!</v>
      </c>
      <c r="BU7" t="str">
        <f ca="1">IFERROR(__xludf.DUMMYFUNCTION("""COMPUTED_VALUE"""),"#VALUE!")</f>
        <v>#VALUE!</v>
      </c>
      <c r="BW7" t="str">
        <f ca="1">IFERROR(__xludf.DUMMYFUNCTION("""COMPUTED_VALUE"""),"#VALUE!")</f>
        <v>#VALUE!</v>
      </c>
      <c r="BY7" t="str">
        <f ca="1">IFERROR(__xludf.DUMMYFUNCTION("""COMPUTED_VALUE"""),"#VALUE!")</f>
        <v>#VALUE!</v>
      </c>
      <c r="CA7" t="str">
        <f ca="1">IFERROR(__xludf.DUMMYFUNCTION("""COMPUTED_VALUE"""),"#VALUE!")</f>
        <v>#VALUE!</v>
      </c>
      <c r="CC7" t="str">
        <f ca="1">IFERROR(__xludf.DUMMYFUNCTION("""COMPUTED_VALUE"""),"#VALUE!")</f>
        <v>#VALUE!</v>
      </c>
      <c r="CE7" t="str">
        <f ca="1">IFERROR(__xludf.DUMMYFUNCTION("""COMPUTED_VALUE"""),"#VALUE!")</f>
        <v>#VALUE!</v>
      </c>
      <c r="CG7" t="str">
        <f ca="1">IFERROR(__xludf.DUMMYFUNCTION("""COMPUTED_VALUE"""),"#VALUE!")</f>
        <v>#VALUE!</v>
      </c>
      <c r="CI7" t="str">
        <f ca="1">IFERROR(__xludf.DUMMYFUNCTION("""COMPUTED_VALUE"""),"#VALUE!")</f>
        <v>#VALUE!</v>
      </c>
      <c r="CK7" t="str">
        <f ca="1">IFERROR(__xludf.DUMMYFUNCTION("""COMPUTED_VALUE"""),"#VALUE!")</f>
        <v>#VALUE!</v>
      </c>
      <c r="CS7" t="str">
        <f ca="1">IFERROR(__xludf.DUMMYFUNCTION("""COMPUTED_VALUE"""),"#VALUE!")</f>
        <v>#VALUE!</v>
      </c>
      <c r="CU7" t="str">
        <f ca="1">IFERROR(__xludf.DUMMYFUNCTION("""COMPUTED_VALUE"""),"#VALUE!")</f>
        <v>#VALUE!</v>
      </c>
      <c r="CV7" t="str">
        <f ca="1">IFERROR(__xludf.DUMMYFUNCTION("""COMPUTED_VALUE"""),"L0002")</f>
        <v>L0002</v>
      </c>
      <c r="CW7" t="str">
        <f ca="1">IFERROR(__xludf.DUMMYFUNCTION("""COMPUTED_VALUE"""),"Coazze")</f>
        <v>Coazze</v>
      </c>
      <c r="CY7" t="str">
        <f ca="1">IFERROR(__xludf.DUMMYFUNCTION("""COMPUTED_VALUE"""),"#VALUE!")</f>
        <v>#VALUE!</v>
      </c>
      <c r="DC7" t="str">
        <f ca="1">IFERROR(__xludf.DUMMYFUNCTION("""COMPUTED_VALUE"""),"#VALUE!")</f>
        <v>#VALUE!</v>
      </c>
      <c r="DE7" t="str">
        <f ca="1">IFERROR(__xludf.DUMMYFUNCTION("""COMPUTED_VALUE"""),"#VALUE!")</f>
        <v>#VALUE!</v>
      </c>
      <c r="DI7" t="str">
        <f ca="1">IFERROR(__xludf.DUMMYFUNCTION("""COMPUTED_VALUE"""),"#VALUE!")</f>
        <v>#VALUE!</v>
      </c>
      <c r="DJ7" t="str">
        <f ca="1">IFERROR(__xludf.DUMMYFUNCTION("""COMPUTED_VALUE"""),"#VALUE!")</f>
        <v>#VALUE!</v>
      </c>
      <c r="DL7" t="str">
        <f ca="1">IFERROR(__xludf.DUMMYFUNCTION("""COMPUTED_VALUE"""),"Davor Salihović")</f>
        <v>Davor Salihović</v>
      </c>
    </row>
    <row r="8" spans="1:116" ht="15.75" customHeight="1" x14ac:dyDescent="0.25">
      <c r="A8" t="str">
        <f ca="1">IFERROR(__xludf.DUMMYFUNCTION("""COMPUTED_VALUE"""),"P0007")</f>
        <v>P0007</v>
      </c>
      <c r="B8" t="str">
        <f ca="1">IFERROR(__xludf.DUMMYFUNCTION("""COMPUTED_VALUE"""),"Iustus Garola")</f>
        <v>Iustus Garola</v>
      </c>
      <c r="D8" t="str">
        <f ca="1">IFERROR(__xludf.DUMMYFUNCTION("""COMPUTED_VALUE"""),"#VALUE!")</f>
        <v>#VALUE!</v>
      </c>
      <c r="E8" t="str">
        <f ca="1">IFERROR(__xludf.DUMMYFUNCTION("""COMPUTED_VALUE"""),"Iustus")</f>
        <v>Iustus</v>
      </c>
      <c r="K8" t="str">
        <f ca="1">IFERROR(__xludf.DUMMYFUNCTION("""COMPUTED_VALUE"""),"Garola")</f>
        <v>Garola</v>
      </c>
      <c r="L8" t="str">
        <f ca="1">IFERROR(__xludf.DUMMYFUNCTION("""COMPUTED_VALUE"""),"Garola")</f>
        <v>Garola</v>
      </c>
      <c r="S8" t="str">
        <f ca="1">IFERROR(__xludf.DUMMYFUNCTION("""COMPUTED_VALUE"""),"Latin")</f>
        <v>Latin</v>
      </c>
      <c r="T8" t="str">
        <f ca="1">IFERROR(__xludf.DUMMYFUNCTION("""COMPUTED_VALUE"""),"definite")</f>
        <v>definite</v>
      </c>
      <c r="U8" t="str">
        <f ca="1">IFERROR(__xludf.DUMMYFUNCTION("""COMPUTED_VALUE"""),"C2553")</f>
        <v>C2553</v>
      </c>
      <c r="V8" t="str">
        <f ca="1">IFERROR(__xludf.DUMMYFUNCTION("""COMPUTED_VALUE"""),"male")</f>
        <v>male</v>
      </c>
      <c r="Z8" t="str">
        <f ca="1">IFERROR(__xludf.DUMMYFUNCTION("""COMPUTED_VALUE"""),"163")</f>
        <v>163</v>
      </c>
      <c r="AA8" t="str">
        <f ca="1">IFERROR(__xludf.DUMMYFUNCTION("""COMPUTED_VALUE"""),"d")</f>
        <v>d</v>
      </c>
      <c r="AB8" t="str">
        <f ca="1">IFERROR(__xludf.DUMMYFUNCTION("""COMPUTED_VALUE"""),"suspect")</f>
        <v>suspect</v>
      </c>
      <c r="AE8" t="str">
        <f ca="1">IFERROR(__xludf.DUMMYFUNCTION("""COMPUTED_VALUE"""),"#VALUE!")</f>
        <v>#VALUE!</v>
      </c>
      <c r="AF8" t="str">
        <f ca="1">IFERROR(__xludf.DUMMYFUNCTION("""COMPUTED_VALUE"""),"#N/A")</f>
        <v>#N/A</v>
      </c>
      <c r="AG8" t="str">
        <f ca="1">IFERROR(__xludf.DUMMYFUNCTION("""COMPUTED_VALUE"""),"#N/A")</f>
        <v>#N/A</v>
      </c>
      <c r="AI8" t="str">
        <f ca="1">IFERROR(__xludf.DUMMYFUNCTION("""COMPUTED_VALUE"""),"#VALUE!")</f>
        <v>#VALUE!</v>
      </c>
      <c r="AK8" t="str">
        <f ca="1">IFERROR(__xludf.DUMMYFUNCTION("""COMPUTED_VALUE"""),"#VALUE!")</f>
        <v>#VALUE!</v>
      </c>
      <c r="AM8" t="str">
        <f ca="1">IFERROR(__xludf.DUMMYFUNCTION("""COMPUTED_VALUE"""),"#VALUE!")</f>
        <v>#VALUE!</v>
      </c>
      <c r="AO8" t="str">
        <f ca="1">IFERROR(__xludf.DUMMYFUNCTION("""COMPUTED_VALUE"""),"#VALUE!")</f>
        <v>#VALUE!</v>
      </c>
      <c r="AQ8" t="str">
        <f ca="1">IFERROR(__xludf.DUMMYFUNCTION("""COMPUTED_VALUE"""),"#VALUE!")</f>
        <v>#VALUE!</v>
      </c>
      <c r="AS8" t="str">
        <f ca="1">IFERROR(__xludf.DUMMYFUNCTION("""COMPUTED_VALUE"""),"#VALUE!")</f>
        <v>#VALUE!</v>
      </c>
      <c r="AU8" t="str">
        <f ca="1">IFERROR(__xludf.DUMMYFUNCTION("""COMPUTED_VALUE"""),"#VALUE!")</f>
        <v>#VALUE!</v>
      </c>
      <c r="AW8" t="str">
        <f ca="1">IFERROR(__xludf.DUMMYFUNCTION("""COMPUTED_VALUE"""),"#VALUE!")</f>
        <v>#VALUE!</v>
      </c>
      <c r="AY8" t="str">
        <f ca="1">IFERROR(__xludf.DUMMYFUNCTION("""COMPUTED_VALUE"""),"#VALUE!")</f>
        <v>#VALUE!</v>
      </c>
      <c r="BA8" t="str">
        <f ca="1">IFERROR(__xludf.DUMMYFUNCTION("""COMPUTED_VALUE"""),"#VALUE!")</f>
        <v>#VALUE!</v>
      </c>
      <c r="BC8" t="str">
        <f ca="1">IFERROR(__xludf.DUMMYFUNCTION("""COMPUTED_VALUE"""),"#VALUE!")</f>
        <v>#VALUE!</v>
      </c>
      <c r="BE8" t="str">
        <f ca="1">IFERROR(__xludf.DUMMYFUNCTION("""COMPUTED_VALUE"""),"#VALUE!")</f>
        <v>#VALUE!</v>
      </c>
      <c r="BG8" t="str">
        <f ca="1">IFERROR(__xludf.DUMMYFUNCTION("""COMPUTED_VALUE"""),"#VALUE!")</f>
        <v>#VALUE!</v>
      </c>
      <c r="BI8" t="str">
        <f ca="1">IFERROR(__xludf.DUMMYFUNCTION("""COMPUTED_VALUE"""),"#VALUE!")</f>
        <v>#VALUE!</v>
      </c>
      <c r="BK8" t="str">
        <f ca="1">IFERROR(__xludf.DUMMYFUNCTION("""COMPUTED_VALUE"""),"#VALUE!")</f>
        <v>#VALUE!</v>
      </c>
      <c r="BM8" t="str">
        <f ca="1">IFERROR(__xludf.DUMMYFUNCTION("""COMPUTED_VALUE"""),"#VALUE!")</f>
        <v>#VALUE!</v>
      </c>
      <c r="BO8" t="str">
        <f ca="1">IFERROR(__xludf.DUMMYFUNCTION("""COMPUTED_VALUE"""),"#VALUE!")</f>
        <v>#VALUE!</v>
      </c>
      <c r="BQ8" t="str">
        <f ca="1">IFERROR(__xludf.DUMMYFUNCTION("""COMPUTED_VALUE"""),"#VALUE!")</f>
        <v>#VALUE!</v>
      </c>
      <c r="BS8" t="str">
        <f ca="1">IFERROR(__xludf.DUMMYFUNCTION("""COMPUTED_VALUE"""),"#VALUE!")</f>
        <v>#VALUE!</v>
      </c>
      <c r="BU8" t="str">
        <f ca="1">IFERROR(__xludf.DUMMYFUNCTION("""COMPUTED_VALUE"""),"#VALUE!")</f>
        <v>#VALUE!</v>
      </c>
      <c r="BW8" t="str">
        <f ca="1">IFERROR(__xludf.DUMMYFUNCTION("""COMPUTED_VALUE"""),"#VALUE!")</f>
        <v>#VALUE!</v>
      </c>
      <c r="BY8" t="str">
        <f ca="1">IFERROR(__xludf.DUMMYFUNCTION("""COMPUTED_VALUE"""),"#VALUE!")</f>
        <v>#VALUE!</v>
      </c>
      <c r="CA8" t="str">
        <f ca="1">IFERROR(__xludf.DUMMYFUNCTION("""COMPUTED_VALUE"""),"#VALUE!")</f>
        <v>#VALUE!</v>
      </c>
      <c r="CC8" t="str">
        <f ca="1">IFERROR(__xludf.DUMMYFUNCTION("""COMPUTED_VALUE"""),"#VALUE!")</f>
        <v>#VALUE!</v>
      </c>
      <c r="CE8" t="str">
        <f ca="1">IFERROR(__xludf.DUMMYFUNCTION("""COMPUTED_VALUE"""),"#VALUE!")</f>
        <v>#VALUE!</v>
      </c>
      <c r="CG8" t="str">
        <f ca="1">IFERROR(__xludf.DUMMYFUNCTION("""COMPUTED_VALUE"""),"#VALUE!")</f>
        <v>#VALUE!</v>
      </c>
      <c r="CI8" t="str">
        <f ca="1">IFERROR(__xludf.DUMMYFUNCTION("""COMPUTED_VALUE"""),"#VALUE!")</f>
        <v>#VALUE!</v>
      </c>
      <c r="CK8" t="str">
        <f ca="1">IFERROR(__xludf.DUMMYFUNCTION("""COMPUTED_VALUE"""),"#VALUE!")</f>
        <v>#VALUE!</v>
      </c>
      <c r="CS8" t="str">
        <f ca="1">IFERROR(__xludf.DUMMYFUNCTION("""COMPUTED_VALUE"""),"#VALUE!")</f>
        <v>#VALUE!</v>
      </c>
      <c r="CU8" t="str">
        <f ca="1">IFERROR(__xludf.DUMMYFUNCTION("""COMPUTED_VALUE"""),"#VALUE!")</f>
        <v>#VALUE!</v>
      </c>
      <c r="CV8" t="str">
        <f ca="1">IFERROR(__xludf.DUMMYFUNCTION("""COMPUTED_VALUE"""),"L0002")</f>
        <v>L0002</v>
      </c>
      <c r="CW8" t="str">
        <f ca="1">IFERROR(__xludf.DUMMYFUNCTION("""COMPUTED_VALUE"""),"Coazze")</f>
        <v>Coazze</v>
      </c>
      <c r="CY8" t="str">
        <f ca="1">IFERROR(__xludf.DUMMYFUNCTION("""COMPUTED_VALUE"""),"#VALUE!")</f>
        <v>#VALUE!</v>
      </c>
      <c r="DC8" t="str">
        <f ca="1">IFERROR(__xludf.DUMMYFUNCTION("""COMPUTED_VALUE"""),"#VALUE!")</f>
        <v>#VALUE!</v>
      </c>
      <c r="DE8" t="str">
        <f ca="1">IFERROR(__xludf.DUMMYFUNCTION("""COMPUTED_VALUE"""),"#VALUE!")</f>
        <v>#VALUE!</v>
      </c>
      <c r="DI8" t="str">
        <f ca="1">IFERROR(__xludf.DUMMYFUNCTION("""COMPUTED_VALUE"""),"#VALUE!")</f>
        <v>#VALUE!</v>
      </c>
      <c r="DJ8" t="str">
        <f ca="1">IFERROR(__xludf.DUMMYFUNCTION("""COMPUTED_VALUE"""),"#VALUE!")</f>
        <v>#VALUE!</v>
      </c>
      <c r="DL8" t="str">
        <f ca="1">IFERROR(__xludf.DUMMYFUNCTION("""COMPUTED_VALUE"""),"Davor Salihović")</f>
        <v>Davor Salihović</v>
      </c>
    </row>
    <row r="9" spans="1:116" ht="15.75" customHeight="1" x14ac:dyDescent="0.25">
      <c r="A9" t="str">
        <f ca="1">IFERROR(__xludf.DUMMYFUNCTION("""COMPUTED_VALUE"""),"P0008")</f>
        <v>P0008</v>
      </c>
      <c r="B9" t="str">
        <f ca="1">IFERROR(__xludf.DUMMYFUNCTION("""COMPUTED_VALUE"""),"Iohannes de Bergerii")</f>
        <v>Iohannes de Bergerii</v>
      </c>
      <c r="D9" t="str">
        <f ca="1">IFERROR(__xludf.DUMMYFUNCTION("""COMPUTED_VALUE"""),"#VALUE!")</f>
        <v>#VALUE!</v>
      </c>
      <c r="E9" t="str">
        <f ca="1">IFERROR(__xludf.DUMMYFUNCTION("""COMPUTED_VALUE"""),"Iohannes")</f>
        <v>Iohannes</v>
      </c>
      <c r="G9" t="str">
        <f ca="1">IFERROR(__xludf.DUMMYFUNCTION("""COMPUTED_VALUE"""),"de")</f>
        <v>de</v>
      </c>
      <c r="H9" t="str">
        <f ca="1">IFERROR(__xludf.DUMMYFUNCTION("""COMPUTED_VALUE"""),"Bergerii")</f>
        <v>Bergerii</v>
      </c>
      <c r="I9" t="str">
        <f ca="1">IFERROR(__xludf.DUMMYFUNCTION("""COMPUTED_VALUE"""),"de Bergerii")</f>
        <v>de Bergerii</v>
      </c>
      <c r="S9" t="str">
        <f ca="1">IFERROR(__xludf.DUMMYFUNCTION("""COMPUTED_VALUE"""),"Latin")</f>
        <v>Latin</v>
      </c>
      <c r="T9" t="str">
        <f ca="1">IFERROR(__xludf.DUMMYFUNCTION("""COMPUTED_VALUE"""),"definite")</f>
        <v>definite</v>
      </c>
      <c r="U9" t="str">
        <f ca="1">IFERROR(__xludf.DUMMYFUNCTION("""COMPUTED_VALUE"""),"C2553")</f>
        <v>C2553</v>
      </c>
      <c r="V9" t="str">
        <f ca="1">IFERROR(__xludf.DUMMYFUNCTION("""COMPUTED_VALUE"""),"male")</f>
        <v>male</v>
      </c>
      <c r="Z9" t="str">
        <f ca="1">IFERROR(__xludf.DUMMYFUNCTION("""COMPUTED_VALUE"""),"163")</f>
        <v>163</v>
      </c>
      <c r="AA9" t="str">
        <f ca="1">IFERROR(__xludf.DUMMYFUNCTION("""COMPUTED_VALUE"""),"o")</f>
        <v>o</v>
      </c>
      <c r="AB9" t="str">
        <f ca="1">IFERROR(__xludf.DUMMYFUNCTION("""COMPUTED_VALUE"""),"informer")</f>
        <v>informer</v>
      </c>
      <c r="AE9" t="str">
        <f ca="1">IFERROR(__xludf.DUMMYFUNCTION("""COMPUTED_VALUE"""),"#VALUE!")</f>
        <v>#VALUE!</v>
      </c>
      <c r="AF9" t="str">
        <f ca="1">IFERROR(__xludf.DUMMYFUNCTION("""COMPUTED_VALUE"""),"#N/A")</f>
        <v>#N/A</v>
      </c>
      <c r="AG9" t="str">
        <f ca="1">IFERROR(__xludf.DUMMYFUNCTION("""COMPUTED_VALUE"""),"#N/A")</f>
        <v>#N/A</v>
      </c>
      <c r="AI9" t="str">
        <f ca="1">IFERROR(__xludf.DUMMYFUNCTION("""COMPUTED_VALUE"""),"#VALUE!")</f>
        <v>#VALUE!</v>
      </c>
      <c r="AK9" t="str">
        <f ca="1">IFERROR(__xludf.DUMMYFUNCTION("""COMPUTED_VALUE"""),"#VALUE!")</f>
        <v>#VALUE!</v>
      </c>
      <c r="AM9" t="str">
        <f ca="1">IFERROR(__xludf.DUMMYFUNCTION("""COMPUTED_VALUE"""),"#VALUE!")</f>
        <v>#VALUE!</v>
      </c>
      <c r="AO9" t="str">
        <f ca="1">IFERROR(__xludf.DUMMYFUNCTION("""COMPUTED_VALUE"""),"#VALUE!")</f>
        <v>#VALUE!</v>
      </c>
      <c r="AQ9" t="str">
        <f ca="1">IFERROR(__xludf.DUMMYFUNCTION("""COMPUTED_VALUE"""),"#VALUE!")</f>
        <v>#VALUE!</v>
      </c>
      <c r="AS9" t="str">
        <f ca="1">IFERROR(__xludf.DUMMYFUNCTION("""COMPUTED_VALUE"""),"#VALUE!")</f>
        <v>#VALUE!</v>
      </c>
      <c r="AU9" t="str">
        <f ca="1">IFERROR(__xludf.DUMMYFUNCTION("""COMPUTED_VALUE"""),"#VALUE!")</f>
        <v>#VALUE!</v>
      </c>
      <c r="AW9" t="str">
        <f ca="1">IFERROR(__xludf.DUMMYFUNCTION("""COMPUTED_VALUE"""),"#VALUE!")</f>
        <v>#VALUE!</v>
      </c>
      <c r="AY9" t="str">
        <f ca="1">IFERROR(__xludf.DUMMYFUNCTION("""COMPUTED_VALUE"""),"#VALUE!")</f>
        <v>#VALUE!</v>
      </c>
      <c r="BA9" t="str">
        <f ca="1">IFERROR(__xludf.DUMMYFUNCTION("""COMPUTED_VALUE"""),"#VALUE!")</f>
        <v>#VALUE!</v>
      </c>
      <c r="BC9" t="str">
        <f ca="1">IFERROR(__xludf.DUMMYFUNCTION("""COMPUTED_VALUE"""),"#VALUE!")</f>
        <v>#VALUE!</v>
      </c>
      <c r="BE9" t="str">
        <f ca="1">IFERROR(__xludf.DUMMYFUNCTION("""COMPUTED_VALUE"""),"#VALUE!")</f>
        <v>#VALUE!</v>
      </c>
      <c r="BG9" t="str">
        <f ca="1">IFERROR(__xludf.DUMMYFUNCTION("""COMPUTED_VALUE"""),"#VALUE!")</f>
        <v>#VALUE!</v>
      </c>
      <c r="BI9" t="str">
        <f ca="1">IFERROR(__xludf.DUMMYFUNCTION("""COMPUTED_VALUE"""),"#VALUE!")</f>
        <v>#VALUE!</v>
      </c>
      <c r="BK9" t="str">
        <f ca="1">IFERROR(__xludf.DUMMYFUNCTION("""COMPUTED_VALUE"""),"#VALUE!")</f>
        <v>#VALUE!</v>
      </c>
      <c r="BM9" t="str">
        <f ca="1">IFERROR(__xludf.DUMMYFUNCTION("""COMPUTED_VALUE"""),"#VALUE!")</f>
        <v>#VALUE!</v>
      </c>
      <c r="BO9" t="str">
        <f ca="1">IFERROR(__xludf.DUMMYFUNCTION("""COMPUTED_VALUE"""),"#VALUE!")</f>
        <v>#VALUE!</v>
      </c>
      <c r="BQ9" t="str">
        <f ca="1">IFERROR(__xludf.DUMMYFUNCTION("""COMPUTED_VALUE"""),"#VALUE!")</f>
        <v>#VALUE!</v>
      </c>
      <c r="BS9" t="str">
        <f ca="1">IFERROR(__xludf.DUMMYFUNCTION("""COMPUTED_VALUE"""),"#VALUE!")</f>
        <v>#VALUE!</v>
      </c>
      <c r="BU9" t="str">
        <f ca="1">IFERROR(__xludf.DUMMYFUNCTION("""COMPUTED_VALUE"""),"#VALUE!")</f>
        <v>#VALUE!</v>
      </c>
      <c r="BW9" t="str">
        <f ca="1">IFERROR(__xludf.DUMMYFUNCTION("""COMPUTED_VALUE"""),"#VALUE!")</f>
        <v>#VALUE!</v>
      </c>
      <c r="BY9" t="str">
        <f ca="1">IFERROR(__xludf.DUMMYFUNCTION("""COMPUTED_VALUE"""),"#VALUE!")</f>
        <v>#VALUE!</v>
      </c>
      <c r="CA9" t="str">
        <f ca="1">IFERROR(__xludf.DUMMYFUNCTION("""COMPUTED_VALUE"""),"#VALUE!")</f>
        <v>#VALUE!</v>
      </c>
      <c r="CC9" t="str">
        <f ca="1">IFERROR(__xludf.DUMMYFUNCTION("""COMPUTED_VALUE"""),"#VALUE!")</f>
        <v>#VALUE!</v>
      </c>
      <c r="CE9" t="str">
        <f ca="1">IFERROR(__xludf.DUMMYFUNCTION("""COMPUTED_VALUE"""),"#VALUE!")</f>
        <v>#VALUE!</v>
      </c>
      <c r="CG9" t="str">
        <f ca="1">IFERROR(__xludf.DUMMYFUNCTION("""COMPUTED_VALUE"""),"#VALUE!")</f>
        <v>#VALUE!</v>
      </c>
      <c r="CI9" t="str">
        <f ca="1">IFERROR(__xludf.DUMMYFUNCTION("""COMPUTED_VALUE"""),"#VALUE!")</f>
        <v>#VALUE!</v>
      </c>
      <c r="CK9" t="str">
        <f ca="1">IFERROR(__xludf.DUMMYFUNCTION("""COMPUTED_VALUE"""),"#VALUE!")</f>
        <v>#VALUE!</v>
      </c>
      <c r="CS9" t="str">
        <f ca="1">IFERROR(__xludf.DUMMYFUNCTION("""COMPUTED_VALUE"""),"#VALUE!")</f>
        <v>#VALUE!</v>
      </c>
      <c r="CU9" t="str">
        <f ca="1">IFERROR(__xludf.DUMMYFUNCTION("""COMPUTED_VALUE"""),"#VALUE!")</f>
        <v>#VALUE!</v>
      </c>
      <c r="CW9" t="str">
        <f ca="1">IFERROR(__xludf.DUMMYFUNCTION("""COMPUTED_VALUE"""),"#VALUE!")</f>
        <v>#VALUE!</v>
      </c>
      <c r="CY9" t="str">
        <f ca="1">IFERROR(__xludf.DUMMYFUNCTION("""COMPUTED_VALUE"""),"#VALUE!")</f>
        <v>#VALUE!</v>
      </c>
      <c r="DC9" t="str">
        <f ca="1">IFERROR(__xludf.DUMMYFUNCTION("""COMPUTED_VALUE"""),"#VALUE!")</f>
        <v>#VALUE!</v>
      </c>
      <c r="DE9" t="str">
        <f ca="1">IFERROR(__xludf.DUMMYFUNCTION("""COMPUTED_VALUE"""),"#VALUE!")</f>
        <v>#VALUE!</v>
      </c>
      <c r="DI9" t="str">
        <f ca="1">IFERROR(__xludf.DUMMYFUNCTION("""COMPUTED_VALUE"""),"#VALUE!")</f>
        <v>#VALUE!</v>
      </c>
      <c r="DJ9" t="str">
        <f ca="1">IFERROR(__xludf.DUMMYFUNCTION("""COMPUTED_VALUE"""),"#VALUE!")</f>
        <v>#VALUE!</v>
      </c>
      <c r="DL9" t="str">
        <f ca="1">IFERROR(__xludf.DUMMYFUNCTION("""COMPUTED_VALUE"""),"Davor Salihović")</f>
        <v>Davor Salihović</v>
      </c>
    </row>
    <row r="10" spans="1:116" ht="15.75" customHeight="1" x14ac:dyDescent="0.25">
      <c r="A10" t="str">
        <f ca="1">IFERROR(__xludf.DUMMYFUNCTION("""COMPUTED_VALUE"""),"P0009")</f>
        <v>P0009</v>
      </c>
      <c r="B10" t="str">
        <f ca="1">IFERROR(__xludf.DUMMYFUNCTION("""COMPUTED_VALUE"""),"Rollandus Put")</f>
        <v>Rollandus Put</v>
      </c>
      <c r="D10" t="str">
        <f ca="1">IFERROR(__xludf.DUMMYFUNCTION("""COMPUTED_VALUE"""),"#VALUE!")</f>
        <v>#VALUE!</v>
      </c>
      <c r="E10" t="str">
        <f ca="1">IFERROR(__xludf.DUMMYFUNCTION("""COMPUTED_VALUE"""),"Rollandus")</f>
        <v>Rollandus</v>
      </c>
      <c r="K10" t="str">
        <f ca="1">IFERROR(__xludf.DUMMYFUNCTION("""COMPUTED_VALUE"""),"Put")</f>
        <v>Put</v>
      </c>
      <c r="L10" t="str">
        <f ca="1">IFERROR(__xludf.DUMMYFUNCTION("""COMPUTED_VALUE"""),"Put")</f>
        <v>Put</v>
      </c>
      <c r="S10" t="str">
        <f ca="1">IFERROR(__xludf.DUMMYFUNCTION("""COMPUTED_VALUE"""),"Latin")</f>
        <v>Latin</v>
      </c>
      <c r="T10" t="str">
        <f ca="1">IFERROR(__xludf.DUMMYFUNCTION("""COMPUTED_VALUE"""),"definite")</f>
        <v>definite</v>
      </c>
      <c r="U10" t="str">
        <f ca="1">IFERROR(__xludf.DUMMYFUNCTION("""COMPUTED_VALUE"""),"C2553")</f>
        <v>C2553</v>
      </c>
      <c r="V10" t="str">
        <f ca="1">IFERROR(__xludf.DUMMYFUNCTION("""COMPUTED_VALUE"""),"male")</f>
        <v>male</v>
      </c>
      <c r="Z10" t="str">
        <f ca="1">IFERROR(__xludf.DUMMYFUNCTION("""COMPUTED_VALUE"""),"163")</f>
        <v>163</v>
      </c>
      <c r="AA10" t="str">
        <f ca="1">IFERROR(__xludf.DUMMYFUNCTION("""COMPUTED_VALUE"""),"o")</f>
        <v>o</v>
      </c>
      <c r="AB10" t="str">
        <f ca="1">IFERROR(__xludf.DUMMYFUNCTION("""COMPUTED_VALUE"""),"NA")</f>
        <v>NA</v>
      </c>
      <c r="AE10" t="str">
        <f ca="1">IFERROR(__xludf.DUMMYFUNCTION("""COMPUTED_VALUE"""),"#VALUE!")</f>
        <v>#VALUE!</v>
      </c>
      <c r="AF10" t="str">
        <f ca="1">IFERROR(__xludf.DUMMYFUNCTION("""COMPUTED_VALUE"""),"#N/A")</f>
        <v>#N/A</v>
      </c>
      <c r="AG10" t="str">
        <f ca="1">IFERROR(__xludf.DUMMYFUNCTION("""COMPUTED_VALUE"""),"#N/A")</f>
        <v>#N/A</v>
      </c>
      <c r="AI10" t="str">
        <f ca="1">IFERROR(__xludf.DUMMYFUNCTION("""COMPUTED_VALUE"""),"#VALUE!")</f>
        <v>#VALUE!</v>
      </c>
      <c r="AK10" t="str">
        <f ca="1">IFERROR(__xludf.DUMMYFUNCTION("""COMPUTED_VALUE"""),"#VALUE!")</f>
        <v>#VALUE!</v>
      </c>
      <c r="AM10" t="str">
        <f ca="1">IFERROR(__xludf.DUMMYFUNCTION("""COMPUTED_VALUE"""),"#VALUE!")</f>
        <v>#VALUE!</v>
      </c>
      <c r="AO10" t="str">
        <f ca="1">IFERROR(__xludf.DUMMYFUNCTION("""COMPUTED_VALUE"""),"#VALUE!")</f>
        <v>#VALUE!</v>
      </c>
      <c r="AQ10" t="str">
        <f ca="1">IFERROR(__xludf.DUMMYFUNCTION("""COMPUTED_VALUE"""),"#VALUE!")</f>
        <v>#VALUE!</v>
      </c>
      <c r="AS10" t="str">
        <f ca="1">IFERROR(__xludf.DUMMYFUNCTION("""COMPUTED_VALUE"""),"#VALUE!")</f>
        <v>#VALUE!</v>
      </c>
      <c r="AU10" t="str">
        <f ca="1">IFERROR(__xludf.DUMMYFUNCTION("""COMPUTED_VALUE"""),"#VALUE!")</f>
        <v>#VALUE!</v>
      </c>
      <c r="AW10" t="str">
        <f ca="1">IFERROR(__xludf.DUMMYFUNCTION("""COMPUTED_VALUE"""),"#VALUE!")</f>
        <v>#VALUE!</v>
      </c>
      <c r="AY10" t="str">
        <f ca="1">IFERROR(__xludf.DUMMYFUNCTION("""COMPUTED_VALUE"""),"#VALUE!")</f>
        <v>#VALUE!</v>
      </c>
      <c r="BA10" t="str">
        <f ca="1">IFERROR(__xludf.DUMMYFUNCTION("""COMPUTED_VALUE"""),"#VALUE!")</f>
        <v>#VALUE!</v>
      </c>
      <c r="BC10" t="str">
        <f ca="1">IFERROR(__xludf.DUMMYFUNCTION("""COMPUTED_VALUE"""),"#VALUE!")</f>
        <v>#VALUE!</v>
      </c>
      <c r="BE10" t="str">
        <f ca="1">IFERROR(__xludf.DUMMYFUNCTION("""COMPUTED_VALUE"""),"#VALUE!")</f>
        <v>#VALUE!</v>
      </c>
      <c r="BG10" t="str">
        <f ca="1">IFERROR(__xludf.DUMMYFUNCTION("""COMPUTED_VALUE"""),"#VALUE!")</f>
        <v>#VALUE!</v>
      </c>
      <c r="BI10" t="str">
        <f ca="1">IFERROR(__xludf.DUMMYFUNCTION("""COMPUTED_VALUE"""),"#VALUE!")</f>
        <v>#VALUE!</v>
      </c>
      <c r="BK10" t="str">
        <f ca="1">IFERROR(__xludf.DUMMYFUNCTION("""COMPUTED_VALUE"""),"#VALUE!")</f>
        <v>#VALUE!</v>
      </c>
      <c r="BM10" t="str">
        <f ca="1">IFERROR(__xludf.DUMMYFUNCTION("""COMPUTED_VALUE"""),"#VALUE!")</f>
        <v>#VALUE!</v>
      </c>
      <c r="BO10" t="str">
        <f ca="1">IFERROR(__xludf.DUMMYFUNCTION("""COMPUTED_VALUE"""),"#VALUE!")</f>
        <v>#VALUE!</v>
      </c>
      <c r="BQ10" t="str">
        <f ca="1">IFERROR(__xludf.DUMMYFUNCTION("""COMPUTED_VALUE"""),"#VALUE!")</f>
        <v>#VALUE!</v>
      </c>
      <c r="BS10" t="str">
        <f ca="1">IFERROR(__xludf.DUMMYFUNCTION("""COMPUTED_VALUE"""),"#VALUE!")</f>
        <v>#VALUE!</v>
      </c>
      <c r="BU10" t="str">
        <f ca="1">IFERROR(__xludf.DUMMYFUNCTION("""COMPUTED_VALUE"""),"#VALUE!")</f>
        <v>#VALUE!</v>
      </c>
      <c r="BW10" t="str">
        <f ca="1">IFERROR(__xludf.DUMMYFUNCTION("""COMPUTED_VALUE"""),"#VALUE!")</f>
        <v>#VALUE!</v>
      </c>
      <c r="BY10" t="str">
        <f ca="1">IFERROR(__xludf.DUMMYFUNCTION("""COMPUTED_VALUE"""),"#VALUE!")</f>
        <v>#VALUE!</v>
      </c>
      <c r="CA10" t="str">
        <f ca="1">IFERROR(__xludf.DUMMYFUNCTION("""COMPUTED_VALUE"""),"#VALUE!")</f>
        <v>#VALUE!</v>
      </c>
      <c r="CC10" t="str">
        <f ca="1">IFERROR(__xludf.DUMMYFUNCTION("""COMPUTED_VALUE"""),"#VALUE!")</f>
        <v>#VALUE!</v>
      </c>
      <c r="CE10" t="str">
        <f ca="1">IFERROR(__xludf.DUMMYFUNCTION("""COMPUTED_VALUE"""),"#VALUE!")</f>
        <v>#VALUE!</v>
      </c>
      <c r="CG10" t="str">
        <f ca="1">IFERROR(__xludf.DUMMYFUNCTION("""COMPUTED_VALUE"""),"#VALUE!")</f>
        <v>#VALUE!</v>
      </c>
      <c r="CI10" t="str">
        <f ca="1">IFERROR(__xludf.DUMMYFUNCTION("""COMPUTED_VALUE"""),"#VALUE!")</f>
        <v>#VALUE!</v>
      </c>
      <c r="CK10" t="str">
        <f ca="1">IFERROR(__xludf.DUMMYFUNCTION("""COMPUTED_VALUE"""),"#VALUE!")</f>
        <v>#VALUE!</v>
      </c>
      <c r="CS10" t="str">
        <f ca="1">IFERROR(__xludf.DUMMYFUNCTION("""COMPUTED_VALUE"""),"#VALUE!")</f>
        <v>#VALUE!</v>
      </c>
      <c r="CU10" t="str">
        <f ca="1">IFERROR(__xludf.DUMMYFUNCTION("""COMPUTED_VALUE"""),"#VALUE!")</f>
        <v>#VALUE!</v>
      </c>
      <c r="CW10" t="str">
        <f ca="1">IFERROR(__xludf.DUMMYFUNCTION("""COMPUTED_VALUE"""),"#VALUE!")</f>
        <v>#VALUE!</v>
      </c>
      <c r="CY10" t="str">
        <f ca="1">IFERROR(__xludf.DUMMYFUNCTION("""COMPUTED_VALUE"""),"#VALUE!")</f>
        <v>#VALUE!</v>
      </c>
      <c r="DC10" t="str">
        <f ca="1">IFERROR(__xludf.DUMMYFUNCTION("""COMPUTED_VALUE"""),"#VALUE!")</f>
        <v>#VALUE!</v>
      </c>
      <c r="DE10" t="str">
        <f ca="1">IFERROR(__xludf.DUMMYFUNCTION("""COMPUTED_VALUE"""),"#VALUE!")</f>
        <v>#VALUE!</v>
      </c>
      <c r="DI10" t="str">
        <f ca="1">IFERROR(__xludf.DUMMYFUNCTION("""COMPUTED_VALUE"""),"#VALUE!")</f>
        <v>#VALUE!</v>
      </c>
      <c r="DJ10" t="str">
        <f ca="1">IFERROR(__xludf.DUMMYFUNCTION("""COMPUTED_VALUE"""),"#VALUE!")</f>
        <v>#VALUE!</v>
      </c>
      <c r="DL10" t="str">
        <f ca="1">IFERROR(__xludf.DUMMYFUNCTION("""COMPUTED_VALUE"""),"Davor Salihović")</f>
        <v>Davor Salihović</v>
      </c>
    </row>
    <row r="11" spans="1:116" ht="15.75" customHeight="1" x14ac:dyDescent="0.25">
      <c r="A11" t="str">
        <f ca="1">IFERROR(__xludf.DUMMYFUNCTION("""COMPUTED_VALUE"""),"P0010")</f>
        <v>P0010</v>
      </c>
      <c r="B11" t="str">
        <f ca="1">IFERROR(__xludf.DUMMYFUNCTION("""COMPUTED_VALUE"""),"Iohannes de Brandolo")</f>
        <v>Iohannes de Brandolo</v>
      </c>
      <c r="D11" t="str">
        <f ca="1">IFERROR(__xludf.DUMMYFUNCTION("""COMPUTED_VALUE"""),"#VALUE!")</f>
        <v>#VALUE!</v>
      </c>
      <c r="E11" t="str">
        <f ca="1">IFERROR(__xludf.DUMMYFUNCTION("""COMPUTED_VALUE"""),"Iohannes")</f>
        <v>Iohannes</v>
      </c>
      <c r="J11" t="str">
        <f ca="1">IFERROR(__xludf.DUMMYFUNCTION("""COMPUTED_VALUE"""),"de")</f>
        <v>de</v>
      </c>
      <c r="K11" t="str">
        <f ca="1">IFERROR(__xludf.DUMMYFUNCTION("""COMPUTED_VALUE"""),"Brandolo")</f>
        <v>Brandolo</v>
      </c>
      <c r="L11" t="str">
        <f ca="1">IFERROR(__xludf.DUMMYFUNCTION("""COMPUTED_VALUE"""),"de Brandolo")</f>
        <v>de Brandolo</v>
      </c>
      <c r="S11" t="str">
        <f ca="1">IFERROR(__xludf.DUMMYFUNCTION("""COMPUTED_VALUE"""),"Latin")</f>
        <v>Latin</v>
      </c>
      <c r="T11" t="str">
        <f ca="1">IFERROR(__xludf.DUMMYFUNCTION("""COMPUTED_VALUE"""),"definite")</f>
        <v>definite</v>
      </c>
      <c r="U11" t="str">
        <f ca="1">IFERROR(__xludf.DUMMYFUNCTION("""COMPUTED_VALUE"""),"C2553")</f>
        <v>C2553</v>
      </c>
      <c r="V11" t="str">
        <f ca="1">IFERROR(__xludf.DUMMYFUNCTION("""COMPUTED_VALUE"""),"male")</f>
        <v>male</v>
      </c>
      <c r="Z11" t="str">
        <f ca="1">IFERROR(__xludf.DUMMYFUNCTION("""COMPUTED_VALUE"""),"163")</f>
        <v>163</v>
      </c>
      <c r="AA11" t="str">
        <f ca="1">IFERROR(__xludf.DUMMYFUNCTION("""COMPUTED_VALUE"""),"d")</f>
        <v>d</v>
      </c>
      <c r="AB11" t="str">
        <f ca="1">IFERROR(__xludf.DUMMYFUNCTION("""COMPUTED_VALUE"""),"suspect")</f>
        <v>suspect</v>
      </c>
      <c r="AE11" t="str">
        <f ca="1">IFERROR(__xludf.DUMMYFUNCTION("""COMPUTED_VALUE"""),"#VALUE!")</f>
        <v>#VALUE!</v>
      </c>
      <c r="AF11" t="str">
        <f ca="1">IFERROR(__xludf.DUMMYFUNCTION("""COMPUTED_VALUE"""),"#N/A")</f>
        <v>#N/A</v>
      </c>
      <c r="AG11" t="str">
        <f ca="1">IFERROR(__xludf.DUMMYFUNCTION("""COMPUTED_VALUE"""),"#N/A")</f>
        <v>#N/A</v>
      </c>
      <c r="AI11" t="str">
        <f ca="1">IFERROR(__xludf.DUMMYFUNCTION("""COMPUTED_VALUE"""),"#VALUE!")</f>
        <v>#VALUE!</v>
      </c>
      <c r="AK11" t="str">
        <f ca="1">IFERROR(__xludf.DUMMYFUNCTION("""COMPUTED_VALUE"""),"#VALUE!")</f>
        <v>#VALUE!</v>
      </c>
      <c r="AM11" t="str">
        <f ca="1">IFERROR(__xludf.DUMMYFUNCTION("""COMPUTED_VALUE"""),"#VALUE!")</f>
        <v>#VALUE!</v>
      </c>
      <c r="AO11" t="str">
        <f ca="1">IFERROR(__xludf.DUMMYFUNCTION("""COMPUTED_VALUE"""),"#VALUE!")</f>
        <v>#VALUE!</v>
      </c>
      <c r="AQ11" t="str">
        <f ca="1">IFERROR(__xludf.DUMMYFUNCTION("""COMPUTED_VALUE"""),"#VALUE!")</f>
        <v>#VALUE!</v>
      </c>
      <c r="AS11" t="str">
        <f ca="1">IFERROR(__xludf.DUMMYFUNCTION("""COMPUTED_VALUE"""),"#VALUE!")</f>
        <v>#VALUE!</v>
      </c>
      <c r="AU11" t="str">
        <f ca="1">IFERROR(__xludf.DUMMYFUNCTION("""COMPUTED_VALUE"""),"#VALUE!")</f>
        <v>#VALUE!</v>
      </c>
      <c r="AW11" t="str">
        <f ca="1">IFERROR(__xludf.DUMMYFUNCTION("""COMPUTED_VALUE"""),"#VALUE!")</f>
        <v>#VALUE!</v>
      </c>
      <c r="AY11" t="str">
        <f ca="1">IFERROR(__xludf.DUMMYFUNCTION("""COMPUTED_VALUE"""),"#VALUE!")</f>
        <v>#VALUE!</v>
      </c>
      <c r="BA11" t="str">
        <f ca="1">IFERROR(__xludf.DUMMYFUNCTION("""COMPUTED_VALUE"""),"#VALUE!")</f>
        <v>#VALUE!</v>
      </c>
      <c r="BC11" t="str">
        <f ca="1">IFERROR(__xludf.DUMMYFUNCTION("""COMPUTED_VALUE"""),"#VALUE!")</f>
        <v>#VALUE!</v>
      </c>
      <c r="BE11" t="str">
        <f ca="1">IFERROR(__xludf.DUMMYFUNCTION("""COMPUTED_VALUE"""),"#VALUE!")</f>
        <v>#VALUE!</v>
      </c>
      <c r="BG11" t="str">
        <f ca="1">IFERROR(__xludf.DUMMYFUNCTION("""COMPUTED_VALUE"""),"#VALUE!")</f>
        <v>#VALUE!</v>
      </c>
      <c r="BI11" t="str">
        <f ca="1">IFERROR(__xludf.DUMMYFUNCTION("""COMPUTED_VALUE"""),"#VALUE!")</f>
        <v>#VALUE!</v>
      </c>
      <c r="BK11" t="str">
        <f ca="1">IFERROR(__xludf.DUMMYFUNCTION("""COMPUTED_VALUE"""),"#VALUE!")</f>
        <v>#VALUE!</v>
      </c>
      <c r="BM11" t="str">
        <f ca="1">IFERROR(__xludf.DUMMYFUNCTION("""COMPUTED_VALUE"""),"#VALUE!")</f>
        <v>#VALUE!</v>
      </c>
      <c r="BO11" t="str">
        <f ca="1">IFERROR(__xludf.DUMMYFUNCTION("""COMPUTED_VALUE"""),"#VALUE!")</f>
        <v>#VALUE!</v>
      </c>
      <c r="BQ11" t="str">
        <f ca="1">IFERROR(__xludf.DUMMYFUNCTION("""COMPUTED_VALUE"""),"#VALUE!")</f>
        <v>#VALUE!</v>
      </c>
      <c r="BS11" t="str">
        <f ca="1">IFERROR(__xludf.DUMMYFUNCTION("""COMPUTED_VALUE"""),"#VALUE!")</f>
        <v>#VALUE!</v>
      </c>
      <c r="BU11" t="str">
        <f ca="1">IFERROR(__xludf.DUMMYFUNCTION("""COMPUTED_VALUE"""),"#VALUE!")</f>
        <v>#VALUE!</v>
      </c>
      <c r="BW11" t="str">
        <f ca="1">IFERROR(__xludf.DUMMYFUNCTION("""COMPUTED_VALUE"""),"#VALUE!")</f>
        <v>#VALUE!</v>
      </c>
      <c r="BY11" t="str">
        <f ca="1">IFERROR(__xludf.DUMMYFUNCTION("""COMPUTED_VALUE"""),"#VALUE!")</f>
        <v>#VALUE!</v>
      </c>
      <c r="CA11" t="str">
        <f ca="1">IFERROR(__xludf.DUMMYFUNCTION("""COMPUTED_VALUE"""),"#VALUE!")</f>
        <v>#VALUE!</v>
      </c>
      <c r="CC11" t="str">
        <f ca="1">IFERROR(__xludf.DUMMYFUNCTION("""COMPUTED_VALUE"""),"#VALUE!")</f>
        <v>#VALUE!</v>
      </c>
      <c r="CD11" t="str">
        <f ca="1">IFERROR(__xludf.DUMMYFUNCTION("""COMPUTED_VALUE"""),"C3598")</f>
        <v>C3598</v>
      </c>
      <c r="CE11" t="str">
        <f ca="1">IFERROR(__xludf.DUMMYFUNCTION("""COMPUTED_VALUE"""),"location of congregation")</f>
        <v>location of congregation</v>
      </c>
      <c r="CF11" t="str">
        <f ca="1">IFERROR(__xludf.DUMMYFUNCTION("""COMPUTED_VALUE"""),"L0004")</f>
        <v>L0004</v>
      </c>
      <c r="CG11" t="str">
        <f ca="1">IFERROR(__xludf.DUMMYFUNCTION("""COMPUTED_VALUE"""),"domus Iohannis de Brandolo")</f>
        <v>domus Iohannis de Brandolo</v>
      </c>
      <c r="CI11" t="str">
        <f ca="1">IFERROR(__xludf.DUMMYFUNCTION("""COMPUTED_VALUE"""),"#VALUE!")</f>
        <v>#VALUE!</v>
      </c>
      <c r="CK11" t="str">
        <f ca="1">IFERROR(__xludf.DUMMYFUNCTION("""COMPUTED_VALUE"""),"#VALUE!")</f>
        <v>#VALUE!</v>
      </c>
      <c r="CS11" t="str">
        <f ca="1">IFERROR(__xludf.DUMMYFUNCTION("""COMPUTED_VALUE"""),"#VALUE!")</f>
        <v>#VALUE!</v>
      </c>
      <c r="CU11" t="str">
        <f ca="1">IFERROR(__xludf.DUMMYFUNCTION("""COMPUTED_VALUE"""),"#VALUE!")</f>
        <v>#VALUE!</v>
      </c>
      <c r="CV11" t="str">
        <f ca="1">IFERROR(__xludf.DUMMYFUNCTION("""COMPUTED_VALUE"""),"L0003")</f>
        <v>L0003</v>
      </c>
      <c r="CW11" t="str">
        <f ca="1">IFERROR(__xludf.DUMMYFUNCTION("""COMPUTED_VALUE"""),"Brandolum")</f>
        <v>Brandolum</v>
      </c>
      <c r="CY11" t="str">
        <f ca="1">IFERROR(__xludf.DUMMYFUNCTION("""COMPUTED_VALUE"""),"#VALUE!")</f>
        <v>#VALUE!</v>
      </c>
      <c r="DC11" t="str">
        <f ca="1">IFERROR(__xludf.DUMMYFUNCTION("""COMPUTED_VALUE"""),"#VALUE!")</f>
        <v>#VALUE!</v>
      </c>
      <c r="DE11" t="str">
        <f ca="1">IFERROR(__xludf.DUMMYFUNCTION("""COMPUTED_VALUE"""),"#VALUE!")</f>
        <v>#VALUE!</v>
      </c>
      <c r="DH11" t="str">
        <f ca="1">IFERROR(__xludf.DUMMYFUNCTION("""COMPUTED_VALUE"""),"L0004")</f>
        <v>L0004</v>
      </c>
      <c r="DI11" t="str">
        <f ca="1">IFERROR(__xludf.DUMMYFUNCTION("""COMPUTED_VALUE"""),"domus Iohannis de Brandolo")</f>
        <v>domus Iohannis de Brandolo</v>
      </c>
      <c r="DJ11" t="str">
        <f ca="1">IFERROR(__xludf.DUMMYFUNCTION("""COMPUTED_VALUE"""),"domus")</f>
        <v>domus</v>
      </c>
      <c r="DL11" t="str">
        <f ca="1">IFERROR(__xludf.DUMMYFUNCTION("""COMPUTED_VALUE"""),"Davor Salihović")</f>
        <v>Davor Salihović</v>
      </c>
    </row>
    <row r="12" spans="1:116" ht="15.75" customHeight="1" x14ac:dyDescent="0.25">
      <c r="A12" t="str">
        <f ca="1">IFERROR(__xludf.DUMMYFUNCTION("""COMPUTED_VALUE"""),"P0011")</f>
        <v>P0011</v>
      </c>
      <c r="B12" t="str">
        <f ca="1">IFERROR(__xludf.DUMMYFUNCTION("""COMPUTED_VALUE"""),"abbas Sancti Michaelis")</f>
        <v>abbas Sancti Michaelis</v>
      </c>
      <c r="C12" t="str">
        <f ca="1">IFERROR(__xludf.DUMMYFUNCTION("""COMPUTED_VALUE"""),"C3252")</f>
        <v>C3252</v>
      </c>
      <c r="D12" t="str">
        <f ca="1">IFERROR(__xludf.DUMMYFUNCTION("""COMPUTED_VALUE"""),"dominus")</f>
        <v>dominus</v>
      </c>
      <c r="E12" t="str">
        <f ca="1">IFERROR(__xludf.DUMMYFUNCTION("""COMPUTED_VALUE"""),"abbas Sancti Michaelis")</f>
        <v>abbas Sancti Michaelis</v>
      </c>
      <c r="Q12" t="str">
        <f ca="1">IFERROR(__xludf.DUMMYFUNCTION("""COMPUTED_VALUE"""),"abbas Sancti Michaelis")</f>
        <v>abbas Sancti Michaelis</v>
      </c>
      <c r="S12" t="str">
        <f ca="1">IFERROR(__xludf.DUMMYFUNCTION("""COMPUTED_VALUE"""),"Latin")</f>
        <v>Latin</v>
      </c>
      <c r="T12" t="str">
        <f ca="1">IFERROR(__xludf.DUMMYFUNCTION("""COMPUTED_VALUE"""),"indefinite")</f>
        <v>indefinite</v>
      </c>
      <c r="U12" t="str">
        <f ca="1">IFERROR(__xludf.DUMMYFUNCTION("""COMPUTED_VALUE"""),"C2553")</f>
        <v>C2553</v>
      </c>
      <c r="V12" t="str">
        <f ca="1">IFERROR(__xludf.DUMMYFUNCTION("""COMPUTED_VALUE"""),"male")</f>
        <v>male</v>
      </c>
      <c r="Z12" t="str">
        <f ca="1">IFERROR(__xludf.DUMMYFUNCTION("""COMPUTED_VALUE"""),"163, 170, 171, 172, 173, 175, 176, 178, 179, 184, 186, 187, 188, 189, 191, 192, 193, 194, 195, 196, 197, 199, 200, 201, 203, 208, 211, 226, 232, 234, 237, 238, 251")</f>
        <v>163, 170, 171, 172, 173, 175, 176, 178, 179, 184, 186, 187, 188, 189, 191, 192, 193, 194, 195, 196, 197, 199, 200, 201, 203, 208, 211, 226, 232, 234, 237, 238, 251</v>
      </c>
      <c r="AA12" t="str">
        <f ca="1">IFERROR(__xludf.DUMMYFUNCTION("""COMPUTED_VALUE"""),"i")</f>
        <v>i</v>
      </c>
      <c r="AB12" t="str">
        <f ca="1">IFERROR(__xludf.DUMMYFUNCTION("""COMPUTED_VALUE"""),"assessor")</f>
        <v>assessor</v>
      </c>
      <c r="AD12" t="str">
        <f ca="1">IFERROR(__xludf.DUMMYFUNCTION("""COMPUTED_VALUE"""),"C3287")</f>
        <v>C3287</v>
      </c>
      <c r="AE12" t="str">
        <f ca="1">IFERROR(__xludf.DUMMYFUNCTION("""COMPUTED_VALUE"""),"alive")</f>
        <v>alive</v>
      </c>
      <c r="AF12" t="str">
        <f ca="1">IFERROR(__xludf.DUMMYFUNCTION("""COMPUTED_VALUE"""),"C1753")</f>
        <v>C1753</v>
      </c>
      <c r="AG12" t="str">
        <f ca="1">IFERROR(__xludf.DUMMYFUNCTION("""COMPUTED_VALUE"""),"1335-01-20")</f>
        <v>1335-01-20</v>
      </c>
      <c r="AI12" t="str">
        <f ca="1">IFERROR(__xludf.DUMMYFUNCTION("""COMPUTED_VALUE"""),"#VALUE!")</f>
        <v>#VALUE!</v>
      </c>
      <c r="AK12" t="str">
        <f ca="1">IFERROR(__xludf.DUMMYFUNCTION("""COMPUTED_VALUE"""),"#VALUE!")</f>
        <v>#VALUE!</v>
      </c>
      <c r="AM12" t="str">
        <f ca="1">IFERROR(__xludf.DUMMYFUNCTION("""COMPUTED_VALUE"""),"#VALUE!")</f>
        <v>#VALUE!</v>
      </c>
      <c r="AO12" t="str">
        <f ca="1">IFERROR(__xludf.DUMMYFUNCTION("""COMPUTED_VALUE"""),"#VALUE!")</f>
        <v>#VALUE!</v>
      </c>
      <c r="AQ12" t="str">
        <f ca="1">IFERROR(__xludf.DUMMYFUNCTION("""COMPUTED_VALUE"""),"#VALUE!")</f>
        <v>#VALUE!</v>
      </c>
      <c r="AS12" t="str">
        <f ca="1">IFERROR(__xludf.DUMMYFUNCTION("""COMPUTED_VALUE"""),"#VALUE!")</f>
        <v>#VALUE!</v>
      </c>
      <c r="AU12" t="str">
        <f ca="1">IFERROR(__xludf.DUMMYFUNCTION("""COMPUTED_VALUE"""),"#VALUE!")</f>
        <v>#VALUE!</v>
      </c>
      <c r="AW12" t="str">
        <f ca="1">IFERROR(__xludf.DUMMYFUNCTION("""COMPUTED_VALUE"""),"#VALUE!")</f>
        <v>#VALUE!</v>
      </c>
      <c r="AY12" t="str">
        <f ca="1">IFERROR(__xludf.DUMMYFUNCTION("""COMPUTED_VALUE"""),"#VALUE!")</f>
        <v>#VALUE!</v>
      </c>
      <c r="BA12" t="str">
        <f ca="1">IFERROR(__xludf.DUMMYFUNCTION("""COMPUTED_VALUE"""),"#VALUE!")</f>
        <v>#VALUE!</v>
      </c>
      <c r="BC12" t="str">
        <f ca="1">IFERROR(__xludf.DUMMYFUNCTION("""COMPUTED_VALUE"""),"#VALUE!")</f>
        <v>#VALUE!</v>
      </c>
      <c r="BE12" t="str">
        <f ca="1">IFERROR(__xludf.DUMMYFUNCTION("""COMPUTED_VALUE"""),"#VALUE!")</f>
        <v>#VALUE!</v>
      </c>
      <c r="BG12" t="str">
        <f ca="1">IFERROR(__xludf.DUMMYFUNCTION("""COMPUTED_VALUE"""),"#VALUE!")</f>
        <v>#VALUE!</v>
      </c>
      <c r="BI12" t="str">
        <f ca="1">IFERROR(__xludf.DUMMYFUNCTION("""COMPUTED_VALUE"""),"#VALUE!")</f>
        <v>#VALUE!</v>
      </c>
      <c r="BK12" t="str">
        <f ca="1">IFERROR(__xludf.DUMMYFUNCTION("""COMPUTED_VALUE"""),"#VALUE!")</f>
        <v>#VALUE!</v>
      </c>
      <c r="BM12" t="str">
        <f ca="1">IFERROR(__xludf.DUMMYFUNCTION("""COMPUTED_VALUE"""),"#VALUE!")</f>
        <v>#VALUE!</v>
      </c>
      <c r="BO12" t="str">
        <f ca="1">IFERROR(__xludf.DUMMYFUNCTION("""COMPUTED_VALUE"""),"#VALUE!")</f>
        <v>#VALUE!</v>
      </c>
      <c r="BQ12" t="str">
        <f ca="1">IFERROR(__xludf.DUMMYFUNCTION("""COMPUTED_VALUE"""),"#VALUE!")</f>
        <v>#VALUE!</v>
      </c>
      <c r="BS12" t="str">
        <f ca="1">IFERROR(__xludf.DUMMYFUNCTION("""COMPUTED_VALUE"""),"#VALUE!")</f>
        <v>#VALUE!</v>
      </c>
      <c r="BU12" t="str">
        <f ca="1">IFERROR(__xludf.DUMMYFUNCTION("""COMPUTED_VALUE"""),"#VALUE!")</f>
        <v>#VALUE!</v>
      </c>
      <c r="BW12" t="str">
        <f ca="1">IFERROR(__xludf.DUMMYFUNCTION("""COMPUTED_VALUE"""),"#VALUE!")</f>
        <v>#VALUE!</v>
      </c>
      <c r="BY12" t="str">
        <f ca="1">IFERROR(__xludf.DUMMYFUNCTION("""COMPUTED_VALUE"""),"#VALUE!")</f>
        <v>#VALUE!</v>
      </c>
      <c r="CA12" t="str">
        <f ca="1">IFERROR(__xludf.DUMMYFUNCTION("""COMPUTED_VALUE"""),"#VALUE!")</f>
        <v>#VALUE!</v>
      </c>
      <c r="CC12" t="str">
        <f ca="1">IFERROR(__xludf.DUMMYFUNCTION("""COMPUTED_VALUE"""),"#VALUE!")</f>
        <v>#VALUE!</v>
      </c>
      <c r="CE12" t="str">
        <f ca="1">IFERROR(__xludf.DUMMYFUNCTION("""COMPUTED_VALUE"""),"#VALUE!")</f>
        <v>#VALUE!</v>
      </c>
      <c r="CG12" t="str">
        <f ca="1">IFERROR(__xludf.DUMMYFUNCTION("""COMPUTED_VALUE"""),"#VALUE!")</f>
        <v>#VALUE!</v>
      </c>
      <c r="CI12" t="str">
        <f ca="1">IFERROR(__xludf.DUMMYFUNCTION("""COMPUTED_VALUE"""),"#VALUE!")</f>
        <v>#VALUE!</v>
      </c>
      <c r="CK12" t="str">
        <f ca="1">IFERROR(__xludf.DUMMYFUNCTION("""COMPUTED_VALUE"""),"#VALUE!")</f>
        <v>#VALUE!</v>
      </c>
      <c r="CS12" t="str">
        <f ca="1">IFERROR(__xludf.DUMMYFUNCTION("""COMPUTED_VALUE"""),"#VALUE!")</f>
        <v>#VALUE!</v>
      </c>
      <c r="CU12" t="str">
        <f ca="1">IFERROR(__xludf.DUMMYFUNCTION("""COMPUTED_VALUE"""),"#VALUE!")</f>
        <v>#VALUE!</v>
      </c>
      <c r="CW12" t="str">
        <f ca="1">IFERROR(__xludf.DUMMYFUNCTION("""COMPUTED_VALUE"""),"#VALUE!")</f>
        <v>#VALUE!</v>
      </c>
      <c r="CX12" t="str">
        <f ca="1">IFERROR(__xludf.DUMMYFUNCTION("""COMPUTED_VALUE"""),"C1248")</f>
        <v>C1248</v>
      </c>
      <c r="CY12" t="str">
        <f ca="1">IFERROR(__xludf.DUMMYFUNCTION("""COMPUTED_VALUE"""),"abbas")</f>
        <v>abbas</v>
      </c>
      <c r="DA12" t="str">
        <f ca="1">IFERROR(__xludf.DUMMYFUNCTION("""COMPUTED_VALUE"""),"churchperson")</f>
        <v>churchperson</v>
      </c>
      <c r="DB12" t="str">
        <f ca="1">IFERROR(__xludf.DUMMYFUNCTION("""COMPUTED_VALUE"""),"C3265")</f>
        <v>C3265</v>
      </c>
      <c r="DC12" t="str">
        <f ca="1">IFERROR(__xludf.DUMMYFUNCTION("""COMPUTED_VALUE"""),"monachus")</f>
        <v>monachus</v>
      </c>
      <c r="DD12" t="str">
        <f ca="1">IFERROR(__xludf.DUMMYFUNCTION("""COMPUTED_VALUE"""),"C1248")</f>
        <v>C1248</v>
      </c>
      <c r="DE12" t="str">
        <f ca="1">IFERROR(__xludf.DUMMYFUNCTION("""COMPUTED_VALUE"""),"abbas")</f>
        <v>abbas</v>
      </c>
      <c r="DI12" t="str">
        <f ca="1">IFERROR(__xludf.DUMMYFUNCTION("""COMPUTED_VALUE"""),"#VALUE!")</f>
        <v>#VALUE!</v>
      </c>
      <c r="DJ12" t="str">
        <f ca="1">IFERROR(__xludf.DUMMYFUNCTION("""COMPUTED_VALUE"""),"#VALUE!")</f>
        <v>#VALUE!</v>
      </c>
      <c r="DL12" t="str">
        <f ca="1">IFERROR(__xludf.DUMMYFUNCTION("""COMPUTED_VALUE"""),"Davor Salihović")</f>
        <v>Davor Salihović</v>
      </c>
    </row>
    <row r="13" spans="1:116" ht="15.75" customHeight="1" x14ac:dyDescent="0.25">
      <c r="A13" t="str">
        <f ca="1">IFERROR(__xludf.DUMMYFUNCTION("""COMPUTED_VALUE"""),"P0012")</f>
        <v>P0012</v>
      </c>
      <c r="B13" t="str">
        <f ca="1">IFERROR(__xludf.DUMMYFUNCTION("""COMPUTED_VALUE"""),"Amedeus")</f>
        <v>Amedeus</v>
      </c>
      <c r="C13" t="str">
        <f ca="1">IFERROR(__xludf.DUMMYFUNCTION("""COMPUTED_VALUE"""),"C3252")</f>
        <v>C3252</v>
      </c>
      <c r="D13" t="str">
        <f ca="1">IFERROR(__xludf.DUMMYFUNCTION("""COMPUTED_VALUE"""),"dominus")</f>
        <v>dominus</v>
      </c>
      <c r="E13" t="str">
        <f ca="1">IFERROR(__xludf.DUMMYFUNCTION("""COMPUTED_VALUE"""),"Amedeus")</f>
        <v>Amedeus</v>
      </c>
      <c r="S13" t="str">
        <f ca="1">IFERROR(__xludf.DUMMYFUNCTION("""COMPUTED_VALUE"""),"Latin")</f>
        <v>Latin</v>
      </c>
      <c r="T13" t="str">
        <f ca="1">IFERROR(__xludf.DUMMYFUNCTION("""COMPUTED_VALUE"""),"definite")</f>
        <v>definite</v>
      </c>
      <c r="U13" t="str">
        <f ca="1">IFERROR(__xludf.DUMMYFUNCTION("""COMPUTED_VALUE"""),"C2553")</f>
        <v>C2553</v>
      </c>
      <c r="V13" t="str">
        <f ca="1">IFERROR(__xludf.DUMMYFUNCTION("""COMPUTED_VALUE"""),"male")</f>
        <v>male</v>
      </c>
      <c r="Z13" t="str">
        <f ca="1">IFERROR(__xludf.DUMMYFUNCTION("""COMPUTED_VALUE"""),"163, 208")</f>
        <v>163, 208</v>
      </c>
      <c r="AA13" t="str">
        <f ca="1">IFERROR(__xludf.DUMMYFUNCTION("""COMPUTED_VALUE"""),"i")</f>
        <v>i</v>
      </c>
      <c r="AB13" t="str">
        <f ca="1">IFERROR(__xludf.DUMMYFUNCTION("""COMPUTED_VALUE"""),"assessor")</f>
        <v>assessor</v>
      </c>
      <c r="AD13" t="str">
        <f ca="1">IFERROR(__xludf.DUMMYFUNCTION("""COMPUTED_VALUE"""),"C3287")</f>
        <v>C3287</v>
      </c>
      <c r="AE13" t="str">
        <f ca="1">IFERROR(__xludf.DUMMYFUNCTION("""COMPUTED_VALUE"""),"alive")</f>
        <v>alive</v>
      </c>
      <c r="AF13" t="str">
        <f ca="1">IFERROR(__xludf.DUMMYFUNCTION("""COMPUTED_VALUE"""),"C1753")</f>
        <v>C1753</v>
      </c>
      <c r="AG13" t="str">
        <f ca="1">IFERROR(__xludf.DUMMYFUNCTION("""COMPUTED_VALUE"""),"1335-01-20")</f>
        <v>1335-01-20</v>
      </c>
      <c r="AI13" t="str">
        <f ca="1">IFERROR(__xludf.DUMMYFUNCTION("""COMPUTED_VALUE"""),"#VALUE!")</f>
        <v>#VALUE!</v>
      </c>
      <c r="AK13" t="str">
        <f ca="1">IFERROR(__xludf.DUMMYFUNCTION("""COMPUTED_VALUE"""),"#VALUE!")</f>
        <v>#VALUE!</v>
      </c>
      <c r="AM13" t="str">
        <f ca="1">IFERROR(__xludf.DUMMYFUNCTION("""COMPUTED_VALUE"""),"#VALUE!")</f>
        <v>#VALUE!</v>
      </c>
      <c r="AO13" t="str">
        <f ca="1">IFERROR(__xludf.DUMMYFUNCTION("""COMPUTED_VALUE"""),"#VALUE!")</f>
        <v>#VALUE!</v>
      </c>
      <c r="AQ13" t="str">
        <f ca="1">IFERROR(__xludf.DUMMYFUNCTION("""COMPUTED_VALUE"""),"#VALUE!")</f>
        <v>#VALUE!</v>
      </c>
      <c r="AS13" t="str">
        <f ca="1">IFERROR(__xludf.DUMMYFUNCTION("""COMPUTED_VALUE"""),"#VALUE!")</f>
        <v>#VALUE!</v>
      </c>
      <c r="AU13" t="str">
        <f ca="1">IFERROR(__xludf.DUMMYFUNCTION("""COMPUTED_VALUE"""),"#VALUE!")</f>
        <v>#VALUE!</v>
      </c>
      <c r="AW13" t="str">
        <f ca="1">IFERROR(__xludf.DUMMYFUNCTION("""COMPUTED_VALUE"""),"#VALUE!")</f>
        <v>#VALUE!</v>
      </c>
      <c r="AY13" t="str">
        <f ca="1">IFERROR(__xludf.DUMMYFUNCTION("""COMPUTED_VALUE"""),"#VALUE!")</f>
        <v>#VALUE!</v>
      </c>
      <c r="BA13" t="str">
        <f ca="1">IFERROR(__xludf.DUMMYFUNCTION("""COMPUTED_VALUE"""),"#VALUE!")</f>
        <v>#VALUE!</v>
      </c>
      <c r="BC13" t="str">
        <f ca="1">IFERROR(__xludf.DUMMYFUNCTION("""COMPUTED_VALUE"""),"#VALUE!")</f>
        <v>#VALUE!</v>
      </c>
      <c r="BE13" t="str">
        <f ca="1">IFERROR(__xludf.DUMMYFUNCTION("""COMPUTED_VALUE"""),"#VALUE!")</f>
        <v>#VALUE!</v>
      </c>
      <c r="BG13" t="str">
        <f ca="1">IFERROR(__xludf.DUMMYFUNCTION("""COMPUTED_VALUE"""),"#VALUE!")</f>
        <v>#VALUE!</v>
      </c>
      <c r="BI13" t="str">
        <f ca="1">IFERROR(__xludf.DUMMYFUNCTION("""COMPUTED_VALUE"""),"#VALUE!")</f>
        <v>#VALUE!</v>
      </c>
      <c r="BK13" t="str">
        <f ca="1">IFERROR(__xludf.DUMMYFUNCTION("""COMPUTED_VALUE"""),"#VALUE!")</f>
        <v>#VALUE!</v>
      </c>
      <c r="BM13" t="str">
        <f ca="1">IFERROR(__xludf.DUMMYFUNCTION("""COMPUTED_VALUE"""),"#VALUE!")</f>
        <v>#VALUE!</v>
      </c>
      <c r="BO13" t="str">
        <f ca="1">IFERROR(__xludf.DUMMYFUNCTION("""COMPUTED_VALUE"""),"#VALUE!")</f>
        <v>#VALUE!</v>
      </c>
      <c r="BQ13" t="str">
        <f ca="1">IFERROR(__xludf.DUMMYFUNCTION("""COMPUTED_VALUE"""),"#VALUE!")</f>
        <v>#VALUE!</v>
      </c>
      <c r="BS13" t="str">
        <f ca="1">IFERROR(__xludf.DUMMYFUNCTION("""COMPUTED_VALUE"""),"#VALUE!")</f>
        <v>#VALUE!</v>
      </c>
      <c r="BU13" t="str">
        <f ca="1">IFERROR(__xludf.DUMMYFUNCTION("""COMPUTED_VALUE"""),"#VALUE!")</f>
        <v>#VALUE!</v>
      </c>
      <c r="BW13" t="str">
        <f ca="1">IFERROR(__xludf.DUMMYFUNCTION("""COMPUTED_VALUE"""),"#VALUE!")</f>
        <v>#VALUE!</v>
      </c>
      <c r="BY13" t="str">
        <f ca="1">IFERROR(__xludf.DUMMYFUNCTION("""COMPUTED_VALUE"""),"#VALUE!")</f>
        <v>#VALUE!</v>
      </c>
      <c r="CA13" t="str">
        <f ca="1">IFERROR(__xludf.DUMMYFUNCTION("""COMPUTED_VALUE"""),"#VALUE!")</f>
        <v>#VALUE!</v>
      </c>
      <c r="CC13" t="str">
        <f ca="1">IFERROR(__xludf.DUMMYFUNCTION("""COMPUTED_VALUE"""),"#VALUE!")</f>
        <v>#VALUE!</v>
      </c>
      <c r="CE13" t="str">
        <f ca="1">IFERROR(__xludf.DUMMYFUNCTION("""COMPUTED_VALUE"""),"#VALUE!")</f>
        <v>#VALUE!</v>
      </c>
      <c r="CG13" t="str">
        <f ca="1">IFERROR(__xludf.DUMMYFUNCTION("""COMPUTED_VALUE"""),"#VALUE!")</f>
        <v>#VALUE!</v>
      </c>
      <c r="CI13" t="str">
        <f ca="1">IFERROR(__xludf.DUMMYFUNCTION("""COMPUTED_VALUE"""),"#VALUE!")</f>
        <v>#VALUE!</v>
      </c>
      <c r="CK13" t="str">
        <f ca="1">IFERROR(__xludf.DUMMYFUNCTION("""COMPUTED_VALUE"""),"#VALUE!")</f>
        <v>#VALUE!</v>
      </c>
      <c r="CS13" t="str">
        <f ca="1">IFERROR(__xludf.DUMMYFUNCTION("""COMPUTED_VALUE"""),"#VALUE!")</f>
        <v>#VALUE!</v>
      </c>
      <c r="CU13" t="str">
        <f ca="1">IFERROR(__xludf.DUMMYFUNCTION("""COMPUTED_VALUE"""),"#VALUE!")</f>
        <v>#VALUE!</v>
      </c>
      <c r="CW13" t="str">
        <f ca="1">IFERROR(__xludf.DUMMYFUNCTION("""COMPUTED_VALUE"""),"#VALUE!")</f>
        <v>#VALUE!</v>
      </c>
      <c r="CX13" t="str">
        <f ca="1">IFERROR(__xludf.DUMMYFUNCTION("""COMPUTED_VALUE"""),"C1505")</f>
        <v>C1505</v>
      </c>
      <c r="CY13" t="str">
        <f ca="1">IFERROR(__xludf.DUMMYFUNCTION("""COMPUTED_VALUE"""),"monk")</f>
        <v>monk</v>
      </c>
      <c r="DA13" t="str">
        <f ca="1">IFERROR(__xludf.DUMMYFUNCTION("""COMPUTED_VALUE"""),"churchperson")</f>
        <v>churchperson</v>
      </c>
      <c r="DB13" t="str">
        <f ca="1">IFERROR(__xludf.DUMMYFUNCTION("""COMPUTED_VALUE"""),"C3265")</f>
        <v>C3265</v>
      </c>
      <c r="DC13" t="str">
        <f ca="1">IFERROR(__xludf.DUMMYFUNCTION("""COMPUTED_VALUE"""),"monachus")</f>
        <v>monachus</v>
      </c>
      <c r="DE13" t="str">
        <f ca="1">IFERROR(__xludf.DUMMYFUNCTION("""COMPUTED_VALUE"""),"#VALUE!")</f>
        <v>#VALUE!</v>
      </c>
      <c r="DI13" t="str">
        <f ca="1">IFERROR(__xludf.DUMMYFUNCTION("""COMPUTED_VALUE"""),"#VALUE!")</f>
        <v>#VALUE!</v>
      </c>
      <c r="DJ13" t="str">
        <f ca="1">IFERROR(__xludf.DUMMYFUNCTION("""COMPUTED_VALUE"""),"#VALUE!")</f>
        <v>#VALUE!</v>
      </c>
      <c r="DL13" t="str">
        <f ca="1">IFERROR(__xludf.DUMMYFUNCTION("""COMPUTED_VALUE"""),"Davor Salihović")</f>
        <v>Davor Salihović</v>
      </c>
    </row>
    <row r="14" spans="1:116" ht="15.75" customHeight="1" x14ac:dyDescent="0.25">
      <c r="A14" t="str">
        <f ca="1">IFERROR(__xludf.DUMMYFUNCTION("""COMPUTED_VALUE"""),"P0013")</f>
        <v>P0013</v>
      </c>
      <c r="B14" t="str">
        <f ca="1">IFERROR(__xludf.DUMMYFUNCTION("""COMPUTED_VALUE"""),"Nicolaus")</f>
        <v>Nicolaus</v>
      </c>
      <c r="C14" t="str">
        <f ca="1">IFERROR(__xludf.DUMMYFUNCTION("""COMPUTED_VALUE"""),"C3252")</f>
        <v>C3252</v>
      </c>
      <c r="D14" t="str">
        <f ca="1">IFERROR(__xludf.DUMMYFUNCTION("""COMPUTED_VALUE"""),"dominus")</f>
        <v>dominus</v>
      </c>
      <c r="E14" t="str">
        <f ca="1">IFERROR(__xludf.DUMMYFUNCTION("""COMPUTED_VALUE"""),"Nicolaus")</f>
        <v>Nicolaus</v>
      </c>
      <c r="S14" t="str">
        <f ca="1">IFERROR(__xludf.DUMMYFUNCTION("""COMPUTED_VALUE"""),"Latin")</f>
        <v>Latin</v>
      </c>
      <c r="T14" t="str">
        <f ca="1">IFERROR(__xludf.DUMMYFUNCTION("""COMPUTED_VALUE"""),"definite")</f>
        <v>definite</v>
      </c>
      <c r="U14" t="str">
        <f ca="1">IFERROR(__xludf.DUMMYFUNCTION("""COMPUTED_VALUE"""),"C2553")</f>
        <v>C2553</v>
      </c>
      <c r="V14" t="str">
        <f ca="1">IFERROR(__xludf.DUMMYFUNCTION("""COMPUTED_VALUE"""),"male")</f>
        <v>male</v>
      </c>
      <c r="Z14" t="str">
        <f ca="1">IFERROR(__xludf.DUMMYFUNCTION("""COMPUTED_VALUE"""),"163")</f>
        <v>163</v>
      </c>
      <c r="AA14" t="str">
        <f ca="1">IFERROR(__xludf.DUMMYFUNCTION("""COMPUTED_VALUE"""),"o")</f>
        <v>o</v>
      </c>
      <c r="AB14" t="str">
        <f ca="1">IFERROR(__xludf.DUMMYFUNCTION("""COMPUTED_VALUE"""),"informer")</f>
        <v>informer</v>
      </c>
      <c r="AD14" t="str">
        <f ca="1">IFERROR(__xludf.DUMMYFUNCTION("""COMPUTED_VALUE"""),"C3287")</f>
        <v>C3287</v>
      </c>
      <c r="AE14" t="str">
        <f ca="1">IFERROR(__xludf.DUMMYFUNCTION("""COMPUTED_VALUE"""),"alive")</f>
        <v>alive</v>
      </c>
      <c r="AF14" t="str">
        <f ca="1">IFERROR(__xludf.DUMMYFUNCTION("""COMPUTED_VALUE"""),"C1753")</f>
        <v>C1753</v>
      </c>
      <c r="AG14" t="str">
        <f ca="1">IFERROR(__xludf.DUMMYFUNCTION("""COMPUTED_VALUE"""),"1335-01-20")</f>
        <v>1335-01-20</v>
      </c>
      <c r="AI14" t="str">
        <f ca="1">IFERROR(__xludf.DUMMYFUNCTION("""COMPUTED_VALUE"""),"#VALUE!")</f>
        <v>#VALUE!</v>
      </c>
      <c r="AK14" t="str">
        <f ca="1">IFERROR(__xludf.DUMMYFUNCTION("""COMPUTED_VALUE"""),"#VALUE!")</f>
        <v>#VALUE!</v>
      </c>
      <c r="AM14" t="str">
        <f ca="1">IFERROR(__xludf.DUMMYFUNCTION("""COMPUTED_VALUE"""),"#VALUE!")</f>
        <v>#VALUE!</v>
      </c>
      <c r="AO14" t="str">
        <f ca="1">IFERROR(__xludf.DUMMYFUNCTION("""COMPUTED_VALUE"""),"#VALUE!")</f>
        <v>#VALUE!</v>
      </c>
      <c r="AQ14" t="str">
        <f ca="1">IFERROR(__xludf.DUMMYFUNCTION("""COMPUTED_VALUE"""),"#VALUE!")</f>
        <v>#VALUE!</v>
      </c>
      <c r="AS14" t="str">
        <f ca="1">IFERROR(__xludf.DUMMYFUNCTION("""COMPUTED_VALUE"""),"#VALUE!")</f>
        <v>#VALUE!</v>
      </c>
      <c r="AU14" t="str">
        <f ca="1">IFERROR(__xludf.DUMMYFUNCTION("""COMPUTED_VALUE"""),"#VALUE!")</f>
        <v>#VALUE!</v>
      </c>
      <c r="AW14" t="str">
        <f ca="1">IFERROR(__xludf.DUMMYFUNCTION("""COMPUTED_VALUE"""),"#VALUE!")</f>
        <v>#VALUE!</v>
      </c>
      <c r="AY14" t="str">
        <f ca="1">IFERROR(__xludf.DUMMYFUNCTION("""COMPUTED_VALUE"""),"#VALUE!")</f>
        <v>#VALUE!</v>
      </c>
      <c r="BA14" t="str">
        <f ca="1">IFERROR(__xludf.DUMMYFUNCTION("""COMPUTED_VALUE"""),"#VALUE!")</f>
        <v>#VALUE!</v>
      </c>
      <c r="BC14" t="str">
        <f ca="1">IFERROR(__xludf.DUMMYFUNCTION("""COMPUTED_VALUE"""),"#VALUE!")</f>
        <v>#VALUE!</v>
      </c>
      <c r="BE14" t="str">
        <f ca="1">IFERROR(__xludf.DUMMYFUNCTION("""COMPUTED_VALUE"""),"#VALUE!")</f>
        <v>#VALUE!</v>
      </c>
      <c r="BG14" t="str">
        <f ca="1">IFERROR(__xludf.DUMMYFUNCTION("""COMPUTED_VALUE"""),"#VALUE!")</f>
        <v>#VALUE!</v>
      </c>
      <c r="BI14" t="str">
        <f ca="1">IFERROR(__xludf.DUMMYFUNCTION("""COMPUTED_VALUE"""),"#VALUE!")</f>
        <v>#VALUE!</v>
      </c>
      <c r="BK14" t="str">
        <f ca="1">IFERROR(__xludf.DUMMYFUNCTION("""COMPUTED_VALUE"""),"#VALUE!")</f>
        <v>#VALUE!</v>
      </c>
      <c r="BM14" t="str">
        <f ca="1">IFERROR(__xludf.DUMMYFUNCTION("""COMPUTED_VALUE"""),"#VALUE!")</f>
        <v>#VALUE!</v>
      </c>
      <c r="BO14" t="str">
        <f ca="1">IFERROR(__xludf.DUMMYFUNCTION("""COMPUTED_VALUE"""),"#VALUE!")</f>
        <v>#VALUE!</v>
      </c>
      <c r="BQ14" t="str">
        <f ca="1">IFERROR(__xludf.DUMMYFUNCTION("""COMPUTED_VALUE"""),"#VALUE!")</f>
        <v>#VALUE!</v>
      </c>
      <c r="BS14" t="str">
        <f ca="1">IFERROR(__xludf.DUMMYFUNCTION("""COMPUTED_VALUE"""),"#VALUE!")</f>
        <v>#VALUE!</v>
      </c>
      <c r="BU14" t="str">
        <f ca="1">IFERROR(__xludf.DUMMYFUNCTION("""COMPUTED_VALUE"""),"#VALUE!")</f>
        <v>#VALUE!</v>
      </c>
      <c r="BW14" t="str">
        <f ca="1">IFERROR(__xludf.DUMMYFUNCTION("""COMPUTED_VALUE"""),"#VALUE!")</f>
        <v>#VALUE!</v>
      </c>
      <c r="BY14" t="str">
        <f ca="1">IFERROR(__xludf.DUMMYFUNCTION("""COMPUTED_VALUE"""),"#VALUE!")</f>
        <v>#VALUE!</v>
      </c>
      <c r="CA14" t="str">
        <f ca="1">IFERROR(__xludf.DUMMYFUNCTION("""COMPUTED_VALUE"""),"#VALUE!")</f>
        <v>#VALUE!</v>
      </c>
      <c r="CC14" t="str">
        <f ca="1">IFERROR(__xludf.DUMMYFUNCTION("""COMPUTED_VALUE"""),"#VALUE!")</f>
        <v>#VALUE!</v>
      </c>
      <c r="CE14" t="str">
        <f ca="1">IFERROR(__xludf.DUMMYFUNCTION("""COMPUTED_VALUE"""),"#VALUE!")</f>
        <v>#VALUE!</v>
      </c>
      <c r="CG14" t="str">
        <f ca="1">IFERROR(__xludf.DUMMYFUNCTION("""COMPUTED_VALUE"""),"#VALUE!")</f>
        <v>#VALUE!</v>
      </c>
      <c r="CI14" t="str">
        <f ca="1">IFERROR(__xludf.DUMMYFUNCTION("""COMPUTED_VALUE"""),"#VALUE!")</f>
        <v>#VALUE!</v>
      </c>
      <c r="CK14" t="str">
        <f ca="1">IFERROR(__xludf.DUMMYFUNCTION("""COMPUTED_VALUE"""),"#VALUE!")</f>
        <v>#VALUE!</v>
      </c>
      <c r="CS14" t="str">
        <f ca="1">IFERROR(__xludf.DUMMYFUNCTION("""COMPUTED_VALUE"""),"#VALUE!")</f>
        <v>#VALUE!</v>
      </c>
      <c r="CU14" t="str">
        <f ca="1">IFERROR(__xludf.DUMMYFUNCTION("""COMPUTED_VALUE"""),"#VALUE!")</f>
        <v>#VALUE!</v>
      </c>
      <c r="CV14" t="str">
        <f ca="1">IFERROR(__xludf.DUMMYFUNCTION("""COMPUTED_VALUE"""),"L0005")</f>
        <v>L0005</v>
      </c>
      <c r="CW14" t="str">
        <f ca="1">IFERROR(__xludf.DUMMYFUNCTION("""COMPUTED_VALUE"""),"Valgioie")</f>
        <v>Valgioie</v>
      </c>
      <c r="CX14" t="str">
        <f ca="1">IFERROR(__xludf.DUMMYFUNCTION("""COMPUTED_VALUE"""),"C0194")</f>
        <v>C0194</v>
      </c>
      <c r="CY14" t="str">
        <f ca="1">IFERROR(__xludf.DUMMYFUNCTION("""COMPUTED_VALUE"""),"sacerdos")</f>
        <v>sacerdos</v>
      </c>
      <c r="DA14" t="str">
        <f ca="1">IFERROR(__xludf.DUMMYFUNCTION("""COMPUTED_VALUE"""),"churchperson")</f>
        <v>churchperson</v>
      </c>
      <c r="DB14" t="str">
        <f ca="1">IFERROR(__xludf.DUMMYFUNCTION("""COMPUTED_VALUE"""),"C0194")</f>
        <v>C0194</v>
      </c>
      <c r="DC14" t="str">
        <f ca="1">IFERROR(__xludf.DUMMYFUNCTION("""COMPUTED_VALUE"""),"sacerdos")</f>
        <v>sacerdos</v>
      </c>
      <c r="DE14" t="str">
        <f ca="1">IFERROR(__xludf.DUMMYFUNCTION("""COMPUTED_VALUE"""),"#VALUE!")</f>
        <v>#VALUE!</v>
      </c>
      <c r="DI14" t="str">
        <f ca="1">IFERROR(__xludf.DUMMYFUNCTION("""COMPUTED_VALUE"""),"#VALUE!")</f>
        <v>#VALUE!</v>
      </c>
      <c r="DJ14" t="str">
        <f ca="1">IFERROR(__xludf.DUMMYFUNCTION("""COMPUTED_VALUE"""),"#VALUE!")</f>
        <v>#VALUE!</v>
      </c>
      <c r="DL14" t="str">
        <f ca="1">IFERROR(__xludf.DUMMYFUNCTION("""COMPUTED_VALUE"""),"Davor Salihović")</f>
        <v>Davor Salihović</v>
      </c>
    </row>
    <row r="15" spans="1:116" ht="15.75" customHeight="1" x14ac:dyDescent="0.25">
      <c r="A15" t="str">
        <f ca="1">IFERROR(__xludf.DUMMYFUNCTION("""COMPUTED_VALUE"""),"P0014")</f>
        <v>P0014</v>
      </c>
      <c r="B15" t="str">
        <f ca="1">IFERROR(__xludf.DUMMYFUNCTION("""COMPUTED_VALUE"""),"Iohannes de la Mota")</f>
        <v>Iohannes de la Mota</v>
      </c>
      <c r="D15" t="str">
        <f ca="1">IFERROR(__xludf.DUMMYFUNCTION("""COMPUTED_VALUE"""),"#VALUE!")</f>
        <v>#VALUE!</v>
      </c>
      <c r="E15" t="str">
        <f ca="1">IFERROR(__xludf.DUMMYFUNCTION("""COMPUTED_VALUE"""),"Iohannes")</f>
        <v>Iohannes</v>
      </c>
      <c r="J15" t="str">
        <f ca="1">IFERROR(__xludf.DUMMYFUNCTION("""COMPUTED_VALUE"""),"de la")</f>
        <v>de la</v>
      </c>
      <c r="K15" t="str">
        <f ca="1">IFERROR(__xludf.DUMMYFUNCTION("""COMPUTED_VALUE"""),"Mota")</f>
        <v>Mota</v>
      </c>
      <c r="L15" t="str">
        <f ca="1">IFERROR(__xludf.DUMMYFUNCTION("""COMPUTED_VALUE"""),"de la Mota")</f>
        <v>de la Mota</v>
      </c>
      <c r="S15" t="str">
        <f ca="1">IFERROR(__xludf.DUMMYFUNCTION("""COMPUTED_VALUE"""),"Latin")</f>
        <v>Latin</v>
      </c>
      <c r="T15" t="str">
        <f ca="1">IFERROR(__xludf.DUMMYFUNCTION("""COMPUTED_VALUE"""),"definite")</f>
        <v>definite</v>
      </c>
      <c r="U15" t="str">
        <f ca="1">IFERROR(__xludf.DUMMYFUNCTION("""COMPUTED_VALUE"""),"C2553")</f>
        <v>C2553</v>
      </c>
      <c r="V15" t="str">
        <f ca="1">IFERROR(__xludf.DUMMYFUNCTION("""COMPUTED_VALUE"""),"male")</f>
        <v>male</v>
      </c>
      <c r="Z15" t="str">
        <f ca="1">IFERROR(__xludf.DUMMYFUNCTION("""COMPUTED_VALUE"""),"163")</f>
        <v>163</v>
      </c>
      <c r="AA15" t="str">
        <f ca="1">IFERROR(__xludf.DUMMYFUNCTION("""COMPUTED_VALUE"""),"d")</f>
        <v>d</v>
      </c>
      <c r="AB15" t="str">
        <f ca="1">IFERROR(__xludf.DUMMYFUNCTION("""COMPUTED_VALUE"""),"informer")</f>
        <v>informer</v>
      </c>
      <c r="AE15" t="str">
        <f ca="1">IFERROR(__xludf.DUMMYFUNCTION("""COMPUTED_VALUE"""),"#VALUE!")</f>
        <v>#VALUE!</v>
      </c>
      <c r="AF15" t="str">
        <f ca="1">IFERROR(__xludf.DUMMYFUNCTION("""COMPUTED_VALUE"""),"#N/A")</f>
        <v>#N/A</v>
      </c>
      <c r="AG15" t="str">
        <f ca="1">IFERROR(__xludf.DUMMYFUNCTION("""COMPUTED_VALUE"""),"#N/A")</f>
        <v>#N/A</v>
      </c>
      <c r="AI15" t="str">
        <f ca="1">IFERROR(__xludf.DUMMYFUNCTION("""COMPUTED_VALUE"""),"#VALUE!")</f>
        <v>#VALUE!</v>
      </c>
      <c r="AK15" t="str">
        <f ca="1">IFERROR(__xludf.DUMMYFUNCTION("""COMPUTED_VALUE"""),"#VALUE!")</f>
        <v>#VALUE!</v>
      </c>
      <c r="AM15" t="str">
        <f ca="1">IFERROR(__xludf.DUMMYFUNCTION("""COMPUTED_VALUE"""),"#VALUE!")</f>
        <v>#VALUE!</v>
      </c>
      <c r="AO15" t="str">
        <f ca="1">IFERROR(__xludf.DUMMYFUNCTION("""COMPUTED_VALUE"""),"#VALUE!")</f>
        <v>#VALUE!</v>
      </c>
      <c r="AQ15" t="str">
        <f ca="1">IFERROR(__xludf.DUMMYFUNCTION("""COMPUTED_VALUE"""),"#VALUE!")</f>
        <v>#VALUE!</v>
      </c>
      <c r="AS15" t="str">
        <f ca="1">IFERROR(__xludf.DUMMYFUNCTION("""COMPUTED_VALUE"""),"#VALUE!")</f>
        <v>#VALUE!</v>
      </c>
      <c r="AU15" t="str">
        <f ca="1">IFERROR(__xludf.DUMMYFUNCTION("""COMPUTED_VALUE"""),"#VALUE!")</f>
        <v>#VALUE!</v>
      </c>
      <c r="AW15" t="str">
        <f ca="1">IFERROR(__xludf.DUMMYFUNCTION("""COMPUTED_VALUE"""),"#VALUE!")</f>
        <v>#VALUE!</v>
      </c>
      <c r="AY15" t="str">
        <f ca="1">IFERROR(__xludf.DUMMYFUNCTION("""COMPUTED_VALUE"""),"#VALUE!")</f>
        <v>#VALUE!</v>
      </c>
      <c r="BA15" t="str">
        <f ca="1">IFERROR(__xludf.DUMMYFUNCTION("""COMPUTED_VALUE"""),"#VALUE!")</f>
        <v>#VALUE!</v>
      </c>
      <c r="BC15" t="str">
        <f ca="1">IFERROR(__xludf.DUMMYFUNCTION("""COMPUTED_VALUE"""),"#VALUE!")</f>
        <v>#VALUE!</v>
      </c>
      <c r="BE15" t="str">
        <f ca="1">IFERROR(__xludf.DUMMYFUNCTION("""COMPUTED_VALUE"""),"#VALUE!")</f>
        <v>#VALUE!</v>
      </c>
      <c r="BG15" t="str">
        <f ca="1">IFERROR(__xludf.DUMMYFUNCTION("""COMPUTED_VALUE"""),"#VALUE!")</f>
        <v>#VALUE!</v>
      </c>
      <c r="BI15" t="str">
        <f ca="1">IFERROR(__xludf.DUMMYFUNCTION("""COMPUTED_VALUE"""),"#VALUE!")</f>
        <v>#VALUE!</v>
      </c>
      <c r="BK15" t="str">
        <f ca="1">IFERROR(__xludf.DUMMYFUNCTION("""COMPUTED_VALUE"""),"#VALUE!")</f>
        <v>#VALUE!</v>
      </c>
      <c r="BM15" t="str">
        <f ca="1">IFERROR(__xludf.DUMMYFUNCTION("""COMPUTED_VALUE"""),"#VALUE!")</f>
        <v>#VALUE!</v>
      </c>
      <c r="BO15" t="str">
        <f ca="1">IFERROR(__xludf.DUMMYFUNCTION("""COMPUTED_VALUE"""),"#VALUE!")</f>
        <v>#VALUE!</v>
      </c>
      <c r="BQ15" t="str">
        <f ca="1">IFERROR(__xludf.DUMMYFUNCTION("""COMPUTED_VALUE"""),"#VALUE!")</f>
        <v>#VALUE!</v>
      </c>
      <c r="BS15" t="str">
        <f ca="1">IFERROR(__xludf.DUMMYFUNCTION("""COMPUTED_VALUE"""),"#VALUE!")</f>
        <v>#VALUE!</v>
      </c>
      <c r="BU15" t="str">
        <f ca="1">IFERROR(__xludf.DUMMYFUNCTION("""COMPUTED_VALUE"""),"#VALUE!")</f>
        <v>#VALUE!</v>
      </c>
      <c r="BW15" t="str">
        <f ca="1">IFERROR(__xludf.DUMMYFUNCTION("""COMPUTED_VALUE"""),"#VALUE!")</f>
        <v>#VALUE!</v>
      </c>
      <c r="BY15" t="str">
        <f ca="1">IFERROR(__xludf.DUMMYFUNCTION("""COMPUTED_VALUE"""),"#VALUE!")</f>
        <v>#VALUE!</v>
      </c>
      <c r="CA15" t="str">
        <f ca="1">IFERROR(__xludf.DUMMYFUNCTION("""COMPUTED_VALUE"""),"#VALUE!")</f>
        <v>#VALUE!</v>
      </c>
      <c r="CC15" t="str">
        <f ca="1">IFERROR(__xludf.DUMMYFUNCTION("""COMPUTED_VALUE"""),"#VALUE!")</f>
        <v>#VALUE!</v>
      </c>
      <c r="CE15" t="str">
        <f ca="1">IFERROR(__xludf.DUMMYFUNCTION("""COMPUTED_VALUE"""),"#VALUE!")</f>
        <v>#VALUE!</v>
      </c>
      <c r="CG15" t="str">
        <f ca="1">IFERROR(__xludf.DUMMYFUNCTION("""COMPUTED_VALUE"""),"#VALUE!")</f>
        <v>#VALUE!</v>
      </c>
      <c r="CI15" t="str">
        <f ca="1">IFERROR(__xludf.DUMMYFUNCTION("""COMPUTED_VALUE"""),"#VALUE!")</f>
        <v>#VALUE!</v>
      </c>
      <c r="CK15" t="str">
        <f ca="1">IFERROR(__xludf.DUMMYFUNCTION("""COMPUTED_VALUE"""),"#VALUE!")</f>
        <v>#VALUE!</v>
      </c>
      <c r="CS15" t="str">
        <f ca="1">IFERROR(__xludf.DUMMYFUNCTION("""COMPUTED_VALUE"""),"#VALUE!")</f>
        <v>#VALUE!</v>
      </c>
      <c r="CU15" t="str">
        <f ca="1">IFERROR(__xludf.DUMMYFUNCTION("""COMPUTED_VALUE"""),"#VALUE!")</f>
        <v>#VALUE!</v>
      </c>
      <c r="CV15" t="str">
        <f ca="1">IFERROR(__xludf.DUMMYFUNCTION("""COMPUTED_VALUE"""),"L0005")</f>
        <v>L0005</v>
      </c>
      <c r="CW15" t="str">
        <f ca="1">IFERROR(__xludf.DUMMYFUNCTION("""COMPUTED_VALUE"""),"Valgioie")</f>
        <v>Valgioie</v>
      </c>
      <c r="CY15" t="str">
        <f ca="1">IFERROR(__xludf.DUMMYFUNCTION("""COMPUTED_VALUE"""),"#VALUE!")</f>
        <v>#VALUE!</v>
      </c>
      <c r="DC15" t="str">
        <f ca="1">IFERROR(__xludf.DUMMYFUNCTION("""COMPUTED_VALUE"""),"#VALUE!")</f>
        <v>#VALUE!</v>
      </c>
      <c r="DE15" t="str">
        <f ca="1">IFERROR(__xludf.DUMMYFUNCTION("""COMPUTED_VALUE"""),"#VALUE!")</f>
        <v>#VALUE!</v>
      </c>
      <c r="DI15" t="str">
        <f ca="1">IFERROR(__xludf.DUMMYFUNCTION("""COMPUTED_VALUE"""),"#VALUE!")</f>
        <v>#VALUE!</v>
      </c>
      <c r="DJ15" t="str">
        <f ca="1">IFERROR(__xludf.DUMMYFUNCTION("""COMPUTED_VALUE"""),"#VALUE!")</f>
        <v>#VALUE!</v>
      </c>
      <c r="DL15" t="str">
        <f ca="1">IFERROR(__xludf.DUMMYFUNCTION("""COMPUTED_VALUE"""),"Davor Salihović")</f>
        <v>Davor Salihović</v>
      </c>
    </row>
    <row r="16" spans="1:116" ht="15.75" customHeight="1" x14ac:dyDescent="0.25">
      <c r="A16" t="str">
        <f ca="1">IFERROR(__xludf.DUMMYFUNCTION("""COMPUTED_VALUE"""),"P0015")</f>
        <v>P0015</v>
      </c>
      <c r="B16" t="str">
        <f ca="1">IFERROR(__xludf.DUMMYFUNCTION("""COMPUTED_VALUE"""),"Iohanna")</f>
        <v>Iohanna</v>
      </c>
      <c r="D16" t="str">
        <f ca="1">IFERROR(__xludf.DUMMYFUNCTION("""COMPUTED_VALUE"""),"#VALUE!")</f>
        <v>#VALUE!</v>
      </c>
      <c r="E16" t="str">
        <f ca="1">IFERROR(__xludf.DUMMYFUNCTION("""COMPUTED_VALUE"""),"Iohanna")</f>
        <v>Iohanna</v>
      </c>
      <c r="Q16" t="str">
        <f ca="1">IFERROR(__xludf.DUMMYFUNCTION("""COMPUTED_VALUE"""),"concubina Micheleti de Colonbo")</f>
        <v>concubina Micheleti de Colonbo</v>
      </c>
      <c r="S16" t="str">
        <f ca="1">IFERROR(__xludf.DUMMYFUNCTION("""COMPUTED_VALUE"""),"Latin")</f>
        <v>Latin</v>
      </c>
      <c r="T16" t="str">
        <f ca="1">IFERROR(__xludf.DUMMYFUNCTION("""COMPUTED_VALUE"""),"definite")</f>
        <v>definite</v>
      </c>
      <c r="U16" t="str">
        <f ca="1">IFERROR(__xludf.DUMMYFUNCTION("""COMPUTED_VALUE"""),"C2552")</f>
        <v>C2552</v>
      </c>
      <c r="V16" t="str">
        <f ca="1">IFERROR(__xludf.DUMMYFUNCTION("""COMPUTED_VALUE"""),"female")</f>
        <v>female</v>
      </c>
      <c r="Z16" t="str">
        <f ca="1">IFERROR(__xludf.DUMMYFUNCTION("""COMPUTED_VALUE"""),"163")</f>
        <v>163</v>
      </c>
      <c r="AA16" t="str">
        <f ca="1">IFERROR(__xludf.DUMMYFUNCTION("""COMPUTED_VALUE"""),"d")</f>
        <v>d</v>
      </c>
      <c r="AB16" t="str">
        <f ca="1">IFERROR(__xludf.DUMMYFUNCTION("""COMPUTED_VALUE"""),"suspect")</f>
        <v>suspect</v>
      </c>
      <c r="AE16" t="str">
        <f ca="1">IFERROR(__xludf.DUMMYFUNCTION("""COMPUTED_VALUE"""),"#VALUE!")</f>
        <v>#VALUE!</v>
      </c>
      <c r="AF16" t="str">
        <f ca="1">IFERROR(__xludf.DUMMYFUNCTION("""COMPUTED_VALUE"""),"#N/A")</f>
        <v>#N/A</v>
      </c>
      <c r="AG16" t="str">
        <f ca="1">IFERROR(__xludf.DUMMYFUNCTION("""COMPUTED_VALUE"""),"#N/A")</f>
        <v>#N/A</v>
      </c>
      <c r="AI16" t="str">
        <f ca="1">IFERROR(__xludf.DUMMYFUNCTION("""COMPUTED_VALUE"""),"#VALUE!")</f>
        <v>#VALUE!</v>
      </c>
      <c r="AK16" t="str">
        <f ca="1">IFERROR(__xludf.DUMMYFUNCTION("""COMPUTED_VALUE"""),"#VALUE!")</f>
        <v>#VALUE!</v>
      </c>
      <c r="AM16" t="str">
        <f ca="1">IFERROR(__xludf.DUMMYFUNCTION("""COMPUTED_VALUE"""),"#VALUE!")</f>
        <v>#VALUE!</v>
      </c>
      <c r="AO16" t="str">
        <f ca="1">IFERROR(__xludf.DUMMYFUNCTION("""COMPUTED_VALUE"""),"#VALUE!")</f>
        <v>#VALUE!</v>
      </c>
      <c r="AQ16" t="str">
        <f ca="1">IFERROR(__xludf.DUMMYFUNCTION("""COMPUTED_VALUE"""),"#VALUE!")</f>
        <v>#VALUE!</v>
      </c>
      <c r="AS16" t="str">
        <f ca="1">IFERROR(__xludf.DUMMYFUNCTION("""COMPUTED_VALUE"""),"#VALUE!")</f>
        <v>#VALUE!</v>
      </c>
      <c r="AU16" t="str">
        <f ca="1">IFERROR(__xludf.DUMMYFUNCTION("""COMPUTED_VALUE"""),"#VALUE!")</f>
        <v>#VALUE!</v>
      </c>
      <c r="AW16" t="str">
        <f ca="1">IFERROR(__xludf.DUMMYFUNCTION("""COMPUTED_VALUE"""),"#VALUE!")</f>
        <v>#VALUE!</v>
      </c>
      <c r="AY16" t="str">
        <f ca="1">IFERROR(__xludf.DUMMYFUNCTION("""COMPUTED_VALUE"""),"#VALUE!")</f>
        <v>#VALUE!</v>
      </c>
      <c r="BA16" t="str">
        <f ca="1">IFERROR(__xludf.DUMMYFUNCTION("""COMPUTED_VALUE"""),"#VALUE!")</f>
        <v>#VALUE!</v>
      </c>
      <c r="BC16" t="str">
        <f ca="1">IFERROR(__xludf.DUMMYFUNCTION("""COMPUTED_VALUE"""),"#VALUE!")</f>
        <v>#VALUE!</v>
      </c>
      <c r="BE16" t="str">
        <f ca="1">IFERROR(__xludf.DUMMYFUNCTION("""COMPUTED_VALUE"""),"#VALUE!")</f>
        <v>#VALUE!</v>
      </c>
      <c r="BG16" t="str">
        <f ca="1">IFERROR(__xludf.DUMMYFUNCTION("""COMPUTED_VALUE"""),"#VALUE!")</f>
        <v>#VALUE!</v>
      </c>
      <c r="BI16" t="str">
        <f ca="1">IFERROR(__xludf.DUMMYFUNCTION("""COMPUTED_VALUE"""),"#VALUE!")</f>
        <v>#VALUE!</v>
      </c>
      <c r="BK16" t="str">
        <f ca="1">IFERROR(__xludf.DUMMYFUNCTION("""COMPUTED_VALUE"""),"#VALUE!")</f>
        <v>#VALUE!</v>
      </c>
      <c r="BM16" t="str">
        <f ca="1">IFERROR(__xludf.DUMMYFUNCTION("""COMPUTED_VALUE"""),"#VALUE!")</f>
        <v>#VALUE!</v>
      </c>
      <c r="BO16" t="str">
        <f ca="1">IFERROR(__xludf.DUMMYFUNCTION("""COMPUTED_VALUE"""),"#VALUE!")</f>
        <v>#VALUE!</v>
      </c>
      <c r="BQ16" t="str">
        <f ca="1">IFERROR(__xludf.DUMMYFUNCTION("""COMPUTED_VALUE"""),"#VALUE!")</f>
        <v>#VALUE!</v>
      </c>
      <c r="BS16" t="str">
        <f ca="1">IFERROR(__xludf.DUMMYFUNCTION("""COMPUTED_VALUE"""),"#VALUE!")</f>
        <v>#VALUE!</v>
      </c>
      <c r="BU16" t="str">
        <f ca="1">IFERROR(__xludf.DUMMYFUNCTION("""COMPUTED_VALUE"""),"#VALUE!")</f>
        <v>#VALUE!</v>
      </c>
      <c r="BW16" t="str">
        <f ca="1">IFERROR(__xludf.DUMMYFUNCTION("""COMPUTED_VALUE"""),"#VALUE!")</f>
        <v>#VALUE!</v>
      </c>
      <c r="BY16" t="str">
        <f ca="1">IFERROR(__xludf.DUMMYFUNCTION("""COMPUTED_VALUE"""),"#VALUE!")</f>
        <v>#VALUE!</v>
      </c>
      <c r="CA16" t="str">
        <f ca="1">IFERROR(__xludf.DUMMYFUNCTION("""COMPUTED_VALUE"""),"#VALUE!")</f>
        <v>#VALUE!</v>
      </c>
      <c r="CC16" t="str">
        <f ca="1">IFERROR(__xludf.DUMMYFUNCTION("""COMPUTED_VALUE"""),"#VALUE!")</f>
        <v>#VALUE!</v>
      </c>
      <c r="CE16" t="str">
        <f ca="1">IFERROR(__xludf.DUMMYFUNCTION("""COMPUTED_VALUE"""),"#VALUE!")</f>
        <v>#VALUE!</v>
      </c>
      <c r="CG16" t="str">
        <f ca="1">IFERROR(__xludf.DUMMYFUNCTION("""COMPUTED_VALUE"""),"#VALUE!")</f>
        <v>#VALUE!</v>
      </c>
      <c r="CI16" t="str">
        <f ca="1">IFERROR(__xludf.DUMMYFUNCTION("""COMPUTED_VALUE"""),"#VALUE!")</f>
        <v>#VALUE!</v>
      </c>
      <c r="CK16" t="str">
        <f ca="1">IFERROR(__xludf.DUMMYFUNCTION("""COMPUTED_VALUE"""),"#VALUE!")</f>
        <v>#VALUE!</v>
      </c>
      <c r="CS16" t="str">
        <f ca="1">IFERROR(__xludf.DUMMYFUNCTION("""COMPUTED_VALUE"""),"#VALUE!")</f>
        <v>#VALUE!</v>
      </c>
      <c r="CU16" t="str">
        <f ca="1">IFERROR(__xludf.DUMMYFUNCTION("""COMPUTED_VALUE"""),"#VALUE!")</f>
        <v>#VALUE!</v>
      </c>
      <c r="CV16" t="str">
        <f ca="1">IFERROR(__xludf.DUMMYFUNCTION("""COMPUTED_VALUE"""),"L0005")</f>
        <v>L0005</v>
      </c>
      <c r="CW16" t="str">
        <f ca="1">IFERROR(__xludf.DUMMYFUNCTION("""COMPUTED_VALUE"""),"Valgioie")</f>
        <v>Valgioie</v>
      </c>
      <c r="CY16" t="str">
        <f ca="1">IFERROR(__xludf.DUMMYFUNCTION("""COMPUTED_VALUE"""),"#VALUE!")</f>
        <v>#VALUE!</v>
      </c>
      <c r="DC16" t="str">
        <f ca="1">IFERROR(__xludf.DUMMYFUNCTION("""COMPUTED_VALUE"""),"#VALUE!")</f>
        <v>#VALUE!</v>
      </c>
      <c r="DE16" t="str">
        <f ca="1">IFERROR(__xludf.DUMMYFUNCTION("""COMPUTED_VALUE"""),"#VALUE!")</f>
        <v>#VALUE!</v>
      </c>
      <c r="DI16" t="str">
        <f ca="1">IFERROR(__xludf.DUMMYFUNCTION("""COMPUTED_VALUE"""),"#VALUE!")</f>
        <v>#VALUE!</v>
      </c>
      <c r="DJ16" t="str">
        <f ca="1">IFERROR(__xludf.DUMMYFUNCTION("""COMPUTED_VALUE"""),"#VALUE!")</f>
        <v>#VALUE!</v>
      </c>
      <c r="DL16" t="str">
        <f ca="1">IFERROR(__xludf.DUMMYFUNCTION("""COMPUTED_VALUE"""),"Davor Salihović")</f>
        <v>Davor Salihović</v>
      </c>
    </row>
    <row r="17" spans="1:116" ht="15.75" customHeight="1" x14ac:dyDescent="0.25">
      <c r="A17" t="str">
        <f ca="1">IFERROR(__xludf.DUMMYFUNCTION("""COMPUTED_VALUE"""),"P0016")</f>
        <v>P0016</v>
      </c>
      <c r="B17" t="str">
        <f ca="1">IFERROR(__xludf.DUMMYFUNCTION("""COMPUTED_VALUE"""),"Micheletus de Colonbo")</f>
        <v>Micheletus de Colonbo</v>
      </c>
      <c r="D17" t="str">
        <f ca="1">IFERROR(__xludf.DUMMYFUNCTION("""COMPUTED_VALUE"""),"#VALUE!")</f>
        <v>#VALUE!</v>
      </c>
      <c r="E17" t="str">
        <f ca="1">IFERROR(__xludf.DUMMYFUNCTION("""COMPUTED_VALUE"""),"Micheletus")</f>
        <v>Micheletus</v>
      </c>
      <c r="J17" t="str">
        <f ca="1">IFERROR(__xludf.DUMMYFUNCTION("""COMPUTED_VALUE"""),"de")</f>
        <v>de</v>
      </c>
      <c r="K17" t="str">
        <f ca="1">IFERROR(__xludf.DUMMYFUNCTION("""COMPUTED_VALUE"""),"Colonbo")</f>
        <v>Colonbo</v>
      </c>
      <c r="L17" t="str">
        <f ca="1">IFERROR(__xludf.DUMMYFUNCTION("""COMPUTED_VALUE"""),"de Colonbo")</f>
        <v>de Colonbo</v>
      </c>
      <c r="S17" t="str">
        <f ca="1">IFERROR(__xludf.DUMMYFUNCTION("""COMPUTED_VALUE"""),"Latin")</f>
        <v>Latin</v>
      </c>
      <c r="T17" t="str">
        <f ca="1">IFERROR(__xludf.DUMMYFUNCTION("""COMPUTED_VALUE"""),"definite")</f>
        <v>definite</v>
      </c>
      <c r="U17" t="str">
        <f ca="1">IFERROR(__xludf.DUMMYFUNCTION("""COMPUTED_VALUE"""),"C2553")</f>
        <v>C2553</v>
      </c>
      <c r="V17" t="str">
        <f ca="1">IFERROR(__xludf.DUMMYFUNCTION("""COMPUTED_VALUE"""),"male")</f>
        <v>male</v>
      </c>
      <c r="Z17" t="str">
        <f ca="1">IFERROR(__xludf.DUMMYFUNCTION("""COMPUTED_VALUE"""),"163")</f>
        <v>163</v>
      </c>
      <c r="AA17" t="str">
        <f ca="1">IFERROR(__xludf.DUMMYFUNCTION("""COMPUTED_VALUE"""),"d")</f>
        <v>d</v>
      </c>
      <c r="AB17" t="str">
        <f ca="1">IFERROR(__xludf.DUMMYFUNCTION("""COMPUTED_VALUE"""),"NA")</f>
        <v>NA</v>
      </c>
      <c r="AE17" t="str">
        <f ca="1">IFERROR(__xludf.DUMMYFUNCTION("""COMPUTED_VALUE"""),"#VALUE!")</f>
        <v>#VALUE!</v>
      </c>
      <c r="AF17" t="str">
        <f ca="1">IFERROR(__xludf.DUMMYFUNCTION("""COMPUTED_VALUE"""),"#N/A")</f>
        <v>#N/A</v>
      </c>
      <c r="AG17" t="str">
        <f ca="1">IFERROR(__xludf.DUMMYFUNCTION("""COMPUTED_VALUE"""),"#N/A")</f>
        <v>#N/A</v>
      </c>
      <c r="AH17" t="str">
        <f ca="1">IFERROR(__xludf.DUMMYFUNCTION("""COMPUTED_VALUE"""),"C2353")</f>
        <v>C2353</v>
      </c>
      <c r="AI17" t="str">
        <f ca="1">IFERROR(__xludf.DUMMYFUNCTION("""COMPUTED_VALUE"""),"lover")</f>
        <v>lover</v>
      </c>
      <c r="AJ17" t="str">
        <f ca="1">IFERROR(__xludf.DUMMYFUNCTION("""COMPUTED_VALUE"""),"P0015")</f>
        <v>P0015</v>
      </c>
      <c r="AK17" t="str">
        <f ca="1">IFERROR(__xludf.DUMMYFUNCTION("""COMPUTED_VALUE"""),"Iohanna")</f>
        <v>Iohanna</v>
      </c>
      <c r="AM17" t="str">
        <f ca="1">IFERROR(__xludf.DUMMYFUNCTION("""COMPUTED_VALUE"""),"#VALUE!")</f>
        <v>#VALUE!</v>
      </c>
      <c r="AO17" t="str">
        <f ca="1">IFERROR(__xludf.DUMMYFUNCTION("""COMPUTED_VALUE"""),"#VALUE!")</f>
        <v>#VALUE!</v>
      </c>
      <c r="AQ17" t="str">
        <f ca="1">IFERROR(__xludf.DUMMYFUNCTION("""COMPUTED_VALUE"""),"#VALUE!")</f>
        <v>#VALUE!</v>
      </c>
      <c r="AS17" t="str">
        <f ca="1">IFERROR(__xludf.DUMMYFUNCTION("""COMPUTED_VALUE"""),"#VALUE!")</f>
        <v>#VALUE!</v>
      </c>
      <c r="AU17" t="str">
        <f ca="1">IFERROR(__xludf.DUMMYFUNCTION("""COMPUTED_VALUE"""),"#VALUE!")</f>
        <v>#VALUE!</v>
      </c>
      <c r="AW17" t="str">
        <f ca="1">IFERROR(__xludf.DUMMYFUNCTION("""COMPUTED_VALUE"""),"#VALUE!")</f>
        <v>#VALUE!</v>
      </c>
      <c r="AY17" t="str">
        <f ca="1">IFERROR(__xludf.DUMMYFUNCTION("""COMPUTED_VALUE"""),"#VALUE!")</f>
        <v>#VALUE!</v>
      </c>
      <c r="BA17" t="str">
        <f ca="1">IFERROR(__xludf.DUMMYFUNCTION("""COMPUTED_VALUE"""),"#VALUE!")</f>
        <v>#VALUE!</v>
      </c>
      <c r="BC17" t="str">
        <f ca="1">IFERROR(__xludf.DUMMYFUNCTION("""COMPUTED_VALUE"""),"#VALUE!")</f>
        <v>#VALUE!</v>
      </c>
      <c r="BE17" t="str">
        <f ca="1">IFERROR(__xludf.DUMMYFUNCTION("""COMPUTED_VALUE"""),"#VALUE!")</f>
        <v>#VALUE!</v>
      </c>
      <c r="BG17" t="str">
        <f ca="1">IFERROR(__xludf.DUMMYFUNCTION("""COMPUTED_VALUE"""),"#VALUE!")</f>
        <v>#VALUE!</v>
      </c>
      <c r="BI17" t="str">
        <f ca="1">IFERROR(__xludf.DUMMYFUNCTION("""COMPUTED_VALUE"""),"#VALUE!")</f>
        <v>#VALUE!</v>
      </c>
      <c r="BK17" t="str">
        <f ca="1">IFERROR(__xludf.DUMMYFUNCTION("""COMPUTED_VALUE"""),"#VALUE!")</f>
        <v>#VALUE!</v>
      </c>
      <c r="BM17" t="str">
        <f ca="1">IFERROR(__xludf.DUMMYFUNCTION("""COMPUTED_VALUE"""),"#VALUE!")</f>
        <v>#VALUE!</v>
      </c>
      <c r="BO17" t="str">
        <f ca="1">IFERROR(__xludf.DUMMYFUNCTION("""COMPUTED_VALUE"""),"#VALUE!")</f>
        <v>#VALUE!</v>
      </c>
      <c r="BQ17" t="str">
        <f ca="1">IFERROR(__xludf.DUMMYFUNCTION("""COMPUTED_VALUE"""),"#VALUE!")</f>
        <v>#VALUE!</v>
      </c>
      <c r="BS17" t="str">
        <f ca="1">IFERROR(__xludf.DUMMYFUNCTION("""COMPUTED_VALUE"""),"#VALUE!")</f>
        <v>#VALUE!</v>
      </c>
      <c r="BU17" t="str">
        <f ca="1">IFERROR(__xludf.DUMMYFUNCTION("""COMPUTED_VALUE"""),"#VALUE!")</f>
        <v>#VALUE!</v>
      </c>
      <c r="BW17" t="str">
        <f ca="1">IFERROR(__xludf.DUMMYFUNCTION("""COMPUTED_VALUE"""),"#VALUE!")</f>
        <v>#VALUE!</v>
      </c>
      <c r="BY17" t="str">
        <f ca="1">IFERROR(__xludf.DUMMYFUNCTION("""COMPUTED_VALUE"""),"#VALUE!")</f>
        <v>#VALUE!</v>
      </c>
      <c r="CA17" t="str">
        <f ca="1">IFERROR(__xludf.DUMMYFUNCTION("""COMPUTED_VALUE"""),"#VALUE!")</f>
        <v>#VALUE!</v>
      </c>
      <c r="CC17" t="str">
        <f ca="1">IFERROR(__xludf.DUMMYFUNCTION("""COMPUTED_VALUE"""),"#VALUE!")</f>
        <v>#VALUE!</v>
      </c>
      <c r="CE17" t="str">
        <f ca="1">IFERROR(__xludf.DUMMYFUNCTION("""COMPUTED_VALUE"""),"#VALUE!")</f>
        <v>#VALUE!</v>
      </c>
      <c r="CG17" t="str">
        <f ca="1">IFERROR(__xludf.DUMMYFUNCTION("""COMPUTED_VALUE"""),"#VALUE!")</f>
        <v>#VALUE!</v>
      </c>
      <c r="CI17" t="str">
        <f ca="1">IFERROR(__xludf.DUMMYFUNCTION("""COMPUTED_VALUE"""),"#VALUE!")</f>
        <v>#VALUE!</v>
      </c>
      <c r="CK17" t="str">
        <f ca="1">IFERROR(__xludf.DUMMYFUNCTION("""COMPUTED_VALUE"""),"#VALUE!")</f>
        <v>#VALUE!</v>
      </c>
      <c r="CS17" t="str">
        <f ca="1">IFERROR(__xludf.DUMMYFUNCTION("""COMPUTED_VALUE"""),"#VALUE!")</f>
        <v>#VALUE!</v>
      </c>
      <c r="CU17" t="str">
        <f ca="1">IFERROR(__xludf.DUMMYFUNCTION("""COMPUTED_VALUE"""),"#VALUE!")</f>
        <v>#VALUE!</v>
      </c>
      <c r="CW17" t="str">
        <f ca="1">IFERROR(__xludf.DUMMYFUNCTION("""COMPUTED_VALUE"""),"#VALUE!")</f>
        <v>#VALUE!</v>
      </c>
      <c r="CY17" t="str">
        <f ca="1">IFERROR(__xludf.DUMMYFUNCTION("""COMPUTED_VALUE"""),"#VALUE!")</f>
        <v>#VALUE!</v>
      </c>
      <c r="DC17" t="str">
        <f ca="1">IFERROR(__xludf.DUMMYFUNCTION("""COMPUTED_VALUE"""),"#VALUE!")</f>
        <v>#VALUE!</v>
      </c>
      <c r="DE17" t="str">
        <f ca="1">IFERROR(__xludf.DUMMYFUNCTION("""COMPUTED_VALUE"""),"#VALUE!")</f>
        <v>#VALUE!</v>
      </c>
      <c r="DI17" t="str">
        <f ca="1">IFERROR(__xludf.DUMMYFUNCTION("""COMPUTED_VALUE"""),"#VALUE!")</f>
        <v>#VALUE!</v>
      </c>
      <c r="DJ17" t="str">
        <f ca="1">IFERROR(__xludf.DUMMYFUNCTION("""COMPUTED_VALUE"""),"#VALUE!")</f>
        <v>#VALUE!</v>
      </c>
      <c r="DL17" t="str">
        <f ca="1">IFERROR(__xludf.DUMMYFUNCTION("""COMPUTED_VALUE"""),"Davor Salihović")</f>
        <v>Davor Salihović</v>
      </c>
    </row>
    <row r="18" spans="1:116" ht="15.75" customHeight="1" x14ac:dyDescent="0.25">
      <c r="A18" t="str">
        <f ca="1">IFERROR(__xludf.DUMMYFUNCTION("""COMPUTED_VALUE"""),"P0017")</f>
        <v>P0017</v>
      </c>
      <c r="B18" t="str">
        <f ca="1">IFERROR(__xludf.DUMMYFUNCTION("""COMPUTED_VALUE"""),"Peroneta, uxor Francisci de Petra")</f>
        <v>Peroneta, uxor Francisci de Petra</v>
      </c>
      <c r="D18" t="str">
        <f ca="1">IFERROR(__xludf.DUMMYFUNCTION("""COMPUTED_VALUE"""),"#VALUE!")</f>
        <v>#VALUE!</v>
      </c>
      <c r="E18" t="str">
        <f ca="1">IFERROR(__xludf.DUMMYFUNCTION("""COMPUTED_VALUE"""),"Peroneta")</f>
        <v>Peroneta</v>
      </c>
      <c r="Q18" t="str">
        <f ca="1">IFERROR(__xludf.DUMMYFUNCTION("""COMPUTED_VALUE"""),"uxor Francisci de Petra")</f>
        <v>uxor Francisci de Petra</v>
      </c>
      <c r="S18" t="str">
        <f ca="1">IFERROR(__xludf.DUMMYFUNCTION("""COMPUTED_VALUE"""),"Latin")</f>
        <v>Latin</v>
      </c>
      <c r="T18" t="str">
        <f ca="1">IFERROR(__xludf.DUMMYFUNCTION("""COMPUTED_VALUE"""),"definite")</f>
        <v>definite</v>
      </c>
      <c r="U18" t="str">
        <f ca="1">IFERROR(__xludf.DUMMYFUNCTION("""COMPUTED_VALUE"""),"C2552")</f>
        <v>C2552</v>
      </c>
      <c r="V18" t="str">
        <f ca="1">IFERROR(__xludf.DUMMYFUNCTION("""COMPUTED_VALUE"""),"female")</f>
        <v>female</v>
      </c>
      <c r="Z18" t="str">
        <f ca="1">IFERROR(__xludf.DUMMYFUNCTION("""COMPUTED_VALUE"""),"163")</f>
        <v>163</v>
      </c>
      <c r="AA18" t="str">
        <f ca="1">IFERROR(__xludf.DUMMYFUNCTION("""COMPUTED_VALUE"""),"d")</f>
        <v>d</v>
      </c>
      <c r="AB18" t="str">
        <f ca="1">IFERROR(__xludf.DUMMYFUNCTION("""COMPUTED_VALUE"""),"deponent")</f>
        <v>deponent</v>
      </c>
      <c r="AD18" t="str">
        <f ca="1">IFERROR(__xludf.DUMMYFUNCTION("""COMPUTED_VALUE"""),"C3287")</f>
        <v>C3287</v>
      </c>
      <c r="AE18" t="str">
        <f ca="1">IFERROR(__xludf.DUMMYFUNCTION("""COMPUTED_VALUE"""),"alive")</f>
        <v>alive</v>
      </c>
      <c r="AF18" t="str">
        <f ca="1">IFERROR(__xludf.DUMMYFUNCTION("""COMPUTED_VALUE"""),"C1753")</f>
        <v>C1753</v>
      </c>
      <c r="AG18" t="str">
        <f ca="1">IFERROR(__xludf.DUMMYFUNCTION("""COMPUTED_VALUE"""),"1335-01-20")</f>
        <v>1335-01-20</v>
      </c>
      <c r="AI18" t="str">
        <f ca="1">IFERROR(__xludf.DUMMYFUNCTION("""COMPUTED_VALUE"""),"#VALUE!")</f>
        <v>#VALUE!</v>
      </c>
      <c r="AK18" t="str">
        <f ca="1">IFERROR(__xludf.DUMMYFUNCTION("""COMPUTED_VALUE"""),"#VALUE!")</f>
        <v>#VALUE!</v>
      </c>
      <c r="AM18" t="str">
        <f ca="1">IFERROR(__xludf.DUMMYFUNCTION("""COMPUTED_VALUE"""),"#VALUE!")</f>
        <v>#VALUE!</v>
      </c>
      <c r="AO18" t="str">
        <f ca="1">IFERROR(__xludf.DUMMYFUNCTION("""COMPUTED_VALUE"""),"#VALUE!")</f>
        <v>#VALUE!</v>
      </c>
      <c r="AQ18" t="str">
        <f ca="1">IFERROR(__xludf.DUMMYFUNCTION("""COMPUTED_VALUE"""),"#VALUE!")</f>
        <v>#VALUE!</v>
      </c>
      <c r="AS18" t="str">
        <f ca="1">IFERROR(__xludf.DUMMYFUNCTION("""COMPUTED_VALUE"""),"#VALUE!")</f>
        <v>#VALUE!</v>
      </c>
      <c r="AU18" t="str">
        <f ca="1">IFERROR(__xludf.DUMMYFUNCTION("""COMPUTED_VALUE"""),"#VALUE!")</f>
        <v>#VALUE!</v>
      </c>
      <c r="AW18" t="str">
        <f ca="1">IFERROR(__xludf.DUMMYFUNCTION("""COMPUTED_VALUE"""),"#VALUE!")</f>
        <v>#VALUE!</v>
      </c>
      <c r="AY18" t="str">
        <f ca="1">IFERROR(__xludf.DUMMYFUNCTION("""COMPUTED_VALUE"""),"#VALUE!")</f>
        <v>#VALUE!</v>
      </c>
      <c r="BA18" t="str">
        <f ca="1">IFERROR(__xludf.DUMMYFUNCTION("""COMPUTED_VALUE"""),"#VALUE!")</f>
        <v>#VALUE!</v>
      </c>
      <c r="BC18" t="str">
        <f ca="1">IFERROR(__xludf.DUMMYFUNCTION("""COMPUTED_VALUE"""),"#VALUE!")</f>
        <v>#VALUE!</v>
      </c>
      <c r="BE18" t="str">
        <f ca="1">IFERROR(__xludf.DUMMYFUNCTION("""COMPUTED_VALUE"""),"#VALUE!")</f>
        <v>#VALUE!</v>
      </c>
      <c r="BG18" t="str">
        <f ca="1">IFERROR(__xludf.DUMMYFUNCTION("""COMPUTED_VALUE"""),"#VALUE!")</f>
        <v>#VALUE!</v>
      </c>
      <c r="BI18" t="str">
        <f ca="1">IFERROR(__xludf.DUMMYFUNCTION("""COMPUTED_VALUE"""),"#VALUE!")</f>
        <v>#VALUE!</v>
      </c>
      <c r="BK18" t="str">
        <f ca="1">IFERROR(__xludf.DUMMYFUNCTION("""COMPUTED_VALUE"""),"#VALUE!")</f>
        <v>#VALUE!</v>
      </c>
      <c r="BM18" t="str">
        <f ca="1">IFERROR(__xludf.DUMMYFUNCTION("""COMPUTED_VALUE"""),"#VALUE!")</f>
        <v>#VALUE!</v>
      </c>
      <c r="BO18" t="str">
        <f ca="1">IFERROR(__xludf.DUMMYFUNCTION("""COMPUTED_VALUE"""),"#VALUE!")</f>
        <v>#VALUE!</v>
      </c>
      <c r="BQ18" t="str">
        <f ca="1">IFERROR(__xludf.DUMMYFUNCTION("""COMPUTED_VALUE"""),"#VALUE!")</f>
        <v>#VALUE!</v>
      </c>
      <c r="BS18" t="str">
        <f ca="1">IFERROR(__xludf.DUMMYFUNCTION("""COMPUTED_VALUE"""),"#VALUE!")</f>
        <v>#VALUE!</v>
      </c>
      <c r="BU18" t="str">
        <f ca="1">IFERROR(__xludf.DUMMYFUNCTION("""COMPUTED_VALUE"""),"#VALUE!")</f>
        <v>#VALUE!</v>
      </c>
      <c r="BW18" t="str">
        <f ca="1">IFERROR(__xludf.DUMMYFUNCTION("""COMPUTED_VALUE"""),"#VALUE!")</f>
        <v>#VALUE!</v>
      </c>
      <c r="BY18" t="str">
        <f ca="1">IFERROR(__xludf.DUMMYFUNCTION("""COMPUTED_VALUE"""),"#VALUE!")</f>
        <v>#VALUE!</v>
      </c>
      <c r="CA18" t="str">
        <f ca="1">IFERROR(__xludf.DUMMYFUNCTION("""COMPUTED_VALUE"""),"#VALUE!")</f>
        <v>#VALUE!</v>
      </c>
      <c r="CC18" t="str">
        <f ca="1">IFERROR(__xludf.DUMMYFUNCTION("""COMPUTED_VALUE"""),"#VALUE!")</f>
        <v>#VALUE!</v>
      </c>
      <c r="CE18" t="str">
        <f ca="1">IFERROR(__xludf.DUMMYFUNCTION("""COMPUTED_VALUE"""),"#VALUE!")</f>
        <v>#VALUE!</v>
      </c>
      <c r="CG18" t="str">
        <f ca="1">IFERROR(__xludf.DUMMYFUNCTION("""COMPUTED_VALUE"""),"#VALUE!")</f>
        <v>#VALUE!</v>
      </c>
      <c r="CI18" t="str">
        <f ca="1">IFERROR(__xludf.DUMMYFUNCTION("""COMPUTED_VALUE"""),"#VALUE!")</f>
        <v>#VALUE!</v>
      </c>
      <c r="CK18" t="str">
        <f ca="1">IFERROR(__xludf.DUMMYFUNCTION("""COMPUTED_VALUE"""),"#VALUE!")</f>
        <v>#VALUE!</v>
      </c>
      <c r="CR18" t="str">
        <f ca="1">IFERROR(__xludf.DUMMYFUNCTION("""COMPUTED_VALUE"""),"[L0006]")</f>
        <v>[L0006]</v>
      </c>
      <c r="CS18" t="str">
        <f ca="1">IFERROR(__xludf.DUMMYFUNCTION("""COMPUTED_VALUE"""),"Lanslevillard")</f>
        <v>Lanslevillard</v>
      </c>
      <c r="CU18" t="str">
        <f ca="1">IFERROR(__xludf.DUMMYFUNCTION("""COMPUTED_VALUE"""),"#VALUE!")</f>
        <v>#VALUE!</v>
      </c>
      <c r="CW18" t="str">
        <f ca="1">IFERROR(__xludf.DUMMYFUNCTION("""COMPUTED_VALUE"""),"#VALUE!")</f>
        <v>#VALUE!</v>
      </c>
      <c r="CY18" t="str">
        <f ca="1">IFERROR(__xludf.DUMMYFUNCTION("""COMPUTED_VALUE"""),"#VALUE!")</f>
        <v>#VALUE!</v>
      </c>
      <c r="DC18" t="str">
        <f ca="1">IFERROR(__xludf.DUMMYFUNCTION("""COMPUTED_VALUE"""),"#VALUE!")</f>
        <v>#VALUE!</v>
      </c>
      <c r="DE18" t="str">
        <f ca="1">IFERROR(__xludf.DUMMYFUNCTION("""COMPUTED_VALUE"""),"#VALUE!")</f>
        <v>#VALUE!</v>
      </c>
      <c r="DF18" t="str">
        <f ca="1">IFERROR(__xludf.DUMMYFUNCTION("""COMPUTED_VALUE"""),"y")</f>
        <v>y</v>
      </c>
      <c r="DI18" t="str">
        <f ca="1">IFERROR(__xludf.DUMMYFUNCTION("""COMPUTED_VALUE"""),"#VALUE!")</f>
        <v>#VALUE!</v>
      </c>
      <c r="DJ18" t="str">
        <f ca="1">IFERROR(__xludf.DUMMYFUNCTION("""COMPUTED_VALUE"""),"#VALUE!")</f>
        <v>#VALUE!</v>
      </c>
      <c r="DL18" t="str">
        <f ca="1">IFERROR(__xludf.DUMMYFUNCTION("""COMPUTED_VALUE"""),"Davor Salihović")</f>
        <v>Davor Salihović</v>
      </c>
    </row>
    <row r="19" spans="1:116" ht="15.75" customHeight="1" x14ac:dyDescent="0.25">
      <c r="A19" t="str">
        <f ca="1">IFERROR(__xludf.DUMMYFUNCTION("""COMPUTED_VALUE"""),"P0018")</f>
        <v>P0018</v>
      </c>
      <c r="B19" t="str">
        <f ca="1">IFERROR(__xludf.DUMMYFUNCTION("""COMPUTED_VALUE"""),"Franciscus de Petra")</f>
        <v>Franciscus de Petra</v>
      </c>
      <c r="D19" t="str">
        <f ca="1">IFERROR(__xludf.DUMMYFUNCTION("""COMPUTED_VALUE"""),"#VALUE!")</f>
        <v>#VALUE!</v>
      </c>
      <c r="E19" t="str">
        <f ca="1">IFERROR(__xludf.DUMMYFUNCTION("""COMPUTED_VALUE"""),"Franciscus")</f>
        <v>Franciscus</v>
      </c>
      <c r="J19" t="str">
        <f ca="1">IFERROR(__xludf.DUMMYFUNCTION("""COMPUTED_VALUE"""),"de")</f>
        <v>de</v>
      </c>
      <c r="K19" t="str">
        <f ca="1">IFERROR(__xludf.DUMMYFUNCTION("""COMPUTED_VALUE"""),"Petra")</f>
        <v>Petra</v>
      </c>
      <c r="L19" t="str">
        <f ca="1">IFERROR(__xludf.DUMMYFUNCTION("""COMPUTED_VALUE"""),"de Petra")</f>
        <v>de Petra</v>
      </c>
      <c r="S19" t="str">
        <f ca="1">IFERROR(__xludf.DUMMYFUNCTION("""COMPUTED_VALUE"""),"Latin")</f>
        <v>Latin</v>
      </c>
      <c r="T19" t="str">
        <f ca="1">IFERROR(__xludf.DUMMYFUNCTION("""COMPUTED_VALUE"""),"definite")</f>
        <v>definite</v>
      </c>
      <c r="U19" t="str">
        <f ca="1">IFERROR(__xludf.DUMMYFUNCTION("""COMPUTED_VALUE"""),"C2553")</f>
        <v>C2553</v>
      </c>
      <c r="V19" t="str">
        <f ca="1">IFERROR(__xludf.DUMMYFUNCTION("""COMPUTED_VALUE"""),"male")</f>
        <v>male</v>
      </c>
      <c r="Z19" t="str">
        <f ca="1">IFERROR(__xludf.DUMMYFUNCTION("""COMPUTED_VALUE"""),"163")</f>
        <v>163</v>
      </c>
      <c r="AA19" t="str">
        <f ca="1">IFERROR(__xludf.DUMMYFUNCTION("""COMPUTED_VALUE"""),"d")</f>
        <v>d</v>
      </c>
      <c r="AB19" t="str">
        <f ca="1">IFERROR(__xludf.DUMMYFUNCTION("""COMPUTED_VALUE"""),"NA")</f>
        <v>NA</v>
      </c>
      <c r="AE19" t="str">
        <f ca="1">IFERROR(__xludf.DUMMYFUNCTION("""COMPUTED_VALUE"""),"#VALUE!")</f>
        <v>#VALUE!</v>
      </c>
      <c r="AF19" t="str">
        <f ca="1">IFERROR(__xludf.DUMMYFUNCTION("""COMPUTED_VALUE"""),"#N/A")</f>
        <v>#N/A</v>
      </c>
      <c r="AG19" t="str">
        <f ca="1">IFERROR(__xludf.DUMMYFUNCTION("""COMPUTED_VALUE"""),"#N/A")</f>
        <v>#N/A</v>
      </c>
      <c r="AH19" t="str">
        <f ca="1">IFERROR(__xludf.DUMMYFUNCTION("""COMPUTED_VALUE"""),"C2348")</f>
        <v>C2348</v>
      </c>
      <c r="AI19" t="str">
        <f ca="1">IFERROR(__xludf.DUMMYFUNCTION("""COMPUTED_VALUE"""),"wife")</f>
        <v>wife</v>
      </c>
      <c r="AJ19" t="str">
        <f ca="1">IFERROR(__xludf.DUMMYFUNCTION("""COMPUTED_VALUE"""),"P0017")</f>
        <v>P0017</v>
      </c>
      <c r="AK19" t="str">
        <f ca="1">IFERROR(__xludf.DUMMYFUNCTION("""COMPUTED_VALUE"""),"Peroneta, uxor Francisci de Petra")</f>
        <v>Peroneta, uxor Francisci de Petra</v>
      </c>
      <c r="AM19" t="str">
        <f ca="1">IFERROR(__xludf.DUMMYFUNCTION("""COMPUTED_VALUE"""),"#VALUE!")</f>
        <v>#VALUE!</v>
      </c>
      <c r="AO19" t="str">
        <f ca="1">IFERROR(__xludf.DUMMYFUNCTION("""COMPUTED_VALUE"""),"#VALUE!")</f>
        <v>#VALUE!</v>
      </c>
      <c r="AQ19" t="str">
        <f ca="1">IFERROR(__xludf.DUMMYFUNCTION("""COMPUTED_VALUE"""),"#VALUE!")</f>
        <v>#VALUE!</v>
      </c>
      <c r="AS19" t="str">
        <f ca="1">IFERROR(__xludf.DUMMYFUNCTION("""COMPUTED_VALUE"""),"#VALUE!")</f>
        <v>#VALUE!</v>
      </c>
      <c r="AU19" t="str">
        <f ca="1">IFERROR(__xludf.DUMMYFUNCTION("""COMPUTED_VALUE"""),"#VALUE!")</f>
        <v>#VALUE!</v>
      </c>
      <c r="AW19" t="str">
        <f ca="1">IFERROR(__xludf.DUMMYFUNCTION("""COMPUTED_VALUE"""),"#VALUE!")</f>
        <v>#VALUE!</v>
      </c>
      <c r="AY19" t="str">
        <f ca="1">IFERROR(__xludf.DUMMYFUNCTION("""COMPUTED_VALUE"""),"#VALUE!")</f>
        <v>#VALUE!</v>
      </c>
      <c r="BA19" t="str">
        <f ca="1">IFERROR(__xludf.DUMMYFUNCTION("""COMPUTED_VALUE"""),"#VALUE!")</f>
        <v>#VALUE!</v>
      </c>
      <c r="BC19" t="str">
        <f ca="1">IFERROR(__xludf.DUMMYFUNCTION("""COMPUTED_VALUE"""),"#VALUE!")</f>
        <v>#VALUE!</v>
      </c>
      <c r="BE19" t="str">
        <f ca="1">IFERROR(__xludf.DUMMYFUNCTION("""COMPUTED_VALUE"""),"#VALUE!")</f>
        <v>#VALUE!</v>
      </c>
      <c r="BG19" t="str">
        <f ca="1">IFERROR(__xludf.DUMMYFUNCTION("""COMPUTED_VALUE"""),"#VALUE!")</f>
        <v>#VALUE!</v>
      </c>
      <c r="BI19" t="str">
        <f ca="1">IFERROR(__xludf.DUMMYFUNCTION("""COMPUTED_VALUE"""),"#VALUE!")</f>
        <v>#VALUE!</v>
      </c>
      <c r="BK19" t="str">
        <f ca="1">IFERROR(__xludf.DUMMYFUNCTION("""COMPUTED_VALUE"""),"#VALUE!")</f>
        <v>#VALUE!</v>
      </c>
      <c r="BM19" t="str">
        <f ca="1">IFERROR(__xludf.DUMMYFUNCTION("""COMPUTED_VALUE"""),"#VALUE!")</f>
        <v>#VALUE!</v>
      </c>
      <c r="BO19" t="str">
        <f ca="1">IFERROR(__xludf.DUMMYFUNCTION("""COMPUTED_VALUE"""),"#VALUE!")</f>
        <v>#VALUE!</v>
      </c>
      <c r="BQ19" t="str">
        <f ca="1">IFERROR(__xludf.DUMMYFUNCTION("""COMPUTED_VALUE"""),"#VALUE!")</f>
        <v>#VALUE!</v>
      </c>
      <c r="BS19" t="str">
        <f ca="1">IFERROR(__xludf.DUMMYFUNCTION("""COMPUTED_VALUE"""),"#VALUE!")</f>
        <v>#VALUE!</v>
      </c>
      <c r="BU19" t="str">
        <f ca="1">IFERROR(__xludf.DUMMYFUNCTION("""COMPUTED_VALUE"""),"#VALUE!")</f>
        <v>#VALUE!</v>
      </c>
      <c r="BW19" t="str">
        <f ca="1">IFERROR(__xludf.DUMMYFUNCTION("""COMPUTED_VALUE"""),"#VALUE!")</f>
        <v>#VALUE!</v>
      </c>
      <c r="BY19" t="str">
        <f ca="1">IFERROR(__xludf.DUMMYFUNCTION("""COMPUTED_VALUE"""),"#VALUE!")</f>
        <v>#VALUE!</v>
      </c>
      <c r="CA19" t="str">
        <f ca="1">IFERROR(__xludf.DUMMYFUNCTION("""COMPUTED_VALUE"""),"#VALUE!")</f>
        <v>#VALUE!</v>
      </c>
      <c r="CC19" t="str">
        <f ca="1">IFERROR(__xludf.DUMMYFUNCTION("""COMPUTED_VALUE"""),"#VALUE!")</f>
        <v>#VALUE!</v>
      </c>
      <c r="CE19" t="str">
        <f ca="1">IFERROR(__xludf.DUMMYFUNCTION("""COMPUTED_VALUE"""),"#VALUE!")</f>
        <v>#VALUE!</v>
      </c>
      <c r="CG19" t="str">
        <f ca="1">IFERROR(__xludf.DUMMYFUNCTION("""COMPUTED_VALUE"""),"#VALUE!")</f>
        <v>#VALUE!</v>
      </c>
      <c r="CI19" t="str">
        <f ca="1">IFERROR(__xludf.DUMMYFUNCTION("""COMPUTED_VALUE"""),"#VALUE!")</f>
        <v>#VALUE!</v>
      </c>
      <c r="CK19" t="str">
        <f ca="1">IFERROR(__xludf.DUMMYFUNCTION("""COMPUTED_VALUE"""),"#VALUE!")</f>
        <v>#VALUE!</v>
      </c>
      <c r="CS19" t="str">
        <f ca="1">IFERROR(__xludf.DUMMYFUNCTION("""COMPUTED_VALUE"""),"#VALUE!")</f>
        <v>#VALUE!</v>
      </c>
      <c r="CU19" t="str">
        <f ca="1">IFERROR(__xludf.DUMMYFUNCTION("""COMPUTED_VALUE"""),"#VALUE!")</f>
        <v>#VALUE!</v>
      </c>
      <c r="CW19" t="str">
        <f ca="1">IFERROR(__xludf.DUMMYFUNCTION("""COMPUTED_VALUE"""),"#VALUE!")</f>
        <v>#VALUE!</v>
      </c>
      <c r="CY19" t="str">
        <f ca="1">IFERROR(__xludf.DUMMYFUNCTION("""COMPUTED_VALUE"""),"#VALUE!")</f>
        <v>#VALUE!</v>
      </c>
      <c r="DC19" t="str">
        <f ca="1">IFERROR(__xludf.DUMMYFUNCTION("""COMPUTED_VALUE"""),"#VALUE!")</f>
        <v>#VALUE!</v>
      </c>
      <c r="DE19" t="str">
        <f ca="1">IFERROR(__xludf.DUMMYFUNCTION("""COMPUTED_VALUE"""),"#VALUE!")</f>
        <v>#VALUE!</v>
      </c>
      <c r="DI19" t="str">
        <f ca="1">IFERROR(__xludf.DUMMYFUNCTION("""COMPUTED_VALUE"""),"#VALUE!")</f>
        <v>#VALUE!</v>
      </c>
      <c r="DJ19" t="str">
        <f ca="1">IFERROR(__xludf.DUMMYFUNCTION("""COMPUTED_VALUE"""),"#VALUE!")</f>
        <v>#VALUE!</v>
      </c>
      <c r="DL19" t="str">
        <f ca="1">IFERROR(__xludf.DUMMYFUNCTION("""COMPUTED_VALUE"""),"Davor Salihović")</f>
        <v>Davor Salihović</v>
      </c>
    </row>
    <row r="20" spans="1:116" ht="15.75" customHeight="1" x14ac:dyDescent="0.25">
      <c r="A20" t="str">
        <f ca="1">IFERROR(__xludf.DUMMYFUNCTION("""COMPUTED_VALUE"""),"P0019")</f>
        <v>P0019</v>
      </c>
      <c r="B20" t="str">
        <f ca="1">IFERROR(__xludf.DUMMYFUNCTION("""COMPUTED_VALUE"""),"Bruna de Valle Iudea")</f>
        <v>Bruna de Valle Iudea</v>
      </c>
      <c r="D20" t="str">
        <f ca="1">IFERROR(__xludf.DUMMYFUNCTION("""COMPUTED_VALUE"""),"#VALUE!")</f>
        <v>#VALUE!</v>
      </c>
      <c r="E20" t="str">
        <f ca="1">IFERROR(__xludf.DUMMYFUNCTION("""COMPUTED_VALUE"""),"Bruna")</f>
        <v>Bruna</v>
      </c>
      <c r="J20" t="str">
        <f ca="1">IFERROR(__xludf.DUMMYFUNCTION("""COMPUTED_VALUE"""),"de")</f>
        <v>de</v>
      </c>
      <c r="K20" t="str">
        <f ca="1">IFERROR(__xludf.DUMMYFUNCTION("""COMPUTED_VALUE"""),"Valle Iudea")</f>
        <v>Valle Iudea</v>
      </c>
      <c r="L20" t="str">
        <f ca="1">IFERROR(__xludf.DUMMYFUNCTION("""COMPUTED_VALUE"""),"de Valle Iudea")</f>
        <v>de Valle Iudea</v>
      </c>
      <c r="S20" t="str">
        <f ca="1">IFERROR(__xludf.DUMMYFUNCTION("""COMPUTED_VALUE"""),"Latin")</f>
        <v>Latin</v>
      </c>
      <c r="T20" t="str">
        <f ca="1">IFERROR(__xludf.DUMMYFUNCTION("""COMPUTED_VALUE"""),"definite")</f>
        <v>definite</v>
      </c>
      <c r="U20" t="str">
        <f ca="1">IFERROR(__xludf.DUMMYFUNCTION("""COMPUTED_VALUE"""),"C2552")</f>
        <v>C2552</v>
      </c>
      <c r="V20" t="str">
        <f ca="1">IFERROR(__xludf.DUMMYFUNCTION("""COMPUTED_VALUE"""),"female")</f>
        <v>female</v>
      </c>
      <c r="Z20" t="str">
        <f ca="1">IFERROR(__xludf.DUMMYFUNCTION("""COMPUTED_VALUE"""),"163")</f>
        <v>163</v>
      </c>
      <c r="AA20" t="str">
        <f ca="1">IFERROR(__xludf.DUMMYFUNCTION("""COMPUTED_VALUE"""),"d")</f>
        <v>d</v>
      </c>
      <c r="AB20" t="str">
        <f ca="1">IFERROR(__xludf.DUMMYFUNCTION("""COMPUTED_VALUE"""),"suspect")</f>
        <v>suspect</v>
      </c>
      <c r="AE20" t="str">
        <f ca="1">IFERROR(__xludf.DUMMYFUNCTION("""COMPUTED_VALUE"""),"#VALUE!")</f>
        <v>#VALUE!</v>
      </c>
      <c r="AF20" t="str">
        <f ca="1">IFERROR(__xludf.DUMMYFUNCTION("""COMPUTED_VALUE"""),"#N/A")</f>
        <v>#N/A</v>
      </c>
      <c r="AG20" t="str">
        <f ca="1">IFERROR(__xludf.DUMMYFUNCTION("""COMPUTED_VALUE"""),"#N/A")</f>
        <v>#N/A</v>
      </c>
      <c r="AI20" t="str">
        <f ca="1">IFERROR(__xludf.DUMMYFUNCTION("""COMPUTED_VALUE"""),"#VALUE!")</f>
        <v>#VALUE!</v>
      </c>
      <c r="AK20" t="str">
        <f ca="1">IFERROR(__xludf.DUMMYFUNCTION("""COMPUTED_VALUE"""),"#VALUE!")</f>
        <v>#VALUE!</v>
      </c>
      <c r="AM20" t="str">
        <f ca="1">IFERROR(__xludf.DUMMYFUNCTION("""COMPUTED_VALUE"""),"#VALUE!")</f>
        <v>#VALUE!</v>
      </c>
      <c r="AO20" t="str">
        <f ca="1">IFERROR(__xludf.DUMMYFUNCTION("""COMPUTED_VALUE"""),"#VALUE!")</f>
        <v>#VALUE!</v>
      </c>
      <c r="AQ20" t="str">
        <f ca="1">IFERROR(__xludf.DUMMYFUNCTION("""COMPUTED_VALUE"""),"#VALUE!")</f>
        <v>#VALUE!</v>
      </c>
      <c r="AS20" t="str">
        <f ca="1">IFERROR(__xludf.DUMMYFUNCTION("""COMPUTED_VALUE"""),"#VALUE!")</f>
        <v>#VALUE!</v>
      </c>
      <c r="AU20" t="str">
        <f ca="1">IFERROR(__xludf.DUMMYFUNCTION("""COMPUTED_VALUE"""),"#VALUE!")</f>
        <v>#VALUE!</v>
      </c>
      <c r="AW20" t="str">
        <f ca="1">IFERROR(__xludf.DUMMYFUNCTION("""COMPUTED_VALUE"""),"#VALUE!")</f>
        <v>#VALUE!</v>
      </c>
      <c r="AY20" t="str">
        <f ca="1">IFERROR(__xludf.DUMMYFUNCTION("""COMPUTED_VALUE"""),"#VALUE!")</f>
        <v>#VALUE!</v>
      </c>
      <c r="BA20" t="str">
        <f ca="1">IFERROR(__xludf.DUMMYFUNCTION("""COMPUTED_VALUE"""),"#VALUE!")</f>
        <v>#VALUE!</v>
      </c>
      <c r="BC20" t="str">
        <f ca="1">IFERROR(__xludf.DUMMYFUNCTION("""COMPUTED_VALUE"""),"#VALUE!")</f>
        <v>#VALUE!</v>
      </c>
      <c r="BE20" t="str">
        <f ca="1">IFERROR(__xludf.DUMMYFUNCTION("""COMPUTED_VALUE"""),"#VALUE!")</f>
        <v>#VALUE!</v>
      </c>
      <c r="BG20" t="str">
        <f ca="1">IFERROR(__xludf.DUMMYFUNCTION("""COMPUTED_VALUE"""),"#VALUE!")</f>
        <v>#VALUE!</v>
      </c>
      <c r="BI20" t="str">
        <f ca="1">IFERROR(__xludf.DUMMYFUNCTION("""COMPUTED_VALUE"""),"#VALUE!")</f>
        <v>#VALUE!</v>
      </c>
      <c r="BK20" t="str">
        <f ca="1">IFERROR(__xludf.DUMMYFUNCTION("""COMPUTED_VALUE"""),"#VALUE!")</f>
        <v>#VALUE!</v>
      </c>
      <c r="BM20" t="str">
        <f ca="1">IFERROR(__xludf.DUMMYFUNCTION("""COMPUTED_VALUE"""),"#VALUE!")</f>
        <v>#VALUE!</v>
      </c>
      <c r="BO20" t="str">
        <f ca="1">IFERROR(__xludf.DUMMYFUNCTION("""COMPUTED_VALUE"""),"#VALUE!")</f>
        <v>#VALUE!</v>
      </c>
      <c r="BQ20" t="str">
        <f ca="1">IFERROR(__xludf.DUMMYFUNCTION("""COMPUTED_VALUE"""),"#VALUE!")</f>
        <v>#VALUE!</v>
      </c>
      <c r="BS20" t="str">
        <f ca="1">IFERROR(__xludf.DUMMYFUNCTION("""COMPUTED_VALUE"""),"#VALUE!")</f>
        <v>#VALUE!</v>
      </c>
      <c r="BU20" t="str">
        <f ca="1">IFERROR(__xludf.DUMMYFUNCTION("""COMPUTED_VALUE"""),"#VALUE!")</f>
        <v>#VALUE!</v>
      </c>
      <c r="BW20" t="str">
        <f ca="1">IFERROR(__xludf.DUMMYFUNCTION("""COMPUTED_VALUE"""),"#VALUE!")</f>
        <v>#VALUE!</v>
      </c>
      <c r="BY20" t="str">
        <f ca="1">IFERROR(__xludf.DUMMYFUNCTION("""COMPUTED_VALUE"""),"#VALUE!")</f>
        <v>#VALUE!</v>
      </c>
      <c r="CA20" t="str">
        <f ca="1">IFERROR(__xludf.DUMMYFUNCTION("""COMPUTED_VALUE"""),"#VALUE!")</f>
        <v>#VALUE!</v>
      </c>
      <c r="CC20" t="str">
        <f ca="1">IFERROR(__xludf.DUMMYFUNCTION("""COMPUTED_VALUE"""),"#VALUE!")</f>
        <v>#VALUE!</v>
      </c>
      <c r="CD20" t="str">
        <f ca="1">IFERROR(__xludf.DUMMYFUNCTION("""COMPUTED_VALUE"""),"C3598")</f>
        <v>C3598</v>
      </c>
      <c r="CE20" t="str">
        <f ca="1">IFERROR(__xludf.DUMMYFUNCTION("""COMPUTED_VALUE"""),"location of congregation")</f>
        <v>location of congregation</v>
      </c>
      <c r="CF20" t="str">
        <f ca="1">IFERROR(__xludf.DUMMYFUNCTION("""COMPUTED_VALUE"""),"L0009")</f>
        <v>L0009</v>
      </c>
      <c r="CG20" t="str">
        <f ca="1">IFERROR(__xludf.DUMMYFUNCTION("""COMPUTED_VALUE"""),"domus Michaelis de Catelono")</f>
        <v>domus Michaelis de Catelono</v>
      </c>
      <c r="CI20" t="str">
        <f ca="1">IFERROR(__xludf.DUMMYFUNCTION("""COMPUTED_VALUE"""),"#VALUE!")</f>
        <v>#VALUE!</v>
      </c>
      <c r="CK20" t="str">
        <f ca="1">IFERROR(__xludf.DUMMYFUNCTION("""COMPUTED_VALUE"""),"#VALUE!")</f>
        <v>#VALUE!</v>
      </c>
      <c r="CS20" t="str">
        <f ca="1">IFERROR(__xludf.DUMMYFUNCTION("""COMPUTED_VALUE"""),"#VALUE!")</f>
        <v>#VALUE!</v>
      </c>
      <c r="CT20" t="str">
        <f ca="1">IFERROR(__xludf.DUMMYFUNCTION("""COMPUTED_VALUE"""),"L0005")</f>
        <v>L0005</v>
      </c>
      <c r="CU20" t="str">
        <f ca="1">IFERROR(__xludf.DUMMYFUNCTION("""COMPUTED_VALUE"""),"Valgioie")</f>
        <v>Valgioie</v>
      </c>
      <c r="CV20" t="str">
        <f ca="1">IFERROR(__xludf.DUMMYFUNCTION("""COMPUTED_VALUE"""),"L0007")</f>
        <v>L0007</v>
      </c>
      <c r="CW20" t="str">
        <f ca="1">IFERROR(__xludf.DUMMYFUNCTION("""COMPUTED_VALUE"""),"Paschero")</f>
        <v>Paschero</v>
      </c>
      <c r="CY20" t="str">
        <f ca="1">IFERROR(__xludf.DUMMYFUNCTION("""COMPUTED_VALUE"""),"#VALUE!")</f>
        <v>#VALUE!</v>
      </c>
      <c r="DC20" t="str">
        <f ca="1">IFERROR(__xludf.DUMMYFUNCTION("""COMPUTED_VALUE"""),"#VALUE!")</f>
        <v>#VALUE!</v>
      </c>
      <c r="DE20" t="str">
        <f ca="1">IFERROR(__xludf.DUMMYFUNCTION("""COMPUTED_VALUE"""),"#VALUE!")</f>
        <v>#VALUE!</v>
      </c>
      <c r="DH20" t="str">
        <f ca="1">IFERROR(__xludf.DUMMYFUNCTION("""COMPUTED_VALUE"""),"L0009")</f>
        <v>L0009</v>
      </c>
      <c r="DI20" t="str">
        <f ca="1">IFERROR(__xludf.DUMMYFUNCTION("""COMPUTED_VALUE"""),"domus Michaelis de Catelono")</f>
        <v>domus Michaelis de Catelono</v>
      </c>
      <c r="DJ20" t="str">
        <f ca="1">IFERROR(__xludf.DUMMYFUNCTION("""COMPUTED_VALUE"""),"domus")</f>
        <v>domus</v>
      </c>
      <c r="DL20" t="str">
        <f ca="1">IFERROR(__xludf.DUMMYFUNCTION("""COMPUTED_VALUE"""),"Davor Salihović")</f>
        <v>Davor Salihović</v>
      </c>
    </row>
    <row r="21" spans="1:116" ht="15.75" customHeight="1" x14ac:dyDescent="0.25">
      <c r="A21" t="str">
        <f ca="1">IFERROR(__xludf.DUMMYFUNCTION("""COMPUTED_VALUE"""),"P0020")</f>
        <v>P0020</v>
      </c>
      <c r="B21" t="str">
        <f ca="1">IFERROR(__xludf.DUMMYFUNCTION("""COMPUTED_VALUE"""),"Marguerita, uxor Iohannis Rupphini")</f>
        <v>Marguerita, uxor Iohannis Rupphini</v>
      </c>
      <c r="D21" t="str">
        <f ca="1">IFERROR(__xludf.DUMMYFUNCTION("""COMPUTED_VALUE"""),"#VALUE!")</f>
        <v>#VALUE!</v>
      </c>
      <c r="E21" t="str">
        <f ca="1">IFERROR(__xludf.DUMMYFUNCTION("""COMPUTED_VALUE"""),"Marguerita")</f>
        <v>Marguerita</v>
      </c>
      <c r="Q21" t="str">
        <f ca="1">IFERROR(__xludf.DUMMYFUNCTION("""COMPUTED_VALUE"""),"soror Martini de Perreta, uxor Iohannis Rupphini")</f>
        <v>soror Martini de Perreta, uxor Iohannis Rupphini</v>
      </c>
      <c r="S21" t="str">
        <f ca="1">IFERROR(__xludf.DUMMYFUNCTION("""COMPUTED_VALUE"""),"Latin")</f>
        <v>Latin</v>
      </c>
      <c r="T21" t="str">
        <f ca="1">IFERROR(__xludf.DUMMYFUNCTION("""COMPUTED_VALUE"""),"definite")</f>
        <v>definite</v>
      </c>
      <c r="U21" t="str">
        <f ca="1">IFERROR(__xludf.DUMMYFUNCTION("""COMPUTED_VALUE"""),"C2552")</f>
        <v>C2552</v>
      </c>
      <c r="V21" t="str">
        <f ca="1">IFERROR(__xludf.DUMMYFUNCTION("""COMPUTED_VALUE"""),"female")</f>
        <v>female</v>
      </c>
      <c r="Z21" t="str">
        <f ca="1">IFERROR(__xludf.DUMMYFUNCTION("""COMPUTED_VALUE"""),"163")</f>
        <v>163</v>
      </c>
      <c r="AA21" t="str">
        <f ca="1">IFERROR(__xludf.DUMMYFUNCTION("""COMPUTED_VALUE"""),"d")</f>
        <v>d</v>
      </c>
      <c r="AB21" t="str">
        <f ca="1">IFERROR(__xludf.DUMMYFUNCTION("""COMPUTED_VALUE"""),"suspect")</f>
        <v>suspect</v>
      </c>
      <c r="AE21" t="str">
        <f ca="1">IFERROR(__xludf.DUMMYFUNCTION("""COMPUTED_VALUE"""),"#VALUE!")</f>
        <v>#VALUE!</v>
      </c>
      <c r="AF21" t="str">
        <f ca="1">IFERROR(__xludf.DUMMYFUNCTION("""COMPUTED_VALUE"""),"#N/A")</f>
        <v>#N/A</v>
      </c>
      <c r="AG21" t="str">
        <f ca="1">IFERROR(__xludf.DUMMYFUNCTION("""COMPUTED_VALUE"""),"#N/A")</f>
        <v>#N/A</v>
      </c>
      <c r="AH21" t="str">
        <f ca="1">IFERROR(__xludf.DUMMYFUNCTION("""COMPUTED_VALUE"""),"C2335")</f>
        <v>C2335</v>
      </c>
      <c r="AI21" t="str">
        <f ca="1">IFERROR(__xludf.DUMMYFUNCTION("""COMPUTED_VALUE"""),"daughter")</f>
        <v>daughter</v>
      </c>
      <c r="AJ21" t="str">
        <f ca="1">IFERROR(__xludf.DUMMYFUNCTION("""COMPUTED_VALUE"""),"P0054")</f>
        <v>P0054</v>
      </c>
      <c r="AK21" t="str">
        <f ca="1">IFERROR(__xludf.DUMMYFUNCTION("""COMPUTED_VALUE"""),"filia Marguerite Perrete")</f>
        <v>filia Marguerite Perrete</v>
      </c>
      <c r="AM21" t="str">
        <f ca="1">IFERROR(__xludf.DUMMYFUNCTION("""COMPUTED_VALUE"""),"#VALUE!")</f>
        <v>#VALUE!</v>
      </c>
      <c r="AO21" t="str">
        <f ca="1">IFERROR(__xludf.DUMMYFUNCTION("""COMPUTED_VALUE"""),"#VALUE!")</f>
        <v>#VALUE!</v>
      </c>
      <c r="AQ21" t="str">
        <f ca="1">IFERROR(__xludf.DUMMYFUNCTION("""COMPUTED_VALUE"""),"#VALUE!")</f>
        <v>#VALUE!</v>
      </c>
      <c r="AS21" t="str">
        <f ca="1">IFERROR(__xludf.DUMMYFUNCTION("""COMPUTED_VALUE"""),"#VALUE!")</f>
        <v>#VALUE!</v>
      </c>
      <c r="AU21" t="str">
        <f ca="1">IFERROR(__xludf.DUMMYFUNCTION("""COMPUTED_VALUE"""),"#VALUE!")</f>
        <v>#VALUE!</v>
      </c>
      <c r="AW21" t="str">
        <f ca="1">IFERROR(__xludf.DUMMYFUNCTION("""COMPUTED_VALUE"""),"#VALUE!")</f>
        <v>#VALUE!</v>
      </c>
      <c r="AY21" t="str">
        <f ca="1">IFERROR(__xludf.DUMMYFUNCTION("""COMPUTED_VALUE"""),"#VALUE!")</f>
        <v>#VALUE!</v>
      </c>
      <c r="BA21" t="str">
        <f ca="1">IFERROR(__xludf.DUMMYFUNCTION("""COMPUTED_VALUE"""),"#VALUE!")</f>
        <v>#VALUE!</v>
      </c>
      <c r="BC21" t="str">
        <f ca="1">IFERROR(__xludf.DUMMYFUNCTION("""COMPUTED_VALUE"""),"#VALUE!")</f>
        <v>#VALUE!</v>
      </c>
      <c r="BE21" t="str">
        <f ca="1">IFERROR(__xludf.DUMMYFUNCTION("""COMPUTED_VALUE"""),"#VALUE!")</f>
        <v>#VALUE!</v>
      </c>
      <c r="BG21" t="str">
        <f ca="1">IFERROR(__xludf.DUMMYFUNCTION("""COMPUTED_VALUE"""),"#VALUE!")</f>
        <v>#VALUE!</v>
      </c>
      <c r="BI21" t="str">
        <f ca="1">IFERROR(__xludf.DUMMYFUNCTION("""COMPUTED_VALUE"""),"#VALUE!")</f>
        <v>#VALUE!</v>
      </c>
      <c r="BK21" t="str">
        <f ca="1">IFERROR(__xludf.DUMMYFUNCTION("""COMPUTED_VALUE"""),"#VALUE!")</f>
        <v>#VALUE!</v>
      </c>
      <c r="BM21" t="str">
        <f ca="1">IFERROR(__xludf.DUMMYFUNCTION("""COMPUTED_VALUE"""),"#VALUE!")</f>
        <v>#VALUE!</v>
      </c>
      <c r="BO21" t="str">
        <f ca="1">IFERROR(__xludf.DUMMYFUNCTION("""COMPUTED_VALUE"""),"#VALUE!")</f>
        <v>#VALUE!</v>
      </c>
      <c r="BQ21" t="str">
        <f ca="1">IFERROR(__xludf.DUMMYFUNCTION("""COMPUTED_VALUE"""),"#VALUE!")</f>
        <v>#VALUE!</v>
      </c>
      <c r="BS21" t="str">
        <f ca="1">IFERROR(__xludf.DUMMYFUNCTION("""COMPUTED_VALUE"""),"#VALUE!")</f>
        <v>#VALUE!</v>
      </c>
      <c r="BU21" t="str">
        <f ca="1">IFERROR(__xludf.DUMMYFUNCTION("""COMPUTED_VALUE"""),"#VALUE!")</f>
        <v>#VALUE!</v>
      </c>
      <c r="BW21" t="str">
        <f ca="1">IFERROR(__xludf.DUMMYFUNCTION("""COMPUTED_VALUE"""),"#VALUE!")</f>
        <v>#VALUE!</v>
      </c>
      <c r="BY21" t="str">
        <f ca="1">IFERROR(__xludf.DUMMYFUNCTION("""COMPUTED_VALUE"""),"#VALUE!")</f>
        <v>#VALUE!</v>
      </c>
      <c r="CA21" t="str">
        <f ca="1">IFERROR(__xludf.DUMMYFUNCTION("""COMPUTED_VALUE"""),"#VALUE!")</f>
        <v>#VALUE!</v>
      </c>
      <c r="CC21" t="str">
        <f ca="1">IFERROR(__xludf.DUMMYFUNCTION("""COMPUTED_VALUE"""),"#VALUE!")</f>
        <v>#VALUE!</v>
      </c>
      <c r="CD21" t="str">
        <f ca="1">IFERROR(__xludf.DUMMYFUNCTION("""COMPUTED_VALUE"""),"C3598")</f>
        <v>C3598</v>
      </c>
      <c r="CE21" t="str">
        <f ca="1">IFERROR(__xludf.DUMMYFUNCTION("""COMPUTED_VALUE"""),"location of congregation")</f>
        <v>location of congregation</v>
      </c>
      <c r="CF21" t="str">
        <f ca="1">IFERROR(__xludf.DUMMYFUNCTION("""COMPUTED_VALUE"""),"L0009")</f>
        <v>L0009</v>
      </c>
      <c r="CG21" t="str">
        <f ca="1">IFERROR(__xludf.DUMMYFUNCTION("""COMPUTED_VALUE"""),"domus Michaelis de Catelono")</f>
        <v>domus Michaelis de Catelono</v>
      </c>
      <c r="CI21" t="str">
        <f ca="1">IFERROR(__xludf.DUMMYFUNCTION("""COMPUTED_VALUE"""),"#VALUE!")</f>
        <v>#VALUE!</v>
      </c>
      <c r="CK21" t="str">
        <f ca="1">IFERROR(__xludf.DUMMYFUNCTION("""COMPUTED_VALUE"""),"#VALUE!")</f>
        <v>#VALUE!</v>
      </c>
      <c r="CS21" t="str">
        <f ca="1">IFERROR(__xludf.DUMMYFUNCTION("""COMPUTED_VALUE"""),"#VALUE!")</f>
        <v>#VALUE!</v>
      </c>
      <c r="CU21" t="str">
        <f ca="1">IFERROR(__xludf.DUMMYFUNCTION("""COMPUTED_VALUE"""),"#VALUE!")</f>
        <v>#VALUE!</v>
      </c>
      <c r="CV21" t="str">
        <f ca="1">IFERROR(__xludf.DUMMYFUNCTION("""COMPUTED_VALUE"""),"L0001")</f>
        <v>L0001</v>
      </c>
      <c r="CW21" t="str">
        <f ca="1">IFERROR(__xludf.DUMMYFUNCTION("""COMPUTED_VALUE"""),"Giaveno")</f>
        <v>Giaveno</v>
      </c>
      <c r="CY21" t="str">
        <f ca="1">IFERROR(__xludf.DUMMYFUNCTION("""COMPUTED_VALUE"""),"#VALUE!")</f>
        <v>#VALUE!</v>
      </c>
      <c r="DC21" t="str">
        <f ca="1">IFERROR(__xludf.DUMMYFUNCTION("""COMPUTED_VALUE"""),"#VALUE!")</f>
        <v>#VALUE!</v>
      </c>
      <c r="DE21" t="str">
        <f ca="1">IFERROR(__xludf.DUMMYFUNCTION("""COMPUTED_VALUE"""),"#VALUE!")</f>
        <v>#VALUE!</v>
      </c>
      <c r="DH21" t="str">
        <f ca="1">IFERROR(__xludf.DUMMYFUNCTION("""COMPUTED_VALUE"""),"L0009")</f>
        <v>L0009</v>
      </c>
      <c r="DI21" t="str">
        <f ca="1">IFERROR(__xludf.DUMMYFUNCTION("""COMPUTED_VALUE"""),"domus Michaelis de Catelono")</f>
        <v>domus Michaelis de Catelono</v>
      </c>
      <c r="DJ21" t="str">
        <f ca="1">IFERROR(__xludf.DUMMYFUNCTION("""COMPUTED_VALUE"""),"domus")</f>
        <v>domus</v>
      </c>
      <c r="DL21" t="str">
        <f ca="1">IFERROR(__xludf.DUMMYFUNCTION("""COMPUTED_VALUE"""),"Davor Salihović")</f>
        <v>Davor Salihović</v>
      </c>
    </row>
    <row r="22" spans="1:116" ht="15.75" customHeight="1" x14ac:dyDescent="0.25">
      <c r="A22" t="str">
        <f ca="1">IFERROR(__xludf.DUMMYFUNCTION("""COMPUTED_VALUE"""),"P0021")</f>
        <v>P0021</v>
      </c>
      <c r="B22" t="str">
        <f ca="1">IFERROR(__xludf.DUMMYFUNCTION("""COMPUTED_VALUE"""),"Martinus de Perreta")</f>
        <v>Martinus de Perreta</v>
      </c>
      <c r="D22" t="str">
        <f ca="1">IFERROR(__xludf.DUMMYFUNCTION("""COMPUTED_VALUE"""),"#VALUE!")</f>
        <v>#VALUE!</v>
      </c>
      <c r="E22" t="str">
        <f ca="1">IFERROR(__xludf.DUMMYFUNCTION("""COMPUTED_VALUE"""),"Martinus")</f>
        <v>Martinus</v>
      </c>
      <c r="J22" t="str">
        <f ca="1">IFERROR(__xludf.DUMMYFUNCTION("""COMPUTED_VALUE"""),"de")</f>
        <v>de</v>
      </c>
      <c r="K22" t="str">
        <f ca="1">IFERROR(__xludf.DUMMYFUNCTION("""COMPUTED_VALUE"""),"Perreta")</f>
        <v>Perreta</v>
      </c>
      <c r="L22" t="str">
        <f ca="1">IFERROR(__xludf.DUMMYFUNCTION("""COMPUTED_VALUE"""),"de Perreta")</f>
        <v>de Perreta</v>
      </c>
      <c r="S22" t="str">
        <f ca="1">IFERROR(__xludf.DUMMYFUNCTION("""COMPUTED_VALUE"""),"Latin")</f>
        <v>Latin</v>
      </c>
      <c r="T22" t="str">
        <f ca="1">IFERROR(__xludf.DUMMYFUNCTION("""COMPUTED_VALUE"""),"definite")</f>
        <v>definite</v>
      </c>
      <c r="U22" t="str">
        <f ca="1">IFERROR(__xludf.DUMMYFUNCTION("""COMPUTED_VALUE"""),"C2553")</f>
        <v>C2553</v>
      </c>
      <c r="V22" t="str">
        <f ca="1">IFERROR(__xludf.DUMMYFUNCTION("""COMPUTED_VALUE"""),"male")</f>
        <v>male</v>
      </c>
      <c r="Z22" t="str">
        <f ca="1">IFERROR(__xludf.DUMMYFUNCTION("""COMPUTED_VALUE"""),"163")</f>
        <v>163</v>
      </c>
      <c r="AA22" t="str">
        <f ca="1">IFERROR(__xludf.DUMMYFUNCTION("""COMPUTED_VALUE"""),"d")</f>
        <v>d</v>
      </c>
      <c r="AB22" t="str">
        <f ca="1">IFERROR(__xludf.DUMMYFUNCTION("""COMPUTED_VALUE"""),"NA")</f>
        <v>NA</v>
      </c>
      <c r="AE22" t="str">
        <f ca="1">IFERROR(__xludf.DUMMYFUNCTION("""COMPUTED_VALUE"""),"#VALUE!")</f>
        <v>#VALUE!</v>
      </c>
      <c r="AF22" t="str">
        <f ca="1">IFERROR(__xludf.DUMMYFUNCTION("""COMPUTED_VALUE"""),"#N/A")</f>
        <v>#N/A</v>
      </c>
      <c r="AG22" t="str">
        <f ca="1">IFERROR(__xludf.DUMMYFUNCTION("""COMPUTED_VALUE"""),"#N/A")</f>
        <v>#N/A</v>
      </c>
      <c r="AH22" t="str">
        <f ca="1">IFERROR(__xludf.DUMMYFUNCTION("""COMPUTED_VALUE"""),"C2347")</f>
        <v>C2347</v>
      </c>
      <c r="AI22" t="str">
        <f ca="1">IFERROR(__xludf.DUMMYFUNCTION("""COMPUTED_VALUE"""),"sister")</f>
        <v>sister</v>
      </c>
      <c r="AJ22" t="str">
        <f ca="1">IFERROR(__xludf.DUMMYFUNCTION("""COMPUTED_VALUE"""),"P0020")</f>
        <v>P0020</v>
      </c>
      <c r="AK22" t="str">
        <f ca="1">IFERROR(__xludf.DUMMYFUNCTION("""COMPUTED_VALUE"""),"Marguerita, uxor Iohannis Rupphini")</f>
        <v>Marguerita, uxor Iohannis Rupphini</v>
      </c>
      <c r="AM22" t="str">
        <f ca="1">IFERROR(__xludf.DUMMYFUNCTION("""COMPUTED_VALUE"""),"#VALUE!")</f>
        <v>#VALUE!</v>
      </c>
      <c r="AO22" t="str">
        <f ca="1">IFERROR(__xludf.DUMMYFUNCTION("""COMPUTED_VALUE"""),"#VALUE!")</f>
        <v>#VALUE!</v>
      </c>
      <c r="AQ22" t="str">
        <f ca="1">IFERROR(__xludf.DUMMYFUNCTION("""COMPUTED_VALUE"""),"#VALUE!")</f>
        <v>#VALUE!</v>
      </c>
      <c r="AS22" t="str">
        <f ca="1">IFERROR(__xludf.DUMMYFUNCTION("""COMPUTED_VALUE"""),"#VALUE!")</f>
        <v>#VALUE!</v>
      </c>
      <c r="AU22" t="str">
        <f ca="1">IFERROR(__xludf.DUMMYFUNCTION("""COMPUTED_VALUE"""),"#VALUE!")</f>
        <v>#VALUE!</v>
      </c>
      <c r="AW22" t="str">
        <f ca="1">IFERROR(__xludf.DUMMYFUNCTION("""COMPUTED_VALUE"""),"#VALUE!")</f>
        <v>#VALUE!</v>
      </c>
      <c r="AY22" t="str">
        <f ca="1">IFERROR(__xludf.DUMMYFUNCTION("""COMPUTED_VALUE"""),"#VALUE!")</f>
        <v>#VALUE!</v>
      </c>
      <c r="BA22" t="str">
        <f ca="1">IFERROR(__xludf.DUMMYFUNCTION("""COMPUTED_VALUE"""),"#VALUE!")</f>
        <v>#VALUE!</v>
      </c>
      <c r="BC22" t="str">
        <f ca="1">IFERROR(__xludf.DUMMYFUNCTION("""COMPUTED_VALUE"""),"#VALUE!")</f>
        <v>#VALUE!</v>
      </c>
      <c r="BE22" t="str">
        <f ca="1">IFERROR(__xludf.DUMMYFUNCTION("""COMPUTED_VALUE"""),"#VALUE!")</f>
        <v>#VALUE!</v>
      </c>
      <c r="BG22" t="str">
        <f ca="1">IFERROR(__xludf.DUMMYFUNCTION("""COMPUTED_VALUE"""),"#VALUE!")</f>
        <v>#VALUE!</v>
      </c>
      <c r="BI22" t="str">
        <f ca="1">IFERROR(__xludf.DUMMYFUNCTION("""COMPUTED_VALUE"""),"#VALUE!")</f>
        <v>#VALUE!</v>
      </c>
      <c r="BK22" t="str">
        <f ca="1">IFERROR(__xludf.DUMMYFUNCTION("""COMPUTED_VALUE"""),"#VALUE!")</f>
        <v>#VALUE!</v>
      </c>
      <c r="BM22" t="str">
        <f ca="1">IFERROR(__xludf.DUMMYFUNCTION("""COMPUTED_VALUE"""),"#VALUE!")</f>
        <v>#VALUE!</v>
      </c>
      <c r="BO22" t="str">
        <f ca="1">IFERROR(__xludf.DUMMYFUNCTION("""COMPUTED_VALUE"""),"#VALUE!")</f>
        <v>#VALUE!</v>
      </c>
      <c r="BQ22" t="str">
        <f ca="1">IFERROR(__xludf.DUMMYFUNCTION("""COMPUTED_VALUE"""),"#VALUE!")</f>
        <v>#VALUE!</v>
      </c>
      <c r="BS22" t="str">
        <f ca="1">IFERROR(__xludf.DUMMYFUNCTION("""COMPUTED_VALUE"""),"#VALUE!")</f>
        <v>#VALUE!</v>
      </c>
      <c r="BU22" t="str">
        <f ca="1">IFERROR(__xludf.DUMMYFUNCTION("""COMPUTED_VALUE"""),"#VALUE!")</f>
        <v>#VALUE!</v>
      </c>
      <c r="BW22" t="str">
        <f ca="1">IFERROR(__xludf.DUMMYFUNCTION("""COMPUTED_VALUE"""),"#VALUE!")</f>
        <v>#VALUE!</v>
      </c>
      <c r="BY22" t="str">
        <f ca="1">IFERROR(__xludf.DUMMYFUNCTION("""COMPUTED_VALUE"""),"#VALUE!")</f>
        <v>#VALUE!</v>
      </c>
      <c r="CA22" t="str">
        <f ca="1">IFERROR(__xludf.DUMMYFUNCTION("""COMPUTED_VALUE"""),"#VALUE!")</f>
        <v>#VALUE!</v>
      </c>
      <c r="CC22" t="str">
        <f ca="1">IFERROR(__xludf.DUMMYFUNCTION("""COMPUTED_VALUE"""),"#VALUE!")</f>
        <v>#VALUE!</v>
      </c>
      <c r="CE22" t="str">
        <f ca="1">IFERROR(__xludf.DUMMYFUNCTION("""COMPUTED_VALUE"""),"#VALUE!")</f>
        <v>#VALUE!</v>
      </c>
      <c r="CG22" t="str">
        <f ca="1">IFERROR(__xludf.DUMMYFUNCTION("""COMPUTED_VALUE"""),"#VALUE!")</f>
        <v>#VALUE!</v>
      </c>
      <c r="CI22" t="str">
        <f ca="1">IFERROR(__xludf.DUMMYFUNCTION("""COMPUTED_VALUE"""),"#VALUE!")</f>
        <v>#VALUE!</v>
      </c>
      <c r="CK22" t="str">
        <f ca="1">IFERROR(__xludf.DUMMYFUNCTION("""COMPUTED_VALUE"""),"#VALUE!")</f>
        <v>#VALUE!</v>
      </c>
      <c r="CS22" t="str">
        <f ca="1">IFERROR(__xludf.DUMMYFUNCTION("""COMPUTED_VALUE"""),"#VALUE!")</f>
        <v>#VALUE!</v>
      </c>
      <c r="CU22" t="str">
        <f ca="1">IFERROR(__xludf.DUMMYFUNCTION("""COMPUTED_VALUE"""),"#VALUE!")</f>
        <v>#VALUE!</v>
      </c>
      <c r="CV22" t="str">
        <f ca="1">IFERROR(__xludf.DUMMYFUNCTION("""COMPUTED_VALUE"""),"L0001")</f>
        <v>L0001</v>
      </c>
      <c r="CW22" t="str">
        <f ca="1">IFERROR(__xludf.DUMMYFUNCTION("""COMPUTED_VALUE"""),"Giaveno")</f>
        <v>Giaveno</v>
      </c>
      <c r="CY22" t="str">
        <f ca="1">IFERROR(__xludf.DUMMYFUNCTION("""COMPUTED_VALUE"""),"#VALUE!")</f>
        <v>#VALUE!</v>
      </c>
      <c r="DC22" t="str">
        <f ca="1">IFERROR(__xludf.DUMMYFUNCTION("""COMPUTED_VALUE"""),"#VALUE!")</f>
        <v>#VALUE!</v>
      </c>
      <c r="DE22" t="str">
        <f ca="1">IFERROR(__xludf.DUMMYFUNCTION("""COMPUTED_VALUE"""),"#VALUE!")</f>
        <v>#VALUE!</v>
      </c>
      <c r="DI22" t="str">
        <f ca="1">IFERROR(__xludf.DUMMYFUNCTION("""COMPUTED_VALUE"""),"#VALUE!")</f>
        <v>#VALUE!</v>
      </c>
      <c r="DJ22" t="str">
        <f ca="1">IFERROR(__xludf.DUMMYFUNCTION("""COMPUTED_VALUE"""),"#VALUE!")</f>
        <v>#VALUE!</v>
      </c>
      <c r="DL22" t="str">
        <f ca="1">IFERROR(__xludf.DUMMYFUNCTION("""COMPUTED_VALUE"""),"Davor Salihović")</f>
        <v>Davor Salihović</v>
      </c>
    </row>
    <row r="23" spans="1:116" ht="15.75" customHeight="1" x14ac:dyDescent="0.25">
      <c r="A23" t="str">
        <f ca="1">IFERROR(__xludf.DUMMYFUNCTION("""COMPUTED_VALUE"""),"P0022")</f>
        <v>P0022</v>
      </c>
      <c r="B23" t="str">
        <f ca="1">IFERROR(__xludf.DUMMYFUNCTION("""COMPUTED_VALUE"""),"Iohannes Rupphini")</f>
        <v>Iohannes Rupphini</v>
      </c>
      <c r="D23" t="str">
        <f ca="1">IFERROR(__xludf.DUMMYFUNCTION("""COMPUTED_VALUE"""),"#VALUE!")</f>
        <v>#VALUE!</v>
      </c>
      <c r="E23" t="str">
        <f ca="1">IFERROR(__xludf.DUMMYFUNCTION("""COMPUTED_VALUE"""),"Iohannes")</f>
        <v>Iohannes</v>
      </c>
      <c r="K23" t="str">
        <f ca="1">IFERROR(__xludf.DUMMYFUNCTION("""COMPUTED_VALUE"""),"Rupphini")</f>
        <v>Rupphini</v>
      </c>
      <c r="L23" t="str">
        <f ca="1">IFERROR(__xludf.DUMMYFUNCTION("""COMPUTED_VALUE"""),"Rupphini")</f>
        <v>Rupphini</v>
      </c>
      <c r="S23" t="str">
        <f ca="1">IFERROR(__xludf.DUMMYFUNCTION("""COMPUTED_VALUE"""),"Latin")</f>
        <v>Latin</v>
      </c>
      <c r="T23" t="str">
        <f ca="1">IFERROR(__xludf.DUMMYFUNCTION("""COMPUTED_VALUE"""),"definite")</f>
        <v>definite</v>
      </c>
      <c r="U23" t="str">
        <f ca="1">IFERROR(__xludf.DUMMYFUNCTION("""COMPUTED_VALUE"""),"C2553")</f>
        <v>C2553</v>
      </c>
      <c r="V23" t="str">
        <f ca="1">IFERROR(__xludf.DUMMYFUNCTION("""COMPUTED_VALUE"""),"male")</f>
        <v>male</v>
      </c>
      <c r="Z23" t="str">
        <f ca="1">IFERROR(__xludf.DUMMYFUNCTION("""COMPUTED_VALUE"""),"163")</f>
        <v>163</v>
      </c>
      <c r="AA23" t="str">
        <f ca="1">IFERROR(__xludf.DUMMYFUNCTION("""COMPUTED_VALUE"""),"d")</f>
        <v>d</v>
      </c>
      <c r="AB23" t="str">
        <f ca="1">IFERROR(__xludf.DUMMYFUNCTION("""COMPUTED_VALUE"""),"NA")</f>
        <v>NA</v>
      </c>
      <c r="AE23" t="str">
        <f ca="1">IFERROR(__xludf.DUMMYFUNCTION("""COMPUTED_VALUE"""),"#VALUE!")</f>
        <v>#VALUE!</v>
      </c>
      <c r="AF23" t="str">
        <f ca="1">IFERROR(__xludf.DUMMYFUNCTION("""COMPUTED_VALUE"""),"#N/A")</f>
        <v>#N/A</v>
      </c>
      <c r="AG23" t="str">
        <f ca="1">IFERROR(__xludf.DUMMYFUNCTION("""COMPUTED_VALUE"""),"#N/A")</f>
        <v>#N/A</v>
      </c>
      <c r="AH23" t="str">
        <f ca="1">IFERROR(__xludf.DUMMYFUNCTION("""COMPUTED_VALUE"""),"C2348")</f>
        <v>C2348</v>
      </c>
      <c r="AI23" t="str">
        <f ca="1">IFERROR(__xludf.DUMMYFUNCTION("""COMPUTED_VALUE"""),"wife")</f>
        <v>wife</v>
      </c>
      <c r="AJ23" t="str">
        <f ca="1">IFERROR(__xludf.DUMMYFUNCTION("""COMPUTED_VALUE"""),"P0020")</f>
        <v>P0020</v>
      </c>
      <c r="AK23" t="str">
        <f ca="1">IFERROR(__xludf.DUMMYFUNCTION("""COMPUTED_VALUE"""),"Marguerita, uxor Iohannis Rupphini")</f>
        <v>Marguerita, uxor Iohannis Rupphini</v>
      </c>
      <c r="AM23" t="str">
        <f ca="1">IFERROR(__xludf.DUMMYFUNCTION("""COMPUTED_VALUE"""),"#VALUE!")</f>
        <v>#VALUE!</v>
      </c>
      <c r="AO23" t="str">
        <f ca="1">IFERROR(__xludf.DUMMYFUNCTION("""COMPUTED_VALUE"""),"#VALUE!")</f>
        <v>#VALUE!</v>
      </c>
      <c r="AQ23" t="str">
        <f ca="1">IFERROR(__xludf.DUMMYFUNCTION("""COMPUTED_VALUE"""),"#VALUE!")</f>
        <v>#VALUE!</v>
      </c>
      <c r="AS23" t="str">
        <f ca="1">IFERROR(__xludf.DUMMYFUNCTION("""COMPUTED_VALUE"""),"#VALUE!")</f>
        <v>#VALUE!</v>
      </c>
      <c r="AU23" t="str">
        <f ca="1">IFERROR(__xludf.DUMMYFUNCTION("""COMPUTED_VALUE"""),"#VALUE!")</f>
        <v>#VALUE!</v>
      </c>
      <c r="AW23" t="str">
        <f ca="1">IFERROR(__xludf.DUMMYFUNCTION("""COMPUTED_VALUE"""),"#VALUE!")</f>
        <v>#VALUE!</v>
      </c>
      <c r="AY23" t="str">
        <f ca="1">IFERROR(__xludf.DUMMYFUNCTION("""COMPUTED_VALUE"""),"#VALUE!")</f>
        <v>#VALUE!</v>
      </c>
      <c r="BA23" t="str">
        <f ca="1">IFERROR(__xludf.DUMMYFUNCTION("""COMPUTED_VALUE"""),"#VALUE!")</f>
        <v>#VALUE!</v>
      </c>
      <c r="BC23" t="str">
        <f ca="1">IFERROR(__xludf.DUMMYFUNCTION("""COMPUTED_VALUE"""),"#VALUE!")</f>
        <v>#VALUE!</v>
      </c>
      <c r="BE23" t="str">
        <f ca="1">IFERROR(__xludf.DUMMYFUNCTION("""COMPUTED_VALUE"""),"#VALUE!")</f>
        <v>#VALUE!</v>
      </c>
      <c r="BG23" t="str">
        <f ca="1">IFERROR(__xludf.DUMMYFUNCTION("""COMPUTED_VALUE"""),"#VALUE!")</f>
        <v>#VALUE!</v>
      </c>
      <c r="BI23" t="str">
        <f ca="1">IFERROR(__xludf.DUMMYFUNCTION("""COMPUTED_VALUE"""),"#VALUE!")</f>
        <v>#VALUE!</v>
      </c>
      <c r="BK23" t="str">
        <f ca="1">IFERROR(__xludf.DUMMYFUNCTION("""COMPUTED_VALUE"""),"#VALUE!")</f>
        <v>#VALUE!</v>
      </c>
      <c r="BM23" t="str">
        <f ca="1">IFERROR(__xludf.DUMMYFUNCTION("""COMPUTED_VALUE"""),"#VALUE!")</f>
        <v>#VALUE!</v>
      </c>
      <c r="BO23" t="str">
        <f ca="1">IFERROR(__xludf.DUMMYFUNCTION("""COMPUTED_VALUE"""),"#VALUE!")</f>
        <v>#VALUE!</v>
      </c>
      <c r="BQ23" t="str">
        <f ca="1">IFERROR(__xludf.DUMMYFUNCTION("""COMPUTED_VALUE"""),"#VALUE!")</f>
        <v>#VALUE!</v>
      </c>
      <c r="BS23" t="str">
        <f ca="1">IFERROR(__xludf.DUMMYFUNCTION("""COMPUTED_VALUE"""),"#VALUE!")</f>
        <v>#VALUE!</v>
      </c>
      <c r="BU23" t="str">
        <f ca="1">IFERROR(__xludf.DUMMYFUNCTION("""COMPUTED_VALUE"""),"#VALUE!")</f>
        <v>#VALUE!</v>
      </c>
      <c r="BW23" t="str">
        <f ca="1">IFERROR(__xludf.DUMMYFUNCTION("""COMPUTED_VALUE"""),"#VALUE!")</f>
        <v>#VALUE!</v>
      </c>
      <c r="BY23" t="str">
        <f ca="1">IFERROR(__xludf.DUMMYFUNCTION("""COMPUTED_VALUE"""),"#VALUE!")</f>
        <v>#VALUE!</v>
      </c>
      <c r="CA23" t="str">
        <f ca="1">IFERROR(__xludf.DUMMYFUNCTION("""COMPUTED_VALUE"""),"#VALUE!")</f>
        <v>#VALUE!</v>
      </c>
      <c r="CC23" t="str">
        <f ca="1">IFERROR(__xludf.DUMMYFUNCTION("""COMPUTED_VALUE"""),"#VALUE!")</f>
        <v>#VALUE!</v>
      </c>
      <c r="CE23" t="str">
        <f ca="1">IFERROR(__xludf.DUMMYFUNCTION("""COMPUTED_VALUE"""),"#VALUE!")</f>
        <v>#VALUE!</v>
      </c>
      <c r="CG23" t="str">
        <f ca="1">IFERROR(__xludf.DUMMYFUNCTION("""COMPUTED_VALUE"""),"#VALUE!")</f>
        <v>#VALUE!</v>
      </c>
      <c r="CI23" t="str">
        <f ca="1">IFERROR(__xludf.DUMMYFUNCTION("""COMPUTED_VALUE"""),"#VALUE!")</f>
        <v>#VALUE!</v>
      </c>
      <c r="CK23" t="str">
        <f ca="1">IFERROR(__xludf.DUMMYFUNCTION("""COMPUTED_VALUE"""),"#VALUE!")</f>
        <v>#VALUE!</v>
      </c>
      <c r="CS23" t="str">
        <f ca="1">IFERROR(__xludf.DUMMYFUNCTION("""COMPUTED_VALUE"""),"#VALUE!")</f>
        <v>#VALUE!</v>
      </c>
      <c r="CU23" t="str">
        <f ca="1">IFERROR(__xludf.DUMMYFUNCTION("""COMPUTED_VALUE"""),"#VALUE!")</f>
        <v>#VALUE!</v>
      </c>
      <c r="CV23" t="str">
        <f ca="1">IFERROR(__xludf.DUMMYFUNCTION("""COMPUTED_VALUE"""),"L0001")</f>
        <v>L0001</v>
      </c>
      <c r="CW23" t="str">
        <f ca="1">IFERROR(__xludf.DUMMYFUNCTION("""COMPUTED_VALUE"""),"Giaveno")</f>
        <v>Giaveno</v>
      </c>
      <c r="CY23" t="str">
        <f ca="1">IFERROR(__xludf.DUMMYFUNCTION("""COMPUTED_VALUE"""),"#VALUE!")</f>
        <v>#VALUE!</v>
      </c>
      <c r="DC23" t="str">
        <f ca="1">IFERROR(__xludf.DUMMYFUNCTION("""COMPUTED_VALUE"""),"#VALUE!")</f>
        <v>#VALUE!</v>
      </c>
      <c r="DE23" t="str">
        <f ca="1">IFERROR(__xludf.DUMMYFUNCTION("""COMPUTED_VALUE"""),"#VALUE!")</f>
        <v>#VALUE!</v>
      </c>
      <c r="DI23" t="str">
        <f ca="1">IFERROR(__xludf.DUMMYFUNCTION("""COMPUTED_VALUE"""),"#VALUE!")</f>
        <v>#VALUE!</v>
      </c>
      <c r="DJ23" t="str">
        <f ca="1">IFERROR(__xludf.DUMMYFUNCTION("""COMPUTED_VALUE"""),"#VALUE!")</f>
        <v>#VALUE!</v>
      </c>
      <c r="DL23" t="str">
        <f ca="1">IFERROR(__xludf.DUMMYFUNCTION("""COMPUTED_VALUE"""),"Davor Salihović")</f>
        <v>Davor Salihović</v>
      </c>
    </row>
    <row r="24" spans="1:116" ht="15.75" customHeight="1" x14ac:dyDescent="0.25">
      <c r="A24" t="str">
        <f ca="1">IFERROR(__xludf.DUMMYFUNCTION("""COMPUTED_VALUE"""),"P0023")</f>
        <v>P0023</v>
      </c>
      <c r="B24" t="str">
        <f ca="1">IFERROR(__xludf.DUMMYFUNCTION("""COMPUTED_VALUE"""),"Iohanna Ruppha")</f>
        <v>Iohanna Ruppha</v>
      </c>
      <c r="D24" t="str">
        <f ca="1">IFERROR(__xludf.DUMMYFUNCTION("""COMPUTED_VALUE"""),"#VALUE!")</f>
        <v>#VALUE!</v>
      </c>
      <c r="E24" t="str">
        <f ca="1">IFERROR(__xludf.DUMMYFUNCTION("""COMPUTED_VALUE"""),"Iohanna")</f>
        <v>Iohanna</v>
      </c>
      <c r="K24" t="str">
        <f ca="1">IFERROR(__xludf.DUMMYFUNCTION("""COMPUTED_VALUE"""),"Ruppha")</f>
        <v>Ruppha</v>
      </c>
      <c r="L24" t="str">
        <f ca="1">IFERROR(__xludf.DUMMYFUNCTION("""COMPUTED_VALUE"""),"Ruppha")</f>
        <v>Ruppha</v>
      </c>
      <c r="S24" t="str">
        <f ca="1">IFERROR(__xludf.DUMMYFUNCTION("""COMPUTED_VALUE"""),"Latin")</f>
        <v>Latin</v>
      </c>
      <c r="T24" t="str">
        <f ca="1">IFERROR(__xludf.DUMMYFUNCTION("""COMPUTED_VALUE"""),"definite")</f>
        <v>definite</v>
      </c>
      <c r="U24" t="str">
        <f ca="1">IFERROR(__xludf.DUMMYFUNCTION("""COMPUTED_VALUE"""),"C2552")</f>
        <v>C2552</v>
      </c>
      <c r="V24" t="str">
        <f ca="1">IFERROR(__xludf.DUMMYFUNCTION("""COMPUTED_VALUE"""),"female")</f>
        <v>female</v>
      </c>
      <c r="Z24" t="str">
        <f ca="1">IFERROR(__xludf.DUMMYFUNCTION("""COMPUTED_VALUE"""),"163")</f>
        <v>163</v>
      </c>
      <c r="AA24" t="str">
        <f ca="1">IFERROR(__xludf.DUMMYFUNCTION("""COMPUTED_VALUE"""),"d")</f>
        <v>d</v>
      </c>
      <c r="AB24" t="str">
        <f ca="1">IFERROR(__xludf.DUMMYFUNCTION("""COMPUTED_VALUE"""),"NA")</f>
        <v>NA</v>
      </c>
      <c r="AE24" t="str">
        <f ca="1">IFERROR(__xludf.DUMMYFUNCTION("""COMPUTED_VALUE"""),"#VALUE!")</f>
        <v>#VALUE!</v>
      </c>
      <c r="AF24" t="str">
        <f ca="1">IFERROR(__xludf.DUMMYFUNCTION("""COMPUTED_VALUE"""),"#N/A")</f>
        <v>#N/A</v>
      </c>
      <c r="AG24" t="str">
        <f ca="1">IFERROR(__xludf.DUMMYFUNCTION("""COMPUTED_VALUE"""),"#N/A")</f>
        <v>#N/A</v>
      </c>
      <c r="AI24" t="str">
        <f ca="1">IFERROR(__xludf.DUMMYFUNCTION("""COMPUTED_VALUE"""),"#VALUE!")</f>
        <v>#VALUE!</v>
      </c>
      <c r="AK24" t="str">
        <f ca="1">IFERROR(__xludf.DUMMYFUNCTION("""COMPUTED_VALUE"""),"#VALUE!")</f>
        <v>#VALUE!</v>
      </c>
      <c r="AM24" t="str">
        <f ca="1">IFERROR(__xludf.DUMMYFUNCTION("""COMPUTED_VALUE"""),"#VALUE!")</f>
        <v>#VALUE!</v>
      </c>
      <c r="AO24" t="str">
        <f ca="1">IFERROR(__xludf.DUMMYFUNCTION("""COMPUTED_VALUE"""),"#VALUE!")</f>
        <v>#VALUE!</v>
      </c>
      <c r="AQ24" t="str">
        <f ca="1">IFERROR(__xludf.DUMMYFUNCTION("""COMPUTED_VALUE"""),"#VALUE!")</f>
        <v>#VALUE!</v>
      </c>
      <c r="AS24" t="str">
        <f ca="1">IFERROR(__xludf.DUMMYFUNCTION("""COMPUTED_VALUE"""),"#VALUE!")</f>
        <v>#VALUE!</v>
      </c>
      <c r="AU24" t="str">
        <f ca="1">IFERROR(__xludf.DUMMYFUNCTION("""COMPUTED_VALUE"""),"#VALUE!")</f>
        <v>#VALUE!</v>
      </c>
      <c r="AW24" t="str">
        <f ca="1">IFERROR(__xludf.DUMMYFUNCTION("""COMPUTED_VALUE"""),"#VALUE!")</f>
        <v>#VALUE!</v>
      </c>
      <c r="AY24" t="str">
        <f ca="1">IFERROR(__xludf.DUMMYFUNCTION("""COMPUTED_VALUE"""),"#VALUE!")</f>
        <v>#VALUE!</v>
      </c>
      <c r="BA24" t="str">
        <f ca="1">IFERROR(__xludf.DUMMYFUNCTION("""COMPUTED_VALUE"""),"#VALUE!")</f>
        <v>#VALUE!</v>
      </c>
      <c r="BC24" t="str">
        <f ca="1">IFERROR(__xludf.DUMMYFUNCTION("""COMPUTED_VALUE"""),"#VALUE!")</f>
        <v>#VALUE!</v>
      </c>
      <c r="BE24" t="str">
        <f ca="1">IFERROR(__xludf.DUMMYFUNCTION("""COMPUTED_VALUE"""),"#VALUE!")</f>
        <v>#VALUE!</v>
      </c>
      <c r="BG24" t="str">
        <f ca="1">IFERROR(__xludf.DUMMYFUNCTION("""COMPUTED_VALUE"""),"#VALUE!")</f>
        <v>#VALUE!</v>
      </c>
      <c r="BI24" t="str">
        <f ca="1">IFERROR(__xludf.DUMMYFUNCTION("""COMPUTED_VALUE"""),"#VALUE!")</f>
        <v>#VALUE!</v>
      </c>
      <c r="BK24" t="str">
        <f ca="1">IFERROR(__xludf.DUMMYFUNCTION("""COMPUTED_VALUE"""),"#VALUE!")</f>
        <v>#VALUE!</v>
      </c>
      <c r="BM24" t="str">
        <f ca="1">IFERROR(__xludf.DUMMYFUNCTION("""COMPUTED_VALUE"""),"#VALUE!")</f>
        <v>#VALUE!</v>
      </c>
      <c r="BO24" t="str">
        <f ca="1">IFERROR(__xludf.DUMMYFUNCTION("""COMPUTED_VALUE"""),"#VALUE!")</f>
        <v>#VALUE!</v>
      </c>
      <c r="BQ24" t="str">
        <f ca="1">IFERROR(__xludf.DUMMYFUNCTION("""COMPUTED_VALUE"""),"#VALUE!")</f>
        <v>#VALUE!</v>
      </c>
      <c r="BS24" t="str">
        <f ca="1">IFERROR(__xludf.DUMMYFUNCTION("""COMPUTED_VALUE"""),"#VALUE!")</f>
        <v>#VALUE!</v>
      </c>
      <c r="BU24" t="str">
        <f ca="1">IFERROR(__xludf.DUMMYFUNCTION("""COMPUTED_VALUE"""),"#VALUE!")</f>
        <v>#VALUE!</v>
      </c>
      <c r="BW24" t="str">
        <f ca="1">IFERROR(__xludf.DUMMYFUNCTION("""COMPUTED_VALUE"""),"#VALUE!")</f>
        <v>#VALUE!</v>
      </c>
      <c r="BY24" t="str">
        <f ca="1">IFERROR(__xludf.DUMMYFUNCTION("""COMPUTED_VALUE"""),"#VALUE!")</f>
        <v>#VALUE!</v>
      </c>
      <c r="CA24" t="str">
        <f ca="1">IFERROR(__xludf.DUMMYFUNCTION("""COMPUTED_VALUE"""),"#VALUE!")</f>
        <v>#VALUE!</v>
      </c>
      <c r="CC24" t="str">
        <f ca="1">IFERROR(__xludf.DUMMYFUNCTION("""COMPUTED_VALUE"""),"#VALUE!")</f>
        <v>#VALUE!</v>
      </c>
      <c r="CE24" t="str">
        <f ca="1">IFERROR(__xludf.DUMMYFUNCTION("""COMPUTED_VALUE"""),"#VALUE!")</f>
        <v>#VALUE!</v>
      </c>
      <c r="CG24" t="str">
        <f ca="1">IFERROR(__xludf.DUMMYFUNCTION("""COMPUTED_VALUE"""),"#VALUE!")</f>
        <v>#VALUE!</v>
      </c>
      <c r="CI24" t="str">
        <f ca="1">IFERROR(__xludf.DUMMYFUNCTION("""COMPUTED_VALUE"""),"#VALUE!")</f>
        <v>#VALUE!</v>
      </c>
      <c r="CK24" t="str">
        <f ca="1">IFERROR(__xludf.DUMMYFUNCTION("""COMPUTED_VALUE"""),"#VALUE!")</f>
        <v>#VALUE!</v>
      </c>
      <c r="CS24" t="str">
        <f ca="1">IFERROR(__xludf.DUMMYFUNCTION("""COMPUTED_VALUE"""),"#VALUE!")</f>
        <v>#VALUE!</v>
      </c>
      <c r="CU24" t="str">
        <f ca="1">IFERROR(__xludf.DUMMYFUNCTION("""COMPUTED_VALUE"""),"#VALUE!")</f>
        <v>#VALUE!</v>
      </c>
      <c r="CV24" t="str">
        <f ca="1">IFERROR(__xludf.DUMMYFUNCTION("""COMPUTED_VALUE"""),"L0007")</f>
        <v>L0007</v>
      </c>
      <c r="CW24" t="str">
        <f ca="1">IFERROR(__xludf.DUMMYFUNCTION("""COMPUTED_VALUE"""),"Paschero")</f>
        <v>Paschero</v>
      </c>
      <c r="CY24" t="str">
        <f ca="1">IFERROR(__xludf.DUMMYFUNCTION("""COMPUTED_VALUE"""),"#VALUE!")</f>
        <v>#VALUE!</v>
      </c>
      <c r="DC24" t="str">
        <f ca="1">IFERROR(__xludf.DUMMYFUNCTION("""COMPUTED_VALUE"""),"#VALUE!")</f>
        <v>#VALUE!</v>
      </c>
      <c r="DE24" t="str">
        <f ca="1">IFERROR(__xludf.DUMMYFUNCTION("""COMPUTED_VALUE"""),"#VALUE!")</f>
        <v>#VALUE!</v>
      </c>
      <c r="DF24" t="str">
        <f ca="1">IFERROR(__xludf.DUMMYFUNCTION("""COMPUTED_VALUE"""),"y")</f>
        <v>y</v>
      </c>
      <c r="DI24" t="str">
        <f ca="1">IFERROR(__xludf.DUMMYFUNCTION("""COMPUTED_VALUE"""),"#VALUE!")</f>
        <v>#VALUE!</v>
      </c>
      <c r="DJ24" t="str">
        <f ca="1">IFERROR(__xludf.DUMMYFUNCTION("""COMPUTED_VALUE"""),"#VALUE!")</f>
        <v>#VALUE!</v>
      </c>
      <c r="DL24" t="str">
        <f ca="1">IFERROR(__xludf.DUMMYFUNCTION("""COMPUTED_VALUE"""),"Davor Salihović")</f>
        <v>Davor Salihović</v>
      </c>
    </row>
    <row r="25" spans="1:116" ht="15.75" customHeight="1" x14ac:dyDescent="0.25">
      <c r="A25" t="str">
        <f ca="1">IFERROR(__xludf.DUMMYFUNCTION("""COMPUTED_VALUE"""),"P0024")</f>
        <v>P0024</v>
      </c>
      <c r="B25" t="str">
        <f ca="1">IFERROR(__xludf.DUMMYFUNCTION("""COMPUTED_VALUE"""),"Michael de Catelono")</f>
        <v>Michael de Catelono</v>
      </c>
      <c r="D25" t="str">
        <f ca="1">IFERROR(__xludf.DUMMYFUNCTION("""COMPUTED_VALUE"""),"#VALUE!")</f>
        <v>#VALUE!</v>
      </c>
      <c r="E25" t="str">
        <f ca="1">IFERROR(__xludf.DUMMYFUNCTION("""COMPUTED_VALUE"""),"Michael")</f>
        <v>Michael</v>
      </c>
      <c r="J25" t="str">
        <f ca="1">IFERROR(__xludf.DUMMYFUNCTION("""COMPUTED_VALUE"""),"de")</f>
        <v>de</v>
      </c>
      <c r="K25" t="str">
        <f ca="1">IFERROR(__xludf.DUMMYFUNCTION("""COMPUTED_VALUE"""),"Catelono")</f>
        <v>Catelono</v>
      </c>
      <c r="L25" t="str">
        <f ca="1">IFERROR(__xludf.DUMMYFUNCTION("""COMPUTED_VALUE"""),"de Catelono")</f>
        <v>de Catelono</v>
      </c>
      <c r="S25" t="str">
        <f ca="1">IFERROR(__xludf.DUMMYFUNCTION("""COMPUTED_VALUE"""),"Latin")</f>
        <v>Latin</v>
      </c>
      <c r="T25" t="str">
        <f ca="1">IFERROR(__xludf.DUMMYFUNCTION("""COMPUTED_VALUE"""),"definite")</f>
        <v>definite</v>
      </c>
      <c r="U25" t="str">
        <f ca="1">IFERROR(__xludf.DUMMYFUNCTION("""COMPUTED_VALUE"""),"C2553")</f>
        <v>C2553</v>
      </c>
      <c r="V25" t="str">
        <f ca="1">IFERROR(__xludf.DUMMYFUNCTION("""COMPUTED_VALUE"""),"male")</f>
        <v>male</v>
      </c>
      <c r="Z25" t="str">
        <f ca="1">IFERROR(__xludf.DUMMYFUNCTION("""COMPUTED_VALUE"""),"163")</f>
        <v>163</v>
      </c>
      <c r="AA25" t="str">
        <f ca="1">IFERROR(__xludf.DUMMYFUNCTION("""COMPUTED_VALUE"""),"d")</f>
        <v>d</v>
      </c>
      <c r="AB25" t="str">
        <f ca="1">IFERROR(__xludf.DUMMYFUNCTION("""COMPUTED_VALUE"""),"suspect")</f>
        <v>suspect</v>
      </c>
      <c r="AE25" t="str">
        <f ca="1">IFERROR(__xludf.DUMMYFUNCTION("""COMPUTED_VALUE"""),"#VALUE!")</f>
        <v>#VALUE!</v>
      </c>
      <c r="AF25" t="str">
        <f ca="1">IFERROR(__xludf.DUMMYFUNCTION("""COMPUTED_VALUE"""),"#N/A")</f>
        <v>#N/A</v>
      </c>
      <c r="AG25" t="str">
        <f ca="1">IFERROR(__xludf.DUMMYFUNCTION("""COMPUTED_VALUE"""),"#N/A")</f>
        <v>#N/A</v>
      </c>
      <c r="AI25" t="str">
        <f ca="1">IFERROR(__xludf.DUMMYFUNCTION("""COMPUTED_VALUE"""),"#VALUE!")</f>
        <v>#VALUE!</v>
      </c>
      <c r="AK25" t="str">
        <f ca="1">IFERROR(__xludf.DUMMYFUNCTION("""COMPUTED_VALUE"""),"#VALUE!")</f>
        <v>#VALUE!</v>
      </c>
      <c r="AM25" t="str">
        <f ca="1">IFERROR(__xludf.DUMMYFUNCTION("""COMPUTED_VALUE"""),"#VALUE!")</f>
        <v>#VALUE!</v>
      </c>
      <c r="AO25" t="str">
        <f ca="1">IFERROR(__xludf.DUMMYFUNCTION("""COMPUTED_VALUE"""),"#VALUE!")</f>
        <v>#VALUE!</v>
      </c>
      <c r="AQ25" t="str">
        <f ca="1">IFERROR(__xludf.DUMMYFUNCTION("""COMPUTED_VALUE"""),"#VALUE!")</f>
        <v>#VALUE!</v>
      </c>
      <c r="AS25" t="str">
        <f ca="1">IFERROR(__xludf.DUMMYFUNCTION("""COMPUTED_VALUE"""),"#VALUE!")</f>
        <v>#VALUE!</v>
      </c>
      <c r="AU25" t="str">
        <f ca="1">IFERROR(__xludf.DUMMYFUNCTION("""COMPUTED_VALUE"""),"#VALUE!")</f>
        <v>#VALUE!</v>
      </c>
      <c r="AW25" t="str">
        <f ca="1">IFERROR(__xludf.DUMMYFUNCTION("""COMPUTED_VALUE"""),"#VALUE!")</f>
        <v>#VALUE!</v>
      </c>
      <c r="AY25" t="str">
        <f ca="1">IFERROR(__xludf.DUMMYFUNCTION("""COMPUTED_VALUE"""),"#VALUE!")</f>
        <v>#VALUE!</v>
      </c>
      <c r="BA25" t="str">
        <f ca="1">IFERROR(__xludf.DUMMYFUNCTION("""COMPUTED_VALUE"""),"#VALUE!")</f>
        <v>#VALUE!</v>
      </c>
      <c r="BC25" t="str">
        <f ca="1">IFERROR(__xludf.DUMMYFUNCTION("""COMPUTED_VALUE"""),"#VALUE!")</f>
        <v>#VALUE!</v>
      </c>
      <c r="BE25" t="str">
        <f ca="1">IFERROR(__xludf.DUMMYFUNCTION("""COMPUTED_VALUE"""),"#VALUE!")</f>
        <v>#VALUE!</v>
      </c>
      <c r="BG25" t="str">
        <f ca="1">IFERROR(__xludf.DUMMYFUNCTION("""COMPUTED_VALUE"""),"#VALUE!")</f>
        <v>#VALUE!</v>
      </c>
      <c r="BI25" t="str">
        <f ca="1">IFERROR(__xludf.DUMMYFUNCTION("""COMPUTED_VALUE"""),"#VALUE!")</f>
        <v>#VALUE!</v>
      </c>
      <c r="BK25" t="str">
        <f ca="1">IFERROR(__xludf.DUMMYFUNCTION("""COMPUTED_VALUE"""),"#VALUE!")</f>
        <v>#VALUE!</v>
      </c>
      <c r="BM25" t="str">
        <f ca="1">IFERROR(__xludf.DUMMYFUNCTION("""COMPUTED_VALUE"""),"#VALUE!")</f>
        <v>#VALUE!</v>
      </c>
      <c r="BO25" t="str">
        <f ca="1">IFERROR(__xludf.DUMMYFUNCTION("""COMPUTED_VALUE"""),"#VALUE!")</f>
        <v>#VALUE!</v>
      </c>
      <c r="BQ25" t="str">
        <f ca="1">IFERROR(__xludf.DUMMYFUNCTION("""COMPUTED_VALUE"""),"#VALUE!")</f>
        <v>#VALUE!</v>
      </c>
      <c r="BS25" t="str">
        <f ca="1">IFERROR(__xludf.DUMMYFUNCTION("""COMPUTED_VALUE"""),"#VALUE!")</f>
        <v>#VALUE!</v>
      </c>
      <c r="BU25" t="str">
        <f ca="1">IFERROR(__xludf.DUMMYFUNCTION("""COMPUTED_VALUE"""),"#VALUE!")</f>
        <v>#VALUE!</v>
      </c>
      <c r="BW25" t="str">
        <f ca="1">IFERROR(__xludf.DUMMYFUNCTION("""COMPUTED_VALUE"""),"#VALUE!")</f>
        <v>#VALUE!</v>
      </c>
      <c r="BY25" t="str">
        <f ca="1">IFERROR(__xludf.DUMMYFUNCTION("""COMPUTED_VALUE"""),"#VALUE!")</f>
        <v>#VALUE!</v>
      </c>
      <c r="CA25" t="str">
        <f ca="1">IFERROR(__xludf.DUMMYFUNCTION("""COMPUTED_VALUE"""),"#VALUE!")</f>
        <v>#VALUE!</v>
      </c>
      <c r="CC25" t="str">
        <f ca="1">IFERROR(__xludf.DUMMYFUNCTION("""COMPUTED_VALUE"""),"#VALUE!")</f>
        <v>#VALUE!</v>
      </c>
      <c r="CD25" t="str">
        <f ca="1">IFERROR(__xludf.DUMMYFUNCTION("""COMPUTED_VALUE"""),"C3598")</f>
        <v>C3598</v>
      </c>
      <c r="CE25" t="str">
        <f ca="1">IFERROR(__xludf.DUMMYFUNCTION("""COMPUTED_VALUE"""),"location of congregation")</f>
        <v>location of congregation</v>
      </c>
      <c r="CF25" t="str">
        <f ca="1">IFERROR(__xludf.DUMMYFUNCTION("""COMPUTED_VALUE"""),"L0009")</f>
        <v>L0009</v>
      </c>
      <c r="CG25" t="str">
        <f ca="1">IFERROR(__xludf.DUMMYFUNCTION("""COMPUTED_VALUE"""),"domus Michaelis de Catelono")</f>
        <v>domus Michaelis de Catelono</v>
      </c>
      <c r="CI25" t="str">
        <f ca="1">IFERROR(__xludf.DUMMYFUNCTION("""COMPUTED_VALUE"""),"#VALUE!")</f>
        <v>#VALUE!</v>
      </c>
      <c r="CK25" t="str">
        <f ca="1">IFERROR(__xludf.DUMMYFUNCTION("""COMPUTED_VALUE"""),"#VALUE!")</f>
        <v>#VALUE!</v>
      </c>
      <c r="CS25" t="str">
        <f ca="1">IFERROR(__xludf.DUMMYFUNCTION("""COMPUTED_VALUE"""),"#VALUE!")</f>
        <v>#VALUE!</v>
      </c>
      <c r="CU25" t="str">
        <f ca="1">IFERROR(__xludf.DUMMYFUNCTION("""COMPUTED_VALUE"""),"#VALUE!")</f>
        <v>#VALUE!</v>
      </c>
      <c r="CW25" t="str">
        <f ca="1">IFERROR(__xludf.DUMMYFUNCTION("""COMPUTED_VALUE"""),"#VALUE!")</f>
        <v>#VALUE!</v>
      </c>
      <c r="CY25" t="str">
        <f ca="1">IFERROR(__xludf.DUMMYFUNCTION("""COMPUTED_VALUE"""),"#VALUE!")</f>
        <v>#VALUE!</v>
      </c>
      <c r="DC25" t="str">
        <f ca="1">IFERROR(__xludf.DUMMYFUNCTION("""COMPUTED_VALUE"""),"#VALUE!")</f>
        <v>#VALUE!</v>
      </c>
      <c r="DE25" t="str">
        <f ca="1">IFERROR(__xludf.DUMMYFUNCTION("""COMPUTED_VALUE"""),"#VALUE!")</f>
        <v>#VALUE!</v>
      </c>
      <c r="DH25" t="str">
        <f ca="1">IFERROR(__xludf.DUMMYFUNCTION("""COMPUTED_VALUE"""),"L0009")</f>
        <v>L0009</v>
      </c>
      <c r="DI25" t="str">
        <f ca="1">IFERROR(__xludf.DUMMYFUNCTION("""COMPUTED_VALUE"""),"domus Michaelis de Catelono")</f>
        <v>domus Michaelis de Catelono</v>
      </c>
      <c r="DJ25" t="str">
        <f ca="1">IFERROR(__xludf.DUMMYFUNCTION("""COMPUTED_VALUE"""),"domus")</f>
        <v>domus</v>
      </c>
      <c r="DL25" t="str">
        <f ca="1">IFERROR(__xludf.DUMMYFUNCTION("""COMPUTED_VALUE"""),"Davor Salihović")</f>
        <v>Davor Salihović</v>
      </c>
    </row>
    <row r="26" spans="1:116" ht="13.2" x14ac:dyDescent="0.25">
      <c r="A26" t="str">
        <f ca="1">IFERROR(__xludf.DUMMYFUNCTION("""COMPUTED_VALUE"""),"P0025")</f>
        <v>P0025</v>
      </c>
      <c r="B26" t="str">
        <f ca="1">IFERROR(__xludf.DUMMYFUNCTION("""COMPUTED_VALUE"""),"homo de Buffa")</f>
        <v>homo de Buffa</v>
      </c>
      <c r="D26" t="str">
        <f ca="1">IFERROR(__xludf.DUMMYFUNCTION("""COMPUTED_VALUE"""),"#VALUE!")</f>
        <v>#VALUE!</v>
      </c>
      <c r="E26" t="str">
        <f ca="1">IFERROR(__xludf.DUMMYFUNCTION("""COMPUTED_VALUE"""),"homo de Buffa")</f>
        <v>homo de Buffa</v>
      </c>
      <c r="S26" t="str">
        <f ca="1">IFERROR(__xludf.DUMMYFUNCTION("""COMPUTED_VALUE"""),"Latin")</f>
        <v>Latin</v>
      </c>
      <c r="T26" t="str">
        <f ca="1">IFERROR(__xludf.DUMMYFUNCTION("""COMPUTED_VALUE"""),"indefinite")</f>
        <v>indefinite</v>
      </c>
      <c r="U26" t="str">
        <f ca="1">IFERROR(__xludf.DUMMYFUNCTION("""COMPUTED_VALUE"""),"C2553")</f>
        <v>C2553</v>
      </c>
      <c r="V26" t="str">
        <f ca="1">IFERROR(__xludf.DUMMYFUNCTION("""COMPUTED_VALUE"""),"male")</f>
        <v>male</v>
      </c>
      <c r="Z26" t="str">
        <f ca="1">IFERROR(__xludf.DUMMYFUNCTION("""COMPUTED_VALUE"""),"163")</f>
        <v>163</v>
      </c>
      <c r="AA26" t="str">
        <f ca="1">IFERROR(__xludf.DUMMYFUNCTION("""COMPUTED_VALUE"""),"d")</f>
        <v>d</v>
      </c>
      <c r="AB26" t="str">
        <f ca="1">IFERROR(__xludf.DUMMYFUNCTION("""COMPUTED_VALUE"""),"suspect")</f>
        <v>suspect</v>
      </c>
      <c r="AE26" t="str">
        <f ca="1">IFERROR(__xludf.DUMMYFUNCTION("""COMPUTED_VALUE"""),"#VALUE!")</f>
        <v>#VALUE!</v>
      </c>
      <c r="AF26" t="str">
        <f ca="1">IFERROR(__xludf.DUMMYFUNCTION("""COMPUTED_VALUE"""),"#N/A")</f>
        <v>#N/A</v>
      </c>
      <c r="AG26" t="str">
        <f ca="1">IFERROR(__xludf.DUMMYFUNCTION("""COMPUTED_VALUE"""),"#N/A")</f>
        <v>#N/A</v>
      </c>
      <c r="AI26" t="str">
        <f ca="1">IFERROR(__xludf.DUMMYFUNCTION("""COMPUTED_VALUE"""),"#VALUE!")</f>
        <v>#VALUE!</v>
      </c>
      <c r="AK26" t="str">
        <f ca="1">IFERROR(__xludf.DUMMYFUNCTION("""COMPUTED_VALUE"""),"#VALUE!")</f>
        <v>#VALUE!</v>
      </c>
      <c r="AM26" t="str">
        <f ca="1">IFERROR(__xludf.DUMMYFUNCTION("""COMPUTED_VALUE"""),"#VALUE!")</f>
        <v>#VALUE!</v>
      </c>
      <c r="AO26" t="str">
        <f ca="1">IFERROR(__xludf.DUMMYFUNCTION("""COMPUTED_VALUE"""),"#VALUE!")</f>
        <v>#VALUE!</v>
      </c>
      <c r="AQ26" t="str">
        <f ca="1">IFERROR(__xludf.DUMMYFUNCTION("""COMPUTED_VALUE"""),"#VALUE!")</f>
        <v>#VALUE!</v>
      </c>
      <c r="AS26" t="str">
        <f ca="1">IFERROR(__xludf.DUMMYFUNCTION("""COMPUTED_VALUE"""),"#VALUE!")</f>
        <v>#VALUE!</v>
      </c>
      <c r="AU26" t="str">
        <f ca="1">IFERROR(__xludf.DUMMYFUNCTION("""COMPUTED_VALUE"""),"#VALUE!")</f>
        <v>#VALUE!</v>
      </c>
      <c r="AW26" t="str">
        <f ca="1">IFERROR(__xludf.DUMMYFUNCTION("""COMPUTED_VALUE"""),"#VALUE!")</f>
        <v>#VALUE!</v>
      </c>
      <c r="AY26" t="str">
        <f ca="1">IFERROR(__xludf.DUMMYFUNCTION("""COMPUTED_VALUE"""),"#VALUE!")</f>
        <v>#VALUE!</v>
      </c>
      <c r="BA26" t="str">
        <f ca="1">IFERROR(__xludf.DUMMYFUNCTION("""COMPUTED_VALUE"""),"#VALUE!")</f>
        <v>#VALUE!</v>
      </c>
      <c r="BC26" t="str">
        <f ca="1">IFERROR(__xludf.DUMMYFUNCTION("""COMPUTED_VALUE"""),"#VALUE!")</f>
        <v>#VALUE!</v>
      </c>
      <c r="BE26" t="str">
        <f ca="1">IFERROR(__xludf.DUMMYFUNCTION("""COMPUTED_VALUE"""),"#VALUE!")</f>
        <v>#VALUE!</v>
      </c>
      <c r="BG26" t="str">
        <f ca="1">IFERROR(__xludf.DUMMYFUNCTION("""COMPUTED_VALUE"""),"#VALUE!")</f>
        <v>#VALUE!</v>
      </c>
      <c r="BI26" t="str">
        <f ca="1">IFERROR(__xludf.DUMMYFUNCTION("""COMPUTED_VALUE"""),"#VALUE!")</f>
        <v>#VALUE!</v>
      </c>
      <c r="BK26" t="str">
        <f ca="1">IFERROR(__xludf.DUMMYFUNCTION("""COMPUTED_VALUE"""),"#VALUE!")</f>
        <v>#VALUE!</v>
      </c>
      <c r="BM26" t="str">
        <f ca="1">IFERROR(__xludf.DUMMYFUNCTION("""COMPUTED_VALUE"""),"#VALUE!")</f>
        <v>#VALUE!</v>
      </c>
      <c r="BO26" t="str">
        <f ca="1">IFERROR(__xludf.DUMMYFUNCTION("""COMPUTED_VALUE"""),"#VALUE!")</f>
        <v>#VALUE!</v>
      </c>
      <c r="BQ26" t="str">
        <f ca="1">IFERROR(__xludf.DUMMYFUNCTION("""COMPUTED_VALUE"""),"#VALUE!")</f>
        <v>#VALUE!</v>
      </c>
      <c r="BS26" t="str">
        <f ca="1">IFERROR(__xludf.DUMMYFUNCTION("""COMPUTED_VALUE"""),"#VALUE!")</f>
        <v>#VALUE!</v>
      </c>
      <c r="BU26" t="str">
        <f ca="1">IFERROR(__xludf.DUMMYFUNCTION("""COMPUTED_VALUE"""),"#VALUE!")</f>
        <v>#VALUE!</v>
      </c>
      <c r="BW26" t="str">
        <f ca="1">IFERROR(__xludf.DUMMYFUNCTION("""COMPUTED_VALUE"""),"#VALUE!")</f>
        <v>#VALUE!</v>
      </c>
      <c r="BY26" t="str">
        <f ca="1">IFERROR(__xludf.DUMMYFUNCTION("""COMPUTED_VALUE"""),"#VALUE!")</f>
        <v>#VALUE!</v>
      </c>
      <c r="CA26" t="str">
        <f ca="1">IFERROR(__xludf.DUMMYFUNCTION("""COMPUTED_VALUE"""),"#VALUE!")</f>
        <v>#VALUE!</v>
      </c>
      <c r="CC26" t="str">
        <f ca="1">IFERROR(__xludf.DUMMYFUNCTION("""COMPUTED_VALUE"""),"#VALUE!")</f>
        <v>#VALUE!</v>
      </c>
      <c r="CD26" t="str">
        <f ca="1">IFERROR(__xludf.DUMMYFUNCTION("""COMPUTED_VALUE"""),"C3598")</f>
        <v>C3598</v>
      </c>
      <c r="CE26" t="str">
        <f ca="1">IFERROR(__xludf.DUMMYFUNCTION("""COMPUTED_VALUE"""),"location of congregation")</f>
        <v>location of congregation</v>
      </c>
      <c r="CF26" t="str">
        <f ca="1">IFERROR(__xludf.DUMMYFUNCTION("""COMPUTED_VALUE"""),"L0009")</f>
        <v>L0009</v>
      </c>
      <c r="CG26" t="str">
        <f ca="1">IFERROR(__xludf.DUMMYFUNCTION("""COMPUTED_VALUE"""),"domus Michaelis de Catelono")</f>
        <v>domus Michaelis de Catelono</v>
      </c>
      <c r="CI26" t="str">
        <f ca="1">IFERROR(__xludf.DUMMYFUNCTION("""COMPUTED_VALUE"""),"#VALUE!")</f>
        <v>#VALUE!</v>
      </c>
      <c r="CK26" t="str">
        <f ca="1">IFERROR(__xludf.DUMMYFUNCTION("""COMPUTED_VALUE"""),"#VALUE!")</f>
        <v>#VALUE!</v>
      </c>
      <c r="CS26" t="str">
        <f ca="1">IFERROR(__xludf.DUMMYFUNCTION("""COMPUTED_VALUE"""),"#VALUE!")</f>
        <v>#VALUE!</v>
      </c>
      <c r="CU26" t="str">
        <f ca="1">IFERROR(__xludf.DUMMYFUNCTION("""COMPUTED_VALUE"""),"#VALUE!")</f>
        <v>#VALUE!</v>
      </c>
      <c r="CV26" t="str">
        <f ca="1">IFERROR(__xludf.DUMMYFUNCTION("""COMPUTED_VALUE"""),"L0010")</f>
        <v>L0010</v>
      </c>
      <c r="CW26" t="str">
        <f ca="1">IFERROR(__xludf.DUMMYFUNCTION("""COMPUTED_VALUE"""),"Buffa")</f>
        <v>Buffa</v>
      </c>
      <c r="CY26" t="str">
        <f ca="1">IFERROR(__xludf.DUMMYFUNCTION("""COMPUTED_VALUE"""),"#VALUE!")</f>
        <v>#VALUE!</v>
      </c>
      <c r="DC26" t="str">
        <f ca="1">IFERROR(__xludf.DUMMYFUNCTION("""COMPUTED_VALUE"""),"#VALUE!")</f>
        <v>#VALUE!</v>
      </c>
      <c r="DE26" t="str">
        <f ca="1">IFERROR(__xludf.DUMMYFUNCTION("""COMPUTED_VALUE"""),"#VALUE!")</f>
        <v>#VALUE!</v>
      </c>
      <c r="DH26" t="str">
        <f ca="1">IFERROR(__xludf.DUMMYFUNCTION("""COMPUTED_VALUE"""),"L0009")</f>
        <v>L0009</v>
      </c>
      <c r="DI26" t="str">
        <f ca="1">IFERROR(__xludf.DUMMYFUNCTION("""COMPUTED_VALUE"""),"domus Michaelis de Catelono")</f>
        <v>domus Michaelis de Catelono</v>
      </c>
      <c r="DJ26" t="str">
        <f ca="1">IFERROR(__xludf.DUMMYFUNCTION("""COMPUTED_VALUE"""),"domus")</f>
        <v>domus</v>
      </c>
      <c r="DL26" t="str">
        <f ca="1">IFERROR(__xludf.DUMMYFUNCTION("""COMPUTED_VALUE"""),"Davor Salihović")</f>
        <v>Davor Salihović</v>
      </c>
    </row>
    <row r="27" spans="1:116" ht="13.2" x14ac:dyDescent="0.25">
      <c r="A27" t="str">
        <f ca="1">IFERROR(__xludf.DUMMYFUNCTION("""COMPUTED_VALUE"""),"P0026")</f>
        <v>P0026</v>
      </c>
      <c r="B27" t="str">
        <f ca="1">IFERROR(__xludf.DUMMYFUNCTION("""COMPUTED_VALUE"""),"mulier de Buffa")</f>
        <v>mulier de Buffa</v>
      </c>
      <c r="D27" t="str">
        <f ca="1">IFERROR(__xludf.DUMMYFUNCTION("""COMPUTED_VALUE"""),"#VALUE!")</f>
        <v>#VALUE!</v>
      </c>
      <c r="E27" t="str">
        <f ca="1">IFERROR(__xludf.DUMMYFUNCTION("""COMPUTED_VALUE"""),"mulier de Buffa")</f>
        <v>mulier de Buffa</v>
      </c>
      <c r="S27" t="str">
        <f ca="1">IFERROR(__xludf.DUMMYFUNCTION("""COMPUTED_VALUE"""),"Latin")</f>
        <v>Latin</v>
      </c>
      <c r="T27" t="str">
        <f ca="1">IFERROR(__xludf.DUMMYFUNCTION("""COMPUTED_VALUE"""),"indefinite")</f>
        <v>indefinite</v>
      </c>
      <c r="U27" t="str">
        <f ca="1">IFERROR(__xludf.DUMMYFUNCTION("""COMPUTED_VALUE"""),"C2552")</f>
        <v>C2552</v>
      </c>
      <c r="V27" t="str">
        <f ca="1">IFERROR(__xludf.DUMMYFUNCTION("""COMPUTED_VALUE"""),"female")</f>
        <v>female</v>
      </c>
      <c r="Z27" t="str">
        <f ca="1">IFERROR(__xludf.DUMMYFUNCTION("""COMPUTED_VALUE"""),"163")</f>
        <v>163</v>
      </c>
      <c r="AA27" t="str">
        <f ca="1">IFERROR(__xludf.DUMMYFUNCTION("""COMPUTED_VALUE"""),"d")</f>
        <v>d</v>
      </c>
      <c r="AB27" t="str">
        <f ca="1">IFERROR(__xludf.DUMMYFUNCTION("""COMPUTED_VALUE"""),"suspect")</f>
        <v>suspect</v>
      </c>
      <c r="AE27" t="str">
        <f ca="1">IFERROR(__xludf.DUMMYFUNCTION("""COMPUTED_VALUE"""),"#VALUE!")</f>
        <v>#VALUE!</v>
      </c>
      <c r="AF27" t="str">
        <f ca="1">IFERROR(__xludf.DUMMYFUNCTION("""COMPUTED_VALUE"""),"#N/A")</f>
        <v>#N/A</v>
      </c>
      <c r="AG27" t="str">
        <f ca="1">IFERROR(__xludf.DUMMYFUNCTION("""COMPUTED_VALUE"""),"#N/A")</f>
        <v>#N/A</v>
      </c>
      <c r="AI27" t="str">
        <f ca="1">IFERROR(__xludf.DUMMYFUNCTION("""COMPUTED_VALUE"""),"#VALUE!")</f>
        <v>#VALUE!</v>
      </c>
      <c r="AK27" t="str">
        <f ca="1">IFERROR(__xludf.DUMMYFUNCTION("""COMPUTED_VALUE"""),"#VALUE!")</f>
        <v>#VALUE!</v>
      </c>
      <c r="AM27" t="str">
        <f ca="1">IFERROR(__xludf.DUMMYFUNCTION("""COMPUTED_VALUE"""),"#VALUE!")</f>
        <v>#VALUE!</v>
      </c>
      <c r="AO27" t="str">
        <f ca="1">IFERROR(__xludf.DUMMYFUNCTION("""COMPUTED_VALUE"""),"#VALUE!")</f>
        <v>#VALUE!</v>
      </c>
      <c r="AQ27" t="str">
        <f ca="1">IFERROR(__xludf.DUMMYFUNCTION("""COMPUTED_VALUE"""),"#VALUE!")</f>
        <v>#VALUE!</v>
      </c>
      <c r="AS27" t="str">
        <f ca="1">IFERROR(__xludf.DUMMYFUNCTION("""COMPUTED_VALUE"""),"#VALUE!")</f>
        <v>#VALUE!</v>
      </c>
      <c r="AU27" t="str">
        <f ca="1">IFERROR(__xludf.DUMMYFUNCTION("""COMPUTED_VALUE"""),"#VALUE!")</f>
        <v>#VALUE!</v>
      </c>
      <c r="AW27" t="str">
        <f ca="1">IFERROR(__xludf.DUMMYFUNCTION("""COMPUTED_VALUE"""),"#VALUE!")</f>
        <v>#VALUE!</v>
      </c>
      <c r="AY27" t="str">
        <f ca="1">IFERROR(__xludf.DUMMYFUNCTION("""COMPUTED_VALUE"""),"#VALUE!")</f>
        <v>#VALUE!</v>
      </c>
      <c r="BA27" t="str">
        <f ca="1">IFERROR(__xludf.DUMMYFUNCTION("""COMPUTED_VALUE"""),"#VALUE!")</f>
        <v>#VALUE!</v>
      </c>
      <c r="BC27" t="str">
        <f ca="1">IFERROR(__xludf.DUMMYFUNCTION("""COMPUTED_VALUE"""),"#VALUE!")</f>
        <v>#VALUE!</v>
      </c>
      <c r="BE27" t="str">
        <f ca="1">IFERROR(__xludf.DUMMYFUNCTION("""COMPUTED_VALUE"""),"#VALUE!")</f>
        <v>#VALUE!</v>
      </c>
      <c r="BG27" t="str">
        <f ca="1">IFERROR(__xludf.DUMMYFUNCTION("""COMPUTED_VALUE"""),"#VALUE!")</f>
        <v>#VALUE!</v>
      </c>
      <c r="BI27" t="str">
        <f ca="1">IFERROR(__xludf.DUMMYFUNCTION("""COMPUTED_VALUE"""),"#VALUE!")</f>
        <v>#VALUE!</v>
      </c>
      <c r="BK27" t="str">
        <f ca="1">IFERROR(__xludf.DUMMYFUNCTION("""COMPUTED_VALUE"""),"#VALUE!")</f>
        <v>#VALUE!</v>
      </c>
      <c r="BM27" t="str">
        <f ca="1">IFERROR(__xludf.DUMMYFUNCTION("""COMPUTED_VALUE"""),"#VALUE!")</f>
        <v>#VALUE!</v>
      </c>
      <c r="BO27" t="str">
        <f ca="1">IFERROR(__xludf.DUMMYFUNCTION("""COMPUTED_VALUE"""),"#VALUE!")</f>
        <v>#VALUE!</v>
      </c>
      <c r="BQ27" t="str">
        <f ca="1">IFERROR(__xludf.DUMMYFUNCTION("""COMPUTED_VALUE"""),"#VALUE!")</f>
        <v>#VALUE!</v>
      </c>
      <c r="BS27" t="str">
        <f ca="1">IFERROR(__xludf.DUMMYFUNCTION("""COMPUTED_VALUE"""),"#VALUE!")</f>
        <v>#VALUE!</v>
      </c>
      <c r="BU27" t="str">
        <f ca="1">IFERROR(__xludf.DUMMYFUNCTION("""COMPUTED_VALUE"""),"#VALUE!")</f>
        <v>#VALUE!</v>
      </c>
      <c r="BW27" t="str">
        <f ca="1">IFERROR(__xludf.DUMMYFUNCTION("""COMPUTED_VALUE"""),"#VALUE!")</f>
        <v>#VALUE!</v>
      </c>
      <c r="BY27" t="str">
        <f ca="1">IFERROR(__xludf.DUMMYFUNCTION("""COMPUTED_VALUE"""),"#VALUE!")</f>
        <v>#VALUE!</v>
      </c>
      <c r="CA27" t="str">
        <f ca="1">IFERROR(__xludf.DUMMYFUNCTION("""COMPUTED_VALUE"""),"#VALUE!")</f>
        <v>#VALUE!</v>
      </c>
      <c r="CC27" t="str">
        <f ca="1">IFERROR(__xludf.DUMMYFUNCTION("""COMPUTED_VALUE"""),"#VALUE!")</f>
        <v>#VALUE!</v>
      </c>
      <c r="CD27" t="str">
        <f ca="1">IFERROR(__xludf.DUMMYFUNCTION("""COMPUTED_VALUE"""),"C3598")</f>
        <v>C3598</v>
      </c>
      <c r="CE27" t="str">
        <f ca="1">IFERROR(__xludf.DUMMYFUNCTION("""COMPUTED_VALUE"""),"location of congregation")</f>
        <v>location of congregation</v>
      </c>
      <c r="CF27" t="str">
        <f ca="1">IFERROR(__xludf.DUMMYFUNCTION("""COMPUTED_VALUE"""),"L0009")</f>
        <v>L0009</v>
      </c>
      <c r="CG27" t="str">
        <f ca="1">IFERROR(__xludf.DUMMYFUNCTION("""COMPUTED_VALUE"""),"domus Michaelis de Catelono")</f>
        <v>domus Michaelis de Catelono</v>
      </c>
      <c r="CI27" t="str">
        <f ca="1">IFERROR(__xludf.DUMMYFUNCTION("""COMPUTED_VALUE"""),"#VALUE!")</f>
        <v>#VALUE!</v>
      </c>
      <c r="CK27" t="str">
        <f ca="1">IFERROR(__xludf.DUMMYFUNCTION("""COMPUTED_VALUE"""),"#VALUE!")</f>
        <v>#VALUE!</v>
      </c>
      <c r="CS27" t="str">
        <f ca="1">IFERROR(__xludf.DUMMYFUNCTION("""COMPUTED_VALUE"""),"#VALUE!")</f>
        <v>#VALUE!</v>
      </c>
      <c r="CU27" t="str">
        <f ca="1">IFERROR(__xludf.DUMMYFUNCTION("""COMPUTED_VALUE"""),"#VALUE!")</f>
        <v>#VALUE!</v>
      </c>
      <c r="CV27" t="str">
        <f ca="1">IFERROR(__xludf.DUMMYFUNCTION("""COMPUTED_VALUE"""),"L0010")</f>
        <v>L0010</v>
      </c>
      <c r="CW27" t="str">
        <f ca="1">IFERROR(__xludf.DUMMYFUNCTION("""COMPUTED_VALUE"""),"Buffa")</f>
        <v>Buffa</v>
      </c>
      <c r="CY27" t="str">
        <f ca="1">IFERROR(__xludf.DUMMYFUNCTION("""COMPUTED_VALUE"""),"#VALUE!")</f>
        <v>#VALUE!</v>
      </c>
      <c r="DC27" t="str">
        <f ca="1">IFERROR(__xludf.DUMMYFUNCTION("""COMPUTED_VALUE"""),"#VALUE!")</f>
        <v>#VALUE!</v>
      </c>
      <c r="DE27" t="str">
        <f ca="1">IFERROR(__xludf.DUMMYFUNCTION("""COMPUTED_VALUE"""),"#VALUE!")</f>
        <v>#VALUE!</v>
      </c>
      <c r="DH27" t="str">
        <f ca="1">IFERROR(__xludf.DUMMYFUNCTION("""COMPUTED_VALUE"""),"L0009")</f>
        <v>L0009</v>
      </c>
      <c r="DI27" t="str">
        <f ca="1">IFERROR(__xludf.DUMMYFUNCTION("""COMPUTED_VALUE"""),"domus Michaelis de Catelono")</f>
        <v>domus Michaelis de Catelono</v>
      </c>
      <c r="DJ27" t="str">
        <f ca="1">IFERROR(__xludf.DUMMYFUNCTION("""COMPUTED_VALUE"""),"domus")</f>
        <v>domus</v>
      </c>
      <c r="DL27" t="str">
        <f ca="1">IFERROR(__xludf.DUMMYFUNCTION("""COMPUTED_VALUE"""),"Davor Salihović")</f>
        <v>Davor Salihović</v>
      </c>
    </row>
    <row r="28" spans="1:116" ht="13.2" x14ac:dyDescent="0.25">
      <c r="A28" t="str">
        <f ca="1">IFERROR(__xludf.DUMMYFUNCTION("""COMPUTED_VALUE"""),"P0027")</f>
        <v>P0027</v>
      </c>
      <c r="B28" t="str">
        <f ca="1">IFERROR(__xludf.DUMMYFUNCTION("""COMPUTED_VALUE"""),"quidam de Lecio")</f>
        <v>quidam de Lecio</v>
      </c>
      <c r="D28" t="str">
        <f ca="1">IFERROR(__xludf.DUMMYFUNCTION("""COMPUTED_VALUE"""),"#VALUE!")</f>
        <v>#VALUE!</v>
      </c>
      <c r="E28" t="str">
        <f ca="1">IFERROR(__xludf.DUMMYFUNCTION("""COMPUTED_VALUE"""),"quidam de Lecio")</f>
        <v>quidam de Lecio</v>
      </c>
      <c r="J28" t="str">
        <f ca="1">IFERROR(__xludf.DUMMYFUNCTION("""COMPUTED_VALUE"""),"de")</f>
        <v>de</v>
      </c>
      <c r="K28" t="str">
        <f ca="1">IFERROR(__xludf.DUMMYFUNCTION("""COMPUTED_VALUE"""),"Lecio")</f>
        <v>Lecio</v>
      </c>
      <c r="L28" t="str">
        <f ca="1">IFERROR(__xludf.DUMMYFUNCTION("""COMPUTED_VALUE"""),"de Lecio")</f>
        <v>de Lecio</v>
      </c>
      <c r="S28" t="str">
        <f ca="1">IFERROR(__xludf.DUMMYFUNCTION("""COMPUTED_VALUE"""),"Latin")</f>
        <v>Latin</v>
      </c>
      <c r="T28" t="str">
        <f ca="1">IFERROR(__xludf.DUMMYFUNCTION("""COMPUTED_VALUE"""),"definite")</f>
        <v>definite</v>
      </c>
      <c r="U28" t="str">
        <f ca="1">IFERROR(__xludf.DUMMYFUNCTION("""COMPUTED_VALUE"""),"C2553")</f>
        <v>C2553</v>
      </c>
      <c r="V28" t="str">
        <f ca="1">IFERROR(__xludf.DUMMYFUNCTION("""COMPUTED_VALUE"""),"male")</f>
        <v>male</v>
      </c>
      <c r="Z28" t="str">
        <f ca="1">IFERROR(__xludf.DUMMYFUNCTION("""COMPUTED_VALUE"""),"163")</f>
        <v>163</v>
      </c>
      <c r="AA28" t="str">
        <f ca="1">IFERROR(__xludf.DUMMYFUNCTION("""COMPUTED_VALUE"""),"d")</f>
        <v>d</v>
      </c>
      <c r="AB28" t="str">
        <f ca="1">IFERROR(__xludf.DUMMYFUNCTION("""COMPUTED_VALUE"""),"suspect")</f>
        <v>suspect</v>
      </c>
      <c r="AE28" t="str">
        <f ca="1">IFERROR(__xludf.DUMMYFUNCTION("""COMPUTED_VALUE"""),"#VALUE!")</f>
        <v>#VALUE!</v>
      </c>
      <c r="AF28" t="str">
        <f ca="1">IFERROR(__xludf.DUMMYFUNCTION("""COMPUTED_VALUE"""),"#N/A")</f>
        <v>#N/A</v>
      </c>
      <c r="AG28" t="str">
        <f ca="1">IFERROR(__xludf.DUMMYFUNCTION("""COMPUTED_VALUE"""),"#N/A")</f>
        <v>#N/A</v>
      </c>
      <c r="AI28" t="str">
        <f ca="1">IFERROR(__xludf.DUMMYFUNCTION("""COMPUTED_VALUE"""),"#VALUE!")</f>
        <v>#VALUE!</v>
      </c>
      <c r="AK28" t="str">
        <f ca="1">IFERROR(__xludf.DUMMYFUNCTION("""COMPUTED_VALUE"""),"#VALUE!")</f>
        <v>#VALUE!</v>
      </c>
      <c r="AM28" t="str">
        <f ca="1">IFERROR(__xludf.DUMMYFUNCTION("""COMPUTED_VALUE"""),"#VALUE!")</f>
        <v>#VALUE!</v>
      </c>
      <c r="AO28" t="str">
        <f ca="1">IFERROR(__xludf.DUMMYFUNCTION("""COMPUTED_VALUE"""),"#VALUE!")</f>
        <v>#VALUE!</v>
      </c>
      <c r="AQ28" t="str">
        <f ca="1">IFERROR(__xludf.DUMMYFUNCTION("""COMPUTED_VALUE"""),"#VALUE!")</f>
        <v>#VALUE!</v>
      </c>
      <c r="AS28" t="str">
        <f ca="1">IFERROR(__xludf.DUMMYFUNCTION("""COMPUTED_VALUE"""),"#VALUE!")</f>
        <v>#VALUE!</v>
      </c>
      <c r="AU28" t="str">
        <f ca="1">IFERROR(__xludf.DUMMYFUNCTION("""COMPUTED_VALUE"""),"#VALUE!")</f>
        <v>#VALUE!</v>
      </c>
      <c r="AW28" t="str">
        <f ca="1">IFERROR(__xludf.DUMMYFUNCTION("""COMPUTED_VALUE"""),"#VALUE!")</f>
        <v>#VALUE!</v>
      </c>
      <c r="AY28" t="str">
        <f ca="1">IFERROR(__xludf.DUMMYFUNCTION("""COMPUTED_VALUE"""),"#VALUE!")</f>
        <v>#VALUE!</v>
      </c>
      <c r="BA28" t="str">
        <f ca="1">IFERROR(__xludf.DUMMYFUNCTION("""COMPUTED_VALUE"""),"#VALUE!")</f>
        <v>#VALUE!</v>
      </c>
      <c r="BC28" t="str">
        <f ca="1">IFERROR(__xludf.DUMMYFUNCTION("""COMPUTED_VALUE"""),"#VALUE!")</f>
        <v>#VALUE!</v>
      </c>
      <c r="BE28" t="str">
        <f ca="1">IFERROR(__xludf.DUMMYFUNCTION("""COMPUTED_VALUE"""),"#VALUE!")</f>
        <v>#VALUE!</v>
      </c>
      <c r="BG28" t="str">
        <f ca="1">IFERROR(__xludf.DUMMYFUNCTION("""COMPUTED_VALUE"""),"#VALUE!")</f>
        <v>#VALUE!</v>
      </c>
      <c r="BI28" t="str">
        <f ca="1">IFERROR(__xludf.DUMMYFUNCTION("""COMPUTED_VALUE"""),"#VALUE!")</f>
        <v>#VALUE!</v>
      </c>
      <c r="BK28" t="str">
        <f ca="1">IFERROR(__xludf.DUMMYFUNCTION("""COMPUTED_VALUE"""),"#VALUE!")</f>
        <v>#VALUE!</v>
      </c>
      <c r="BM28" t="str">
        <f ca="1">IFERROR(__xludf.DUMMYFUNCTION("""COMPUTED_VALUE"""),"#VALUE!")</f>
        <v>#VALUE!</v>
      </c>
      <c r="BO28" t="str">
        <f ca="1">IFERROR(__xludf.DUMMYFUNCTION("""COMPUTED_VALUE"""),"#VALUE!")</f>
        <v>#VALUE!</v>
      </c>
      <c r="BQ28" t="str">
        <f ca="1">IFERROR(__xludf.DUMMYFUNCTION("""COMPUTED_VALUE"""),"#VALUE!")</f>
        <v>#VALUE!</v>
      </c>
      <c r="BS28" t="str">
        <f ca="1">IFERROR(__xludf.DUMMYFUNCTION("""COMPUTED_VALUE"""),"#VALUE!")</f>
        <v>#VALUE!</v>
      </c>
      <c r="BU28" t="str">
        <f ca="1">IFERROR(__xludf.DUMMYFUNCTION("""COMPUTED_VALUE"""),"#VALUE!")</f>
        <v>#VALUE!</v>
      </c>
      <c r="BW28" t="str">
        <f ca="1">IFERROR(__xludf.DUMMYFUNCTION("""COMPUTED_VALUE"""),"#VALUE!")</f>
        <v>#VALUE!</v>
      </c>
      <c r="BY28" t="str">
        <f ca="1">IFERROR(__xludf.DUMMYFUNCTION("""COMPUTED_VALUE"""),"#VALUE!")</f>
        <v>#VALUE!</v>
      </c>
      <c r="CA28" t="str">
        <f ca="1">IFERROR(__xludf.DUMMYFUNCTION("""COMPUTED_VALUE"""),"#VALUE!")</f>
        <v>#VALUE!</v>
      </c>
      <c r="CC28" t="str">
        <f ca="1">IFERROR(__xludf.DUMMYFUNCTION("""COMPUTED_VALUE"""),"#VALUE!")</f>
        <v>#VALUE!</v>
      </c>
      <c r="CD28" t="str">
        <f ca="1">IFERROR(__xludf.DUMMYFUNCTION("""COMPUTED_VALUE"""),"C3598")</f>
        <v>C3598</v>
      </c>
      <c r="CE28" t="str">
        <f ca="1">IFERROR(__xludf.DUMMYFUNCTION("""COMPUTED_VALUE"""),"location of congregation")</f>
        <v>location of congregation</v>
      </c>
      <c r="CF28" t="str">
        <f ca="1">IFERROR(__xludf.DUMMYFUNCTION("""COMPUTED_VALUE"""),"L0009")</f>
        <v>L0009</v>
      </c>
      <c r="CG28" t="str">
        <f ca="1">IFERROR(__xludf.DUMMYFUNCTION("""COMPUTED_VALUE"""),"domus Michaelis de Catelono")</f>
        <v>domus Michaelis de Catelono</v>
      </c>
      <c r="CI28" t="str">
        <f ca="1">IFERROR(__xludf.DUMMYFUNCTION("""COMPUTED_VALUE"""),"#VALUE!")</f>
        <v>#VALUE!</v>
      </c>
      <c r="CK28" t="str">
        <f ca="1">IFERROR(__xludf.DUMMYFUNCTION("""COMPUTED_VALUE"""),"#VALUE!")</f>
        <v>#VALUE!</v>
      </c>
      <c r="CS28" t="str">
        <f ca="1">IFERROR(__xludf.DUMMYFUNCTION("""COMPUTED_VALUE"""),"#VALUE!")</f>
        <v>#VALUE!</v>
      </c>
      <c r="CU28" t="str">
        <f ca="1">IFERROR(__xludf.DUMMYFUNCTION("""COMPUTED_VALUE"""),"#VALUE!")</f>
        <v>#VALUE!</v>
      </c>
      <c r="CV28" t="str">
        <f ca="1">IFERROR(__xludf.DUMMYFUNCTION("""COMPUTED_VALUE"""),"L0007")</f>
        <v>L0007</v>
      </c>
      <c r="CW28" t="str">
        <f ca="1">IFERROR(__xludf.DUMMYFUNCTION("""COMPUTED_VALUE"""),"Paschero")</f>
        <v>Paschero</v>
      </c>
      <c r="CY28" t="str">
        <f ca="1">IFERROR(__xludf.DUMMYFUNCTION("""COMPUTED_VALUE"""),"#VALUE!")</f>
        <v>#VALUE!</v>
      </c>
      <c r="DC28" t="str">
        <f ca="1">IFERROR(__xludf.DUMMYFUNCTION("""COMPUTED_VALUE"""),"#VALUE!")</f>
        <v>#VALUE!</v>
      </c>
      <c r="DE28" t="str">
        <f ca="1">IFERROR(__xludf.DUMMYFUNCTION("""COMPUTED_VALUE"""),"#VALUE!")</f>
        <v>#VALUE!</v>
      </c>
      <c r="DH28" t="str">
        <f ca="1">IFERROR(__xludf.DUMMYFUNCTION("""COMPUTED_VALUE"""),"L0009")</f>
        <v>L0009</v>
      </c>
      <c r="DI28" t="str">
        <f ca="1">IFERROR(__xludf.DUMMYFUNCTION("""COMPUTED_VALUE"""),"domus Michaelis de Catelono")</f>
        <v>domus Michaelis de Catelono</v>
      </c>
      <c r="DJ28" t="str">
        <f ca="1">IFERROR(__xludf.DUMMYFUNCTION("""COMPUTED_VALUE"""),"domus")</f>
        <v>domus</v>
      </c>
      <c r="DL28" t="str">
        <f ca="1">IFERROR(__xludf.DUMMYFUNCTION("""COMPUTED_VALUE"""),"Davor Salihović")</f>
        <v>Davor Salihović</v>
      </c>
    </row>
    <row r="29" spans="1:116" ht="13.2" x14ac:dyDescent="0.25">
      <c r="A29" t="str">
        <f ca="1">IFERROR(__xludf.DUMMYFUNCTION("""COMPUTED_VALUE"""),"P0028")</f>
        <v>P0028</v>
      </c>
      <c r="B29" t="str">
        <f ca="1">IFERROR(__xludf.DUMMYFUNCTION("""COMPUTED_VALUE"""),"Bonerius Mulinerii")</f>
        <v>Bonerius Mulinerii</v>
      </c>
      <c r="D29" t="str">
        <f ca="1">IFERROR(__xludf.DUMMYFUNCTION("""COMPUTED_VALUE"""),"#VALUE!")</f>
        <v>#VALUE!</v>
      </c>
      <c r="E29" t="str">
        <f ca="1">IFERROR(__xludf.DUMMYFUNCTION("""COMPUTED_VALUE"""),"Bonerius")</f>
        <v>Bonerius</v>
      </c>
      <c r="K29" t="str">
        <f ca="1">IFERROR(__xludf.DUMMYFUNCTION("""COMPUTED_VALUE"""),"Mulinerii")</f>
        <v>Mulinerii</v>
      </c>
      <c r="L29" t="str">
        <f ca="1">IFERROR(__xludf.DUMMYFUNCTION("""COMPUTED_VALUE"""),"Mulinerii")</f>
        <v>Mulinerii</v>
      </c>
      <c r="S29" t="str">
        <f ca="1">IFERROR(__xludf.DUMMYFUNCTION("""COMPUTED_VALUE"""),"Latin")</f>
        <v>Latin</v>
      </c>
      <c r="T29" t="str">
        <f ca="1">IFERROR(__xludf.DUMMYFUNCTION("""COMPUTED_VALUE"""),"definite")</f>
        <v>definite</v>
      </c>
      <c r="U29" t="str">
        <f ca="1">IFERROR(__xludf.DUMMYFUNCTION("""COMPUTED_VALUE"""),"C2553")</f>
        <v>C2553</v>
      </c>
      <c r="V29" t="str">
        <f ca="1">IFERROR(__xludf.DUMMYFUNCTION("""COMPUTED_VALUE"""),"male")</f>
        <v>male</v>
      </c>
      <c r="Z29" t="str">
        <f ca="1">IFERROR(__xludf.DUMMYFUNCTION("""COMPUTED_VALUE"""),"163")</f>
        <v>163</v>
      </c>
      <c r="AA29" t="str">
        <f ca="1">IFERROR(__xludf.DUMMYFUNCTION("""COMPUTED_VALUE"""),"d")</f>
        <v>d</v>
      </c>
      <c r="AB29" t="str">
        <f ca="1">IFERROR(__xludf.DUMMYFUNCTION("""COMPUTED_VALUE"""),"NA")</f>
        <v>NA</v>
      </c>
      <c r="AE29" t="str">
        <f ca="1">IFERROR(__xludf.DUMMYFUNCTION("""COMPUTED_VALUE"""),"#VALUE!")</f>
        <v>#VALUE!</v>
      </c>
      <c r="AF29" t="str">
        <f ca="1">IFERROR(__xludf.DUMMYFUNCTION("""COMPUTED_VALUE"""),"#N/A")</f>
        <v>#N/A</v>
      </c>
      <c r="AG29" t="str">
        <f ca="1">IFERROR(__xludf.DUMMYFUNCTION("""COMPUTED_VALUE"""),"#N/A")</f>
        <v>#N/A</v>
      </c>
      <c r="AI29" t="str">
        <f ca="1">IFERROR(__xludf.DUMMYFUNCTION("""COMPUTED_VALUE"""),"#VALUE!")</f>
        <v>#VALUE!</v>
      </c>
      <c r="AK29" t="str">
        <f ca="1">IFERROR(__xludf.DUMMYFUNCTION("""COMPUTED_VALUE"""),"#VALUE!")</f>
        <v>#VALUE!</v>
      </c>
      <c r="AM29" t="str">
        <f ca="1">IFERROR(__xludf.DUMMYFUNCTION("""COMPUTED_VALUE"""),"#VALUE!")</f>
        <v>#VALUE!</v>
      </c>
      <c r="AO29" t="str">
        <f ca="1">IFERROR(__xludf.DUMMYFUNCTION("""COMPUTED_VALUE"""),"#VALUE!")</f>
        <v>#VALUE!</v>
      </c>
      <c r="AQ29" t="str">
        <f ca="1">IFERROR(__xludf.DUMMYFUNCTION("""COMPUTED_VALUE"""),"#VALUE!")</f>
        <v>#VALUE!</v>
      </c>
      <c r="AS29" t="str">
        <f ca="1">IFERROR(__xludf.DUMMYFUNCTION("""COMPUTED_VALUE"""),"#VALUE!")</f>
        <v>#VALUE!</v>
      </c>
      <c r="AU29" t="str">
        <f ca="1">IFERROR(__xludf.DUMMYFUNCTION("""COMPUTED_VALUE"""),"#VALUE!")</f>
        <v>#VALUE!</v>
      </c>
      <c r="AW29" t="str">
        <f ca="1">IFERROR(__xludf.DUMMYFUNCTION("""COMPUTED_VALUE"""),"#VALUE!")</f>
        <v>#VALUE!</v>
      </c>
      <c r="AY29" t="str">
        <f ca="1">IFERROR(__xludf.DUMMYFUNCTION("""COMPUTED_VALUE"""),"#VALUE!")</f>
        <v>#VALUE!</v>
      </c>
      <c r="BA29" t="str">
        <f ca="1">IFERROR(__xludf.DUMMYFUNCTION("""COMPUTED_VALUE"""),"#VALUE!")</f>
        <v>#VALUE!</v>
      </c>
      <c r="BC29" t="str">
        <f ca="1">IFERROR(__xludf.DUMMYFUNCTION("""COMPUTED_VALUE"""),"#VALUE!")</f>
        <v>#VALUE!</v>
      </c>
      <c r="BE29" t="str">
        <f ca="1">IFERROR(__xludf.DUMMYFUNCTION("""COMPUTED_VALUE"""),"#VALUE!")</f>
        <v>#VALUE!</v>
      </c>
      <c r="BG29" t="str">
        <f ca="1">IFERROR(__xludf.DUMMYFUNCTION("""COMPUTED_VALUE"""),"#VALUE!")</f>
        <v>#VALUE!</v>
      </c>
      <c r="BI29" t="str">
        <f ca="1">IFERROR(__xludf.DUMMYFUNCTION("""COMPUTED_VALUE"""),"#VALUE!")</f>
        <v>#VALUE!</v>
      </c>
      <c r="BK29" t="str">
        <f ca="1">IFERROR(__xludf.DUMMYFUNCTION("""COMPUTED_VALUE"""),"#VALUE!")</f>
        <v>#VALUE!</v>
      </c>
      <c r="BM29" t="str">
        <f ca="1">IFERROR(__xludf.DUMMYFUNCTION("""COMPUTED_VALUE"""),"#VALUE!")</f>
        <v>#VALUE!</v>
      </c>
      <c r="BO29" t="str">
        <f ca="1">IFERROR(__xludf.DUMMYFUNCTION("""COMPUTED_VALUE"""),"#VALUE!")</f>
        <v>#VALUE!</v>
      </c>
      <c r="BQ29" t="str">
        <f ca="1">IFERROR(__xludf.DUMMYFUNCTION("""COMPUTED_VALUE"""),"#VALUE!")</f>
        <v>#VALUE!</v>
      </c>
      <c r="BS29" t="str">
        <f ca="1">IFERROR(__xludf.DUMMYFUNCTION("""COMPUTED_VALUE"""),"#VALUE!")</f>
        <v>#VALUE!</v>
      </c>
      <c r="BU29" t="str">
        <f ca="1">IFERROR(__xludf.DUMMYFUNCTION("""COMPUTED_VALUE"""),"#VALUE!")</f>
        <v>#VALUE!</v>
      </c>
      <c r="BW29" t="str">
        <f ca="1">IFERROR(__xludf.DUMMYFUNCTION("""COMPUTED_VALUE"""),"#VALUE!")</f>
        <v>#VALUE!</v>
      </c>
      <c r="BY29" t="str">
        <f ca="1">IFERROR(__xludf.DUMMYFUNCTION("""COMPUTED_VALUE"""),"#VALUE!")</f>
        <v>#VALUE!</v>
      </c>
      <c r="CA29" t="str">
        <f ca="1">IFERROR(__xludf.DUMMYFUNCTION("""COMPUTED_VALUE"""),"#VALUE!")</f>
        <v>#VALUE!</v>
      </c>
      <c r="CC29" t="str">
        <f ca="1">IFERROR(__xludf.DUMMYFUNCTION("""COMPUTED_VALUE"""),"#VALUE!")</f>
        <v>#VALUE!</v>
      </c>
      <c r="CE29" t="str">
        <f ca="1">IFERROR(__xludf.DUMMYFUNCTION("""COMPUTED_VALUE"""),"#VALUE!")</f>
        <v>#VALUE!</v>
      </c>
      <c r="CG29" t="str">
        <f ca="1">IFERROR(__xludf.DUMMYFUNCTION("""COMPUTED_VALUE"""),"#VALUE!")</f>
        <v>#VALUE!</v>
      </c>
      <c r="CI29" t="str">
        <f ca="1">IFERROR(__xludf.DUMMYFUNCTION("""COMPUTED_VALUE"""),"#VALUE!")</f>
        <v>#VALUE!</v>
      </c>
      <c r="CK29" t="str">
        <f ca="1">IFERROR(__xludf.DUMMYFUNCTION("""COMPUTED_VALUE"""),"#VALUE!")</f>
        <v>#VALUE!</v>
      </c>
      <c r="CS29" t="str">
        <f ca="1">IFERROR(__xludf.DUMMYFUNCTION("""COMPUTED_VALUE"""),"#VALUE!")</f>
        <v>#VALUE!</v>
      </c>
      <c r="CU29" t="str">
        <f ca="1">IFERROR(__xludf.DUMMYFUNCTION("""COMPUTED_VALUE"""),"#VALUE!")</f>
        <v>#VALUE!</v>
      </c>
      <c r="CW29" t="str">
        <f ca="1">IFERROR(__xludf.DUMMYFUNCTION("""COMPUTED_VALUE"""),"#VALUE!")</f>
        <v>#VALUE!</v>
      </c>
      <c r="CY29" t="str">
        <f ca="1">IFERROR(__xludf.DUMMYFUNCTION("""COMPUTED_VALUE"""),"#VALUE!")</f>
        <v>#VALUE!</v>
      </c>
      <c r="DC29" t="str">
        <f ca="1">IFERROR(__xludf.DUMMYFUNCTION("""COMPUTED_VALUE"""),"#VALUE!")</f>
        <v>#VALUE!</v>
      </c>
      <c r="DE29" t="str">
        <f ca="1">IFERROR(__xludf.DUMMYFUNCTION("""COMPUTED_VALUE"""),"#VALUE!")</f>
        <v>#VALUE!</v>
      </c>
      <c r="DI29" t="str">
        <f ca="1">IFERROR(__xludf.DUMMYFUNCTION("""COMPUTED_VALUE"""),"#VALUE!")</f>
        <v>#VALUE!</v>
      </c>
      <c r="DJ29" t="str">
        <f ca="1">IFERROR(__xludf.DUMMYFUNCTION("""COMPUTED_VALUE"""),"#VALUE!")</f>
        <v>#VALUE!</v>
      </c>
      <c r="DL29" t="str">
        <f ca="1">IFERROR(__xludf.DUMMYFUNCTION("""COMPUTED_VALUE"""),"Davor Salihović")</f>
        <v>Davor Salihović</v>
      </c>
    </row>
    <row r="30" spans="1:116" ht="13.2" x14ac:dyDescent="0.25">
      <c r="A30" t="str">
        <f ca="1">IFERROR(__xludf.DUMMYFUNCTION("""COMPUTED_VALUE"""),"P0029")</f>
        <v>P0029</v>
      </c>
      <c r="B30" t="str">
        <f ca="1">IFERROR(__xludf.DUMMYFUNCTION("""COMPUTED_VALUE"""),"Hugo Mulinerii")</f>
        <v>Hugo Mulinerii</v>
      </c>
      <c r="D30" t="str">
        <f ca="1">IFERROR(__xludf.DUMMYFUNCTION("""COMPUTED_VALUE"""),"#VALUE!")</f>
        <v>#VALUE!</v>
      </c>
      <c r="E30" t="str">
        <f ca="1">IFERROR(__xludf.DUMMYFUNCTION("""COMPUTED_VALUE"""),"Hugo")</f>
        <v>Hugo</v>
      </c>
      <c r="K30" t="str">
        <f ca="1">IFERROR(__xludf.DUMMYFUNCTION("""COMPUTED_VALUE"""),"Mulinerii")</f>
        <v>Mulinerii</v>
      </c>
      <c r="L30" t="str">
        <f ca="1">IFERROR(__xludf.DUMMYFUNCTION("""COMPUTED_VALUE"""),"Mulinerii")</f>
        <v>Mulinerii</v>
      </c>
      <c r="S30" t="str">
        <f ca="1">IFERROR(__xludf.DUMMYFUNCTION("""COMPUTED_VALUE"""),"Latin")</f>
        <v>Latin</v>
      </c>
      <c r="T30" t="str">
        <f ca="1">IFERROR(__xludf.DUMMYFUNCTION("""COMPUTED_VALUE"""),"definite")</f>
        <v>definite</v>
      </c>
      <c r="U30" t="str">
        <f ca="1">IFERROR(__xludf.DUMMYFUNCTION("""COMPUTED_VALUE"""),"C2553")</f>
        <v>C2553</v>
      </c>
      <c r="V30" t="str">
        <f ca="1">IFERROR(__xludf.DUMMYFUNCTION("""COMPUTED_VALUE"""),"male")</f>
        <v>male</v>
      </c>
      <c r="Z30" t="str">
        <f ca="1">IFERROR(__xludf.DUMMYFUNCTION("""COMPUTED_VALUE"""),"163")</f>
        <v>163</v>
      </c>
      <c r="AA30" t="str">
        <f ca="1">IFERROR(__xludf.DUMMYFUNCTION("""COMPUTED_VALUE"""),"d")</f>
        <v>d</v>
      </c>
      <c r="AB30" t="str">
        <f ca="1">IFERROR(__xludf.DUMMYFUNCTION("""COMPUTED_VALUE"""),"NA")</f>
        <v>NA</v>
      </c>
      <c r="AE30" t="str">
        <f ca="1">IFERROR(__xludf.DUMMYFUNCTION("""COMPUTED_VALUE"""),"#VALUE!")</f>
        <v>#VALUE!</v>
      </c>
      <c r="AF30" t="str">
        <f ca="1">IFERROR(__xludf.DUMMYFUNCTION("""COMPUTED_VALUE"""),"#N/A")</f>
        <v>#N/A</v>
      </c>
      <c r="AG30" t="str">
        <f ca="1">IFERROR(__xludf.DUMMYFUNCTION("""COMPUTED_VALUE"""),"#N/A")</f>
        <v>#N/A</v>
      </c>
      <c r="AH30" t="str">
        <f ca="1">IFERROR(__xludf.DUMMYFUNCTION("""COMPUTED_VALUE"""),"C2337")</f>
        <v>C2337</v>
      </c>
      <c r="AI30" t="str">
        <f ca="1">IFERROR(__xludf.DUMMYFUNCTION("""COMPUTED_VALUE"""),"brother")</f>
        <v>brother</v>
      </c>
      <c r="AJ30" t="str">
        <f ca="1">IFERROR(__xludf.DUMMYFUNCTION("""COMPUTED_VALUE"""),"P0028")</f>
        <v>P0028</v>
      </c>
      <c r="AK30" t="str">
        <f ca="1">IFERROR(__xludf.DUMMYFUNCTION("""COMPUTED_VALUE"""),"Bonerius Mulinerii")</f>
        <v>Bonerius Mulinerii</v>
      </c>
      <c r="AM30" t="str">
        <f ca="1">IFERROR(__xludf.DUMMYFUNCTION("""COMPUTED_VALUE"""),"#VALUE!")</f>
        <v>#VALUE!</v>
      </c>
      <c r="AO30" t="str">
        <f ca="1">IFERROR(__xludf.DUMMYFUNCTION("""COMPUTED_VALUE"""),"#VALUE!")</f>
        <v>#VALUE!</v>
      </c>
      <c r="AQ30" t="str">
        <f ca="1">IFERROR(__xludf.DUMMYFUNCTION("""COMPUTED_VALUE"""),"#VALUE!")</f>
        <v>#VALUE!</v>
      </c>
      <c r="AS30" t="str">
        <f ca="1">IFERROR(__xludf.DUMMYFUNCTION("""COMPUTED_VALUE"""),"#VALUE!")</f>
        <v>#VALUE!</v>
      </c>
      <c r="AU30" t="str">
        <f ca="1">IFERROR(__xludf.DUMMYFUNCTION("""COMPUTED_VALUE"""),"#VALUE!")</f>
        <v>#VALUE!</v>
      </c>
      <c r="AW30" t="str">
        <f ca="1">IFERROR(__xludf.DUMMYFUNCTION("""COMPUTED_VALUE"""),"#VALUE!")</f>
        <v>#VALUE!</v>
      </c>
      <c r="AY30" t="str">
        <f ca="1">IFERROR(__xludf.DUMMYFUNCTION("""COMPUTED_VALUE"""),"#VALUE!")</f>
        <v>#VALUE!</v>
      </c>
      <c r="BA30" t="str">
        <f ca="1">IFERROR(__xludf.DUMMYFUNCTION("""COMPUTED_VALUE"""),"#VALUE!")</f>
        <v>#VALUE!</v>
      </c>
      <c r="BC30" t="str">
        <f ca="1">IFERROR(__xludf.DUMMYFUNCTION("""COMPUTED_VALUE"""),"#VALUE!")</f>
        <v>#VALUE!</v>
      </c>
      <c r="BE30" t="str">
        <f ca="1">IFERROR(__xludf.DUMMYFUNCTION("""COMPUTED_VALUE"""),"#VALUE!")</f>
        <v>#VALUE!</v>
      </c>
      <c r="BG30" t="str">
        <f ca="1">IFERROR(__xludf.DUMMYFUNCTION("""COMPUTED_VALUE"""),"#VALUE!")</f>
        <v>#VALUE!</v>
      </c>
      <c r="BI30" t="str">
        <f ca="1">IFERROR(__xludf.DUMMYFUNCTION("""COMPUTED_VALUE"""),"#VALUE!")</f>
        <v>#VALUE!</v>
      </c>
      <c r="BK30" t="str">
        <f ca="1">IFERROR(__xludf.DUMMYFUNCTION("""COMPUTED_VALUE"""),"#VALUE!")</f>
        <v>#VALUE!</v>
      </c>
      <c r="BM30" t="str">
        <f ca="1">IFERROR(__xludf.DUMMYFUNCTION("""COMPUTED_VALUE"""),"#VALUE!")</f>
        <v>#VALUE!</v>
      </c>
      <c r="BO30" t="str">
        <f ca="1">IFERROR(__xludf.DUMMYFUNCTION("""COMPUTED_VALUE"""),"#VALUE!")</f>
        <v>#VALUE!</v>
      </c>
      <c r="BQ30" t="str">
        <f ca="1">IFERROR(__xludf.DUMMYFUNCTION("""COMPUTED_VALUE"""),"#VALUE!")</f>
        <v>#VALUE!</v>
      </c>
      <c r="BS30" t="str">
        <f ca="1">IFERROR(__xludf.DUMMYFUNCTION("""COMPUTED_VALUE"""),"#VALUE!")</f>
        <v>#VALUE!</v>
      </c>
      <c r="BU30" t="str">
        <f ca="1">IFERROR(__xludf.DUMMYFUNCTION("""COMPUTED_VALUE"""),"#VALUE!")</f>
        <v>#VALUE!</v>
      </c>
      <c r="BW30" t="str">
        <f ca="1">IFERROR(__xludf.DUMMYFUNCTION("""COMPUTED_VALUE"""),"#VALUE!")</f>
        <v>#VALUE!</v>
      </c>
      <c r="BY30" t="str">
        <f ca="1">IFERROR(__xludf.DUMMYFUNCTION("""COMPUTED_VALUE"""),"#VALUE!")</f>
        <v>#VALUE!</v>
      </c>
      <c r="CA30" t="str">
        <f ca="1">IFERROR(__xludf.DUMMYFUNCTION("""COMPUTED_VALUE"""),"#VALUE!")</f>
        <v>#VALUE!</v>
      </c>
      <c r="CC30" t="str">
        <f ca="1">IFERROR(__xludf.DUMMYFUNCTION("""COMPUTED_VALUE"""),"#VALUE!")</f>
        <v>#VALUE!</v>
      </c>
      <c r="CE30" t="str">
        <f ca="1">IFERROR(__xludf.DUMMYFUNCTION("""COMPUTED_VALUE"""),"#VALUE!")</f>
        <v>#VALUE!</v>
      </c>
      <c r="CG30" t="str">
        <f ca="1">IFERROR(__xludf.DUMMYFUNCTION("""COMPUTED_VALUE"""),"#VALUE!")</f>
        <v>#VALUE!</v>
      </c>
      <c r="CI30" t="str">
        <f ca="1">IFERROR(__xludf.DUMMYFUNCTION("""COMPUTED_VALUE"""),"#VALUE!")</f>
        <v>#VALUE!</v>
      </c>
      <c r="CK30" t="str">
        <f ca="1">IFERROR(__xludf.DUMMYFUNCTION("""COMPUTED_VALUE"""),"#VALUE!")</f>
        <v>#VALUE!</v>
      </c>
      <c r="CS30" t="str">
        <f ca="1">IFERROR(__xludf.DUMMYFUNCTION("""COMPUTED_VALUE"""),"#VALUE!")</f>
        <v>#VALUE!</v>
      </c>
      <c r="CU30" t="str">
        <f ca="1">IFERROR(__xludf.DUMMYFUNCTION("""COMPUTED_VALUE"""),"#VALUE!")</f>
        <v>#VALUE!</v>
      </c>
      <c r="CW30" t="str">
        <f ca="1">IFERROR(__xludf.DUMMYFUNCTION("""COMPUTED_VALUE"""),"#VALUE!")</f>
        <v>#VALUE!</v>
      </c>
      <c r="CY30" t="str">
        <f ca="1">IFERROR(__xludf.DUMMYFUNCTION("""COMPUTED_VALUE"""),"#VALUE!")</f>
        <v>#VALUE!</v>
      </c>
      <c r="DC30" t="str">
        <f ca="1">IFERROR(__xludf.DUMMYFUNCTION("""COMPUTED_VALUE"""),"#VALUE!")</f>
        <v>#VALUE!</v>
      </c>
      <c r="DE30" t="str">
        <f ca="1">IFERROR(__xludf.DUMMYFUNCTION("""COMPUTED_VALUE"""),"#VALUE!")</f>
        <v>#VALUE!</v>
      </c>
      <c r="DI30" t="str">
        <f ca="1">IFERROR(__xludf.DUMMYFUNCTION("""COMPUTED_VALUE"""),"#VALUE!")</f>
        <v>#VALUE!</v>
      </c>
      <c r="DJ30" t="str">
        <f ca="1">IFERROR(__xludf.DUMMYFUNCTION("""COMPUTED_VALUE"""),"#VALUE!")</f>
        <v>#VALUE!</v>
      </c>
      <c r="DL30" t="str">
        <f ca="1">IFERROR(__xludf.DUMMYFUNCTION("""COMPUTED_VALUE"""),"Davor Salihović")</f>
        <v>Davor Salihović</v>
      </c>
    </row>
    <row r="31" spans="1:116" ht="13.2" x14ac:dyDescent="0.25">
      <c r="A31" t="str">
        <f ca="1">IFERROR(__xludf.DUMMYFUNCTION("""COMPUTED_VALUE"""),"P0030")</f>
        <v>P0030</v>
      </c>
      <c r="B31" t="str">
        <f ca="1">IFERROR(__xludf.DUMMYFUNCTION("""COMPUTED_VALUE"""),"quidam homo")</f>
        <v>quidam homo</v>
      </c>
      <c r="D31" t="str">
        <f ca="1">IFERROR(__xludf.DUMMYFUNCTION("""COMPUTED_VALUE"""),"#VALUE!")</f>
        <v>#VALUE!</v>
      </c>
      <c r="E31" t="str">
        <f ca="1">IFERROR(__xludf.DUMMYFUNCTION("""COMPUTED_VALUE"""),"quidam homo")</f>
        <v>quidam homo</v>
      </c>
      <c r="S31" t="str">
        <f ca="1">IFERROR(__xludf.DUMMYFUNCTION("""COMPUTED_VALUE"""),"Latin")</f>
        <v>Latin</v>
      </c>
      <c r="T31" t="str">
        <f ca="1">IFERROR(__xludf.DUMMYFUNCTION("""COMPUTED_VALUE"""),"indefinite")</f>
        <v>indefinite</v>
      </c>
      <c r="U31" t="str">
        <f ca="1">IFERROR(__xludf.DUMMYFUNCTION("""COMPUTED_VALUE"""),"C2553")</f>
        <v>C2553</v>
      </c>
      <c r="V31" t="str">
        <f ca="1">IFERROR(__xludf.DUMMYFUNCTION("""COMPUTED_VALUE"""),"male")</f>
        <v>male</v>
      </c>
      <c r="Z31" t="str">
        <f ca="1">IFERROR(__xludf.DUMMYFUNCTION("""COMPUTED_VALUE"""),"164")</f>
        <v>164</v>
      </c>
      <c r="AA31" t="str">
        <f ca="1">IFERROR(__xludf.DUMMYFUNCTION("""COMPUTED_VALUE"""),"d")</f>
        <v>d</v>
      </c>
      <c r="AB31" t="str">
        <f ca="1">IFERROR(__xludf.DUMMYFUNCTION("""COMPUTED_VALUE"""),"suspect")</f>
        <v>suspect</v>
      </c>
      <c r="AE31" t="str">
        <f ca="1">IFERROR(__xludf.DUMMYFUNCTION("""COMPUTED_VALUE"""),"#VALUE!")</f>
        <v>#VALUE!</v>
      </c>
      <c r="AF31" t="str">
        <f ca="1">IFERROR(__xludf.DUMMYFUNCTION("""COMPUTED_VALUE"""),"#N/A")</f>
        <v>#N/A</v>
      </c>
      <c r="AG31" t="str">
        <f ca="1">IFERROR(__xludf.DUMMYFUNCTION("""COMPUTED_VALUE"""),"#N/A")</f>
        <v>#N/A</v>
      </c>
      <c r="AI31" t="str">
        <f ca="1">IFERROR(__xludf.DUMMYFUNCTION("""COMPUTED_VALUE"""),"#VALUE!")</f>
        <v>#VALUE!</v>
      </c>
      <c r="AK31" t="str">
        <f ca="1">IFERROR(__xludf.DUMMYFUNCTION("""COMPUTED_VALUE"""),"#VALUE!")</f>
        <v>#VALUE!</v>
      </c>
      <c r="AM31" t="str">
        <f ca="1">IFERROR(__xludf.DUMMYFUNCTION("""COMPUTED_VALUE"""),"#VALUE!")</f>
        <v>#VALUE!</v>
      </c>
      <c r="AO31" t="str">
        <f ca="1">IFERROR(__xludf.DUMMYFUNCTION("""COMPUTED_VALUE"""),"#VALUE!")</f>
        <v>#VALUE!</v>
      </c>
      <c r="AQ31" t="str">
        <f ca="1">IFERROR(__xludf.DUMMYFUNCTION("""COMPUTED_VALUE"""),"#VALUE!")</f>
        <v>#VALUE!</v>
      </c>
      <c r="AS31" t="str">
        <f ca="1">IFERROR(__xludf.DUMMYFUNCTION("""COMPUTED_VALUE"""),"#VALUE!")</f>
        <v>#VALUE!</v>
      </c>
      <c r="AU31" t="str">
        <f ca="1">IFERROR(__xludf.DUMMYFUNCTION("""COMPUTED_VALUE"""),"#VALUE!")</f>
        <v>#VALUE!</v>
      </c>
      <c r="AW31" t="str">
        <f ca="1">IFERROR(__xludf.DUMMYFUNCTION("""COMPUTED_VALUE"""),"#VALUE!")</f>
        <v>#VALUE!</v>
      </c>
      <c r="AY31" t="str">
        <f ca="1">IFERROR(__xludf.DUMMYFUNCTION("""COMPUTED_VALUE"""),"#VALUE!")</f>
        <v>#VALUE!</v>
      </c>
      <c r="BA31" t="str">
        <f ca="1">IFERROR(__xludf.DUMMYFUNCTION("""COMPUTED_VALUE"""),"#VALUE!")</f>
        <v>#VALUE!</v>
      </c>
      <c r="BC31" t="str">
        <f ca="1">IFERROR(__xludf.DUMMYFUNCTION("""COMPUTED_VALUE"""),"#VALUE!")</f>
        <v>#VALUE!</v>
      </c>
      <c r="BE31" t="str">
        <f ca="1">IFERROR(__xludf.DUMMYFUNCTION("""COMPUTED_VALUE"""),"#VALUE!")</f>
        <v>#VALUE!</v>
      </c>
      <c r="BG31" t="str">
        <f ca="1">IFERROR(__xludf.DUMMYFUNCTION("""COMPUTED_VALUE"""),"#VALUE!")</f>
        <v>#VALUE!</v>
      </c>
      <c r="BI31" t="str">
        <f ca="1">IFERROR(__xludf.DUMMYFUNCTION("""COMPUTED_VALUE"""),"#VALUE!")</f>
        <v>#VALUE!</v>
      </c>
      <c r="BK31" t="str">
        <f ca="1">IFERROR(__xludf.DUMMYFUNCTION("""COMPUTED_VALUE"""),"#VALUE!")</f>
        <v>#VALUE!</v>
      </c>
      <c r="BM31" t="str">
        <f ca="1">IFERROR(__xludf.DUMMYFUNCTION("""COMPUTED_VALUE"""),"#VALUE!")</f>
        <v>#VALUE!</v>
      </c>
      <c r="BO31" t="str">
        <f ca="1">IFERROR(__xludf.DUMMYFUNCTION("""COMPUTED_VALUE"""),"#VALUE!")</f>
        <v>#VALUE!</v>
      </c>
      <c r="BQ31" t="str">
        <f ca="1">IFERROR(__xludf.DUMMYFUNCTION("""COMPUTED_VALUE"""),"#VALUE!")</f>
        <v>#VALUE!</v>
      </c>
      <c r="BS31" t="str">
        <f ca="1">IFERROR(__xludf.DUMMYFUNCTION("""COMPUTED_VALUE"""),"#VALUE!")</f>
        <v>#VALUE!</v>
      </c>
      <c r="BU31" t="str">
        <f ca="1">IFERROR(__xludf.DUMMYFUNCTION("""COMPUTED_VALUE"""),"#VALUE!")</f>
        <v>#VALUE!</v>
      </c>
      <c r="BW31" t="str">
        <f ca="1">IFERROR(__xludf.DUMMYFUNCTION("""COMPUTED_VALUE"""),"#VALUE!")</f>
        <v>#VALUE!</v>
      </c>
      <c r="BY31" t="str">
        <f ca="1">IFERROR(__xludf.DUMMYFUNCTION("""COMPUTED_VALUE"""),"#VALUE!")</f>
        <v>#VALUE!</v>
      </c>
      <c r="CA31" t="str">
        <f ca="1">IFERROR(__xludf.DUMMYFUNCTION("""COMPUTED_VALUE"""),"#VALUE!")</f>
        <v>#VALUE!</v>
      </c>
      <c r="CC31" t="str">
        <f ca="1">IFERROR(__xludf.DUMMYFUNCTION("""COMPUTED_VALUE"""),"#VALUE!")</f>
        <v>#VALUE!</v>
      </c>
      <c r="CE31" t="str">
        <f ca="1">IFERROR(__xludf.DUMMYFUNCTION("""COMPUTED_VALUE"""),"#VALUE!")</f>
        <v>#VALUE!</v>
      </c>
      <c r="CG31" t="str">
        <f ca="1">IFERROR(__xludf.DUMMYFUNCTION("""COMPUTED_VALUE"""),"#VALUE!")</f>
        <v>#VALUE!</v>
      </c>
      <c r="CI31" t="str">
        <f ca="1">IFERROR(__xludf.DUMMYFUNCTION("""COMPUTED_VALUE"""),"#VALUE!")</f>
        <v>#VALUE!</v>
      </c>
      <c r="CK31" t="str">
        <f ca="1">IFERROR(__xludf.DUMMYFUNCTION("""COMPUTED_VALUE"""),"#VALUE!")</f>
        <v>#VALUE!</v>
      </c>
      <c r="CS31" t="str">
        <f ca="1">IFERROR(__xludf.DUMMYFUNCTION("""COMPUTED_VALUE"""),"#VALUE!")</f>
        <v>#VALUE!</v>
      </c>
      <c r="CU31" t="str">
        <f ca="1">IFERROR(__xludf.DUMMYFUNCTION("""COMPUTED_VALUE"""),"#VALUE!")</f>
        <v>#VALUE!</v>
      </c>
      <c r="CW31" t="str">
        <f ca="1">IFERROR(__xludf.DUMMYFUNCTION("""COMPUTED_VALUE"""),"#VALUE!")</f>
        <v>#VALUE!</v>
      </c>
      <c r="CY31" t="str">
        <f ca="1">IFERROR(__xludf.DUMMYFUNCTION("""COMPUTED_VALUE"""),"#VALUE!")</f>
        <v>#VALUE!</v>
      </c>
      <c r="DC31" t="str">
        <f ca="1">IFERROR(__xludf.DUMMYFUNCTION("""COMPUTED_VALUE"""),"#VALUE!")</f>
        <v>#VALUE!</v>
      </c>
      <c r="DE31" t="str">
        <f ca="1">IFERROR(__xludf.DUMMYFUNCTION("""COMPUTED_VALUE"""),"#VALUE!")</f>
        <v>#VALUE!</v>
      </c>
      <c r="DI31" t="str">
        <f ca="1">IFERROR(__xludf.DUMMYFUNCTION("""COMPUTED_VALUE"""),"#VALUE!")</f>
        <v>#VALUE!</v>
      </c>
      <c r="DJ31" t="str">
        <f ca="1">IFERROR(__xludf.DUMMYFUNCTION("""COMPUTED_VALUE"""),"#VALUE!")</f>
        <v>#VALUE!</v>
      </c>
      <c r="DL31" t="str">
        <f ca="1">IFERROR(__xludf.DUMMYFUNCTION("""COMPUTED_VALUE"""),"Davor Salihović")</f>
        <v>Davor Salihović</v>
      </c>
    </row>
    <row r="32" spans="1:116" ht="13.2" x14ac:dyDescent="0.25">
      <c r="A32" t="str">
        <f ca="1">IFERROR(__xludf.DUMMYFUNCTION("""COMPUTED_VALUE"""),"P0031")</f>
        <v>P0031</v>
      </c>
      <c r="B32" t="str">
        <f ca="1">IFERROR(__xludf.DUMMYFUNCTION("""COMPUTED_VALUE"""),"Iohannes de Briqueyrasio")</f>
        <v>Iohannes de Briqueyrasio</v>
      </c>
      <c r="C32" t="str">
        <f ca="1">IFERROR(__xludf.DUMMYFUNCTION("""COMPUTED_VALUE"""),"C3252")</f>
        <v>C3252</v>
      </c>
      <c r="D32" t="str">
        <f ca="1">IFERROR(__xludf.DUMMYFUNCTION("""COMPUTED_VALUE"""),"dominus")</f>
        <v>dominus</v>
      </c>
      <c r="E32" t="str">
        <f ca="1">IFERROR(__xludf.DUMMYFUNCTION("""COMPUTED_VALUE"""),"Iohannes")</f>
        <v>Iohannes</v>
      </c>
      <c r="J32" t="str">
        <f ca="1">IFERROR(__xludf.DUMMYFUNCTION("""COMPUTED_VALUE"""),"de")</f>
        <v>de</v>
      </c>
      <c r="K32" t="str">
        <f ca="1">IFERROR(__xludf.DUMMYFUNCTION("""COMPUTED_VALUE"""),"Briqueyrasio")</f>
        <v>Briqueyrasio</v>
      </c>
      <c r="L32" t="str">
        <f ca="1">IFERROR(__xludf.DUMMYFUNCTION("""COMPUTED_VALUE"""),"de Briqueyrasio")</f>
        <v>de Briqueyrasio</v>
      </c>
      <c r="Q32" t="str">
        <f ca="1">IFERROR(__xludf.DUMMYFUNCTION("""COMPUTED_VALUE"""),"sacerdos et canonicus Montiscenisii")</f>
        <v>sacerdos et canonicus Montiscenisii</v>
      </c>
      <c r="S32" t="str">
        <f ca="1">IFERROR(__xludf.DUMMYFUNCTION("""COMPUTED_VALUE"""),"Latin")</f>
        <v>Latin</v>
      </c>
      <c r="T32" t="str">
        <f ca="1">IFERROR(__xludf.DUMMYFUNCTION("""COMPUTED_VALUE"""),"definite")</f>
        <v>definite</v>
      </c>
      <c r="U32" t="str">
        <f ca="1">IFERROR(__xludf.DUMMYFUNCTION("""COMPUTED_VALUE"""),"C2553")</f>
        <v>C2553</v>
      </c>
      <c r="V32" t="str">
        <f ca="1">IFERROR(__xludf.DUMMYFUNCTION("""COMPUTED_VALUE"""),"male")</f>
        <v>male</v>
      </c>
      <c r="Z32" t="str">
        <f ca="1">IFERROR(__xludf.DUMMYFUNCTION("""COMPUTED_VALUE"""),"164")</f>
        <v>164</v>
      </c>
      <c r="AA32" t="str">
        <f ca="1">IFERROR(__xludf.DUMMYFUNCTION("""COMPUTED_VALUE"""),"o")</f>
        <v>o</v>
      </c>
      <c r="AB32" t="str">
        <f ca="1">IFERROR(__xludf.DUMMYFUNCTION("""COMPUTED_VALUE"""),"informer")</f>
        <v>informer</v>
      </c>
      <c r="AD32" t="str">
        <f ca="1">IFERROR(__xludf.DUMMYFUNCTION("""COMPUTED_VALUE"""),"C3287")</f>
        <v>C3287</v>
      </c>
      <c r="AE32" t="str">
        <f ca="1">IFERROR(__xludf.DUMMYFUNCTION("""COMPUTED_VALUE"""),"alive")</f>
        <v>alive</v>
      </c>
      <c r="AF32" t="str">
        <f ca="1">IFERROR(__xludf.DUMMYFUNCTION("""COMPUTED_VALUE"""),"C1753")</f>
        <v>C1753</v>
      </c>
      <c r="AG32" t="str">
        <f ca="1">IFERROR(__xludf.DUMMYFUNCTION("""COMPUTED_VALUE"""),"1335-01-20")</f>
        <v>1335-01-20</v>
      </c>
      <c r="AI32" t="str">
        <f ca="1">IFERROR(__xludf.DUMMYFUNCTION("""COMPUTED_VALUE"""),"#VALUE!")</f>
        <v>#VALUE!</v>
      </c>
      <c r="AK32" t="str">
        <f ca="1">IFERROR(__xludf.DUMMYFUNCTION("""COMPUTED_VALUE"""),"#VALUE!")</f>
        <v>#VALUE!</v>
      </c>
      <c r="AM32" t="str">
        <f ca="1">IFERROR(__xludf.DUMMYFUNCTION("""COMPUTED_VALUE"""),"#VALUE!")</f>
        <v>#VALUE!</v>
      </c>
      <c r="AO32" t="str">
        <f ca="1">IFERROR(__xludf.DUMMYFUNCTION("""COMPUTED_VALUE"""),"#VALUE!")</f>
        <v>#VALUE!</v>
      </c>
      <c r="AQ32" t="str">
        <f ca="1">IFERROR(__xludf.DUMMYFUNCTION("""COMPUTED_VALUE"""),"#VALUE!")</f>
        <v>#VALUE!</v>
      </c>
      <c r="AS32" t="str">
        <f ca="1">IFERROR(__xludf.DUMMYFUNCTION("""COMPUTED_VALUE"""),"#VALUE!")</f>
        <v>#VALUE!</v>
      </c>
      <c r="AU32" t="str">
        <f ca="1">IFERROR(__xludf.DUMMYFUNCTION("""COMPUTED_VALUE"""),"#VALUE!")</f>
        <v>#VALUE!</v>
      </c>
      <c r="AW32" t="str">
        <f ca="1">IFERROR(__xludf.DUMMYFUNCTION("""COMPUTED_VALUE"""),"#VALUE!")</f>
        <v>#VALUE!</v>
      </c>
      <c r="AY32" t="str">
        <f ca="1">IFERROR(__xludf.DUMMYFUNCTION("""COMPUTED_VALUE"""),"#VALUE!")</f>
        <v>#VALUE!</v>
      </c>
      <c r="BA32" t="str">
        <f ca="1">IFERROR(__xludf.DUMMYFUNCTION("""COMPUTED_VALUE"""),"#VALUE!")</f>
        <v>#VALUE!</v>
      </c>
      <c r="BC32" t="str">
        <f ca="1">IFERROR(__xludf.DUMMYFUNCTION("""COMPUTED_VALUE"""),"#VALUE!")</f>
        <v>#VALUE!</v>
      </c>
      <c r="BE32" t="str">
        <f ca="1">IFERROR(__xludf.DUMMYFUNCTION("""COMPUTED_VALUE"""),"#VALUE!")</f>
        <v>#VALUE!</v>
      </c>
      <c r="BG32" t="str">
        <f ca="1">IFERROR(__xludf.DUMMYFUNCTION("""COMPUTED_VALUE"""),"#VALUE!")</f>
        <v>#VALUE!</v>
      </c>
      <c r="BI32" t="str">
        <f ca="1">IFERROR(__xludf.DUMMYFUNCTION("""COMPUTED_VALUE"""),"#VALUE!")</f>
        <v>#VALUE!</v>
      </c>
      <c r="BK32" t="str">
        <f ca="1">IFERROR(__xludf.DUMMYFUNCTION("""COMPUTED_VALUE"""),"#VALUE!")</f>
        <v>#VALUE!</v>
      </c>
      <c r="BM32" t="str">
        <f ca="1">IFERROR(__xludf.DUMMYFUNCTION("""COMPUTED_VALUE"""),"#VALUE!")</f>
        <v>#VALUE!</v>
      </c>
      <c r="BO32" t="str">
        <f ca="1">IFERROR(__xludf.DUMMYFUNCTION("""COMPUTED_VALUE"""),"#VALUE!")</f>
        <v>#VALUE!</v>
      </c>
      <c r="BQ32" t="str">
        <f ca="1">IFERROR(__xludf.DUMMYFUNCTION("""COMPUTED_VALUE"""),"#VALUE!")</f>
        <v>#VALUE!</v>
      </c>
      <c r="BS32" t="str">
        <f ca="1">IFERROR(__xludf.DUMMYFUNCTION("""COMPUTED_VALUE"""),"#VALUE!")</f>
        <v>#VALUE!</v>
      </c>
      <c r="BU32" t="str">
        <f ca="1">IFERROR(__xludf.DUMMYFUNCTION("""COMPUTED_VALUE"""),"#VALUE!")</f>
        <v>#VALUE!</v>
      </c>
      <c r="BW32" t="str">
        <f ca="1">IFERROR(__xludf.DUMMYFUNCTION("""COMPUTED_VALUE"""),"#VALUE!")</f>
        <v>#VALUE!</v>
      </c>
      <c r="BY32" t="str">
        <f ca="1">IFERROR(__xludf.DUMMYFUNCTION("""COMPUTED_VALUE"""),"#VALUE!")</f>
        <v>#VALUE!</v>
      </c>
      <c r="CA32" t="str">
        <f ca="1">IFERROR(__xludf.DUMMYFUNCTION("""COMPUTED_VALUE"""),"#VALUE!")</f>
        <v>#VALUE!</v>
      </c>
      <c r="CC32" t="str">
        <f ca="1">IFERROR(__xludf.DUMMYFUNCTION("""COMPUTED_VALUE"""),"#VALUE!")</f>
        <v>#VALUE!</v>
      </c>
      <c r="CE32" t="str">
        <f ca="1">IFERROR(__xludf.DUMMYFUNCTION("""COMPUTED_VALUE"""),"#VALUE!")</f>
        <v>#VALUE!</v>
      </c>
      <c r="CG32" t="str">
        <f ca="1">IFERROR(__xludf.DUMMYFUNCTION("""COMPUTED_VALUE"""),"#VALUE!")</f>
        <v>#VALUE!</v>
      </c>
      <c r="CI32" t="str">
        <f ca="1">IFERROR(__xludf.DUMMYFUNCTION("""COMPUTED_VALUE"""),"#VALUE!")</f>
        <v>#VALUE!</v>
      </c>
      <c r="CK32" t="str">
        <f ca="1">IFERROR(__xludf.DUMMYFUNCTION("""COMPUTED_VALUE"""),"#VALUE!")</f>
        <v>#VALUE!</v>
      </c>
      <c r="CS32" t="str">
        <f ca="1">IFERROR(__xludf.DUMMYFUNCTION("""COMPUTED_VALUE"""),"#VALUE!")</f>
        <v>#VALUE!</v>
      </c>
      <c r="CU32" t="str">
        <f ca="1">IFERROR(__xludf.DUMMYFUNCTION("""COMPUTED_VALUE"""),"#VALUE!")</f>
        <v>#VALUE!</v>
      </c>
      <c r="CV32" t="str">
        <f ca="1">IFERROR(__xludf.DUMMYFUNCTION("""COMPUTED_VALUE"""),"L0012")</f>
        <v>L0012</v>
      </c>
      <c r="CW32" t="str">
        <f ca="1">IFERROR(__xludf.DUMMYFUNCTION("""COMPUTED_VALUE"""),"Moncenisio")</f>
        <v>Moncenisio</v>
      </c>
      <c r="CX32" t="str">
        <f ca="1">IFERROR(__xludf.DUMMYFUNCTION("""COMPUTED_VALUE"""),"C3177")</f>
        <v>C3177</v>
      </c>
      <c r="CY32" t="str">
        <f ca="1">IFERROR(__xludf.DUMMYFUNCTION("""COMPUTED_VALUE"""),"canon")</f>
        <v>canon</v>
      </c>
      <c r="DA32" t="str">
        <f ca="1">IFERROR(__xludf.DUMMYFUNCTION("""COMPUTED_VALUE"""),"churchperson")</f>
        <v>churchperson</v>
      </c>
      <c r="DB32" t="str">
        <f ca="1">IFERROR(__xludf.DUMMYFUNCTION("""COMPUTED_VALUE"""),"C0194")</f>
        <v>C0194</v>
      </c>
      <c r="DC32" t="str">
        <f ca="1">IFERROR(__xludf.DUMMYFUNCTION("""COMPUTED_VALUE"""),"sacerdos")</f>
        <v>sacerdos</v>
      </c>
      <c r="DD32" t="str">
        <f ca="1">IFERROR(__xludf.DUMMYFUNCTION("""COMPUTED_VALUE"""),"C3177")</f>
        <v>C3177</v>
      </c>
      <c r="DE32" t="str">
        <f ca="1">IFERROR(__xludf.DUMMYFUNCTION("""COMPUTED_VALUE"""),"canon")</f>
        <v>canon</v>
      </c>
      <c r="DI32" t="str">
        <f ca="1">IFERROR(__xludf.DUMMYFUNCTION("""COMPUTED_VALUE"""),"#VALUE!")</f>
        <v>#VALUE!</v>
      </c>
      <c r="DJ32" t="str">
        <f ca="1">IFERROR(__xludf.DUMMYFUNCTION("""COMPUTED_VALUE"""),"#VALUE!")</f>
        <v>#VALUE!</v>
      </c>
      <c r="DL32" t="str">
        <f ca="1">IFERROR(__xludf.DUMMYFUNCTION("""COMPUTED_VALUE"""),"Davor Salihović")</f>
        <v>Davor Salihović</v>
      </c>
    </row>
    <row r="33" spans="1:116" ht="13.2" x14ac:dyDescent="0.25">
      <c r="A33" t="str">
        <f ca="1">IFERROR(__xludf.DUMMYFUNCTION("""COMPUTED_VALUE"""),"P0032")</f>
        <v>P0032</v>
      </c>
      <c r="B33" t="str">
        <f ca="1">IFERROR(__xludf.DUMMYFUNCTION("""COMPUTED_VALUE"""),"Andreas Sacherii")</f>
        <v>Andreas Sacherii</v>
      </c>
      <c r="D33" t="str">
        <f ca="1">IFERROR(__xludf.DUMMYFUNCTION("""COMPUTED_VALUE"""),"#VALUE!")</f>
        <v>#VALUE!</v>
      </c>
      <c r="E33" t="str">
        <f ca="1">IFERROR(__xludf.DUMMYFUNCTION("""COMPUTED_VALUE"""),"Andreas")</f>
        <v>Andreas</v>
      </c>
      <c r="K33" t="str">
        <f ca="1">IFERROR(__xludf.DUMMYFUNCTION("""COMPUTED_VALUE"""),"Sacherii")</f>
        <v>Sacherii</v>
      </c>
      <c r="L33" t="str">
        <f ca="1">IFERROR(__xludf.DUMMYFUNCTION("""COMPUTED_VALUE"""),"Sacherii")</f>
        <v>Sacherii</v>
      </c>
      <c r="S33" t="str">
        <f ca="1">IFERROR(__xludf.DUMMYFUNCTION("""COMPUTED_VALUE"""),"Latin")</f>
        <v>Latin</v>
      </c>
      <c r="T33" t="str">
        <f ca="1">IFERROR(__xludf.DUMMYFUNCTION("""COMPUTED_VALUE"""),"definite")</f>
        <v>definite</v>
      </c>
      <c r="U33" t="str">
        <f ca="1">IFERROR(__xludf.DUMMYFUNCTION("""COMPUTED_VALUE"""),"C2553")</f>
        <v>C2553</v>
      </c>
      <c r="V33" t="str">
        <f ca="1">IFERROR(__xludf.DUMMYFUNCTION("""COMPUTED_VALUE"""),"male")</f>
        <v>male</v>
      </c>
      <c r="Z33" t="str">
        <f ca="1">IFERROR(__xludf.DUMMYFUNCTION("""COMPUTED_VALUE"""),"164, 166, 169, 172, 175, 176, 178, 216")</f>
        <v>164, 166, 169, 172, 175, 176, 178, 216</v>
      </c>
      <c r="AA33" t="str">
        <f ca="1">IFERROR(__xludf.DUMMYFUNCTION("""COMPUTED_VALUE"""),"d")</f>
        <v>d</v>
      </c>
      <c r="AB33" t="str">
        <f ca="1">IFERROR(__xludf.DUMMYFUNCTION("""COMPUTED_VALUE"""),"suspect")</f>
        <v>suspect</v>
      </c>
      <c r="AD33" t="str">
        <f ca="1">IFERROR(__xludf.DUMMYFUNCTION("""COMPUTED_VALUE"""),"C3287")</f>
        <v>C3287</v>
      </c>
      <c r="AE33" t="str">
        <f ca="1">IFERROR(__xludf.DUMMYFUNCTION("""COMPUTED_VALUE"""),"alive")</f>
        <v>alive</v>
      </c>
      <c r="AF33" t="str">
        <f ca="1">IFERROR(__xludf.DUMMYFUNCTION("""COMPUTED_VALUE"""),"C1753")</f>
        <v>C1753</v>
      </c>
      <c r="AG33" t="str">
        <f ca="1">IFERROR(__xludf.DUMMYFUNCTION("""COMPUTED_VALUE"""),"1335-01-20")</f>
        <v>1335-01-20</v>
      </c>
      <c r="AH33" t="str">
        <f ca="1">IFERROR(__xludf.DUMMYFUNCTION("""COMPUTED_VALUE"""),"C2337")</f>
        <v>C2337</v>
      </c>
      <c r="AI33" t="str">
        <f ca="1">IFERROR(__xludf.DUMMYFUNCTION("""COMPUTED_VALUE"""),"brother")</f>
        <v>brother</v>
      </c>
      <c r="AJ33" t="str">
        <f ca="1">IFERROR(__xludf.DUMMYFUNCTION("""COMPUTED_VALUE"""),"P0372")</f>
        <v>P0372</v>
      </c>
      <c r="AK33" t="str">
        <f ca="1">IFERROR(__xludf.DUMMYFUNCTION("""COMPUTED_VALUE"""),"Petrus Sacherii")</f>
        <v>Petrus Sacherii</v>
      </c>
      <c r="AM33" t="str">
        <f ca="1">IFERROR(__xludf.DUMMYFUNCTION("""COMPUTED_VALUE"""),"#VALUE!")</f>
        <v>#VALUE!</v>
      </c>
      <c r="AO33" t="str">
        <f ca="1">IFERROR(__xludf.DUMMYFUNCTION("""COMPUTED_VALUE"""),"#VALUE!")</f>
        <v>#VALUE!</v>
      </c>
      <c r="AQ33" t="str">
        <f ca="1">IFERROR(__xludf.DUMMYFUNCTION("""COMPUTED_VALUE"""),"#VALUE!")</f>
        <v>#VALUE!</v>
      </c>
      <c r="AS33" t="str">
        <f ca="1">IFERROR(__xludf.DUMMYFUNCTION("""COMPUTED_VALUE"""),"#VALUE!")</f>
        <v>#VALUE!</v>
      </c>
      <c r="AU33" t="str">
        <f ca="1">IFERROR(__xludf.DUMMYFUNCTION("""COMPUTED_VALUE"""),"#VALUE!")</f>
        <v>#VALUE!</v>
      </c>
      <c r="AW33" t="str">
        <f ca="1">IFERROR(__xludf.DUMMYFUNCTION("""COMPUTED_VALUE"""),"#VALUE!")</f>
        <v>#VALUE!</v>
      </c>
      <c r="AY33" t="str">
        <f ca="1">IFERROR(__xludf.DUMMYFUNCTION("""COMPUTED_VALUE"""),"#VALUE!")</f>
        <v>#VALUE!</v>
      </c>
      <c r="BA33" t="str">
        <f ca="1">IFERROR(__xludf.DUMMYFUNCTION("""COMPUTED_VALUE"""),"#VALUE!")</f>
        <v>#VALUE!</v>
      </c>
      <c r="BC33" t="str">
        <f ca="1">IFERROR(__xludf.DUMMYFUNCTION("""COMPUTED_VALUE"""),"#VALUE!")</f>
        <v>#VALUE!</v>
      </c>
      <c r="BE33" t="str">
        <f ca="1">IFERROR(__xludf.DUMMYFUNCTION("""COMPUTED_VALUE"""),"#VALUE!")</f>
        <v>#VALUE!</v>
      </c>
      <c r="BG33" t="str">
        <f ca="1">IFERROR(__xludf.DUMMYFUNCTION("""COMPUTED_VALUE"""),"#VALUE!")</f>
        <v>#VALUE!</v>
      </c>
      <c r="BI33" t="str">
        <f ca="1">IFERROR(__xludf.DUMMYFUNCTION("""COMPUTED_VALUE"""),"#VALUE!")</f>
        <v>#VALUE!</v>
      </c>
      <c r="BK33" t="str">
        <f ca="1">IFERROR(__xludf.DUMMYFUNCTION("""COMPUTED_VALUE"""),"#VALUE!")</f>
        <v>#VALUE!</v>
      </c>
      <c r="BM33" t="str">
        <f ca="1">IFERROR(__xludf.DUMMYFUNCTION("""COMPUTED_VALUE"""),"#VALUE!")</f>
        <v>#VALUE!</v>
      </c>
      <c r="BO33" t="str">
        <f ca="1">IFERROR(__xludf.DUMMYFUNCTION("""COMPUTED_VALUE"""),"#VALUE!")</f>
        <v>#VALUE!</v>
      </c>
      <c r="BQ33" t="str">
        <f ca="1">IFERROR(__xludf.DUMMYFUNCTION("""COMPUTED_VALUE"""),"#VALUE!")</f>
        <v>#VALUE!</v>
      </c>
      <c r="BS33" t="str">
        <f ca="1">IFERROR(__xludf.DUMMYFUNCTION("""COMPUTED_VALUE"""),"#VALUE!")</f>
        <v>#VALUE!</v>
      </c>
      <c r="BU33" t="str">
        <f ca="1">IFERROR(__xludf.DUMMYFUNCTION("""COMPUTED_VALUE"""),"#VALUE!")</f>
        <v>#VALUE!</v>
      </c>
      <c r="BW33" t="str">
        <f ca="1">IFERROR(__xludf.DUMMYFUNCTION("""COMPUTED_VALUE"""),"#VALUE!")</f>
        <v>#VALUE!</v>
      </c>
      <c r="BY33" t="str">
        <f ca="1">IFERROR(__xludf.DUMMYFUNCTION("""COMPUTED_VALUE"""),"#VALUE!")</f>
        <v>#VALUE!</v>
      </c>
      <c r="CA33" t="str">
        <f ca="1">IFERROR(__xludf.DUMMYFUNCTION("""COMPUTED_VALUE"""),"#VALUE!")</f>
        <v>#VALUE!</v>
      </c>
      <c r="CC33" t="str">
        <f ca="1">IFERROR(__xludf.DUMMYFUNCTION("""COMPUTED_VALUE"""),"#VALUE!")</f>
        <v>#VALUE!</v>
      </c>
      <c r="CD33" t="str">
        <f ca="1">IFERROR(__xludf.DUMMYFUNCTION("""COMPUTED_VALUE"""),"C3598")</f>
        <v>C3598</v>
      </c>
      <c r="CE33" t="str">
        <f ca="1">IFERROR(__xludf.DUMMYFUNCTION("""COMPUTED_VALUE"""),"location of congregation")</f>
        <v>location of congregation</v>
      </c>
      <c r="CF33" t="str">
        <f ca="1">IFERROR(__xludf.DUMMYFUNCTION("""COMPUTED_VALUE"""),"L0032")</f>
        <v>L0032</v>
      </c>
      <c r="CG33" t="str">
        <f ca="1">IFERROR(__xludf.DUMMYFUNCTION("""COMPUTED_VALUE"""),"domus Villelmi de Oddo")</f>
        <v>domus Villelmi de Oddo</v>
      </c>
      <c r="CI33" t="str">
        <f ca="1">IFERROR(__xludf.DUMMYFUNCTION("""COMPUTED_VALUE"""),"#VALUE!")</f>
        <v>#VALUE!</v>
      </c>
      <c r="CK33" t="str">
        <f ca="1">IFERROR(__xludf.DUMMYFUNCTION("""COMPUTED_VALUE"""),"#VALUE!")</f>
        <v>#VALUE!</v>
      </c>
      <c r="CR33" t="str">
        <f ca="1">IFERROR(__xludf.DUMMYFUNCTION("""COMPUTED_VALUE"""),"L0001")</f>
        <v>L0001</v>
      </c>
      <c r="CS33" t="str">
        <f ca="1">IFERROR(__xludf.DUMMYFUNCTION("""COMPUTED_VALUE"""),"Giaveno")</f>
        <v>Giaveno</v>
      </c>
      <c r="CU33" t="str">
        <f ca="1">IFERROR(__xludf.DUMMYFUNCTION("""COMPUTED_VALUE"""),"#VALUE!")</f>
        <v>#VALUE!</v>
      </c>
      <c r="CW33" t="str">
        <f ca="1">IFERROR(__xludf.DUMMYFUNCTION("""COMPUTED_VALUE"""),"#VALUE!")</f>
        <v>#VALUE!</v>
      </c>
      <c r="CY33" t="str">
        <f ca="1">IFERROR(__xludf.DUMMYFUNCTION("""COMPUTED_VALUE"""),"#VALUE!")</f>
        <v>#VALUE!</v>
      </c>
      <c r="DC33" t="str">
        <f ca="1">IFERROR(__xludf.DUMMYFUNCTION("""COMPUTED_VALUE"""),"#VALUE!")</f>
        <v>#VALUE!</v>
      </c>
      <c r="DE33" t="str">
        <f ca="1">IFERROR(__xludf.DUMMYFUNCTION("""COMPUTED_VALUE"""),"#VALUE!")</f>
        <v>#VALUE!</v>
      </c>
      <c r="DF33" t="str">
        <f ca="1">IFERROR(__xludf.DUMMYFUNCTION("""COMPUTED_VALUE"""),"y")</f>
        <v>y</v>
      </c>
      <c r="DG33" t="str">
        <f ca="1">IFERROR(__xludf.DUMMYFUNCTION("""COMPUTED_VALUE"""),"175-176")</f>
        <v>175-176</v>
      </c>
      <c r="DH33" t="str">
        <f ca="1">IFERROR(__xludf.DUMMYFUNCTION("""COMPUTED_VALUE"""),"L0032")</f>
        <v>L0032</v>
      </c>
      <c r="DI33" t="str">
        <f ca="1">IFERROR(__xludf.DUMMYFUNCTION("""COMPUTED_VALUE"""),"domus Villelmi de Oddo")</f>
        <v>domus Villelmi de Oddo</v>
      </c>
      <c r="DJ33" t="str">
        <f ca="1">IFERROR(__xludf.DUMMYFUNCTION("""COMPUTED_VALUE"""),"domus")</f>
        <v>domus</v>
      </c>
      <c r="DL33" t="str">
        <f ca="1">IFERROR(__xludf.DUMMYFUNCTION("""COMPUTED_VALUE"""),"Davor Salihović")</f>
        <v>Davor Salihović</v>
      </c>
    </row>
    <row r="34" spans="1:116" ht="13.2" x14ac:dyDescent="0.25">
      <c r="A34" t="str">
        <f ca="1">IFERROR(__xludf.DUMMYFUNCTION("""COMPUTED_VALUE"""),"P0033")</f>
        <v>P0033</v>
      </c>
      <c r="B34" t="str">
        <f ca="1">IFERROR(__xludf.DUMMYFUNCTION("""COMPUTED_VALUE"""),"Nicola ultramontana")</f>
        <v>Nicola ultramontana</v>
      </c>
      <c r="D34" t="str">
        <f ca="1">IFERROR(__xludf.DUMMYFUNCTION("""COMPUTED_VALUE"""),"#VALUE!")</f>
        <v>#VALUE!</v>
      </c>
      <c r="E34" t="str">
        <f ca="1">IFERROR(__xludf.DUMMYFUNCTION("""COMPUTED_VALUE"""),"Nicola")</f>
        <v>Nicola</v>
      </c>
      <c r="Q34" t="str">
        <f ca="1">IFERROR(__xludf.DUMMYFUNCTION("""COMPUTED_VALUE"""),"ultramontana")</f>
        <v>ultramontana</v>
      </c>
      <c r="S34" t="str">
        <f ca="1">IFERROR(__xludf.DUMMYFUNCTION("""COMPUTED_VALUE"""),"Latin")</f>
        <v>Latin</v>
      </c>
      <c r="T34" t="str">
        <f ca="1">IFERROR(__xludf.DUMMYFUNCTION("""COMPUTED_VALUE"""),"definite")</f>
        <v>definite</v>
      </c>
      <c r="U34" t="str">
        <f ca="1">IFERROR(__xludf.DUMMYFUNCTION("""COMPUTED_VALUE"""),"C2552")</f>
        <v>C2552</v>
      </c>
      <c r="V34" t="str">
        <f ca="1">IFERROR(__xludf.DUMMYFUNCTION("""COMPUTED_VALUE"""),"female")</f>
        <v>female</v>
      </c>
      <c r="Z34" t="str">
        <f ca="1">IFERROR(__xludf.DUMMYFUNCTION("""COMPUTED_VALUE"""),"164, 169")</f>
        <v>164, 169</v>
      </c>
      <c r="AA34" t="str">
        <f ca="1">IFERROR(__xludf.DUMMYFUNCTION("""COMPUTED_VALUE"""),"d")</f>
        <v>d</v>
      </c>
      <c r="AB34" t="str">
        <f ca="1">IFERROR(__xludf.DUMMYFUNCTION("""COMPUTED_VALUE"""),"NA")</f>
        <v>NA</v>
      </c>
      <c r="AD34" t="str">
        <f ca="1">IFERROR(__xludf.DUMMYFUNCTION("""COMPUTED_VALUE"""),"C3287")</f>
        <v>C3287</v>
      </c>
      <c r="AE34" t="str">
        <f ca="1">IFERROR(__xludf.DUMMYFUNCTION("""COMPUTED_VALUE"""),"alive")</f>
        <v>alive</v>
      </c>
      <c r="AF34" t="str">
        <f ca="1">IFERROR(__xludf.DUMMYFUNCTION("""COMPUTED_VALUE"""),"C1753")</f>
        <v>C1753</v>
      </c>
      <c r="AG34" t="str">
        <f ca="1">IFERROR(__xludf.DUMMYFUNCTION("""COMPUTED_VALUE"""),"1335-01-20")</f>
        <v>1335-01-20</v>
      </c>
      <c r="AI34" t="str">
        <f ca="1">IFERROR(__xludf.DUMMYFUNCTION("""COMPUTED_VALUE"""),"#VALUE!")</f>
        <v>#VALUE!</v>
      </c>
      <c r="AK34" t="str">
        <f ca="1">IFERROR(__xludf.DUMMYFUNCTION("""COMPUTED_VALUE"""),"#VALUE!")</f>
        <v>#VALUE!</v>
      </c>
      <c r="AM34" t="str">
        <f ca="1">IFERROR(__xludf.DUMMYFUNCTION("""COMPUTED_VALUE"""),"#VALUE!")</f>
        <v>#VALUE!</v>
      </c>
      <c r="AO34" t="str">
        <f ca="1">IFERROR(__xludf.DUMMYFUNCTION("""COMPUTED_VALUE"""),"#VALUE!")</f>
        <v>#VALUE!</v>
      </c>
      <c r="AQ34" t="str">
        <f ca="1">IFERROR(__xludf.DUMMYFUNCTION("""COMPUTED_VALUE"""),"#VALUE!")</f>
        <v>#VALUE!</v>
      </c>
      <c r="AS34" t="str">
        <f ca="1">IFERROR(__xludf.DUMMYFUNCTION("""COMPUTED_VALUE"""),"#VALUE!")</f>
        <v>#VALUE!</v>
      </c>
      <c r="AU34" t="str">
        <f ca="1">IFERROR(__xludf.DUMMYFUNCTION("""COMPUTED_VALUE"""),"#VALUE!")</f>
        <v>#VALUE!</v>
      </c>
      <c r="AW34" t="str">
        <f ca="1">IFERROR(__xludf.DUMMYFUNCTION("""COMPUTED_VALUE"""),"#VALUE!")</f>
        <v>#VALUE!</v>
      </c>
      <c r="AY34" t="str">
        <f ca="1">IFERROR(__xludf.DUMMYFUNCTION("""COMPUTED_VALUE"""),"#VALUE!")</f>
        <v>#VALUE!</v>
      </c>
      <c r="BA34" t="str">
        <f ca="1">IFERROR(__xludf.DUMMYFUNCTION("""COMPUTED_VALUE"""),"#VALUE!")</f>
        <v>#VALUE!</v>
      </c>
      <c r="BC34" t="str">
        <f ca="1">IFERROR(__xludf.DUMMYFUNCTION("""COMPUTED_VALUE"""),"#VALUE!")</f>
        <v>#VALUE!</v>
      </c>
      <c r="BE34" t="str">
        <f ca="1">IFERROR(__xludf.DUMMYFUNCTION("""COMPUTED_VALUE"""),"#VALUE!")</f>
        <v>#VALUE!</v>
      </c>
      <c r="BG34" t="str">
        <f ca="1">IFERROR(__xludf.DUMMYFUNCTION("""COMPUTED_VALUE"""),"#VALUE!")</f>
        <v>#VALUE!</v>
      </c>
      <c r="BI34" t="str">
        <f ca="1">IFERROR(__xludf.DUMMYFUNCTION("""COMPUTED_VALUE"""),"#VALUE!")</f>
        <v>#VALUE!</v>
      </c>
      <c r="BK34" t="str">
        <f ca="1">IFERROR(__xludf.DUMMYFUNCTION("""COMPUTED_VALUE"""),"#VALUE!")</f>
        <v>#VALUE!</v>
      </c>
      <c r="BM34" t="str">
        <f ca="1">IFERROR(__xludf.DUMMYFUNCTION("""COMPUTED_VALUE"""),"#VALUE!")</f>
        <v>#VALUE!</v>
      </c>
      <c r="BO34" t="str">
        <f ca="1">IFERROR(__xludf.DUMMYFUNCTION("""COMPUTED_VALUE"""),"#VALUE!")</f>
        <v>#VALUE!</v>
      </c>
      <c r="BQ34" t="str">
        <f ca="1">IFERROR(__xludf.DUMMYFUNCTION("""COMPUTED_VALUE"""),"#VALUE!")</f>
        <v>#VALUE!</v>
      </c>
      <c r="BS34" t="str">
        <f ca="1">IFERROR(__xludf.DUMMYFUNCTION("""COMPUTED_VALUE"""),"#VALUE!")</f>
        <v>#VALUE!</v>
      </c>
      <c r="BU34" t="str">
        <f ca="1">IFERROR(__xludf.DUMMYFUNCTION("""COMPUTED_VALUE"""),"#VALUE!")</f>
        <v>#VALUE!</v>
      </c>
      <c r="BW34" t="str">
        <f ca="1">IFERROR(__xludf.DUMMYFUNCTION("""COMPUTED_VALUE"""),"#VALUE!")</f>
        <v>#VALUE!</v>
      </c>
      <c r="BY34" t="str">
        <f ca="1">IFERROR(__xludf.DUMMYFUNCTION("""COMPUTED_VALUE"""),"#VALUE!")</f>
        <v>#VALUE!</v>
      </c>
      <c r="CA34" t="str">
        <f ca="1">IFERROR(__xludf.DUMMYFUNCTION("""COMPUTED_VALUE"""),"#VALUE!")</f>
        <v>#VALUE!</v>
      </c>
      <c r="CC34" t="str">
        <f ca="1">IFERROR(__xludf.DUMMYFUNCTION("""COMPUTED_VALUE"""),"#VALUE!")</f>
        <v>#VALUE!</v>
      </c>
      <c r="CE34" t="str">
        <f ca="1">IFERROR(__xludf.DUMMYFUNCTION("""COMPUTED_VALUE"""),"#VALUE!")</f>
        <v>#VALUE!</v>
      </c>
      <c r="CG34" t="str">
        <f ca="1">IFERROR(__xludf.DUMMYFUNCTION("""COMPUTED_VALUE"""),"#VALUE!")</f>
        <v>#VALUE!</v>
      </c>
      <c r="CI34" t="str">
        <f ca="1">IFERROR(__xludf.DUMMYFUNCTION("""COMPUTED_VALUE"""),"#VALUE!")</f>
        <v>#VALUE!</v>
      </c>
      <c r="CK34" t="str">
        <f ca="1">IFERROR(__xludf.DUMMYFUNCTION("""COMPUTED_VALUE"""),"#VALUE!")</f>
        <v>#VALUE!</v>
      </c>
      <c r="CS34" t="str">
        <f ca="1">IFERROR(__xludf.DUMMYFUNCTION("""COMPUTED_VALUE"""),"#VALUE!")</f>
        <v>#VALUE!</v>
      </c>
      <c r="CU34" t="str">
        <f ca="1">IFERROR(__xludf.DUMMYFUNCTION("""COMPUTED_VALUE"""),"#VALUE!")</f>
        <v>#VALUE!</v>
      </c>
      <c r="CV34" t="str">
        <f ca="1">IFERROR(__xludf.DUMMYFUNCTION("""COMPUTED_VALUE"""),"L0001")</f>
        <v>L0001</v>
      </c>
      <c r="CW34" t="str">
        <f ca="1">IFERROR(__xludf.DUMMYFUNCTION("""COMPUTED_VALUE"""),"Giaveno")</f>
        <v>Giaveno</v>
      </c>
      <c r="CY34" t="str">
        <f ca="1">IFERROR(__xludf.DUMMYFUNCTION("""COMPUTED_VALUE"""),"#VALUE!")</f>
        <v>#VALUE!</v>
      </c>
      <c r="DC34" t="str">
        <f ca="1">IFERROR(__xludf.DUMMYFUNCTION("""COMPUTED_VALUE"""),"#VALUE!")</f>
        <v>#VALUE!</v>
      </c>
      <c r="DE34" t="str">
        <f ca="1">IFERROR(__xludf.DUMMYFUNCTION("""COMPUTED_VALUE"""),"#VALUE!")</f>
        <v>#VALUE!</v>
      </c>
      <c r="DI34" t="str">
        <f ca="1">IFERROR(__xludf.DUMMYFUNCTION("""COMPUTED_VALUE"""),"#VALUE!")</f>
        <v>#VALUE!</v>
      </c>
      <c r="DJ34" t="str">
        <f ca="1">IFERROR(__xludf.DUMMYFUNCTION("""COMPUTED_VALUE"""),"#VALUE!")</f>
        <v>#VALUE!</v>
      </c>
      <c r="DL34" t="str">
        <f ca="1">IFERROR(__xludf.DUMMYFUNCTION("""COMPUTED_VALUE"""),"Davor Salihović")</f>
        <v>Davor Salihović</v>
      </c>
    </row>
    <row r="35" spans="1:116" ht="13.2" x14ac:dyDescent="0.25">
      <c r="A35" t="str">
        <f ca="1">IFERROR(__xludf.DUMMYFUNCTION("""COMPUTED_VALUE"""),"P0034")</f>
        <v>P0034</v>
      </c>
      <c r="B35" t="str">
        <f ca="1">IFERROR(__xludf.DUMMYFUNCTION("""COMPUTED_VALUE"""),"Iohanna Pontera")</f>
        <v>Iohanna Pontera</v>
      </c>
      <c r="D35" t="str">
        <f ca="1">IFERROR(__xludf.DUMMYFUNCTION("""COMPUTED_VALUE"""),"#VALUE!")</f>
        <v>#VALUE!</v>
      </c>
      <c r="E35" t="str">
        <f ca="1">IFERROR(__xludf.DUMMYFUNCTION("""COMPUTED_VALUE"""),"Iohanna")</f>
        <v>Iohanna</v>
      </c>
      <c r="K35" t="str">
        <f ca="1">IFERROR(__xludf.DUMMYFUNCTION("""COMPUTED_VALUE"""),"Pontera")</f>
        <v>Pontera</v>
      </c>
      <c r="L35" t="str">
        <f ca="1">IFERROR(__xludf.DUMMYFUNCTION("""COMPUTED_VALUE"""),"Pontera")</f>
        <v>Pontera</v>
      </c>
      <c r="S35" t="str">
        <f ca="1">IFERROR(__xludf.DUMMYFUNCTION("""COMPUTED_VALUE"""),"Latin")</f>
        <v>Latin</v>
      </c>
      <c r="T35" t="str">
        <f ca="1">IFERROR(__xludf.DUMMYFUNCTION("""COMPUTED_VALUE"""),"definite")</f>
        <v>definite</v>
      </c>
      <c r="U35" t="str">
        <f ca="1">IFERROR(__xludf.DUMMYFUNCTION("""COMPUTED_VALUE"""),"C2552")</f>
        <v>C2552</v>
      </c>
      <c r="V35" t="str">
        <f ca="1">IFERROR(__xludf.DUMMYFUNCTION("""COMPUTED_VALUE"""),"female")</f>
        <v>female</v>
      </c>
      <c r="Z35" t="str">
        <f ca="1">IFERROR(__xludf.DUMMYFUNCTION("""COMPUTED_VALUE"""),"164")</f>
        <v>164</v>
      </c>
      <c r="AA35" t="str">
        <f ca="1">IFERROR(__xludf.DUMMYFUNCTION("""COMPUTED_VALUE"""),"d")</f>
        <v>d</v>
      </c>
      <c r="AB35" t="str">
        <f ca="1">IFERROR(__xludf.DUMMYFUNCTION("""COMPUTED_VALUE"""),"NA")</f>
        <v>NA</v>
      </c>
      <c r="AE35" t="str">
        <f ca="1">IFERROR(__xludf.DUMMYFUNCTION("""COMPUTED_VALUE"""),"#VALUE!")</f>
        <v>#VALUE!</v>
      </c>
      <c r="AF35" t="str">
        <f ca="1">IFERROR(__xludf.DUMMYFUNCTION("""COMPUTED_VALUE"""),"#N/A")</f>
        <v>#N/A</v>
      </c>
      <c r="AG35" t="str">
        <f ca="1">IFERROR(__xludf.DUMMYFUNCTION("""COMPUTED_VALUE"""),"#N/A")</f>
        <v>#N/A</v>
      </c>
      <c r="AI35" t="str">
        <f ca="1">IFERROR(__xludf.DUMMYFUNCTION("""COMPUTED_VALUE"""),"#VALUE!")</f>
        <v>#VALUE!</v>
      </c>
      <c r="AK35" t="str">
        <f ca="1">IFERROR(__xludf.DUMMYFUNCTION("""COMPUTED_VALUE"""),"#VALUE!")</f>
        <v>#VALUE!</v>
      </c>
      <c r="AM35" t="str">
        <f ca="1">IFERROR(__xludf.DUMMYFUNCTION("""COMPUTED_VALUE"""),"#VALUE!")</f>
        <v>#VALUE!</v>
      </c>
      <c r="AO35" t="str">
        <f ca="1">IFERROR(__xludf.DUMMYFUNCTION("""COMPUTED_VALUE"""),"#VALUE!")</f>
        <v>#VALUE!</v>
      </c>
      <c r="AQ35" t="str">
        <f ca="1">IFERROR(__xludf.DUMMYFUNCTION("""COMPUTED_VALUE"""),"#VALUE!")</f>
        <v>#VALUE!</v>
      </c>
      <c r="AS35" t="str">
        <f ca="1">IFERROR(__xludf.DUMMYFUNCTION("""COMPUTED_VALUE"""),"#VALUE!")</f>
        <v>#VALUE!</v>
      </c>
      <c r="AU35" t="str">
        <f ca="1">IFERROR(__xludf.DUMMYFUNCTION("""COMPUTED_VALUE"""),"#VALUE!")</f>
        <v>#VALUE!</v>
      </c>
      <c r="AW35" t="str">
        <f ca="1">IFERROR(__xludf.DUMMYFUNCTION("""COMPUTED_VALUE"""),"#VALUE!")</f>
        <v>#VALUE!</v>
      </c>
      <c r="AY35" t="str">
        <f ca="1">IFERROR(__xludf.DUMMYFUNCTION("""COMPUTED_VALUE"""),"#VALUE!")</f>
        <v>#VALUE!</v>
      </c>
      <c r="BA35" t="str">
        <f ca="1">IFERROR(__xludf.DUMMYFUNCTION("""COMPUTED_VALUE"""),"#VALUE!")</f>
        <v>#VALUE!</v>
      </c>
      <c r="BC35" t="str">
        <f ca="1">IFERROR(__xludf.DUMMYFUNCTION("""COMPUTED_VALUE"""),"#VALUE!")</f>
        <v>#VALUE!</v>
      </c>
      <c r="BE35" t="str">
        <f ca="1">IFERROR(__xludf.DUMMYFUNCTION("""COMPUTED_VALUE"""),"#VALUE!")</f>
        <v>#VALUE!</v>
      </c>
      <c r="BG35" t="str">
        <f ca="1">IFERROR(__xludf.DUMMYFUNCTION("""COMPUTED_VALUE"""),"#VALUE!")</f>
        <v>#VALUE!</v>
      </c>
      <c r="BI35" t="str">
        <f ca="1">IFERROR(__xludf.DUMMYFUNCTION("""COMPUTED_VALUE"""),"#VALUE!")</f>
        <v>#VALUE!</v>
      </c>
      <c r="BK35" t="str">
        <f ca="1">IFERROR(__xludf.DUMMYFUNCTION("""COMPUTED_VALUE"""),"#VALUE!")</f>
        <v>#VALUE!</v>
      </c>
      <c r="BM35" t="str">
        <f ca="1">IFERROR(__xludf.DUMMYFUNCTION("""COMPUTED_VALUE"""),"#VALUE!")</f>
        <v>#VALUE!</v>
      </c>
      <c r="BO35" t="str">
        <f ca="1">IFERROR(__xludf.DUMMYFUNCTION("""COMPUTED_VALUE"""),"#VALUE!")</f>
        <v>#VALUE!</v>
      </c>
      <c r="BQ35" t="str">
        <f ca="1">IFERROR(__xludf.DUMMYFUNCTION("""COMPUTED_VALUE"""),"#VALUE!")</f>
        <v>#VALUE!</v>
      </c>
      <c r="BS35" t="str">
        <f ca="1">IFERROR(__xludf.DUMMYFUNCTION("""COMPUTED_VALUE"""),"#VALUE!")</f>
        <v>#VALUE!</v>
      </c>
      <c r="BU35" t="str">
        <f ca="1">IFERROR(__xludf.DUMMYFUNCTION("""COMPUTED_VALUE"""),"#VALUE!")</f>
        <v>#VALUE!</v>
      </c>
      <c r="BW35" t="str">
        <f ca="1">IFERROR(__xludf.DUMMYFUNCTION("""COMPUTED_VALUE"""),"#VALUE!")</f>
        <v>#VALUE!</v>
      </c>
      <c r="BY35" t="str">
        <f ca="1">IFERROR(__xludf.DUMMYFUNCTION("""COMPUTED_VALUE"""),"#VALUE!")</f>
        <v>#VALUE!</v>
      </c>
      <c r="CA35" t="str">
        <f ca="1">IFERROR(__xludf.DUMMYFUNCTION("""COMPUTED_VALUE"""),"#VALUE!")</f>
        <v>#VALUE!</v>
      </c>
      <c r="CC35" t="str">
        <f ca="1">IFERROR(__xludf.DUMMYFUNCTION("""COMPUTED_VALUE"""),"#VALUE!")</f>
        <v>#VALUE!</v>
      </c>
      <c r="CE35" t="str">
        <f ca="1">IFERROR(__xludf.DUMMYFUNCTION("""COMPUTED_VALUE"""),"#VALUE!")</f>
        <v>#VALUE!</v>
      </c>
      <c r="CG35" t="str">
        <f ca="1">IFERROR(__xludf.DUMMYFUNCTION("""COMPUTED_VALUE"""),"#VALUE!")</f>
        <v>#VALUE!</v>
      </c>
      <c r="CI35" t="str">
        <f ca="1">IFERROR(__xludf.DUMMYFUNCTION("""COMPUTED_VALUE"""),"#VALUE!")</f>
        <v>#VALUE!</v>
      </c>
      <c r="CK35" t="str">
        <f ca="1">IFERROR(__xludf.DUMMYFUNCTION("""COMPUTED_VALUE"""),"#VALUE!")</f>
        <v>#VALUE!</v>
      </c>
      <c r="CS35" t="str">
        <f ca="1">IFERROR(__xludf.DUMMYFUNCTION("""COMPUTED_VALUE"""),"#VALUE!")</f>
        <v>#VALUE!</v>
      </c>
      <c r="CU35" t="str">
        <f ca="1">IFERROR(__xludf.DUMMYFUNCTION("""COMPUTED_VALUE"""),"#VALUE!")</f>
        <v>#VALUE!</v>
      </c>
      <c r="CV35" t="str">
        <f ca="1">IFERROR(__xludf.DUMMYFUNCTION("""COMPUTED_VALUE"""),"L0001")</f>
        <v>L0001</v>
      </c>
      <c r="CW35" t="str">
        <f ca="1">IFERROR(__xludf.DUMMYFUNCTION("""COMPUTED_VALUE"""),"Giaveno")</f>
        <v>Giaveno</v>
      </c>
      <c r="CY35" t="str">
        <f ca="1">IFERROR(__xludf.DUMMYFUNCTION("""COMPUTED_VALUE"""),"#VALUE!")</f>
        <v>#VALUE!</v>
      </c>
      <c r="DC35" t="str">
        <f ca="1">IFERROR(__xludf.DUMMYFUNCTION("""COMPUTED_VALUE"""),"#VALUE!")</f>
        <v>#VALUE!</v>
      </c>
      <c r="DE35" t="str">
        <f ca="1">IFERROR(__xludf.DUMMYFUNCTION("""COMPUTED_VALUE"""),"#VALUE!")</f>
        <v>#VALUE!</v>
      </c>
      <c r="DI35" t="str">
        <f ca="1">IFERROR(__xludf.DUMMYFUNCTION("""COMPUTED_VALUE"""),"#VALUE!")</f>
        <v>#VALUE!</v>
      </c>
      <c r="DJ35" t="str">
        <f ca="1">IFERROR(__xludf.DUMMYFUNCTION("""COMPUTED_VALUE"""),"#VALUE!")</f>
        <v>#VALUE!</v>
      </c>
      <c r="DL35" t="str">
        <f ca="1">IFERROR(__xludf.DUMMYFUNCTION("""COMPUTED_VALUE"""),"Davor Salihović")</f>
        <v>Davor Salihović</v>
      </c>
    </row>
    <row r="36" spans="1:116" ht="13.2" x14ac:dyDescent="0.25">
      <c r="A36" t="str">
        <f ca="1">IFERROR(__xludf.DUMMYFUNCTION("""COMPUTED_VALUE"""),"P0035")</f>
        <v>P0035</v>
      </c>
      <c r="B36" t="str">
        <f ca="1">IFERROR(__xludf.DUMMYFUNCTION("""COMPUTED_VALUE"""),"Michael, plebanus de Iaveno")</f>
        <v>Michael, plebanus de Iaveno</v>
      </c>
      <c r="C36" t="str">
        <f ca="1">IFERROR(__xludf.DUMMYFUNCTION("""COMPUTED_VALUE"""),"C3252")</f>
        <v>C3252</v>
      </c>
      <c r="D36" t="str">
        <f ca="1">IFERROR(__xludf.DUMMYFUNCTION("""COMPUTED_VALUE"""),"dominus")</f>
        <v>dominus</v>
      </c>
      <c r="E36" t="str">
        <f ca="1">IFERROR(__xludf.DUMMYFUNCTION("""COMPUTED_VALUE"""),"Michael")</f>
        <v>Michael</v>
      </c>
      <c r="Q36" t="str">
        <f ca="1">IFERROR(__xludf.DUMMYFUNCTION("""COMPUTED_VALUE"""),"plebanus de Iaveno")</f>
        <v>plebanus de Iaveno</v>
      </c>
      <c r="S36" t="str">
        <f ca="1">IFERROR(__xludf.DUMMYFUNCTION("""COMPUTED_VALUE"""),"Latin")</f>
        <v>Latin</v>
      </c>
      <c r="T36" t="str">
        <f ca="1">IFERROR(__xludf.DUMMYFUNCTION("""COMPUTED_VALUE"""),"definite")</f>
        <v>definite</v>
      </c>
      <c r="U36" t="str">
        <f ca="1">IFERROR(__xludf.DUMMYFUNCTION("""COMPUTED_VALUE"""),"C2553")</f>
        <v>C2553</v>
      </c>
      <c r="V36" t="str">
        <f ca="1">IFERROR(__xludf.DUMMYFUNCTION("""COMPUTED_VALUE"""),"male")</f>
        <v>male</v>
      </c>
      <c r="Z36" t="str">
        <f ca="1">IFERROR(__xludf.DUMMYFUNCTION("""COMPUTED_VALUE"""),"164, 170, 237")</f>
        <v>164, 170, 237</v>
      </c>
      <c r="AA36" t="str">
        <f ca="1">IFERROR(__xludf.DUMMYFUNCTION("""COMPUTED_VALUE"""),"d")</f>
        <v>d</v>
      </c>
      <c r="AB36" t="str">
        <f ca="1">IFERROR(__xludf.DUMMYFUNCTION("""COMPUTED_VALUE"""),"informer")</f>
        <v>informer</v>
      </c>
      <c r="AD36" t="str">
        <f ca="1">IFERROR(__xludf.DUMMYFUNCTION("""COMPUTED_VALUE"""),"C3287")</f>
        <v>C3287</v>
      </c>
      <c r="AE36" t="str">
        <f ca="1">IFERROR(__xludf.DUMMYFUNCTION("""COMPUTED_VALUE"""),"alive")</f>
        <v>alive</v>
      </c>
      <c r="AF36" t="str">
        <f ca="1">IFERROR(__xludf.DUMMYFUNCTION("""COMPUTED_VALUE"""),"C1753")</f>
        <v>C1753</v>
      </c>
      <c r="AG36" t="str">
        <f ca="1">IFERROR(__xludf.DUMMYFUNCTION("""COMPUTED_VALUE"""),"1335-01-20")</f>
        <v>1335-01-20</v>
      </c>
      <c r="AI36" t="str">
        <f ca="1">IFERROR(__xludf.DUMMYFUNCTION("""COMPUTED_VALUE"""),"#VALUE!")</f>
        <v>#VALUE!</v>
      </c>
      <c r="AK36" t="str">
        <f ca="1">IFERROR(__xludf.DUMMYFUNCTION("""COMPUTED_VALUE"""),"#VALUE!")</f>
        <v>#VALUE!</v>
      </c>
      <c r="AM36" t="str">
        <f ca="1">IFERROR(__xludf.DUMMYFUNCTION("""COMPUTED_VALUE"""),"#VALUE!")</f>
        <v>#VALUE!</v>
      </c>
      <c r="AO36" t="str">
        <f ca="1">IFERROR(__xludf.DUMMYFUNCTION("""COMPUTED_VALUE"""),"#VALUE!")</f>
        <v>#VALUE!</v>
      </c>
      <c r="AQ36" t="str">
        <f ca="1">IFERROR(__xludf.DUMMYFUNCTION("""COMPUTED_VALUE"""),"#VALUE!")</f>
        <v>#VALUE!</v>
      </c>
      <c r="AS36" t="str">
        <f ca="1">IFERROR(__xludf.DUMMYFUNCTION("""COMPUTED_VALUE"""),"#VALUE!")</f>
        <v>#VALUE!</v>
      </c>
      <c r="AU36" t="str">
        <f ca="1">IFERROR(__xludf.DUMMYFUNCTION("""COMPUTED_VALUE"""),"#VALUE!")</f>
        <v>#VALUE!</v>
      </c>
      <c r="AW36" t="str">
        <f ca="1">IFERROR(__xludf.DUMMYFUNCTION("""COMPUTED_VALUE"""),"#VALUE!")</f>
        <v>#VALUE!</v>
      </c>
      <c r="AY36" t="str">
        <f ca="1">IFERROR(__xludf.DUMMYFUNCTION("""COMPUTED_VALUE"""),"#VALUE!")</f>
        <v>#VALUE!</v>
      </c>
      <c r="BA36" t="str">
        <f ca="1">IFERROR(__xludf.DUMMYFUNCTION("""COMPUTED_VALUE"""),"#VALUE!")</f>
        <v>#VALUE!</v>
      </c>
      <c r="BC36" t="str">
        <f ca="1">IFERROR(__xludf.DUMMYFUNCTION("""COMPUTED_VALUE"""),"#VALUE!")</f>
        <v>#VALUE!</v>
      </c>
      <c r="BE36" t="str">
        <f ca="1">IFERROR(__xludf.DUMMYFUNCTION("""COMPUTED_VALUE"""),"#VALUE!")</f>
        <v>#VALUE!</v>
      </c>
      <c r="BG36" t="str">
        <f ca="1">IFERROR(__xludf.DUMMYFUNCTION("""COMPUTED_VALUE"""),"#VALUE!")</f>
        <v>#VALUE!</v>
      </c>
      <c r="BI36" t="str">
        <f ca="1">IFERROR(__xludf.DUMMYFUNCTION("""COMPUTED_VALUE"""),"#VALUE!")</f>
        <v>#VALUE!</v>
      </c>
      <c r="BK36" t="str">
        <f ca="1">IFERROR(__xludf.DUMMYFUNCTION("""COMPUTED_VALUE"""),"#VALUE!")</f>
        <v>#VALUE!</v>
      </c>
      <c r="BM36" t="str">
        <f ca="1">IFERROR(__xludf.DUMMYFUNCTION("""COMPUTED_VALUE"""),"#VALUE!")</f>
        <v>#VALUE!</v>
      </c>
      <c r="BO36" t="str">
        <f ca="1">IFERROR(__xludf.DUMMYFUNCTION("""COMPUTED_VALUE"""),"#VALUE!")</f>
        <v>#VALUE!</v>
      </c>
      <c r="BQ36" t="str">
        <f ca="1">IFERROR(__xludf.DUMMYFUNCTION("""COMPUTED_VALUE"""),"#VALUE!")</f>
        <v>#VALUE!</v>
      </c>
      <c r="BS36" t="str">
        <f ca="1">IFERROR(__xludf.DUMMYFUNCTION("""COMPUTED_VALUE"""),"#VALUE!")</f>
        <v>#VALUE!</v>
      </c>
      <c r="BU36" t="str">
        <f ca="1">IFERROR(__xludf.DUMMYFUNCTION("""COMPUTED_VALUE"""),"#VALUE!")</f>
        <v>#VALUE!</v>
      </c>
      <c r="BW36" t="str">
        <f ca="1">IFERROR(__xludf.DUMMYFUNCTION("""COMPUTED_VALUE"""),"#VALUE!")</f>
        <v>#VALUE!</v>
      </c>
      <c r="BY36" t="str">
        <f ca="1">IFERROR(__xludf.DUMMYFUNCTION("""COMPUTED_VALUE"""),"#VALUE!")</f>
        <v>#VALUE!</v>
      </c>
      <c r="CA36" t="str">
        <f ca="1">IFERROR(__xludf.DUMMYFUNCTION("""COMPUTED_VALUE"""),"#VALUE!")</f>
        <v>#VALUE!</v>
      </c>
      <c r="CC36" t="str">
        <f ca="1">IFERROR(__xludf.DUMMYFUNCTION("""COMPUTED_VALUE"""),"#VALUE!")</f>
        <v>#VALUE!</v>
      </c>
      <c r="CE36" t="str">
        <f ca="1">IFERROR(__xludf.DUMMYFUNCTION("""COMPUTED_VALUE"""),"#VALUE!")</f>
        <v>#VALUE!</v>
      </c>
      <c r="CG36" t="str">
        <f ca="1">IFERROR(__xludf.DUMMYFUNCTION("""COMPUTED_VALUE"""),"#VALUE!")</f>
        <v>#VALUE!</v>
      </c>
      <c r="CI36" t="str">
        <f ca="1">IFERROR(__xludf.DUMMYFUNCTION("""COMPUTED_VALUE"""),"#VALUE!")</f>
        <v>#VALUE!</v>
      </c>
      <c r="CK36" t="str">
        <f ca="1">IFERROR(__xludf.DUMMYFUNCTION("""COMPUTED_VALUE"""),"#VALUE!")</f>
        <v>#VALUE!</v>
      </c>
      <c r="CS36" t="str">
        <f ca="1">IFERROR(__xludf.DUMMYFUNCTION("""COMPUTED_VALUE"""),"#VALUE!")</f>
        <v>#VALUE!</v>
      </c>
      <c r="CU36" t="str">
        <f ca="1">IFERROR(__xludf.DUMMYFUNCTION("""COMPUTED_VALUE"""),"#VALUE!")</f>
        <v>#VALUE!</v>
      </c>
      <c r="CV36" t="str">
        <f ca="1">IFERROR(__xludf.DUMMYFUNCTION("""COMPUTED_VALUE"""),"L0001")</f>
        <v>L0001</v>
      </c>
      <c r="CW36" t="str">
        <f ca="1">IFERROR(__xludf.DUMMYFUNCTION("""COMPUTED_VALUE"""),"Giaveno")</f>
        <v>Giaveno</v>
      </c>
      <c r="CX36" t="str">
        <f ca="1">IFERROR(__xludf.DUMMYFUNCTION("""COMPUTED_VALUE"""),"C3178")</f>
        <v>C3178</v>
      </c>
      <c r="CY36" t="str">
        <f ca="1">IFERROR(__xludf.DUMMYFUNCTION("""COMPUTED_VALUE"""),"parish priest")</f>
        <v>parish priest</v>
      </c>
      <c r="DA36" t="str">
        <f ca="1">IFERROR(__xludf.DUMMYFUNCTION("""COMPUTED_VALUE"""),"churchperson")</f>
        <v>churchperson</v>
      </c>
      <c r="DB36" t="str">
        <f ca="1">IFERROR(__xludf.DUMMYFUNCTION("""COMPUTED_VALUE"""),"C0194")</f>
        <v>C0194</v>
      </c>
      <c r="DC36" t="str">
        <f ca="1">IFERROR(__xludf.DUMMYFUNCTION("""COMPUTED_VALUE"""),"sacerdos")</f>
        <v>sacerdos</v>
      </c>
      <c r="DD36" t="str">
        <f ca="1">IFERROR(__xludf.DUMMYFUNCTION("""COMPUTED_VALUE"""),"C3178")</f>
        <v>C3178</v>
      </c>
      <c r="DE36" t="str">
        <f ca="1">IFERROR(__xludf.DUMMYFUNCTION("""COMPUTED_VALUE"""),"parish priest")</f>
        <v>parish priest</v>
      </c>
      <c r="DI36" t="str">
        <f ca="1">IFERROR(__xludf.DUMMYFUNCTION("""COMPUTED_VALUE"""),"#VALUE!")</f>
        <v>#VALUE!</v>
      </c>
      <c r="DJ36" t="str">
        <f ca="1">IFERROR(__xludf.DUMMYFUNCTION("""COMPUTED_VALUE"""),"#VALUE!")</f>
        <v>#VALUE!</v>
      </c>
      <c r="DL36" t="str">
        <f ca="1">IFERROR(__xludf.DUMMYFUNCTION("""COMPUTED_VALUE"""),"Davor Salihović")</f>
        <v>Davor Salihović</v>
      </c>
    </row>
    <row r="37" spans="1:116" ht="13.2" x14ac:dyDescent="0.25">
      <c r="A37" t="str">
        <f ca="1">IFERROR(__xludf.DUMMYFUNCTION("""COMPUTED_VALUE"""),"P0036")</f>
        <v>P0036</v>
      </c>
      <c r="B37" t="str">
        <f ca="1">IFERROR(__xludf.DUMMYFUNCTION("""COMPUTED_VALUE"""),"Agnessona Domenii")</f>
        <v>Agnessona Domenii</v>
      </c>
      <c r="D37" t="str">
        <f ca="1">IFERROR(__xludf.DUMMYFUNCTION("""COMPUTED_VALUE"""),"#VALUE!")</f>
        <v>#VALUE!</v>
      </c>
      <c r="E37" t="str">
        <f ca="1">IFERROR(__xludf.DUMMYFUNCTION("""COMPUTED_VALUE"""),"Agnessona")</f>
        <v>Agnessona</v>
      </c>
      <c r="K37" t="str">
        <f ca="1">IFERROR(__xludf.DUMMYFUNCTION("""COMPUTED_VALUE"""),"Domenii")</f>
        <v>Domenii</v>
      </c>
      <c r="L37" t="str">
        <f ca="1">IFERROR(__xludf.DUMMYFUNCTION("""COMPUTED_VALUE"""),"Domenii")</f>
        <v>Domenii</v>
      </c>
      <c r="Q37" t="str">
        <f ca="1">IFERROR(__xludf.DUMMYFUNCTION("""COMPUTED_VALUE"""),"uxor condam Vincencii Carbonerii")</f>
        <v>uxor condam Vincencii Carbonerii</v>
      </c>
      <c r="S37" t="str">
        <f ca="1">IFERROR(__xludf.DUMMYFUNCTION("""COMPUTED_VALUE"""),"Latin")</f>
        <v>Latin</v>
      </c>
      <c r="T37" t="str">
        <f ca="1">IFERROR(__xludf.DUMMYFUNCTION("""COMPUTED_VALUE"""),"definite")</f>
        <v>definite</v>
      </c>
      <c r="U37" t="str">
        <f ca="1">IFERROR(__xludf.DUMMYFUNCTION("""COMPUTED_VALUE"""),"C2552")</f>
        <v>C2552</v>
      </c>
      <c r="V37" t="str">
        <f ca="1">IFERROR(__xludf.DUMMYFUNCTION("""COMPUTED_VALUE"""),"female")</f>
        <v>female</v>
      </c>
      <c r="Z37" t="str">
        <f ca="1">IFERROR(__xludf.DUMMYFUNCTION("""COMPUTED_VALUE"""),"164")</f>
        <v>164</v>
      </c>
      <c r="AA37" t="str">
        <f ca="1">IFERROR(__xludf.DUMMYFUNCTION("""COMPUTED_VALUE"""),"d")</f>
        <v>d</v>
      </c>
      <c r="AB37" t="str">
        <f ca="1">IFERROR(__xludf.DUMMYFUNCTION("""COMPUTED_VALUE"""),"NA")</f>
        <v>NA</v>
      </c>
      <c r="AC37" t="str">
        <f ca="1">IFERROR(__xludf.DUMMYFUNCTION("""COMPUTED_VALUE"""),"y")</f>
        <v>y</v>
      </c>
      <c r="AD37" t="str">
        <f ca="1">IFERROR(__xludf.DUMMYFUNCTION("""COMPUTED_VALUE"""),"C3288")</f>
        <v>C3288</v>
      </c>
      <c r="AE37" t="str">
        <f ca="1">IFERROR(__xludf.DUMMYFUNCTION("""COMPUTED_VALUE"""),"dead")</f>
        <v>dead</v>
      </c>
      <c r="AF37" t="str">
        <f ca="1">IFERROR(__xludf.DUMMYFUNCTION("""COMPUTED_VALUE"""),"C1749")</f>
        <v>C1749</v>
      </c>
      <c r="AG37" t="str">
        <f ca="1">IFERROR(__xludf.DUMMYFUNCTION("""COMPUTED_VALUE"""),"1335-01-20")</f>
        <v>1335-01-20</v>
      </c>
      <c r="AI37" t="str">
        <f ca="1">IFERROR(__xludf.DUMMYFUNCTION("""COMPUTED_VALUE"""),"#VALUE!")</f>
        <v>#VALUE!</v>
      </c>
      <c r="AK37" t="str">
        <f ca="1">IFERROR(__xludf.DUMMYFUNCTION("""COMPUTED_VALUE"""),"#VALUE!")</f>
        <v>#VALUE!</v>
      </c>
      <c r="AM37" t="str">
        <f ca="1">IFERROR(__xludf.DUMMYFUNCTION("""COMPUTED_VALUE"""),"#VALUE!")</f>
        <v>#VALUE!</v>
      </c>
      <c r="AO37" t="str">
        <f ca="1">IFERROR(__xludf.DUMMYFUNCTION("""COMPUTED_VALUE"""),"#VALUE!")</f>
        <v>#VALUE!</v>
      </c>
      <c r="AQ37" t="str">
        <f ca="1">IFERROR(__xludf.DUMMYFUNCTION("""COMPUTED_VALUE"""),"#VALUE!")</f>
        <v>#VALUE!</v>
      </c>
      <c r="AS37" t="str">
        <f ca="1">IFERROR(__xludf.DUMMYFUNCTION("""COMPUTED_VALUE"""),"#VALUE!")</f>
        <v>#VALUE!</v>
      </c>
      <c r="AU37" t="str">
        <f ca="1">IFERROR(__xludf.DUMMYFUNCTION("""COMPUTED_VALUE"""),"#VALUE!")</f>
        <v>#VALUE!</v>
      </c>
      <c r="AW37" t="str">
        <f ca="1">IFERROR(__xludf.DUMMYFUNCTION("""COMPUTED_VALUE"""),"#VALUE!")</f>
        <v>#VALUE!</v>
      </c>
      <c r="AY37" t="str">
        <f ca="1">IFERROR(__xludf.DUMMYFUNCTION("""COMPUTED_VALUE"""),"#VALUE!")</f>
        <v>#VALUE!</v>
      </c>
      <c r="BA37" t="str">
        <f ca="1">IFERROR(__xludf.DUMMYFUNCTION("""COMPUTED_VALUE"""),"#VALUE!")</f>
        <v>#VALUE!</v>
      </c>
      <c r="BC37" t="str">
        <f ca="1">IFERROR(__xludf.DUMMYFUNCTION("""COMPUTED_VALUE"""),"#VALUE!")</f>
        <v>#VALUE!</v>
      </c>
      <c r="BE37" t="str">
        <f ca="1">IFERROR(__xludf.DUMMYFUNCTION("""COMPUTED_VALUE"""),"#VALUE!")</f>
        <v>#VALUE!</v>
      </c>
      <c r="BG37" t="str">
        <f ca="1">IFERROR(__xludf.DUMMYFUNCTION("""COMPUTED_VALUE"""),"#VALUE!")</f>
        <v>#VALUE!</v>
      </c>
      <c r="BI37" t="str">
        <f ca="1">IFERROR(__xludf.DUMMYFUNCTION("""COMPUTED_VALUE"""),"#VALUE!")</f>
        <v>#VALUE!</v>
      </c>
      <c r="BK37" t="str">
        <f ca="1">IFERROR(__xludf.DUMMYFUNCTION("""COMPUTED_VALUE"""),"#VALUE!")</f>
        <v>#VALUE!</v>
      </c>
      <c r="BM37" t="str">
        <f ca="1">IFERROR(__xludf.DUMMYFUNCTION("""COMPUTED_VALUE"""),"#VALUE!")</f>
        <v>#VALUE!</v>
      </c>
      <c r="BO37" t="str">
        <f ca="1">IFERROR(__xludf.DUMMYFUNCTION("""COMPUTED_VALUE"""),"#VALUE!")</f>
        <v>#VALUE!</v>
      </c>
      <c r="BQ37" t="str">
        <f ca="1">IFERROR(__xludf.DUMMYFUNCTION("""COMPUTED_VALUE"""),"#VALUE!")</f>
        <v>#VALUE!</v>
      </c>
      <c r="BS37" t="str">
        <f ca="1">IFERROR(__xludf.DUMMYFUNCTION("""COMPUTED_VALUE"""),"#VALUE!")</f>
        <v>#VALUE!</v>
      </c>
      <c r="BU37" t="str">
        <f ca="1">IFERROR(__xludf.DUMMYFUNCTION("""COMPUTED_VALUE"""),"#VALUE!")</f>
        <v>#VALUE!</v>
      </c>
      <c r="BW37" t="str">
        <f ca="1">IFERROR(__xludf.DUMMYFUNCTION("""COMPUTED_VALUE"""),"#VALUE!")</f>
        <v>#VALUE!</v>
      </c>
      <c r="BY37" t="str">
        <f ca="1">IFERROR(__xludf.DUMMYFUNCTION("""COMPUTED_VALUE"""),"#VALUE!")</f>
        <v>#VALUE!</v>
      </c>
      <c r="CA37" t="str">
        <f ca="1">IFERROR(__xludf.DUMMYFUNCTION("""COMPUTED_VALUE"""),"#VALUE!")</f>
        <v>#VALUE!</v>
      </c>
      <c r="CC37" t="str">
        <f ca="1">IFERROR(__xludf.DUMMYFUNCTION("""COMPUTED_VALUE"""),"#VALUE!")</f>
        <v>#VALUE!</v>
      </c>
      <c r="CE37" t="str">
        <f ca="1">IFERROR(__xludf.DUMMYFUNCTION("""COMPUTED_VALUE"""),"#VALUE!")</f>
        <v>#VALUE!</v>
      </c>
      <c r="CG37" t="str">
        <f ca="1">IFERROR(__xludf.DUMMYFUNCTION("""COMPUTED_VALUE"""),"#VALUE!")</f>
        <v>#VALUE!</v>
      </c>
      <c r="CI37" t="str">
        <f ca="1">IFERROR(__xludf.DUMMYFUNCTION("""COMPUTED_VALUE"""),"#VALUE!")</f>
        <v>#VALUE!</v>
      </c>
      <c r="CK37" t="str">
        <f ca="1">IFERROR(__xludf.DUMMYFUNCTION("""COMPUTED_VALUE"""),"#VALUE!")</f>
        <v>#VALUE!</v>
      </c>
      <c r="CR37" t="str">
        <f ca="1">IFERROR(__xludf.DUMMYFUNCTION("""COMPUTED_VALUE"""),"L0010")</f>
        <v>L0010</v>
      </c>
      <c r="CS37" t="str">
        <f ca="1">IFERROR(__xludf.DUMMYFUNCTION("""COMPUTED_VALUE"""),"Buffa")</f>
        <v>Buffa</v>
      </c>
      <c r="CU37" t="str">
        <f ca="1">IFERROR(__xludf.DUMMYFUNCTION("""COMPUTED_VALUE"""),"#VALUE!")</f>
        <v>#VALUE!</v>
      </c>
      <c r="CW37" t="str">
        <f ca="1">IFERROR(__xludf.DUMMYFUNCTION("""COMPUTED_VALUE"""),"#VALUE!")</f>
        <v>#VALUE!</v>
      </c>
      <c r="CY37" t="str">
        <f ca="1">IFERROR(__xludf.DUMMYFUNCTION("""COMPUTED_VALUE"""),"#VALUE!")</f>
        <v>#VALUE!</v>
      </c>
      <c r="DC37" t="str">
        <f ca="1">IFERROR(__xludf.DUMMYFUNCTION("""COMPUTED_VALUE"""),"#VALUE!")</f>
        <v>#VALUE!</v>
      </c>
      <c r="DE37" t="str">
        <f ca="1">IFERROR(__xludf.DUMMYFUNCTION("""COMPUTED_VALUE"""),"#VALUE!")</f>
        <v>#VALUE!</v>
      </c>
      <c r="DI37" t="str">
        <f ca="1">IFERROR(__xludf.DUMMYFUNCTION("""COMPUTED_VALUE"""),"#VALUE!")</f>
        <v>#VALUE!</v>
      </c>
      <c r="DJ37" t="str">
        <f ca="1">IFERROR(__xludf.DUMMYFUNCTION("""COMPUTED_VALUE"""),"#VALUE!")</f>
        <v>#VALUE!</v>
      </c>
      <c r="DL37" t="str">
        <f ca="1">IFERROR(__xludf.DUMMYFUNCTION("""COMPUTED_VALUE"""),"Davor Salihović")</f>
        <v>Davor Salihović</v>
      </c>
    </row>
    <row r="38" spans="1:116" ht="13.2" x14ac:dyDescent="0.25">
      <c r="A38" t="str">
        <f ca="1">IFERROR(__xludf.DUMMYFUNCTION("""COMPUTED_VALUE"""),"P0037")</f>
        <v>P0037</v>
      </c>
      <c r="B38" t="str">
        <f ca="1">IFERROR(__xludf.DUMMYFUNCTION("""COMPUTED_VALUE"""),"Vincentius Carbonerii")</f>
        <v>Vincentius Carbonerii</v>
      </c>
      <c r="D38" t="str">
        <f ca="1">IFERROR(__xludf.DUMMYFUNCTION("""COMPUTED_VALUE"""),"#VALUE!")</f>
        <v>#VALUE!</v>
      </c>
      <c r="E38" t="str">
        <f ca="1">IFERROR(__xludf.DUMMYFUNCTION("""COMPUTED_VALUE"""),"Vincentius")</f>
        <v>Vincentius</v>
      </c>
      <c r="K38" t="str">
        <f ca="1">IFERROR(__xludf.DUMMYFUNCTION("""COMPUTED_VALUE"""),"Carbonerii")</f>
        <v>Carbonerii</v>
      </c>
      <c r="L38" t="str">
        <f ca="1">IFERROR(__xludf.DUMMYFUNCTION("""COMPUTED_VALUE"""),"Carbonerii")</f>
        <v>Carbonerii</v>
      </c>
      <c r="S38" t="str">
        <f ca="1">IFERROR(__xludf.DUMMYFUNCTION("""COMPUTED_VALUE"""),"Latin")</f>
        <v>Latin</v>
      </c>
      <c r="T38" t="str">
        <f ca="1">IFERROR(__xludf.DUMMYFUNCTION("""COMPUTED_VALUE"""),"definite")</f>
        <v>definite</v>
      </c>
      <c r="U38" t="str">
        <f ca="1">IFERROR(__xludf.DUMMYFUNCTION("""COMPUTED_VALUE"""),"C2553")</f>
        <v>C2553</v>
      </c>
      <c r="V38" t="str">
        <f ca="1">IFERROR(__xludf.DUMMYFUNCTION("""COMPUTED_VALUE"""),"male")</f>
        <v>male</v>
      </c>
      <c r="Z38" t="str">
        <f ca="1">IFERROR(__xludf.DUMMYFUNCTION("""COMPUTED_VALUE"""),"164")</f>
        <v>164</v>
      </c>
      <c r="AA38" t="str">
        <f ca="1">IFERROR(__xludf.DUMMYFUNCTION("""COMPUTED_VALUE"""),"o")</f>
        <v>o</v>
      </c>
      <c r="AB38" t="str">
        <f ca="1">IFERROR(__xludf.DUMMYFUNCTION("""COMPUTED_VALUE"""),"NA")</f>
        <v>NA</v>
      </c>
      <c r="AE38" t="str">
        <f ca="1">IFERROR(__xludf.DUMMYFUNCTION("""COMPUTED_VALUE"""),"#VALUE!")</f>
        <v>#VALUE!</v>
      </c>
      <c r="AF38" t="str">
        <f ca="1">IFERROR(__xludf.DUMMYFUNCTION("""COMPUTED_VALUE"""),"#N/A")</f>
        <v>#N/A</v>
      </c>
      <c r="AG38" t="str">
        <f ca="1">IFERROR(__xludf.DUMMYFUNCTION("""COMPUTED_VALUE"""),"#N/A")</f>
        <v>#N/A</v>
      </c>
      <c r="AH38" t="str">
        <f ca="1">IFERROR(__xludf.DUMMYFUNCTION("""COMPUTED_VALUE"""),"C2348")</f>
        <v>C2348</v>
      </c>
      <c r="AI38" t="str">
        <f ca="1">IFERROR(__xludf.DUMMYFUNCTION("""COMPUTED_VALUE"""),"wife")</f>
        <v>wife</v>
      </c>
      <c r="AJ38" t="str">
        <f ca="1">IFERROR(__xludf.DUMMYFUNCTION("""COMPUTED_VALUE"""),"P0036")</f>
        <v>P0036</v>
      </c>
      <c r="AK38" t="str">
        <f ca="1">IFERROR(__xludf.DUMMYFUNCTION("""COMPUTED_VALUE"""),"Agnessona Domenii")</f>
        <v>Agnessona Domenii</v>
      </c>
      <c r="AM38" t="str">
        <f ca="1">IFERROR(__xludf.DUMMYFUNCTION("""COMPUTED_VALUE"""),"#VALUE!")</f>
        <v>#VALUE!</v>
      </c>
      <c r="AO38" t="str">
        <f ca="1">IFERROR(__xludf.DUMMYFUNCTION("""COMPUTED_VALUE"""),"#VALUE!")</f>
        <v>#VALUE!</v>
      </c>
      <c r="AQ38" t="str">
        <f ca="1">IFERROR(__xludf.DUMMYFUNCTION("""COMPUTED_VALUE"""),"#VALUE!")</f>
        <v>#VALUE!</v>
      </c>
      <c r="AS38" t="str">
        <f ca="1">IFERROR(__xludf.DUMMYFUNCTION("""COMPUTED_VALUE"""),"#VALUE!")</f>
        <v>#VALUE!</v>
      </c>
      <c r="AU38" t="str">
        <f ca="1">IFERROR(__xludf.DUMMYFUNCTION("""COMPUTED_VALUE"""),"#VALUE!")</f>
        <v>#VALUE!</v>
      </c>
      <c r="AW38" t="str">
        <f ca="1">IFERROR(__xludf.DUMMYFUNCTION("""COMPUTED_VALUE"""),"#VALUE!")</f>
        <v>#VALUE!</v>
      </c>
      <c r="AY38" t="str">
        <f ca="1">IFERROR(__xludf.DUMMYFUNCTION("""COMPUTED_VALUE"""),"#VALUE!")</f>
        <v>#VALUE!</v>
      </c>
      <c r="BA38" t="str">
        <f ca="1">IFERROR(__xludf.DUMMYFUNCTION("""COMPUTED_VALUE"""),"#VALUE!")</f>
        <v>#VALUE!</v>
      </c>
      <c r="BC38" t="str">
        <f ca="1">IFERROR(__xludf.DUMMYFUNCTION("""COMPUTED_VALUE"""),"#VALUE!")</f>
        <v>#VALUE!</v>
      </c>
      <c r="BE38" t="str">
        <f ca="1">IFERROR(__xludf.DUMMYFUNCTION("""COMPUTED_VALUE"""),"#VALUE!")</f>
        <v>#VALUE!</v>
      </c>
      <c r="BG38" t="str">
        <f ca="1">IFERROR(__xludf.DUMMYFUNCTION("""COMPUTED_VALUE"""),"#VALUE!")</f>
        <v>#VALUE!</v>
      </c>
      <c r="BI38" t="str">
        <f ca="1">IFERROR(__xludf.DUMMYFUNCTION("""COMPUTED_VALUE"""),"#VALUE!")</f>
        <v>#VALUE!</v>
      </c>
      <c r="BK38" t="str">
        <f ca="1">IFERROR(__xludf.DUMMYFUNCTION("""COMPUTED_VALUE"""),"#VALUE!")</f>
        <v>#VALUE!</v>
      </c>
      <c r="BM38" t="str">
        <f ca="1">IFERROR(__xludf.DUMMYFUNCTION("""COMPUTED_VALUE"""),"#VALUE!")</f>
        <v>#VALUE!</v>
      </c>
      <c r="BO38" t="str">
        <f ca="1">IFERROR(__xludf.DUMMYFUNCTION("""COMPUTED_VALUE"""),"#VALUE!")</f>
        <v>#VALUE!</v>
      </c>
      <c r="BQ38" t="str">
        <f ca="1">IFERROR(__xludf.DUMMYFUNCTION("""COMPUTED_VALUE"""),"#VALUE!")</f>
        <v>#VALUE!</v>
      </c>
      <c r="BS38" t="str">
        <f ca="1">IFERROR(__xludf.DUMMYFUNCTION("""COMPUTED_VALUE"""),"#VALUE!")</f>
        <v>#VALUE!</v>
      </c>
      <c r="BU38" t="str">
        <f ca="1">IFERROR(__xludf.DUMMYFUNCTION("""COMPUTED_VALUE"""),"#VALUE!")</f>
        <v>#VALUE!</v>
      </c>
      <c r="BW38" t="str">
        <f ca="1">IFERROR(__xludf.DUMMYFUNCTION("""COMPUTED_VALUE"""),"#VALUE!")</f>
        <v>#VALUE!</v>
      </c>
      <c r="BY38" t="str">
        <f ca="1">IFERROR(__xludf.DUMMYFUNCTION("""COMPUTED_VALUE"""),"#VALUE!")</f>
        <v>#VALUE!</v>
      </c>
      <c r="CA38" t="str">
        <f ca="1">IFERROR(__xludf.DUMMYFUNCTION("""COMPUTED_VALUE"""),"#VALUE!")</f>
        <v>#VALUE!</v>
      </c>
      <c r="CC38" t="str">
        <f ca="1">IFERROR(__xludf.DUMMYFUNCTION("""COMPUTED_VALUE"""),"#VALUE!")</f>
        <v>#VALUE!</v>
      </c>
      <c r="CE38" t="str">
        <f ca="1">IFERROR(__xludf.DUMMYFUNCTION("""COMPUTED_VALUE"""),"#VALUE!")</f>
        <v>#VALUE!</v>
      </c>
      <c r="CG38" t="str">
        <f ca="1">IFERROR(__xludf.DUMMYFUNCTION("""COMPUTED_VALUE"""),"#VALUE!")</f>
        <v>#VALUE!</v>
      </c>
      <c r="CI38" t="str">
        <f ca="1">IFERROR(__xludf.DUMMYFUNCTION("""COMPUTED_VALUE"""),"#VALUE!")</f>
        <v>#VALUE!</v>
      </c>
      <c r="CK38" t="str">
        <f ca="1">IFERROR(__xludf.DUMMYFUNCTION("""COMPUTED_VALUE"""),"#VALUE!")</f>
        <v>#VALUE!</v>
      </c>
      <c r="CR38" t="str">
        <f ca="1">IFERROR(__xludf.DUMMYFUNCTION("""COMPUTED_VALUE"""),"L0010")</f>
        <v>L0010</v>
      </c>
      <c r="CS38" t="str">
        <f ca="1">IFERROR(__xludf.DUMMYFUNCTION("""COMPUTED_VALUE"""),"Buffa")</f>
        <v>Buffa</v>
      </c>
      <c r="CU38" t="str">
        <f ca="1">IFERROR(__xludf.DUMMYFUNCTION("""COMPUTED_VALUE"""),"#VALUE!")</f>
        <v>#VALUE!</v>
      </c>
      <c r="CW38" t="str">
        <f ca="1">IFERROR(__xludf.DUMMYFUNCTION("""COMPUTED_VALUE"""),"#VALUE!")</f>
        <v>#VALUE!</v>
      </c>
      <c r="CY38" t="str">
        <f ca="1">IFERROR(__xludf.DUMMYFUNCTION("""COMPUTED_VALUE"""),"#VALUE!")</f>
        <v>#VALUE!</v>
      </c>
      <c r="DC38" t="str">
        <f ca="1">IFERROR(__xludf.DUMMYFUNCTION("""COMPUTED_VALUE"""),"#VALUE!")</f>
        <v>#VALUE!</v>
      </c>
      <c r="DE38" t="str">
        <f ca="1">IFERROR(__xludf.DUMMYFUNCTION("""COMPUTED_VALUE"""),"#VALUE!")</f>
        <v>#VALUE!</v>
      </c>
      <c r="DI38" t="str">
        <f ca="1">IFERROR(__xludf.DUMMYFUNCTION("""COMPUTED_VALUE"""),"#VALUE!")</f>
        <v>#VALUE!</v>
      </c>
      <c r="DJ38" t="str">
        <f ca="1">IFERROR(__xludf.DUMMYFUNCTION("""COMPUTED_VALUE"""),"#VALUE!")</f>
        <v>#VALUE!</v>
      </c>
      <c r="DL38" t="str">
        <f ca="1">IFERROR(__xludf.DUMMYFUNCTION("""COMPUTED_VALUE"""),"Davor Salihović")</f>
        <v>Davor Salihović</v>
      </c>
    </row>
    <row r="39" spans="1:116" ht="13.2" x14ac:dyDescent="0.25">
      <c r="A39" t="str">
        <f ca="1">IFERROR(__xludf.DUMMYFUNCTION("""COMPUTED_VALUE"""),"P0038")</f>
        <v>P0038</v>
      </c>
      <c r="B39" t="str">
        <f ca="1">IFERROR(__xludf.DUMMYFUNCTION("""COMPUTED_VALUE"""),"Petrus Cominus")</f>
        <v>Petrus Cominus</v>
      </c>
      <c r="D39" t="str">
        <f ca="1">IFERROR(__xludf.DUMMYFUNCTION("""COMPUTED_VALUE"""),"#VALUE!")</f>
        <v>#VALUE!</v>
      </c>
      <c r="E39" t="str">
        <f ca="1">IFERROR(__xludf.DUMMYFUNCTION("""COMPUTED_VALUE"""),"Petrus")</f>
        <v>Petrus</v>
      </c>
      <c r="K39" t="str">
        <f ca="1">IFERROR(__xludf.DUMMYFUNCTION("""COMPUTED_VALUE"""),"Cominus")</f>
        <v>Cominus</v>
      </c>
      <c r="L39" t="str">
        <f ca="1">IFERROR(__xludf.DUMMYFUNCTION("""COMPUTED_VALUE"""),"Cominus")</f>
        <v>Cominus</v>
      </c>
      <c r="S39" t="str">
        <f ca="1">IFERROR(__xludf.DUMMYFUNCTION("""COMPUTED_VALUE"""),"Latin")</f>
        <v>Latin</v>
      </c>
      <c r="T39" t="str">
        <f ca="1">IFERROR(__xludf.DUMMYFUNCTION("""COMPUTED_VALUE"""),"definite")</f>
        <v>definite</v>
      </c>
      <c r="U39" t="str">
        <f ca="1">IFERROR(__xludf.DUMMYFUNCTION("""COMPUTED_VALUE"""),"C2553")</f>
        <v>C2553</v>
      </c>
      <c r="V39" t="str">
        <f ca="1">IFERROR(__xludf.DUMMYFUNCTION("""COMPUTED_VALUE"""),"male")</f>
        <v>male</v>
      </c>
      <c r="Z39" t="str">
        <f ca="1">IFERROR(__xludf.DUMMYFUNCTION("""COMPUTED_VALUE"""),"164")</f>
        <v>164</v>
      </c>
      <c r="AA39" t="str">
        <f ca="1">IFERROR(__xludf.DUMMYFUNCTION("""COMPUTED_VALUE"""),"o")</f>
        <v>o</v>
      </c>
      <c r="AB39" t="str">
        <f ca="1">IFERROR(__xludf.DUMMYFUNCTION("""COMPUTED_VALUE"""),"informer")</f>
        <v>informer</v>
      </c>
      <c r="AD39" t="str">
        <f ca="1">IFERROR(__xludf.DUMMYFUNCTION("""COMPUTED_VALUE"""),"C3287")</f>
        <v>C3287</v>
      </c>
      <c r="AE39" t="str">
        <f ca="1">IFERROR(__xludf.DUMMYFUNCTION("""COMPUTED_VALUE"""),"alive")</f>
        <v>alive</v>
      </c>
      <c r="AF39" t="str">
        <f ca="1">IFERROR(__xludf.DUMMYFUNCTION("""COMPUTED_VALUE"""),"C1753")</f>
        <v>C1753</v>
      </c>
      <c r="AG39" t="str">
        <f ca="1">IFERROR(__xludf.DUMMYFUNCTION("""COMPUTED_VALUE"""),"1335-01-20")</f>
        <v>1335-01-20</v>
      </c>
      <c r="AI39" t="str">
        <f ca="1">IFERROR(__xludf.DUMMYFUNCTION("""COMPUTED_VALUE"""),"#VALUE!")</f>
        <v>#VALUE!</v>
      </c>
      <c r="AK39" t="str">
        <f ca="1">IFERROR(__xludf.DUMMYFUNCTION("""COMPUTED_VALUE"""),"#VALUE!")</f>
        <v>#VALUE!</v>
      </c>
      <c r="AM39" t="str">
        <f ca="1">IFERROR(__xludf.DUMMYFUNCTION("""COMPUTED_VALUE"""),"#VALUE!")</f>
        <v>#VALUE!</v>
      </c>
      <c r="AO39" t="str">
        <f ca="1">IFERROR(__xludf.DUMMYFUNCTION("""COMPUTED_VALUE"""),"#VALUE!")</f>
        <v>#VALUE!</v>
      </c>
      <c r="AQ39" t="str">
        <f ca="1">IFERROR(__xludf.DUMMYFUNCTION("""COMPUTED_VALUE"""),"#VALUE!")</f>
        <v>#VALUE!</v>
      </c>
      <c r="AS39" t="str">
        <f ca="1">IFERROR(__xludf.DUMMYFUNCTION("""COMPUTED_VALUE"""),"#VALUE!")</f>
        <v>#VALUE!</v>
      </c>
      <c r="AU39" t="str">
        <f ca="1">IFERROR(__xludf.DUMMYFUNCTION("""COMPUTED_VALUE"""),"#VALUE!")</f>
        <v>#VALUE!</v>
      </c>
      <c r="AW39" t="str">
        <f ca="1">IFERROR(__xludf.DUMMYFUNCTION("""COMPUTED_VALUE"""),"#VALUE!")</f>
        <v>#VALUE!</v>
      </c>
      <c r="AY39" t="str">
        <f ca="1">IFERROR(__xludf.DUMMYFUNCTION("""COMPUTED_VALUE"""),"#VALUE!")</f>
        <v>#VALUE!</v>
      </c>
      <c r="BA39" t="str">
        <f ca="1">IFERROR(__xludf.DUMMYFUNCTION("""COMPUTED_VALUE"""),"#VALUE!")</f>
        <v>#VALUE!</v>
      </c>
      <c r="BC39" t="str">
        <f ca="1">IFERROR(__xludf.DUMMYFUNCTION("""COMPUTED_VALUE"""),"#VALUE!")</f>
        <v>#VALUE!</v>
      </c>
      <c r="BE39" t="str">
        <f ca="1">IFERROR(__xludf.DUMMYFUNCTION("""COMPUTED_VALUE"""),"#VALUE!")</f>
        <v>#VALUE!</v>
      </c>
      <c r="BG39" t="str">
        <f ca="1">IFERROR(__xludf.DUMMYFUNCTION("""COMPUTED_VALUE"""),"#VALUE!")</f>
        <v>#VALUE!</v>
      </c>
      <c r="BI39" t="str">
        <f ca="1">IFERROR(__xludf.DUMMYFUNCTION("""COMPUTED_VALUE"""),"#VALUE!")</f>
        <v>#VALUE!</v>
      </c>
      <c r="BK39" t="str">
        <f ca="1">IFERROR(__xludf.DUMMYFUNCTION("""COMPUTED_VALUE"""),"#VALUE!")</f>
        <v>#VALUE!</v>
      </c>
      <c r="BM39" t="str">
        <f ca="1">IFERROR(__xludf.DUMMYFUNCTION("""COMPUTED_VALUE"""),"#VALUE!")</f>
        <v>#VALUE!</v>
      </c>
      <c r="BO39" t="str">
        <f ca="1">IFERROR(__xludf.DUMMYFUNCTION("""COMPUTED_VALUE"""),"#VALUE!")</f>
        <v>#VALUE!</v>
      </c>
      <c r="BQ39" t="str">
        <f ca="1">IFERROR(__xludf.DUMMYFUNCTION("""COMPUTED_VALUE"""),"#VALUE!")</f>
        <v>#VALUE!</v>
      </c>
      <c r="BS39" t="str">
        <f ca="1">IFERROR(__xludf.DUMMYFUNCTION("""COMPUTED_VALUE"""),"#VALUE!")</f>
        <v>#VALUE!</v>
      </c>
      <c r="BU39" t="str">
        <f ca="1">IFERROR(__xludf.DUMMYFUNCTION("""COMPUTED_VALUE"""),"#VALUE!")</f>
        <v>#VALUE!</v>
      </c>
      <c r="BW39" t="str">
        <f ca="1">IFERROR(__xludf.DUMMYFUNCTION("""COMPUTED_VALUE"""),"#VALUE!")</f>
        <v>#VALUE!</v>
      </c>
      <c r="BY39" t="str">
        <f ca="1">IFERROR(__xludf.DUMMYFUNCTION("""COMPUTED_VALUE"""),"#VALUE!")</f>
        <v>#VALUE!</v>
      </c>
      <c r="CA39" t="str">
        <f ca="1">IFERROR(__xludf.DUMMYFUNCTION("""COMPUTED_VALUE"""),"#VALUE!")</f>
        <v>#VALUE!</v>
      </c>
      <c r="CC39" t="str">
        <f ca="1">IFERROR(__xludf.DUMMYFUNCTION("""COMPUTED_VALUE"""),"#VALUE!")</f>
        <v>#VALUE!</v>
      </c>
      <c r="CE39" t="str">
        <f ca="1">IFERROR(__xludf.DUMMYFUNCTION("""COMPUTED_VALUE"""),"#VALUE!")</f>
        <v>#VALUE!</v>
      </c>
      <c r="CG39" t="str">
        <f ca="1">IFERROR(__xludf.DUMMYFUNCTION("""COMPUTED_VALUE"""),"#VALUE!")</f>
        <v>#VALUE!</v>
      </c>
      <c r="CI39" t="str">
        <f ca="1">IFERROR(__xludf.DUMMYFUNCTION("""COMPUTED_VALUE"""),"#VALUE!")</f>
        <v>#VALUE!</v>
      </c>
      <c r="CK39" t="str">
        <f ca="1">IFERROR(__xludf.DUMMYFUNCTION("""COMPUTED_VALUE"""),"#VALUE!")</f>
        <v>#VALUE!</v>
      </c>
      <c r="CS39" t="str">
        <f ca="1">IFERROR(__xludf.DUMMYFUNCTION("""COMPUTED_VALUE"""),"#VALUE!")</f>
        <v>#VALUE!</v>
      </c>
      <c r="CU39" t="str">
        <f ca="1">IFERROR(__xludf.DUMMYFUNCTION("""COMPUTED_VALUE"""),"#VALUE!")</f>
        <v>#VALUE!</v>
      </c>
      <c r="CW39" t="str">
        <f ca="1">IFERROR(__xludf.DUMMYFUNCTION("""COMPUTED_VALUE"""),"#VALUE!")</f>
        <v>#VALUE!</v>
      </c>
      <c r="CY39" t="str">
        <f ca="1">IFERROR(__xludf.DUMMYFUNCTION("""COMPUTED_VALUE"""),"#VALUE!")</f>
        <v>#VALUE!</v>
      </c>
      <c r="DC39" t="str">
        <f ca="1">IFERROR(__xludf.DUMMYFUNCTION("""COMPUTED_VALUE"""),"#VALUE!")</f>
        <v>#VALUE!</v>
      </c>
      <c r="DE39" t="str">
        <f ca="1">IFERROR(__xludf.DUMMYFUNCTION("""COMPUTED_VALUE"""),"#VALUE!")</f>
        <v>#VALUE!</v>
      </c>
      <c r="DI39" t="str">
        <f ca="1">IFERROR(__xludf.DUMMYFUNCTION("""COMPUTED_VALUE"""),"#VALUE!")</f>
        <v>#VALUE!</v>
      </c>
      <c r="DJ39" t="str">
        <f ca="1">IFERROR(__xludf.DUMMYFUNCTION("""COMPUTED_VALUE"""),"#VALUE!")</f>
        <v>#VALUE!</v>
      </c>
      <c r="DL39" t="str">
        <f ca="1">IFERROR(__xludf.DUMMYFUNCTION("""COMPUTED_VALUE"""),"Davor Salihović")</f>
        <v>Davor Salihović</v>
      </c>
    </row>
    <row r="40" spans="1:116" ht="13.2" x14ac:dyDescent="0.25">
      <c r="A40" t="str">
        <f ca="1">IFERROR(__xludf.DUMMYFUNCTION("""COMPUTED_VALUE"""),"P0039")</f>
        <v>P0039</v>
      </c>
      <c r="B40" t="str">
        <f ca="1">IFERROR(__xludf.DUMMYFUNCTION("""COMPUTED_VALUE"""),"Brunetus de Rosseto")</f>
        <v>Brunetus de Rosseto</v>
      </c>
      <c r="D40" t="str">
        <f ca="1">IFERROR(__xludf.DUMMYFUNCTION("""COMPUTED_VALUE"""),"#VALUE!")</f>
        <v>#VALUE!</v>
      </c>
      <c r="E40" t="str">
        <f ca="1">IFERROR(__xludf.DUMMYFUNCTION("""COMPUTED_VALUE"""),"Brunetus")</f>
        <v>Brunetus</v>
      </c>
      <c r="J40" t="str">
        <f ca="1">IFERROR(__xludf.DUMMYFUNCTION("""COMPUTED_VALUE"""),"de")</f>
        <v>de</v>
      </c>
      <c r="K40" t="str">
        <f ca="1">IFERROR(__xludf.DUMMYFUNCTION("""COMPUTED_VALUE"""),"Rosseto")</f>
        <v>Rosseto</v>
      </c>
      <c r="L40" t="str">
        <f ca="1">IFERROR(__xludf.DUMMYFUNCTION("""COMPUTED_VALUE"""),"de Rosseto")</f>
        <v>de Rosseto</v>
      </c>
      <c r="S40" t="str">
        <f ca="1">IFERROR(__xludf.DUMMYFUNCTION("""COMPUTED_VALUE"""),"Latin")</f>
        <v>Latin</v>
      </c>
      <c r="T40" t="str">
        <f ca="1">IFERROR(__xludf.DUMMYFUNCTION("""COMPUTED_VALUE"""),"definite")</f>
        <v>definite</v>
      </c>
      <c r="U40" t="str">
        <f ca="1">IFERROR(__xludf.DUMMYFUNCTION("""COMPUTED_VALUE"""),"C2553")</f>
        <v>C2553</v>
      </c>
      <c r="V40" t="str">
        <f ca="1">IFERROR(__xludf.DUMMYFUNCTION("""COMPUTED_VALUE"""),"male")</f>
        <v>male</v>
      </c>
      <c r="Z40" t="str">
        <f ca="1">IFERROR(__xludf.DUMMYFUNCTION("""COMPUTED_VALUE"""),"164, 170, 172, 173")</f>
        <v>164, 170, 172, 173</v>
      </c>
      <c r="AA40" t="str">
        <f ca="1">IFERROR(__xludf.DUMMYFUNCTION("""COMPUTED_VALUE"""),"d")</f>
        <v>d</v>
      </c>
      <c r="AB40" t="str">
        <f ca="1">IFERROR(__xludf.DUMMYFUNCTION("""COMPUTED_VALUE"""),"suspect")</f>
        <v>suspect</v>
      </c>
      <c r="AD40" t="str">
        <f ca="1">IFERROR(__xludf.DUMMYFUNCTION("""COMPUTED_VALUE"""),"C3287")</f>
        <v>C3287</v>
      </c>
      <c r="AE40" t="str">
        <f ca="1">IFERROR(__xludf.DUMMYFUNCTION("""COMPUTED_VALUE"""),"alive")</f>
        <v>alive</v>
      </c>
      <c r="AF40" t="str">
        <f ca="1">IFERROR(__xludf.DUMMYFUNCTION("""COMPUTED_VALUE"""),"C1753")</f>
        <v>C1753</v>
      </c>
      <c r="AG40" t="str">
        <f ca="1">IFERROR(__xludf.DUMMYFUNCTION("""COMPUTED_VALUE"""),"1335-01-20")</f>
        <v>1335-01-20</v>
      </c>
      <c r="AH40" t="str">
        <f ca="1">IFERROR(__xludf.DUMMYFUNCTION("""COMPUTED_VALUE"""),"C2348")</f>
        <v>C2348</v>
      </c>
      <c r="AI40" t="str">
        <f ca="1">IFERROR(__xludf.DUMMYFUNCTION("""COMPUTED_VALUE"""),"wife")</f>
        <v>wife</v>
      </c>
      <c r="AJ40" t="str">
        <f ca="1">IFERROR(__xludf.DUMMYFUNCTION("""COMPUTED_VALUE"""),"P0261")</f>
        <v>P0261</v>
      </c>
      <c r="AK40" t="str">
        <f ca="1">IFERROR(__xludf.DUMMYFUNCTION("""COMPUTED_VALUE"""),"Andreeta, uxor Bruneti de Rosseto")</f>
        <v>Andreeta, uxor Bruneti de Rosseto</v>
      </c>
      <c r="AL40" t="str">
        <f ca="1">IFERROR(__xludf.DUMMYFUNCTION("""COMPUTED_VALUE"""),"C0147")</f>
        <v>C0147</v>
      </c>
      <c r="AM40" t="str">
        <f ca="1">IFERROR(__xludf.DUMMYFUNCTION("""COMPUTED_VALUE"""),"warrantor")</f>
        <v>warrantor</v>
      </c>
      <c r="AN40" t="str">
        <f ca="1">IFERROR(__xludf.DUMMYFUNCTION("""COMPUTED_VALUE"""),"P0041")</f>
        <v>P0041</v>
      </c>
      <c r="AO40" t="str">
        <f ca="1">IFERROR(__xludf.DUMMYFUNCTION("""COMPUTED_VALUE"""),"Bernardus de Rosseto")</f>
        <v>Bernardus de Rosseto</v>
      </c>
      <c r="AP40" t="str">
        <f ca="1">IFERROR(__xludf.DUMMYFUNCTION("""COMPUTED_VALUE"""),"C0147")</f>
        <v>C0147</v>
      </c>
      <c r="AQ40" t="str">
        <f ca="1">IFERROR(__xludf.DUMMYFUNCTION("""COMPUTED_VALUE"""),"warrantor")</f>
        <v>warrantor</v>
      </c>
      <c r="AR40" t="str">
        <f ca="1">IFERROR(__xludf.DUMMYFUNCTION("""COMPUTED_VALUE"""),"P0175")</f>
        <v>P0175</v>
      </c>
      <c r="AS40" t="str">
        <f ca="1">IFERROR(__xludf.DUMMYFUNCTION("""COMPUTED_VALUE"""),"Iohannes Germani")</f>
        <v>Iohannes Germani</v>
      </c>
      <c r="AU40" t="str">
        <f ca="1">IFERROR(__xludf.DUMMYFUNCTION("""COMPUTED_VALUE"""),"#VALUE!")</f>
        <v>#VALUE!</v>
      </c>
      <c r="AW40" t="str">
        <f ca="1">IFERROR(__xludf.DUMMYFUNCTION("""COMPUTED_VALUE"""),"#VALUE!")</f>
        <v>#VALUE!</v>
      </c>
      <c r="AY40" t="str">
        <f ca="1">IFERROR(__xludf.DUMMYFUNCTION("""COMPUTED_VALUE"""),"#VALUE!")</f>
        <v>#VALUE!</v>
      </c>
      <c r="BA40" t="str">
        <f ca="1">IFERROR(__xludf.DUMMYFUNCTION("""COMPUTED_VALUE"""),"#VALUE!")</f>
        <v>#VALUE!</v>
      </c>
      <c r="BC40" t="str">
        <f ca="1">IFERROR(__xludf.DUMMYFUNCTION("""COMPUTED_VALUE"""),"#VALUE!")</f>
        <v>#VALUE!</v>
      </c>
      <c r="BE40" t="str">
        <f ca="1">IFERROR(__xludf.DUMMYFUNCTION("""COMPUTED_VALUE"""),"#VALUE!")</f>
        <v>#VALUE!</v>
      </c>
      <c r="BG40" t="str">
        <f ca="1">IFERROR(__xludf.DUMMYFUNCTION("""COMPUTED_VALUE"""),"#VALUE!")</f>
        <v>#VALUE!</v>
      </c>
      <c r="BI40" t="str">
        <f ca="1">IFERROR(__xludf.DUMMYFUNCTION("""COMPUTED_VALUE"""),"#VALUE!")</f>
        <v>#VALUE!</v>
      </c>
      <c r="BK40" t="str">
        <f ca="1">IFERROR(__xludf.DUMMYFUNCTION("""COMPUTED_VALUE"""),"#VALUE!")</f>
        <v>#VALUE!</v>
      </c>
      <c r="BM40" t="str">
        <f ca="1">IFERROR(__xludf.DUMMYFUNCTION("""COMPUTED_VALUE"""),"#VALUE!")</f>
        <v>#VALUE!</v>
      </c>
      <c r="BO40" t="str">
        <f ca="1">IFERROR(__xludf.DUMMYFUNCTION("""COMPUTED_VALUE"""),"#VALUE!")</f>
        <v>#VALUE!</v>
      </c>
      <c r="BQ40" t="str">
        <f ca="1">IFERROR(__xludf.DUMMYFUNCTION("""COMPUTED_VALUE"""),"#VALUE!")</f>
        <v>#VALUE!</v>
      </c>
      <c r="BS40" t="str">
        <f ca="1">IFERROR(__xludf.DUMMYFUNCTION("""COMPUTED_VALUE"""),"#VALUE!")</f>
        <v>#VALUE!</v>
      </c>
      <c r="BU40" t="str">
        <f ca="1">IFERROR(__xludf.DUMMYFUNCTION("""COMPUTED_VALUE"""),"#VALUE!")</f>
        <v>#VALUE!</v>
      </c>
      <c r="BW40" t="str">
        <f ca="1">IFERROR(__xludf.DUMMYFUNCTION("""COMPUTED_VALUE"""),"#VALUE!")</f>
        <v>#VALUE!</v>
      </c>
      <c r="BY40" t="str">
        <f ca="1">IFERROR(__xludf.DUMMYFUNCTION("""COMPUTED_VALUE"""),"#VALUE!")</f>
        <v>#VALUE!</v>
      </c>
      <c r="CA40" t="str">
        <f ca="1">IFERROR(__xludf.DUMMYFUNCTION("""COMPUTED_VALUE"""),"#VALUE!")</f>
        <v>#VALUE!</v>
      </c>
      <c r="CC40" t="str">
        <f ca="1">IFERROR(__xludf.DUMMYFUNCTION("""COMPUTED_VALUE"""),"#VALUE!")</f>
        <v>#VALUE!</v>
      </c>
      <c r="CD40" t="str">
        <f ca="1">IFERROR(__xludf.DUMMYFUNCTION("""COMPUTED_VALUE"""),"C3598")</f>
        <v>C3598</v>
      </c>
      <c r="CE40" t="str">
        <f ca="1">IFERROR(__xludf.DUMMYFUNCTION("""COMPUTED_VALUE"""),"location of congregation")</f>
        <v>location of congregation</v>
      </c>
      <c r="CF40" t="str">
        <f ca="1">IFERROR(__xludf.DUMMYFUNCTION("""COMPUTED_VALUE"""),"L0115")</f>
        <v>L0115</v>
      </c>
      <c r="CG40" t="str">
        <f ca="1">IFERROR(__xludf.DUMMYFUNCTION("""COMPUTED_VALUE"""),"domus Agnessone de Rosseto")</f>
        <v>domus Agnessone de Rosseto</v>
      </c>
      <c r="CH40" t="str">
        <f ca="1">IFERROR(__xludf.DUMMYFUNCTION("""COMPUTED_VALUE"""),"P0041#P0175")</f>
        <v>P0041#P0175</v>
      </c>
      <c r="CI40" t="str">
        <f ca="1">IFERROR(__xludf.DUMMYFUNCTION("""COMPUTED_VALUE"""),"Bernardus de Rosseto #Iohannes Germani")</f>
        <v>Bernardus de Rosseto #Iohannes Germani</v>
      </c>
      <c r="CK40" t="str">
        <f ca="1">IFERROR(__xludf.DUMMYFUNCTION("""COMPUTED_VALUE"""),"#VALUE!")</f>
        <v>#VALUE!</v>
      </c>
      <c r="CS40" t="str">
        <f ca="1">IFERROR(__xludf.DUMMYFUNCTION("""COMPUTED_VALUE"""),"#VALUE!")</f>
        <v>#VALUE!</v>
      </c>
      <c r="CU40" t="str">
        <f ca="1">IFERROR(__xludf.DUMMYFUNCTION("""COMPUTED_VALUE"""),"#VALUE!")</f>
        <v>#VALUE!</v>
      </c>
      <c r="CV40" t="str">
        <f ca="1">IFERROR(__xludf.DUMMYFUNCTION("""COMPUTED_VALUE"""),"L0010")</f>
        <v>L0010</v>
      </c>
      <c r="CW40" t="str">
        <f ca="1">IFERROR(__xludf.DUMMYFUNCTION("""COMPUTED_VALUE"""),"Buffa")</f>
        <v>Buffa</v>
      </c>
      <c r="CY40" t="str">
        <f ca="1">IFERROR(__xludf.DUMMYFUNCTION("""COMPUTED_VALUE"""),"#VALUE!")</f>
        <v>#VALUE!</v>
      </c>
      <c r="DC40" t="str">
        <f ca="1">IFERROR(__xludf.DUMMYFUNCTION("""COMPUTED_VALUE"""),"#VALUE!")</f>
        <v>#VALUE!</v>
      </c>
      <c r="DE40" t="str">
        <f ca="1">IFERROR(__xludf.DUMMYFUNCTION("""COMPUTED_VALUE"""),"#VALUE!")</f>
        <v>#VALUE!</v>
      </c>
      <c r="DF40" t="str">
        <f ca="1">IFERROR(__xludf.DUMMYFUNCTION("""COMPUTED_VALUE"""),"y")</f>
        <v>y</v>
      </c>
      <c r="DG40" t="str">
        <f ca="1">IFERROR(__xludf.DUMMYFUNCTION("""COMPUTED_VALUE"""),"173-174")</f>
        <v>173-174</v>
      </c>
      <c r="DH40" t="str">
        <f ca="1">IFERROR(__xludf.DUMMYFUNCTION("""COMPUTED_VALUE"""),"L0115")</f>
        <v>L0115</v>
      </c>
      <c r="DI40" t="str">
        <f ca="1">IFERROR(__xludf.DUMMYFUNCTION("""COMPUTED_VALUE"""),"domus Agnessone de Rosseto")</f>
        <v>domus Agnessone de Rosseto</v>
      </c>
      <c r="DJ40" t="str">
        <f ca="1">IFERROR(__xludf.DUMMYFUNCTION("""COMPUTED_VALUE"""),"domus")</f>
        <v>domus</v>
      </c>
      <c r="DL40" t="str">
        <f ca="1">IFERROR(__xludf.DUMMYFUNCTION("""COMPUTED_VALUE"""),"Davor Salihović")</f>
        <v>Davor Salihović</v>
      </c>
    </row>
    <row r="41" spans="1:116" ht="13.2" x14ac:dyDescent="0.25">
      <c r="A41" t="str">
        <f ca="1">IFERROR(__xludf.DUMMYFUNCTION("""COMPUTED_VALUE"""),"P0040")</f>
        <v>P0040</v>
      </c>
      <c r="B41" t="str">
        <f ca="1">IFERROR(__xludf.DUMMYFUNCTION("""COMPUTED_VALUE"""),"Petrus de Rosseto")</f>
        <v>Petrus de Rosseto</v>
      </c>
      <c r="D41" t="str">
        <f ca="1">IFERROR(__xludf.DUMMYFUNCTION("""COMPUTED_VALUE"""),"#VALUE!")</f>
        <v>#VALUE!</v>
      </c>
      <c r="E41" t="str">
        <f ca="1">IFERROR(__xludf.DUMMYFUNCTION("""COMPUTED_VALUE"""),"Petrus")</f>
        <v>Petrus</v>
      </c>
      <c r="J41" t="str">
        <f ca="1">IFERROR(__xludf.DUMMYFUNCTION("""COMPUTED_VALUE"""),"de")</f>
        <v>de</v>
      </c>
      <c r="K41" t="str">
        <f ca="1">IFERROR(__xludf.DUMMYFUNCTION("""COMPUTED_VALUE"""),"Rosseto")</f>
        <v>Rosseto</v>
      </c>
      <c r="L41" t="str">
        <f ca="1">IFERROR(__xludf.DUMMYFUNCTION("""COMPUTED_VALUE"""),"de Rosseto")</f>
        <v>de Rosseto</v>
      </c>
      <c r="S41" t="str">
        <f ca="1">IFERROR(__xludf.DUMMYFUNCTION("""COMPUTED_VALUE"""),"Latin")</f>
        <v>Latin</v>
      </c>
      <c r="T41" t="str">
        <f ca="1">IFERROR(__xludf.DUMMYFUNCTION("""COMPUTED_VALUE"""),"definite")</f>
        <v>definite</v>
      </c>
      <c r="U41" t="str">
        <f ca="1">IFERROR(__xludf.DUMMYFUNCTION("""COMPUTED_VALUE"""),"C2553")</f>
        <v>C2553</v>
      </c>
      <c r="V41" t="str">
        <f ca="1">IFERROR(__xludf.DUMMYFUNCTION("""COMPUTED_VALUE"""),"male")</f>
        <v>male</v>
      </c>
      <c r="Z41" t="str">
        <f ca="1">IFERROR(__xludf.DUMMYFUNCTION("""COMPUTED_VALUE"""),"164, 165, 168, 169, 170, 172, 177, 178, 184, 185, 189, 190, 191, 197, 198, 200, 201, 202, 206, 207, 212, 215, 216, 218, 219, 223, 230")</f>
        <v>164, 165, 168, 169, 170, 172, 177, 178, 184, 185, 189, 190, 191, 197, 198, 200, 201, 202, 206, 207, 212, 215, 216, 218, 219, 223, 230</v>
      </c>
      <c r="AA41" t="str">
        <f ca="1">IFERROR(__xludf.DUMMYFUNCTION("""COMPUTED_VALUE"""),"d")</f>
        <v>d</v>
      </c>
      <c r="AB41" t="str">
        <f ca="1">IFERROR(__xludf.DUMMYFUNCTION("""COMPUTED_VALUE"""),"suspect")</f>
        <v>suspect</v>
      </c>
      <c r="AD41" t="str">
        <f ca="1">IFERROR(__xludf.DUMMYFUNCTION("""COMPUTED_VALUE"""),"C3287")</f>
        <v>C3287</v>
      </c>
      <c r="AE41" t="str">
        <f ca="1">IFERROR(__xludf.DUMMYFUNCTION("""COMPUTED_VALUE"""),"alive")</f>
        <v>alive</v>
      </c>
      <c r="AF41" t="str">
        <f ca="1">IFERROR(__xludf.DUMMYFUNCTION("""COMPUTED_VALUE"""),"C1753")</f>
        <v>C1753</v>
      </c>
      <c r="AG41" t="str">
        <f ca="1">IFERROR(__xludf.DUMMYFUNCTION("""COMPUTED_VALUE"""),"1335-01-20")</f>
        <v>1335-01-20</v>
      </c>
      <c r="AH41" t="str">
        <f ca="1">IFERROR(__xludf.DUMMYFUNCTION("""COMPUTED_VALUE"""),"C2347")</f>
        <v>C2347</v>
      </c>
      <c r="AI41" t="str">
        <f ca="1">IFERROR(__xludf.DUMMYFUNCTION("""COMPUTED_VALUE"""),"sister")</f>
        <v>sister</v>
      </c>
      <c r="AJ41" t="str">
        <f ca="1">IFERROR(__xludf.DUMMYFUNCTION("""COMPUTED_VALUE"""),"P0162")</f>
        <v>P0162</v>
      </c>
      <c r="AK41" t="str">
        <f ca="1">IFERROR(__xludf.DUMMYFUNCTION("""COMPUTED_VALUE"""),"Margarita de Rosseto")</f>
        <v>Margarita de Rosseto</v>
      </c>
      <c r="AL41" t="str">
        <f ca="1">IFERROR(__xludf.DUMMYFUNCTION("""COMPUTED_VALUE"""),"C2347")</f>
        <v>C2347</v>
      </c>
      <c r="AM41" t="str">
        <f ca="1">IFERROR(__xludf.DUMMYFUNCTION("""COMPUTED_VALUE"""),"sister")</f>
        <v>sister</v>
      </c>
      <c r="AN41" t="str">
        <f ca="1">IFERROR(__xludf.DUMMYFUNCTION("""COMPUTED_VALUE"""),"P0042")</f>
        <v>P0042</v>
      </c>
      <c r="AO41" t="str">
        <f ca="1">IFERROR(__xludf.DUMMYFUNCTION("""COMPUTED_VALUE"""),"Agnessona de Rosseto")</f>
        <v>Agnessona de Rosseto</v>
      </c>
      <c r="AQ41" t="str">
        <f ca="1">IFERROR(__xludf.DUMMYFUNCTION("""COMPUTED_VALUE"""),"#VALUE!")</f>
        <v>#VALUE!</v>
      </c>
      <c r="AS41" t="str">
        <f ca="1">IFERROR(__xludf.DUMMYFUNCTION("""COMPUTED_VALUE"""),"#VALUE!")</f>
        <v>#VALUE!</v>
      </c>
      <c r="AU41" t="str">
        <f ca="1">IFERROR(__xludf.DUMMYFUNCTION("""COMPUTED_VALUE"""),"#VALUE!")</f>
        <v>#VALUE!</v>
      </c>
      <c r="AW41" t="str">
        <f ca="1">IFERROR(__xludf.DUMMYFUNCTION("""COMPUTED_VALUE"""),"#VALUE!")</f>
        <v>#VALUE!</v>
      </c>
      <c r="AY41" t="str">
        <f ca="1">IFERROR(__xludf.DUMMYFUNCTION("""COMPUTED_VALUE"""),"#VALUE!")</f>
        <v>#VALUE!</v>
      </c>
      <c r="BA41" t="str">
        <f ca="1">IFERROR(__xludf.DUMMYFUNCTION("""COMPUTED_VALUE"""),"#VALUE!")</f>
        <v>#VALUE!</v>
      </c>
      <c r="BC41" t="str">
        <f ca="1">IFERROR(__xludf.DUMMYFUNCTION("""COMPUTED_VALUE"""),"#VALUE!")</f>
        <v>#VALUE!</v>
      </c>
      <c r="BE41" t="str">
        <f ca="1">IFERROR(__xludf.DUMMYFUNCTION("""COMPUTED_VALUE"""),"#VALUE!")</f>
        <v>#VALUE!</v>
      </c>
      <c r="BG41" t="str">
        <f ca="1">IFERROR(__xludf.DUMMYFUNCTION("""COMPUTED_VALUE"""),"#VALUE!")</f>
        <v>#VALUE!</v>
      </c>
      <c r="BI41" t="str">
        <f ca="1">IFERROR(__xludf.DUMMYFUNCTION("""COMPUTED_VALUE"""),"#VALUE!")</f>
        <v>#VALUE!</v>
      </c>
      <c r="BK41" t="str">
        <f ca="1">IFERROR(__xludf.DUMMYFUNCTION("""COMPUTED_VALUE"""),"#VALUE!")</f>
        <v>#VALUE!</v>
      </c>
      <c r="BM41" t="str">
        <f ca="1">IFERROR(__xludf.DUMMYFUNCTION("""COMPUTED_VALUE"""),"#VALUE!")</f>
        <v>#VALUE!</v>
      </c>
      <c r="BO41" t="str">
        <f ca="1">IFERROR(__xludf.DUMMYFUNCTION("""COMPUTED_VALUE"""),"#VALUE!")</f>
        <v>#VALUE!</v>
      </c>
      <c r="BQ41" t="str">
        <f ca="1">IFERROR(__xludf.DUMMYFUNCTION("""COMPUTED_VALUE"""),"#VALUE!")</f>
        <v>#VALUE!</v>
      </c>
      <c r="BS41" t="str">
        <f ca="1">IFERROR(__xludf.DUMMYFUNCTION("""COMPUTED_VALUE"""),"#VALUE!")</f>
        <v>#VALUE!</v>
      </c>
      <c r="BU41" t="str">
        <f ca="1">IFERROR(__xludf.DUMMYFUNCTION("""COMPUTED_VALUE"""),"#VALUE!")</f>
        <v>#VALUE!</v>
      </c>
      <c r="BW41" t="str">
        <f ca="1">IFERROR(__xludf.DUMMYFUNCTION("""COMPUTED_VALUE"""),"#VALUE!")</f>
        <v>#VALUE!</v>
      </c>
      <c r="BY41" t="str">
        <f ca="1">IFERROR(__xludf.DUMMYFUNCTION("""COMPUTED_VALUE"""),"#VALUE!")</f>
        <v>#VALUE!</v>
      </c>
      <c r="CA41" t="str">
        <f ca="1">IFERROR(__xludf.DUMMYFUNCTION("""COMPUTED_VALUE"""),"#VALUE!")</f>
        <v>#VALUE!</v>
      </c>
      <c r="CC41" t="str">
        <f ca="1">IFERROR(__xludf.DUMMYFUNCTION("""COMPUTED_VALUE"""),"#VALUE!")</f>
        <v>#VALUE!</v>
      </c>
      <c r="CD41" t="str">
        <f ca="1">IFERROR(__xludf.DUMMYFUNCTION("""COMPUTED_VALUE"""),"C3598")</f>
        <v>C3598</v>
      </c>
      <c r="CE41" t="str">
        <f ca="1">IFERROR(__xludf.DUMMYFUNCTION("""COMPUTED_VALUE"""),"location of congregation")</f>
        <v>location of congregation</v>
      </c>
      <c r="CF41" t="str">
        <f ca="1">IFERROR(__xludf.DUMMYFUNCTION("""COMPUTED_VALUE"""),"L0154#L0066#L0067#L0076#L0087#L0071#L0025#L0088#L0096#L0105#L0068#L0114#L0115#L0032#L0104#L0032")</f>
        <v>L0154#L0066#L0067#L0076#L0087#L0071#L0025#L0088#L0096#L0105#L0068#L0114#L0115#L0032#L0104#L0032</v>
      </c>
      <c r="CG41" t="str">
        <f ca="1">IFERROR(__xludf.DUMMYFUNCTION("""COMPUTED_VALUE"""),"domus Palmeroni Goytro #domus Bernardi de Rosseto #domus Petri Rupphini #domus Iohannis Torenchi #domus Petri de Rosseto #domus Iohannis Mulini de Sala #domus Villelmeti Domenici #tectum Petri de Rosseto #domus Iohannis de Bonaudo #domus de Rossetis #domu"&amp;"s Vieti de Mondino #domus Henrieti de Mondino #domus Agnessone de Rosseto #domus Villelmi de Oddo #domus Beatricis de Oddo #domus Villelmi de Oddo")</f>
        <v>domus Palmeroni Goytro #domus Bernardi de Rosseto #domus Petri Rupphini #domus Iohannis Torenchi #domus Petri de Rosseto #domus Iohannis Mulini de Sala #domus Villelmeti Domenici #tectum Petri de Rosseto #domus Iohannis de Bonaudo #domus de Rossetis #domus Vieti de Mondino #domus Henrieti de Mondino #domus Agnessone de Rosseto #domus Villelmi de Oddo #domus Beatricis de Oddo #domus Villelmi de Oddo</v>
      </c>
      <c r="CI41" t="str">
        <f ca="1">IFERROR(__xludf.DUMMYFUNCTION("""COMPUTED_VALUE"""),"#VALUE!")</f>
        <v>#VALUE!</v>
      </c>
      <c r="CK41" t="str">
        <f ca="1">IFERROR(__xludf.DUMMYFUNCTION("""COMPUTED_VALUE"""),"#VALUE!")</f>
        <v>#VALUE!</v>
      </c>
      <c r="CS41" t="str">
        <f ca="1">IFERROR(__xludf.DUMMYFUNCTION("""COMPUTED_VALUE"""),"#VALUE!")</f>
        <v>#VALUE!</v>
      </c>
      <c r="CU41" t="str">
        <f ca="1">IFERROR(__xludf.DUMMYFUNCTION("""COMPUTED_VALUE"""),"#VALUE!")</f>
        <v>#VALUE!</v>
      </c>
      <c r="CV41" t="str">
        <f ca="1">IFERROR(__xludf.DUMMYFUNCTION("""COMPUTED_VALUE"""),"L0010")</f>
        <v>L0010</v>
      </c>
      <c r="CW41" t="str">
        <f ca="1">IFERROR(__xludf.DUMMYFUNCTION("""COMPUTED_VALUE"""),"Buffa")</f>
        <v>Buffa</v>
      </c>
      <c r="CY41" t="str">
        <f ca="1">IFERROR(__xludf.DUMMYFUNCTION("""COMPUTED_VALUE"""),"#VALUE!")</f>
        <v>#VALUE!</v>
      </c>
      <c r="DC41" t="str">
        <f ca="1">IFERROR(__xludf.DUMMYFUNCTION("""COMPUTED_VALUE"""),"#VALUE!")</f>
        <v>#VALUE!</v>
      </c>
      <c r="DE41" t="str">
        <f ca="1">IFERROR(__xludf.DUMMYFUNCTION("""COMPUTED_VALUE"""),"#VALUE!")</f>
        <v>#VALUE!</v>
      </c>
      <c r="DH41" t="str">
        <f ca="1">IFERROR(__xludf.DUMMYFUNCTION("""COMPUTED_VALUE"""),"L0154#L0066#L0067#L0076#L0087#L0071#L0025#L0088#L0096#L0105#L0068#L0114#L0115#L0032#L0104#L0032")</f>
        <v>L0154#L0066#L0067#L0076#L0087#L0071#L0025#L0088#L0096#L0105#L0068#L0114#L0115#L0032#L0104#L0032</v>
      </c>
      <c r="DI41" t="str">
        <f ca="1">IFERROR(__xludf.DUMMYFUNCTION("""COMPUTED_VALUE"""),"domus Palmeroni Goytro #domus Bernardi de Rosseto #domus Petri Rupphini #domus Iohannis Torenchi #domus Petri de Rosseto #domus Iohannis Mulini de Sala #domus Villelmeti Domenici #tectum Petri de Rosseto #domus Iohannis de Bonaudo #domus de Rossetis #domu"&amp;"s Vieti de Mondino #domus Henrieti de Mondino #domus Agnessone de Rosseto #domus Villelmi de Oddo #domus Beatricis de Oddo #domus Villelmi de Oddo")</f>
        <v>domus Palmeroni Goytro #domus Bernardi de Rosseto #domus Petri Rupphini #domus Iohannis Torenchi #domus Petri de Rosseto #domus Iohannis Mulini de Sala #domus Villelmeti Domenici #tectum Petri de Rosseto #domus Iohannis de Bonaudo #domus de Rossetis #domus Vieti de Mondino #domus Henrieti de Mondino #domus Agnessone de Rosseto #domus Villelmi de Oddo #domus Beatricis de Oddo #domus Villelmi de Oddo</v>
      </c>
      <c r="DJ41" t="str">
        <f ca="1">IFERROR(__xludf.DUMMYFUNCTION("""COMPUTED_VALUE"""),"domus #domus #domus #domus #domus #domus #domus #building #domus #domus #domus #domus #domus #domus #domus #domus")</f>
        <v>domus #domus #domus #domus #domus #domus #domus #building #domus #domus #domus #domus #domus #domus #domus #domus</v>
      </c>
      <c r="DL41" t="str">
        <f ca="1">IFERROR(__xludf.DUMMYFUNCTION("""COMPUTED_VALUE"""),"Davor Salihović")</f>
        <v>Davor Salihović</v>
      </c>
    </row>
    <row r="42" spans="1:116" ht="13.2" x14ac:dyDescent="0.25">
      <c r="A42" t="str">
        <f ca="1">IFERROR(__xludf.DUMMYFUNCTION("""COMPUTED_VALUE"""),"P0041")</f>
        <v>P0041</v>
      </c>
      <c r="B42" t="str">
        <f ca="1">IFERROR(__xludf.DUMMYFUNCTION("""COMPUTED_VALUE"""),"Bernardus de Rosseto")</f>
        <v>Bernardus de Rosseto</v>
      </c>
      <c r="D42" t="str">
        <f ca="1">IFERROR(__xludf.DUMMYFUNCTION("""COMPUTED_VALUE"""),"#VALUE!")</f>
        <v>#VALUE!</v>
      </c>
      <c r="E42" t="str">
        <f ca="1">IFERROR(__xludf.DUMMYFUNCTION("""COMPUTED_VALUE"""),"Bernardus")</f>
        <v>Bernardus</v>
      </c>
      <c r="J42" t="str">
        <f ca="1">IFERROR(__xludf.DUMMYFUNCTION("""COMPUTED_VALUE"""),"de")</f>
        <v>de</v>
      </c>
      <c r="K42" t="str">
        <f ca="1">IFERROR(__xludf.DUMMYFUNCTION("""COMPUTED_VALUE"""),"Rosseto")</f>
        <v>Rosseto</v>
      </c>
      <c r="L42" t="str">
        <f ca="1">IFERROR(__xludf.DUMMYFUNCTION("""COMPUTED_VALUE"""),"de Rosseto")</f>
        <v>de Rosseto</v>
      </c>
      <c r="S42" t="str">
        <f ca="1">IFERROR(__xludf.DUMMYFUNCTION("""COMPUTED_VALUE"""),"Latin")</f>
        <v>Latin</v>
      </c>
      <c r="T42" t="str">
        <f ca="1">IFERROR(__xludf.DUMMYFUNCTION("""COMPUTED_VALUE"""),"definite")</f>
        <v>definite</v>
      </c>
      <c r="U42" t="str">
        <f ca="1">IFERROR(__xludf.DUMMYFUNCTION("""COMPUTED_VALUE"""),"C2553")</f>
        <v>C2553</v>
      </c>
      <c r="V42" t="str">
        <f ca="1">IFERROR(__xludf.DUMMYFUNCTION("""COMPUTED_VALUE"""),"male")</f>
        <v>male</v>
      </c>
      <c r="Z42" t="str">
        <f ca="1">IFERROR(__xludf.DUMMYFUNCTION("""COMPUTED_VALUE"""),"164, 172, 174, 178, 184, 185, 186, 198, 201, 205, 210, 215, 223, 227, 229, 241, 248, 252")</f>
        <v>164, 172, 174, 178, 184, 185, 186, 198, 201, 205, 210, 215, 223, 227, 229, 241, 248, 252</v>
      </c>
      <c r="AA42" t="str">
        <f ca="1">IFERROR(__xludf.DUMMYFUNCTION("""COMPUTED_VALUE"""),"d")</f>
        <v>d</v>
      </c>
      <c r="AB42" t="str">
        <f ca="1">IFERROR(__xludf.DUMMYFUNCTION("""COMPUTED_VALUE"""),"suspect")</f>
        <v>suspect</v>
      </c>
      <c r="AD42" t="str">
        <f ca="1">IFERROR(__xludf.DUMMYFUNCTION("""COMPUTED_VALUE"""),"C3287")</f>
        <v>C3287</v>
      </c>
      <c r="AE42" t="str">
        <f ca="1">IFERROR(__xludf.DUMMYFUNCTION("""COMPUTED_VALUE"""),"alive")</f>
        <v>alive</v>
      </c>
      <c r="AF42" t="str">
        <f ca="1">IFERROR(__xludf.DUMMYFUNCTION("""COMPUTED_VALUE"""),"C1753")</f>
        <v>C1753</v>
      </c>
      <c r="AG42" t="str">
        <f ca="1">IFERROR(__xludf.DUMMYFUNCTION("""COMPUTED_VALUE"""),"1335-01-20")</f>
        <v>1335-01-20</v>
      </c>
      <c r="AH42" t="str">
        <f ca="1">IFERROR(__xludf.DUMMYFUNCTION("""COMPUTED_VALUE"""),"C2337")</f>
        <v>C2337</v>
      </c>
      <c r="AI42" t="str">
        <f ca="1">IFERROR(__xludf.DUMMYFUNCTION("""COMPUTED_VALUE"""),"brother")</f>
        <v>brother</v>
      </c>
      <c r="AJ42" t="str">
        <f ca="1">IFERROR(__xludf.DUMMYFUNCTION("""COMPUTED_VALUE"""),"P0040")</f>
        <v>P0040</v>
      </c>
      <c r="AK42" t="str">
        <f ca="1">IFERROR(__xludf.DUMMYFUNCTION("""COMPUTED_VALUE"""),"Petrus de Rosseto")</f>
        <v>Petrus de Rosseto</v>
      </c>
      <c r="AL42" t="str">
        <f ca="1">IFERROR(__xludf.DUMMYFUNCTION("""COMPUTED_VALUE"""),"C2347")</f>
        <v>C2347</v>
      </c>
      <c r="AM42" t="str">
        <f ca="1">IFERROR(__xludf.DUMMYFUNCTION("""COMPUTED_VALUE"""),"sister")</f>
        <v>sister</v>
      </c>
      <c r="AN42" t="str">
        <f ca="1">IFERROR(__xludf.DUMMYFUNCTION("""COMPUTED_VALUE"""),"P0042")</f>
        <v>P0042</v>
      </c>
      <c r="AO42" t="str">
        <f ca="1">IFERROR(__xludf.DUMMYFUNCTION("""COMPUTED_VALUE"""),"Agnessona de Rosseto")</f>
        <v>Agnessona de Rosseto</v>
      </c>
      <c r="AP42" t="str">
        <f ca="1">IFERROR(__xludf.DUMMYFUNCTION("""COMPUTED_VALUE"""),"C2347")</f>
        <v>C2347</v>
      </c>
      <c r="AQ42" t="str">
        <f ca="1">IFERROR(__xludf.DUMMYFUNCTION("""COMPUTED_VALUE"""),"sister")</f>
        <v>sister</v>
      </c>
      <c r="AR42" t="str">
        <f ca="1">IFERROR(__xludf.DUMMYFUNCTION("""COMPUTED_VALUE"""),"P0162")</f>
        <v>P0162</v>
      </c>
      <c r="AS42" t="str">
        <f ca="1">IFERROR(__xludf.DUMMYFUNCTION("""COMPUTED_VALUE"""),"Margarita de Rosseto")</f>
        <v>Margarita de Rosseto</v>
      </c>
      <c r="AT42" t="str">
        <f ca="1">IFERROR(__xludf.DUMMYFUNCTION("""COMPUTED_VALUE"""),"C2341")</f>
        <v>C2341</v>
      </c>
      <c r="AU42" t="str">
        <f ca="1">IFERROR(__xludf.DUMMYFUNCTION("""COMPUTED_VALUE"""),"mother")</f>
        <v>mother</v>
      </c>
      <c r="AV42" t="str">
        <f ca="1">IFERROR(__xludf.DUMMYFUNCTION("""COMPUTED_VALUE"""),"P0211")</f>
        <v>P0211</v>
      </c>
      <c r="AW42" t="str">
        <f ca="1">IFERROR(__xludf.DUMMYFUNCTION("""COMPUTED_VALUE"""),"mater Bernardi de Rosseto")</f>
        <v>mater Bernardi de Rosseto</v>
      </c>
      <c r="AX42" t="str">
        <f ca="1">IFERROR(__xludf.DUMMYFUNCTION("""COMPUTED_VALUE"""),"C2348")</f>
        <v>C2348</v>
      </c>
      <c r="AY42" t="str">
        <f ca="1">IFERROR(__xludf.DUMMYFUNCTION("""COMPUTED_VALUE"""),"wife")</f>
        <v>wife</v>
      </c>
      <c r="AZ42" t="str">
        <f ca="1">IFERROR(__xludf.DUMMYFUNCTION("""COMPUTED_VALUE"""),"P0212")</f>
        <v>P0212</v>
      </c>
      <c r="BA42" t="str">
        <f ca="1">IFERROR(__xludf.DUMMYFUNCTION("""COMPUTED_VALUE"""),"Iohanna, uxor Bernardi de Rosseto")</f>
        <v>Iohanna, uxor Bernardi de Rosseto</v>
      </c>
      <c r="BB42" t="str">
        <f ca="1">IFERROR(__xludf.DUMMYFUNCTION("""COMPUTED_VALUE"""),"C3041")</f>
        <v>C3041</v>
      </c>
      <c r="BC42" t="str">
        <f ca="1">IFERROR(__xludf.DUMMYFUNCTION("""COMPUTED_VALUE"""),"household")</f>
        <v>household</v>
      </c>
      <c r="BD42" t="str">
        <f ca="1">IFERROR(__xludf.DUMMYFUNCTION("""COMPUTED_VALUE"""),"G0023")</f>
        <v>G0023</v>
      </c>
      <c r="BE42" t="str">
        <f ca="1">IFERROR(__xludf.DUMMYFUNCTION("""COMPUTED_VALUE"""),"hospitium Bernardi de Rosseto")</f>
        <v>hospitium Bernardi de Rosseto</v>
      </c>
      <c r="BF42" t="str">
        <f ca="1">IFERROR(__xludf.DUMMYFUNCTION("""COMPUTED_VALUE"""),"C0147")</f>
        <v>C0147</v>
      </c>
      <c r="BG42" t="str">
        <f ca="1">IFERROR(__xludf.DUMMYFUNCTION("""COMPUTED_VALUE"""),"warrantor")</f>
        <v>warrantor</v>
      </c>
      <c r="BH42" t="str">
        <f ca="1">IFERROR(__xludf.DUMMYFUNCTION("""COMPUTED_VALUE"""),"P0176")</f>
        <v>P0176</v>
      </c>
      <c r="BI42" t="str">
        <f ca="1">IFERROR(__xludf.DUMMYFUNCTION("""COMPUTED_VALUE"""),"Nicoletus Bernardi")</f>
        <v>Nicoletus Bernardi</v>
      </c>
      <c r="BK42" t="str">
        <f ca="1">IFERROR(__xludf.DUMMYFUNCTION("""COMPUTED_VALUE"""),"#VALUE!")</f>
        <v>#VALUE!</v>
      </c>
      <c r="BM42" t="str">
        <f ca="1">IFERROR(__xludf.DUMMYFUNCTION("""COMPUTED_VALUE"""),"#VALUE!")</f>
        <v>#VALUE!</v>
      </c>
      <c r="BO42" t="str">
        <f ca="1">IFERROR(__xludf.DUMMYFUNCTION("""COMPUTED_VALUE"""),"#VALUE!")</f>
        <v>#VALUE!</v>
      </c>
      <c r="BQ42" t="str">
        <f ca="1">IFERROR(__xludf.DUMMYFUNCTION("""COMPUTED_VALUE"""),"#VALUE!")</f>
        <v>#VALUE!</v>
      </c>
      <c r="BS42" t="str">
        <f ca="1">IFERROR(__xludf.DUMMYFUNCTION("""COMPUTED_VALUE"""),"#VALUE!")</f>
        <v>#VALUE!</v>
      </c>
      <c r="BU42" t="str">
        <f ca="1">IFERROR(__xludf.DUMMYFUNCTION("""COMPUTED_VALUE"""),"#VALUE!")</f>
        <v>#VALUE!</v>
      </c>
      <c r="BW42" t="str">
        <f ca="1">IFERROR(__xludf.DUMMYFUNCTION("""COMPUTED_VALUE"""),"#VALUE!")</f>
        <v>#VALUE!</v>
      </c>
      <c r="BY42" t="str">
        <f ca="1">IFERROR(__xludf.DUMMYFUNCTION("""COMPUTED_VALUE"""),"#VALUE!")</f>
        <v>#VALUE!</v>
      </c>
      <c r="CA42" t="str">
        <f ca="1">IFERROR(__xludf.DUMMYFUNCTION("""COMPUTED_VALUE"""),"#VALUE!")</f>
        <v>#VALUE!</v>
      </c>
      <c r="CC42" t="str">
        <f ca="1">IFERROR(__xludf.DUMMYFUNCTION("""COMPUTED_VALUE"""),"#VALUE!")</f>
        <v>#VALUE!</v>
      </c>
      <c r="CD42" t="str">
        <f ca="1">IFERROR(__xludf.DUMMYFUNCTION("""COMPUTED_VALUE"""),"C3598")</f>
        <v>C3598</v>
      </c>
      <c r="CE42" t="str">
        <f ca="1">IFERROR(__xludf.DUMMYFUNCTION("""COMPUTED_VALUE"""),"location of congregation")</f>
        <v>location of congregation</v>
      </c>
      <c r="CF42" t="str">
        <f ca="1">IFERROR(__xludf.DUMMYFUNCTION("""COMPUTED_VALUE"""),"L0077#L0066#L0103#L0115#L0133")</f>
        <v>L0077#L0066#L0103#L0115#L0133</v>
      </c>
      <c r="CG42" t="str">
        <f ca="1">IFERROR(__xludf.DUMMYFUNCTION("""COMPUTED_VALUE"""),"domus Margerite Borssete #domus Bernardi de Rosseto #domus Iohannis de Girauda #domus Agnessone de Rosseto #domus Sandrie Torenchi")</f>
        <v>domus Margerite Borssete #domus Bernardi de Rosseto #domus Iohannis de Girauda #domus Agnessone de Rosseto #domus Sandrie Torenchi</v>
      </c>
      <c r="CH42" t="str">
        <f ca="1">IFERROR(__xludf.DUMMYFUNCTION("""COMPUTED_VALUE"""),"P0176")</f>
        <v>P0176</v>
      </c>
      <c r="CI42" t="str">
        <f ca="1">IFERROR(__xludf.DUMMYFUNCTION("""COMPUTED_VALUE"""),"Nicoletus Bernardi")</f>
        <v>Nicoletus Bernardi</v>
      </c>
      <c r="CJ42" t="str">
        <f ca="1">IFERROR(__xludf.DUMMYFUNCTION("""COMPUTED_VALUE"""),"P0229")</f>
        <v>P0229</v>
      </c>
      <c r="CK42" t="str">
        <f ca="1">IFERROR(__xludf.DUMMYFUNCTION("""COMPUTED_VALUE"""),"Marguerita Borsseta")</f>
        <v>Marguerita Borsseta</v>
      </c>
      <c r="CS42" t="str">
        <f ca="1">IFERROR(__xludf.DUMMYFUNCTION("""COMPUTED_VALUE"""),"#VALUE!")</f>
        <v>#VALUE!</v>
      </c>
      <c r="CU42" t="str">
        <f ca="1">IFERROR(__xludf.DUMMYFUNCTION("""COMPUTED_VALUE"""),"#VALUE!")</f>
        <v>#VALUE!</v>
      </c>
      <c r="CV42" t="str">
        <f ca="1">IFERROR(__xludf.DUMMYFUNCTION("""COMPUTED_VALUE"""),"L0010")</f>
        <v>L0010</v>
      </c>
      <c r="CW42" t="str">
        <f ca="1">IFERROR(__xludf.DUMMYFUNCTION("""COMPUTED_VALUE"""),"Buffa")</f>
        <v>Buffa</v>
      </c>
      <c r="CY42" t="str">
        <f ca="1">IFERROR(__xludf.DUMMYFUNCTION("""COMPUTED_VALUE"""),"#VALUE!")</f>
        <v>#VALUE!</v>
      </c>
      <c r="DC42" t="str">
        <f ca="1">IFERROR(__xludf.DUMMYFUNCTION("""COMPUTED_VALUE"""),"#VALUE!")</f>
        <v>#VALUE!</v>
      </c>
      <c r="DE42" t="str">
        <f ca="1">IFERROR(__xludf.DUMMYFUNCTION("""COMPUTED_VALUE"""),"#VALUE!")</f>
        <v>#VALUE!</v>
      </c>
      <c r="DF42" t="str">
        <f ca="1">IFERROR(__xludf.DUMMYFUNCTION("""COMPUTED_VALUE"""),"y")</f>
        <v>y</v>
      </c>
      <c r="DG42" t="str">
        <f ca="1">IFERROR(__xludf.DUMMYFUNCTION("""COMPUTED_VALUE"""),"174, 185")</f>
        <v>174, 185</v>
      </c>
      <c r="DH42" t="str">
        <f ca="1">IFERROR(__xludf.DUMMYFUNCTION("""COMPUTED_VALUE"""),"L0077#L0066#L0103#L0115#L0133")</f>
        <v>L0077#L0066#L0103#L0115#L0133</v>
      </c>
      <c r="DI42" t="str">
        <f ca="1">IFERROR(__xludf.DUMMYFUNCTION("""COMPUTED_VALUE"""),"domus Margerite Borssete #domus Bernardi de Rosseto #domus Iohannis de Girauda #domus Agnessone de Rosseto #domus Sandrie Torenchi")</f>
        <v>domus Margerite Borssete #domus Bernardi de Rosseto #domus Iohannis de Girauda #domus Agnessone de Rosseto #domus Sandrie Torenchi</v>
      </c>
      <c r="DJ42" t="str">
        <f ca="1">IFERROR(__xludf.DUMMYFUNCTION("""COMPUTED_VALUE"""),"domus #domus #domus #domus #domus")</f>
        <v>domus #domus #domus #domus #domus</v>
      </c>
      <c r="DL42" t="str">
        <f ca="1">IFERROR(__xludf.DUMMYFUNCTION("""COMPUTED_VALUE"""),"Davor Salihović")</f>
        <v>Davor Salihović</v>
      </c>
    </row>
    <row r="43" spans="1:116" ht="13.2" x14ac:dyDescent="0.25">
      <c r="A43" t="str">
        <f ca="1">IFERROR(__xludf.DUMMYFUNCTION("""COMPUTED_VALUE"""),"P0042")</f>
        <v>P0042</v>
      </c>
      <c r="B43" t="str">
        <f ca="1">IFERROR(__xludf.DUMMYFUNCTION("""COMPUTED_VALUE"""),"Agnessona de Rosseto")</f>
        <v>Agnessona de Rosseto</v>
      </c>
      <c r="D43" t="str">
        <f ca="1">IFERROR(__xludf.DUMMYFUNCTION("""COMPUTED_VALUE"""),"#VALUE!")</f>
        <v>#VALUE!</v>
      </c>
      <c r="E43" t="str">
        <f ca="1">IFERROR(__xludf.DUMMYFUNCTION("""COMPUTED_VALUE"""),"Agnessona")</f>
        <v>Agnessona</v>
      </c>
      <c r="F43" t="str">
        <f ca="1">IFERROR(__xludf.DUMMYFUNCTION("""COMPUTED_VALUE"""),"Agnexina")</f>
        <v>Agnexina</v>
      </c>
      <c r="J43" t="str">
        <f ca="1">IFERROR(__xludf.DUMMYFUNCTION("""COMPUTED_VALUE"""),"de")</f>
        <v>de</v>
      </c>
      <c r="K43" t="str">
        <f ca="1">IFERROR(__xludf.DUMMYFUNCTION("""COMPUTED_VALUE"""),"Rosseto")</f>
        <v>Rosseto</v>
      </c>
      <c r="L43" t="str">
        <f ca="1">IFERROR(__xludf.DUMMYFUNCTION("""COMPUTED_VALUE"""),"de Rosseto")</f>
        <v>de Rosseto</v>
      </c>
      <c r="Q43" t="str">
        <f ca="1">IFERROR(__xludf.DUMMYFUNCTION("""COMPUTED_VALUE"""),"soror Petri de Rosseto")</f>
        <v>soror Petri de Rosseto</v>
      </c>
      <c r="S43" t="str">
        <f ca="1">IFERROR(__xludf.DUMMYFUNCTION("""COMPUTED_VALUE"""),"Latin")</f>
        <v>Latin</v>
      </c>
      <c r="T43" t="str">
        <f ca="1">IFERROR(__xludf.DUMMYFUNCTION("""COMPUTED_VALUE"""),"definite")</f>
        <v>definite</v>
      </c>
      <c r="U43" t="str">
        <f ca="1">IFERROR(__xludf.DUMMYFUNCTION("""COMPUTED_VALUE"""),"C2552")</f>
        <v>C2552</v>
      </c>
      <c r="V43" t="str">
        <f ca="1">IFERROR(__xludf.DUMMYFUNCTION("""COMPUTED_VALUE"""),"female")</f>
        <v>female</v>
      </c>
      <c r="Z43" t="str">
        <f ca="1">IFERROR(__xludf.DUMMYFUNCTION("""COMPUTED_VALUE"""),"164, 177, 178, 185, 189, 193, 198, 201, 205, 206, 207, 215, 216, 223")</f>
        <v>164, 177, 178, 185, 189, 193, 198, 201, 205, 206, 207, 215, 216, 223</v>
      </c>
      <c r="AA43" t="str">
        <f ca="1">IFERROR(__xludf.DUMMYFUNCTION("""COMPUTED_VALUE"""),"d")</f>
        <v>d</v>
      </c>
      <c r="AB43" t="str">
        <f ca="1">IFERROR(__xludf.DUMMYFUNCTION("""COMPUTED_VALUE"""),"suspect")</f>
        <v>suspect</v>
      </c>
      <c r="AD43" t="str">
        <f ca="1">IFERROR(__xludf.DUMMYFUNCTION("""COMPUTED_VALUE"""),"C3287")</f>
        <v>C3287</v>
      </c>
      <c r="AE43" t="str">
        <f ca="1">IFERROR(__xludf.DUMMYFUNCTION("""COMPUTED_VALUE"""),"alive")</f>
        <v>alive</v>
      </c>
      <c r="AF43" t="str">
        <f ca="1">IFERROR(__xludf.DUMMYFUNCTION("""COMPUTED_VALUE"""),"C1753")</f>
        <v>C1753</v>
      </c>
      <c r="AG43" t="str">
        <f ca="1">IFERROR(__xludf.DUMMYFUNCTION("""COMPUTED_VALUE"""),"1335-01-20")</f>
        <v>1335-01-20</v>
      </c>
      <c r="AH43" t="str">
        <f ca="1">IFERROR(__xludf.DUMMYFUNCTION("""COMPUTED_VALUE"""),"C2341")</f>
        <v>C2341</v>
      </c>
      <c r="AI43" t="str">
        <f ca="1">IFERROR(__xludf.DUMMYFUNCTION("""COMPUTED_VALUE"""),"mother")</f>
        <v>mother</v>
      </c>
      <c r="AJ43" t="str">
        <f ca="1">IFERROR(__xludf.DUMMYFUNCTION("""COMPUTED_VALUE"""),"P0211")</f>
        <v>P0211</v>
      </c>
      <c r="AK43" t="str">
        <f ca="1">IFERROR(__xludf.DUMMYFUNCTION("""COMPUTED_VALUE"""),"mater Bernardi de Rosseto")</f>
        <v>mater Bernardi de Rosseto</v>
      </c>
      <c r="AL43" t="str">
        <f ca="1">IFERROR(__xludf.DUMMYFUNCTION("""COMPUTED_VALUE"""),"C0147")</f>
        <v>C0147</v>
      </c>
      <c r="AM43" t="str">
        <f ca="1">IFERROR(__xludf.DUMMYFUNCTION("""COMPUTED_VALUE"""),"warrantor")</f>
        <v>warrantor</v>
      </c>
      <c r="AN43" t="str">
        <f ca="1">IFERROR(__xludf.DUMMYFUNCTION("""COMPUTED_VALUE"""),"P0370")</f>
        <v>P0370</v>
      </c>
      <c r="AO43" t="str">
        <f ca="1">IFERROR(__xludf.DUMMYFUNCTION("""COMPUTED_VALUE"""),"Petrus Soç")</f>
        <v>Petrus Soç</v>
      </c>
      <c r="AQ43" t="str">
        <f ca="1">IFERROR(__xludf.DUMMYFUNCTION("""COMPUTED_VALUE"""),"#VALUE!")</f>
        <v>#VALUE!</v>
      </c>
      <c r="AS43" t="str">
        <f ca="1">IFERROR(__xludf.DUMMYFUNCTION("""COMPUTED_VALUE"""),"#VALUE!")</f>
        <v>#VALUE!</v>
      </c>
      <c r="AU43" t="str">
        <f ca="1">IFERROR(__xludf.DUMMYFUNCTION("""COMPUTED_VALUE"""),"#VALUE!")</f>
        <v>#VALUE!</v>
      </c>
      <c r="AW43" t="str">
        <f ca="1">IFERROR(__xludf.DUMMYFUNCTION("""COMPUTED_VALUE"""),"#VALUE!")</f>
        <v>#VALUE!</v>
      </c>
      <c r="AY43" t="str">
        <f ca="1">IFERROR(__xludf.DUMMYFUNCTION("""COMPUTED_VALUE"""),"#VALUE!")</f>
        <v>#VALUE!</v>
      </c>
      <c r="BA43" t="str">
        <f ca="1">IFERROR(__xludf.DUMMYFUNCTION("""COMPUTED_VALUE"""),"#VALUE!")</f>
        <v>#VALUE!</v>
      </c>
      <c r="BC43" t="str">
        <f ca="1">IFERROR(__xludf.DUMMYFUNCTION("""COMPUTED_VALUE"""),"#VALUE!")</f>
        <v>#VALUE!</v>
      </c>
      <c r="BE43" t="str">
        <f ca="1">IFERROR(__xludf.DUMMYFUNCTION("""COMPUTED_VALUE"""),"#VALUE!")</f>
        <v>#VALUE!</v>
      </c>
      <c r="BG43" t="str">
        <f ca="1">IFERROR(__xludf.DUMMYFUNCTION("""COMPUTED_VALUE"""),"#VALUE!")</f>
        <v>#VALUE!</v>
      </c>
      <c r="BI43" t="str">
        <f ca="1">IFERROR(__xludf.DUMMYFUNCTION("""COMPUTED_VALUE"""),"#VALUE!")</f>
        <v>#VALUE!</v>
      </c>
      <c r="BK43" t="str">
        <f ca="1">IFERROR(__xludf.DUMMYFUNCTION("""COMPUTED_VALUE"""),"#VALUE!")</f>
        <v>#VALUE!</v>
      </c>
      <c r="BM43" t="str">
        <f ca="1">IFERROR(__xludf.DUMMYFUNCTION("""COMPUTED_VALUE"""),"#VALUE!")</f>
        <v>#VALUE!</v>
      </c>
      <c r="BO43" t="str">
        <f ca="1">IFERROR(__xludf.DUMMYFUNCTION("""COMPUTED_VALUE"""),"#VALUE!")</f>
        <v>#VALUE!</v>
      </c>
      <c r="BQ43" t="str">
        <f ca="1">IFERROR(__xludf.DUMMYFUNCTION("""COMPUTED_VALUE"""),"#VALUE!")</f>
        <v>#VALUE!</v>
      </c>
      <c r="BS43" t="str">
        <f ca="1">IFERROR(__xludf.DUMMYFUNCTION("""COMPUTED_VALUE"""),"#VALUE!")</f>
        <v>#VALUE!</v>
      </c>
      <c r="BU43" t="str">
        <f ca="1">IFERROR(__xludf.DUMMYFUNCTION("""COMPUTED_VALUE"""),"#VALUE!")</f>
        <v>#VALUE!</v>
      </c>
      <c r="BW43" t="str">
        <f ca="1">IFERROR(__xludf.DUMMYFUNCTION("""COMPUTED_VALUE"""),"#VALUE!")</f>
        <v>#VALUE!</v>
      </c>
      <c r="BY43" t="str">
        <f ca="1">IFERROR(__xludf.DUMMYFUNCTION("""COMPUTED_VALUE"""),"#VALUE!")</f>
        <v>#VALUE!</v>
      </c>
      <c r="CA43" t="str">
        <f ca="1">IFERROR(__xludf.DUMMYFUNCTION("""COMPUTED_VALUE"""),"#VALUE!")</f>
        <v>#VALUE!</v>
      </c>
      <c r="CC43" t="str">
        <f ca="1">IFERROR(__xludf.DUMMYFUNCTION("""COMPUTED_VALUE"""),"#VALUE!")</f>
        <v>#VALUE!</v>
      </c>
      <c r="CD43" t="str">
        <f ca="1">IFERROR(__xludf.DUMMYFUNCTION("""COMPUTED_VALUE"""),"C3598")</f>
        <v>C3598</v>
      </c>
      <c r="CE43" t="str">
        <f ca="1">IFERROR(__xludf.DUMMYFUNCTION("""COMPUTED_VALUE"""),"location of congregation")</f>
        <v>location of congregation</v>
      </c>
      <c r="CF43" t="str">
        <f ca="1">IFERROR(__xludf.DUMMYFUNCTION("""COMPUTED_VALUE"""),"L0154#L0066#L0087#L0032#L0096#L0103#L0097#L0105#L0115#L0080")</f>
        <v>L0154#L0066#L0087#L0032#L0096#L0103#L0097#L0105#L0115#L0080</v>
      </c>
      <c r="CG43" t="str">
        <f ca="1">IFERROR(__xludf.DUMMYFUNCTION("""COMPUTED_VALUE"""),"domus Palmeroni Goytro #domus Bernardi de Rosseto #domus Petri de Rosseto #domus Villelmi de Oddo #domus Iohannis de Bonaudo #domus Iohannis de Girauda #domus Iohannis Borrellati #domus de Rossetis #domus Agnessone de Rosseto #domus Petrii Burgi")</f>
        <v>domus Palmeroni Goytro #domus Bernardi de Rosseto #domus Petri de Rosseto #domus Villelmi de Oddo #domus Iohannis de Bonaudo #domus Iohannis de Girauda #domus Iohannis Borrellati #domus de Rossetis #domus Agnessone de Rosseto #domus Petrii Burgi</v>
      </c>
      <c r="CH43" t="str">
        <f ca="1">IFERROR(__xludf.DUMMYFUNCTION("""COMPUTED_VALUE"""),"P0370")</f>
        <v>P0370</v>
      </c>
      <c r="CI43" t="str">
        <f ca="1">IFERROR(__xludf.DUMMYFUNCTION("""COMPUTED_VALUE"""),"Petrus Soç")</f>
        <v>Petrus Soç</v>
      </c>
      <c r="CJ43" t="str">
        <f ca="1">IFERROR(__xludf.DUMMYFUNCTION("""COMPUTED_VALUE"""),"P0229")</f>
        <v>P0229</v>
      </c>
      <c r="CK43" t="str">
        <f ca="1">IFERROR(__xludf.DUMMYFUNCTION("""COMPUTED_VALUE"""),"Marguerita Borsseta")</f>
        <v>Marguerita Borsseta</v>
      </c>
      <c r="CS43" t="str">
        <f ca="1">IFERROR(__xludf.DUMMYFUNCTION("""COMPUTED_VALUE"""),"#VALUE!")</f>
        <v>#VALUE!</v>
      </c>
      <c r="CU43" t="str">
        <f ca="1">IFERROR(__xludf.DUMMYFUNCTION("""COMPUTED_VALUE"""),"#VALUE!")</f>
        <v>#VALUE!</v>
      </c>
      <c r="CV43" t="str">
        <f ca="1">IFERROR(__xludf.DUMMYFUNCTION("""COMPUTED_VALUE"""),"L0010")</f>
        <v>L0010</v>
      </c>
      <c r="CW43" t="str">
        <f ca="1">IFERROR(__xludf.DUMMYFUNCTION("""COMPUTED_VALUE"""),"Buffa")</f>
        <v>Buffa</v>
      </c>
      <c r="CY43" t="str">
        <f ca="1">IFERROR(__xludf.DUMMYFUNCTION("""COMPUTED_VALUE"""),"#VALUE!")</f>
        <v>#VALUE!</v>
      </c>
      <c r="DC43" t="str">
        <f ca="1">IFERROR(__xludf.DUMMYFUNCTION("""COMPUTED_VALUE"""),"#VALUE!")</f>
        <v>#VALUE!</v>
      </c>
      <c r="DE43" t="str">
        <f ca="1">IFERROR(__xludf.DUMMYFUNCTION("""COMPUTED_VALUE"""),"#VALUE!")</f>
        <v>#VALUE!</v>
      </c>
      <c r="DF43" t="str">
        <f ca="1">IFERROR(__xludf.DUMMYFUNCTION("""COMPUTED_VALUE"""),"y")</f>
        <v>y</v>
      </c>
      <c r="DG43" t="str">
        <f ca="1">IFERROR(__xludf.DUMMYFUNCTION("""COMPUTED_VALUE"""),"215")</f>
        <v>215</v>
      </c>
      <c r="DH43" t="str">
        <f ca="1">IFERROR(__xludf.DUMMYFUNCTION("""COMPUTED_VALUE"""),"L0154#L0066#L0087#L0032#L0096#L0103#L0097#L0105#L0115#L0080")</f>
        <v>L0154#L0066#L0087#L0032#L0096#L0103#L0097#L0105#L0115#L0080</v>
      </c>
      <c r="DI43" t="str">
        <f ca="1">IFERROR(__xludf.DUMMYFUNCTION("""COMPUTED_VALUE"""),"domus Palmeroni Goytro #domus Bernardi de Rosseto #domus Petri de Rosseto #domus Villelmi de Oddo #domus Iohannis de Bonaudo #domus Iohannis de Girauda #domus Iohannis Borrellati #domus de Rossetis #domus Agnessone de Rosseto #domus Petrii Burgi")</f>
        <v>domus Palmeroni Goytro #domus Bernardi de Rosseto #domus Petri de Rosseto #domus Villelmi de Oddo #domus Iohannis de Bonaudo #domus Iohannis de Girauda #domus Iohannis Borrellati #domus de Rossetis #domus Agnessone de Rosseto #domus Petrii Burgi</v>
      </c>
      <c r="DJ43" t="str">
        <f ca="1">IFERROR(__xludf.DUMMYFUNCTION("""COMPUTED_VALUE"""),"domus #domus #domus #domus #domus #domus #domus #domus #domus #domus")</f>
        <v>domus #domus #domus #domus #domus #domus #domus #domus #domus #domus</v>
      </c>
      <c r="DL43" t="str">
        <f ca="1">IFERROR(__xludf.DUMMYFUNCTION("""COMPUTED_VALUE"""),"Davor Salihović")</f>
        <v>Davor Salihović</v>
      </c>
    </row>
    <row r="44" spans="1:116" ht="13.2" x14ac:dyDescent="0.25">
      <c r="A44" t="str">
        <f ca="1">IFERROR(__xludf.DUMMYFUNCTION("""COMPUTED_VALUE"""),"P0043")</f>
        <v>P0043</v>
      </c>
      <c r="B44" t="str">
        <f ca="1">IFERROR(__xludf.DUMMYFUNCTION("""COMPUTED_VALUE"""),"Iohannes de Bonaudo")</f>
        <v>Iohannes de Bonaudo</v>
      </c>
      <c r="D44" t="str">
        <f ca="1">IFERROR(__xludf.DUMMYFUNCTION("""COMPUTED_VALUE"""),"#VALUE!")</f>
        <v>#VALUE!</v>
      </c>
      <c r="E44" t="str">
        <f ca="1">IFERROR(__xludf.DUMMYFUNCTION("""COMPUTED_VALUE"""),"Iohannes")</f>
        <v>Iohannes</v>
      </c>
      <c r="J44" t="str">
        <f ca="1">IFERROR(__xludf.DUMMYFUNCTION("""COMPUTED_VALUE"""),"de")</f>
        <v>de</v>
      </c>
      <c r="K44" t="str">
        <f ca="1">IFERROR(__xludf.DUMMYFUNCTION("""COMPUTED_VALUE"""),"Bonaudo")</f>
        <v>Bonaudo</v>
      </c>
      <c r="L44" t="str">
        <f ca="1">IFERROR(__xludf.DUMMYFUNCTION("""COMPUTED_VALUE"""),"de Bonaudo")</f>
        <v>de Bonaudo</v>
      </c>
      <c r="S44" t="str">
        <f ca="1">IFERROR(__xludf.DUMMYFUNCTION("""COMPUTED_VALUE"""),"Latin")</f>
        <v>Latin</v>
      </c>
      <c r="T44" t="str">
        <f ca="1">IFERROR(__xludf.DUMMYFUNCTION("""COMPUTED_VALUE"""),"definite")</f>
        <v>definite</v>
      </c>
      <c r="U44" t="str">
        <f ca="1">IFERROR(__xludf.DUMMYFUNCTION("""COMPUTED_VALUE"""),"C2553")</f>
        <v>C2553</v>
      </c>
      <c r="V44" t="str">
        <f ca="1">IFERROR(__xludf.DUMMYFUNCTION("""COMPUTED_VALUE"""),"male")</f>
        <v>male</v>
      </c>
      <c r="Z44" t="str">
        <f ca="1">IFERROR(__xludf.DUMMYFUNCTION("""COMPUTED_VALUE"""),"164, 168, 178, 179, 181, 184, 196, 198, 201, 202, 204, 206, 219, 220, 223, 229, 230, 231, 241, 243, 247, 254")</f>
        <v>164, 168, 178, 179, 181, 184, 196, 198, 201, 202, 204, 206, 219, 220, 223, 229, 230, 231, 241, 243, 247, 254</v>
      </c>
      <c r="AA44" t="str">
        <f ca="1">IFERROR(__xludf.DUMMYFUNCTION("""COMPUTED_VALUE"""),"d")</f>
        <v>d</v>
      </c>
      <c r="AB44" t="str">
        <f ca="1">IFERROR(__xludf.DUMMYFUNCTION("""COMPUTED_VALUE"""),"suspect")</f>
        <v>suspect</v>
      </c>
      <c r="AD44" t="str">
        <f ca="1">IFERROR(__xludf.DUMMYFUNCTION("""COMPUTED_VALUE"""),"C3287")</f>
        <v>C3287</v>
      </c>
      <c r="AE44" t="str">
        <f ca="1">IFERROR(__xludf.DUMMYFUNCTION("""COMPUTED_VALUE"""),"alive")</f>
        <v>alive</v>
      </c>
      <c r="AF44" t="str">
        <f ca="1">IFERROR(__xludf.DUMMYFUNCTION("""COMPUTED_VALUE"""),"C1753")</f>
        <v>C1753</v>
      </c>
      <c r="AG44" t="str">
        <f ca="1">IFERROR(__xludf.DUMMYFUNCTION("""COMPUTED_VALUE"""),"1335-01-20")</f>
        <v>1335-01-20</v>
      </c>
      <c r="AH44" t="str">
        <f ca="1">IFERROR(__xludf.DUMMYFUNCTION("""COMPUTED_VALUE"""),"C2336")</f>
        <v>C2336</v>
      </c>
      <c r="AI44" t="str">
        <f ca="1">IFERROR(__xludf.DUMMYFUNCTION("""COMPUTED_VALUE"""),"son")</f>
        <v>son</v>
      </c>
      <c r="AJ44" t="str">
        <f ca="1">IFERROR(__xludf.DUMMYFUNCTION("""COMPUTED_VALUE"""),"P0318")</f>
        <v>P0318</v>
      </c>
      <c r="AK44" t="str">
        <f ca="1">IFERROR(__xludf.DUMMYFUNCTION("""COMPUTED_VALUE"""),"Petrus de Bonaudo")</f>
        <v>Petrus de Bonaudo</v>
      </c>
      <c r="AL44" t="str">
        <f ca="1">IFERROR(__xludf.DUMMYFUNCTION("""COMPUTED_VALUE"""),"C2335")</f>
        <v>C2335</v>
      </c>
      <c r="AM44" t="str">
        <f ca="1">IFERROR(__xludf.DUMMYFUNCTION("""COMPUTED_VALUE"""),"daughter")</f>
        <v>daughter</v>
      </c>
      <c r="AN44" t="str">
        <f ca="1">IFERROR(__xludf.DUMMYFUNCTION("""COMPUTED_VALUE"""),"P0328")</f>
        <v>P0328</v>
      </c>
      <c r="AO44" t="str">
        <f ca="1">IFERROR(__xludf.DUMMYFUNCTION("""COMPUTED_VALUE"""),"Agnessona, filia Iohannis de Bonaudo")</f>
        <v>Agnessona, filia Iohannis de Bonaudo</v>
      </c>
      <c r="AP44" t="str">
        <f ca="1">IFERROR(__xludf.DUMMYFUNCTION("""COMPUTED_VALUE"""),"C2336")</f>
        <v>C2336</v>
      </c>
      <c r="AQ44" t="str">
        <f ca="1">IFERROR(__xludf.DUMMYFUNCTION("""COMPUTED_VALUE"""),"son")</f>
        <v>son</v>
      </c>
      <c r="AR44" t="str">
        <f ca="1">IFERROR(__xludf.DUMMYFUNCTION("""COMPUTED_VALUE"""),"P0330")</f>
        <v>P0330</v>
      </c>
      <c r="AS44" t="str">
        <f ca="1">IFERROR(__xludf.DUMMYFUNCTION("""COMPUTED_VALUE"""),"Anselmus, filius Iohannis de Bonaudo")</f>
        <v>Anselmus, filius Iohannis de Bonaudo</v>
      </c>
      <c r="AT44" t="str">
        <f ca="1">IFERROR(__xludf.DUMMYFUNCTION("""COMPUTED_VALUE"""),"C2335")</f>
        <v>C2335</v>
      </c>
      <c r="AU44" t="str">
        <f ca="1">IFERROR(__xludf.DUMMYFUNCTION("""COMPUTED_VALUE"""),"daughter")</f>
        <v>daughter</v>
      </c>
      <c r="AV44" t="str">
        <f ca="1">IFERROR(__xludf.DUMMYFUNCTION("""COMPUTED_VALUE"""),"P0385")</f>
        <v>P0385</v>
      </c>
      <c r="AW44" t="str">
        <f ca="1">IFERROR(__xludf.DUMMYFUNCTION("""COMPUTED_VALUE"""),"Iohanna, filia Iohannis de Bonaudo")</f>
        <v>Iohanna, filia Iohannis de Bonaudo</v>
      </c>
      <c r="AX44" t="str">
        <f ca="1">IFERROR(__xludf.DUMMYFUNCTION("""COMPUTED_VALUE"""),"C2335")</f>
        <v>C2335</v>
      </c>
      <c r="AY44" t="str">
        <f ca="1">IFERROR(__xludf.DUMMYFUNCTION("""COMPUTED_VALUE"""),"daughter")</f>
        <v>daughter</v>
      </c>
      <c r="AZ44" t="str">
        <f ca="1">IFERROR(__xludf.DUMMYFUNCTION("""COMPUTED_VALUE"""),"P0391")</f>
        <v>P0391</v>
      </c>
      <c r="BA44" t="str">
        <f ca="1">IFERROR(__xludf.DUMMYFUNCTION("""COMPUTED_VALUE"""),"Marguerita, filia Iohannis de Bonaudo")</f>
        <v>Marguerita, filia Iohannis de Bonaudo</v>
      </c>
      <c r="BB44" t="str">
        <f ca="1">IFERROR(__xludf.DUMMYFUNCTION("""COMPUTED_VALUE"""),"C0718")</f>
        <v>C0718</v>
      </c>
      <c r="BC44" t="str">
        <f ca="1">IFERROR(__xludf.DUMMYFUNCTION("""COMPUTED_VALUE"""),"familia")</f>
        <v>familia</v>
      </c>
      <c r="BD44" t="str">
        <f ca="1">IFERROR(__xludf.DUMMYFUNCTION("""COMPUTED_VALUE"""),"G0034")</f>
        <v>G0034</v>
      </c>
      <c r="BE44" t="str">
        <f ca="1">IFERROR(__xludf.DUMMYFUNCTION("""COMPUTED_VALUE"""),"familia Iohannis de Bonaudo")</f>
        <v>familia Iohannis de Bonaudo</v>
      </c>
      <c r="BF44" t="str">
        <f ca="1">IFERROR(__xludf.DUMMYFUNCTION("""COMPUTED_VALUE"""),"C3041")</f>
        <v>C3041</v>
      </c>
      <c r="BG44" t="str">
        <f ca="1">IFERROR(__xludf.DUMMYFUNCTION("""COMPUTED_VALUE"""),"household")</f>
        <v>household</v>
      </c>
      <c r="BH44" t="str">
        <f ca="1">IFERROR(__xludf.DUMMYFUNCTION("""COMPUTED_VALUE"""),"G0038")</f>
        <v>G0038</v>
      </c>
      <c r="BI44" t="str">
        <f ca="1">IFERROR(__xludf.DUMMYFUNCTION("""COMPUTED_VALUE"""),"illi de domo Iohannis de Bonaudo")</f>
        <v>illi de domo Iohannis de Bonaudo</v>
      </c>
      <c r="BJ44" t="str">
        <f ca="1">IFERROR(__xludf.DUMMYFUNCTION("""COMPUTED_VALUE"""),"C0147")</f>
        <v>C0147</v>
      </c>
      <c r="BK44" t="str">
        <f ca="1">IFERROR(__xludf.DUMMYFUNCTION("""COMPUTED_VALUE"""),"warrantor")</f>
        <v>warrantor</v>
      </c>
      <c r="BL44" t="str">
        <f ca="1">IFERROR(__xludf.DUMMYFUNCTION("""COMPUTED_VALUE"""),"P0244")</f>
        <v>P0244</v>
      </c>
      <c r="BM44" t="str">
        <f ca="1">IFERROR(__xludf.DUMMYFUNCTION("""COMPUTED_VALUE"""),"Iohannes Barberi")</f>
        <v>Iohannes Barberi</v>
      </c>
      <c r="BN44" t="str">
        <f ca="1">IFERROR(__xludf.DUMMYFUNCTION("""COMPUTED_VALUE"""),"C0147")</f>
        <v>C0147</v>
      </c>
      <c r="BO44" t="str">
        <f ca="1">IFERROR(__xludf.DUMMYFUNCTION("""COMPUTED_VALUE"""),"warrantor")</f>
        <v>warrantor</v>
      </c>
      <c r="BP44" t="str">
        <f ca="1">IFERROR(__xludf.DUMMYFUNCTION("""COMPUTED_VALUE"""),"P0041")</f>
        <v>P0041</v>
      </c>
      <c r="BQ44" t="str">
        <f ca="1">IFERROR(__xludf.DUMMYFUNCTION("""COMPUTED_VALUE"""),"Bernardus de Rosseto")</f>
        <v>Bernardus de Rosseto</v>
      </c>
      <c r="BR44" t="str">
        <f ca="1">IFERROR(__xludf.DUMMYFUNCTION("""COMPUTED_VALUE"""),"C0147")</f>
        <v>C0147</v>
      </c>
      <c r="BS44" t="str">
        <f ca="1">IFERROR(__xludf.DUMMYFUNCTION("""COMPUTED_VALUE"""),"warrantor")</f>
        <v>warrantor</v>
      </c>
      <c r="BT44" t="str">
        <f ca="1">IFERROR(__xludf.DUMMYFUNCTION("""COMPUTED_VALUE"""),"P0041")</f>
        <v>P0041</v>
      </c>
      <c r="BU44" t="str">
        <f ca="1">IFERROR(__xludf.DUMMYFUNCTION("""COMPUTED_VALUE"""),"Bernardus de Rosseto")</f>
        <v>Bernardus de Rosseto</v>
      </c>
      <c r="BV44" t="str">
        <f ca="1">IFERROR(__xludf.DUMMYFUNCTION("""COMPUTED_VALUE"""),"C0147")</f>
        <v>C0147</v>
      </c>
      <c r="BW44" t="str">
        <f ca="1">IFERROR(__xludf.DUMMYFUNCTION("""COMPUTED_VALUE"""),"warrantor")</f>
        <v>warrantor</v>
      </c>
      <c r="BX44" t="str">
        <f ca="1">IFERROR(__xludf.DUMMYFUNCTION("""COMPUTED_VALUE"""),"P0041")</f>
        <v>P0041</v>
      </c>
      <c r="BY44" t="str">
        <f ca="1">IFERROR(__xludf.DUMMYFUNCTION("""COMPUTED_VALUE"""),"Bernardus de Rosseto")</f>
        <v>Bernardus de Rosseto</v>
      </c>
      <c r="BZ44" t="str">
        <f ca="1">IFERROR(__xludf.DUMMYFUNCTION("""COMPUTED_VALUE"""),"C0147")</f>
        <v>C0147</v>
      </c>
      <c r="CA44" t="str">
        <f ca="1">IFERROR(__xludf.DUMMYFUNCTION("""COMPUTED_VALUE"""),"warrantor")</f>
        <v>warrantor</v>
      </c>
      <c r="CB44" t="str">
        <f ca="1">IFERROR(__xludf.DUMMYFUNCTION("""COMPUTED_VALUE"""),"P0041")</f>
        <v>P0041</v>
      </c>
      <c r="CC44" t="str">
        <f ca="1">IFERROR(__xludf.DUMMYFUNCTION("""COMPUTED_VALUE"""),"Bernardus de Rosseto")</f>
        <v>Bernardus de Rosseto</v>
      </c>
      <c r="CD44" t="str">
        <f ca="1">IFERROR(__xludf.DUMMYFUNCTION("""COMPUTED_VALUE"""),"C3598")</f>
        <v>C3598</v>
      </c>
      <c r="CE44" t="str">
        <f ca="1">IFERROR(__xludf.DUMMYFUNCTION("""COMPUTED_VALUE"""),"location of congregation")</f>
        <v>location of congregation</v>
      </c>
      <c r="CF44" t="str">
        <f ca="1">IFERROR(__xludf.DUMMYFUNCTION("""COMPUTED_VALUE"""),"L0096#L0098#L0066#L0122")</f>
        <v>L0096#L0098#L0066#L0122</v>
      </c>
      <c r="CG44" t="str">
        <f ca="1">IFERROR(__xludf.DUMMYFUNCTION("""COMPUTED_VALUE"""),"domus Iohannis de Bonaudo #domus Michaelis Planche #domus Bernardi de Rosseto #domus Margerite Planche")</f>
        <v>domus Iohannis de Bonaudo #domus Michaelis Planche #domus Bernardi de Rosseto #domus Margerite Planche</v>
      </c>
      <c r="CH44" t="str">
        <f ca="1">IFERROR(__xludf.DUMMYFUNCTION("""COMPUTED_VALUE"""),"P0244#P0041")</f>
        <v>P0244#P0041</v>
      </c>
      <c r="CI44" t="str">
        <f ca="1">IFERROR(__xludf.DUMMYFUNCTION("""COMPUTED_VALUE"""),"Iohannes Barberi #Bernardus de Rosseto")</f>
        <v>Iohannes Barberi #Bernardus de Rosseto</v>
      </c>
      <c r="CJ44" t="str">
        <f ca="1">IFERROR(__xludf.DUMMYFUNCTION("""COMPUTED_VALUE"""),"P0229")</f>
        <v>P0229</v>
      </c>
      <c r="CK44" t="str">
        <f ca="1">IFERROR(__xludf.DUMMYFUNCTION("""COMPUTED_VALUE"""),"Marguerita Borsseta")</f>
        <v>Marguerita Borsseta</v>
      </c>
      <c r="CS44" t="str">
        <f ca="1">IFERROR(__xludf.DUMMYFUNCTION("""COMPUTED_VALUE"""),"#VALUE!")</f>
        <v>#VALUE!</v>
      </c>
      <c r="CU44" t="str">
        <f ca="1">IFERROR(__xludf.DUMMYFUNCTION("""COMPUTED_VALUE"""),"#VALUE!")</f>
        <v>#VALUE!</v>
      </c>
      <c r="CV44" t="str">
        <f ca="1">IFERROR(__xludf.DUMMYFUNCTION("""COMPUTED_VALUE"""),"L0010")</f>
        <v>L0010</v>
      </c>
      <c r="CW44" t="str">
        <f ca="1">IFERROR(__xludf.DUMMYFUNCTION("""COMPUTED_VALUE"""),"Buffa")</f>
        <v>Buffa</v>
      </c>
      <c r="CY44" t="str">
        <f ca="1">IFERROR(__xludf.DUMMYFUNCTION("""COMPUTED_VALUE"""),"#VALUE!")</f>
        <v>#VALUE!</v>
      </c>
      <c r="DC44" t="str">
        <f ca="1">IFERROR(__xludf.DUMMYFUNCTION("""COMPUTED_VALUE"""),"#VALUE!")</f>
        <v>#VALUE!</v>
      </c>
      <c r="DE44" t="str">
        <f ca="1">IFERROR(__xludf.DUMMYFUNCTION("""COMPUTED_VALUE"""),"#VALUE!")</f>
        <v>#VALUE!</v>
      </c>
      <c r="DF44" t="str">
        <f ca="1">IFERROR(__xludf.DUMMYFUNCTION("""COMPUTED_VALUE"""),"y")</f>
        <v>y</v>
      </c>
      <c r="DG44" t="str">
        <f ca="1">IFERROR(__xludf.DUMMYFUNCTION("""COMPUTED_VALUE"""),"181, 201")</f>
        <v>181, 201</v>
      </c>
      <c r="DH44" t="str">
        <f ca="1">IFERROR(__xludf.DUMMYFUNCTION("""COMPUTED_VALUE"""),"L0096#L0098#L0066#L0122")</f>
        <v>L0096#L0098#L0066#L0122</v>
      </c>
      <c r="DI44" t="str">
        <f ca="1">IFERROR(__xludf.DUMMYFUNCTION("""COMPUTED_VALUE"""),"domus Iohannis de Bonaudo #domus Michaelis Planche #domus Bernardi de Rosseto #domus Margerite Planche")</f>
        <v>domus Iohannis de Bonaudo #domus Michaelis Planche #domus Bernardi de Rosseto #domus Margerite Planche</v>
      </c>
      <c r="DJ44" t="str">
        <f ca="1">IFERROR(__xludf.DUMMYFUNCTION("""COMPUTED_VALUE"""),"domus #domus #domus #domus")</f>
        <v>domus #domus #domus #domus</v>
      </c>
      <c r="DL44" t="str">
        <f ca="1">IFERROR(__xludf.DUMMYFUNCTION("""COMPUTED_VALUE"""),"Davor Salihović")</f>
        <v>Davor Salihović</v>
      </c>
    </row>
    <row r="45" spans="1:116" ht="13.2" x14ac:dyDescent="0.25">
      <c r="A45" t="str">
        <f ca="1">IFERROR(__xludf.DUMMYFUNCTION("""COMPUTED_VALUE"""),"P0044")</f>
        <v>P0044</v>
      </c>
      <c r="B45" t="str">
        <f ca="1">IFERROR(__xludf.DUMMYFUNCTION("""COMPUTED_VALUE"""),"Reymonda, uxor Iohannis Bec")</f>
        <v>Reymonda, uxor Iohannis Bec</v>
      </c>
      <c r="D45" t="str">
        <f ca="1">IFERROR(__xludf.DUMMYFUNCTION("""COMPUTED_VALUE"""),"#VALUE!")</f>
        <v>#VALUE!</v>
      </c>
      <c r="E45" t="str">
        <f ca="1">IFERROR(__xludf.DUMMYFUNCTION("""COMPUTED_VALUE"""),"Reymonda")</f>
        <v>Reymonda</v>
      </c>
      <c r="Q45" t="str">
        <f ca="1">IFERROR(__xludf.DUMMYFUNCTION("""COMPUTED_VALUE"""),"filia Aymoneti de Bonaudo, uxor Iohannis Bec")</f>
        <v>filia Aymoneti de Bonaudo, uxor Iohannis Bec</v>
      </c>
      <c r="S45" t="str">
        <f ca="1">IFERROR(__xludf.DUMMYFUNCTION("""COMPUTED_VALUE"""),"Latin")</f>
        <v>Latin</v>
      </c>
      <c r="T45" t="str">
        <f ca="1">IFERROR(__xludf.DUMMYFUNCTION("""COMPUTED_VALUE"""),"definite")</f>
        <v>definite</v>
      </c>
      <c r="U45" t="str">
        <f ca="1">IFERROR(__xludf.DUMMYFUNCTION("""COMPUTED_VALUE"""),"C2552")</f>
        <v>C2552</v>
      </c>
      <c r="V45" t="str">
        <f ca="1">IFERROR(__xludf.DUMMYFUNCTION("""COMPUTED_VALUE"""),"female")</f>
        <v>female</v>
      </c>
      <c r="Z45" t="str">
        <f ca="1">IFERROR(__xludf.DUMMYFUNCTION("""COMPUTED_VALUE"""),"164")</f>
        <v>164</v>
      </c>
      <c r="AA45" t="str">
        <f ca="1">IFERROR(__xludf.DUMMYFUNCTION("""COMPUTED_VALUE"""),"d")</f>
        <v>d</v>
      </c>
      <c r="AB45" t="str">
        <f ca="1">IFERROR(__xludf.DUMMYFUNCTION("""COMPUTED_VALUE"""),"suspect")</f>
        <v>suspect</v>
      </c>
      <c r="AE45" t="str">
        <f ca="1">IFERROR(__xludf.DUMMYFUNCTION("""COMPUTED_VALUE"""),"#VALUE!")</f>
        <v>#VALUE!</v>
      </c>
      <c r="AF45" t="str">
        <f ca="1">IFERROR(__xludf.DUMMYFUNCTION("""COMPUTED_VALUE"""),"#N/A")</f>
        <v>#N/A</v>
      </c>
      <c r="AG45" t="str">
        <f ca="1">IFERROR(__xludf.DUMMYFUNCTION("""COMPUTED_VALUE"""),"#N/A")</f>
        <v>#N/A</v>
      </c>
      <c r="AI45" t="str">
        <f ca="1">IFERROR(__xludf.DUMMYFUNCTION("""COMPUTED_VALUE"""),"#VALUE!")</f>
        <v>#VALUE!</v>
      </c>
      <c r="AK45" t="str">
        <f ca="1">IFERROR(__xludf.DUMMYFUNCTION("""COMPUTED_VALUE"""),"#VALUE!")</f>
        <v>#VALUE!</v>
      </c>
      <c r="AM45" t="str">
        <f ca="1">IFERROR(__xludf.DUMMYFUNCTION("""COMPUTED_VALUE"""),"#VALUE!")</f>
        <v>#VALUE!</v>
      </c>
      <c r="AO45" t="str">
        <f ca="1">IFERROR(__xludf.DUMMYFUNCTION("""COMPUTED_VALUE"""),"#VALUE!")</f>
        <v>#VALUE!</v>
      </c>
      <c r="AQ45" t="str">
        <f ca="1">IFERROR(__xludf.DUMMYFUNCTION("""COMPUTED_VALUE"""),"#VALUE!")</f>
        <v>#VALUE!</v>
      </c>
      <c r="AS45" t="str">
        <f ca="1">IFERROR(__xludf.DUMMYFUNCTION("""COMPUTED_VALUE"""),"#VALUE!")</f>
        <v>#VALUE!</v>
      </c>
      <c r="AU45" t="str">
        <f ca="1">IFERROR(__xludf.DUMMYFUNCTION("""COMPUTED_VALUE"""),"#VALUE!")</f>
        <v>#VALUE!</v>
      </c>
      <c r="AW45" t="str">
        <f ca="1">IFERROR(__xludf.DUMMYFUNCTION("""COMPUTED_VALUE"""),"#VALUE!")</f>
        <v>#VALUE!</v>
      </c>
      <c r="AY45" t="str">
        <f ca="1">IFERROR(__xludf.DUMMYFUNCTION("""COMPUTED_VALUE"""),"#VALUE!")</f>
        <v>#VALUE!</v>
      </c>
      <c r="BA45" t="str">
        <f ca="1">IFERROR(__xludf.DUMMYFUNCTION("""COMPUTED_VALUE"""),"#VALUE!")</f>
        <v>#VALUE!</v>
      </c>
      <c r="BC45" t="str">
        <f ca="1">IFERROR(__xludf.DUMMYFUNCTION("""COMPUTED_VALUE"""),"#VALUE!")</f>
        <v>#VALUE!</v>
      </c>
      <c r="BE45" t="str">
        <f ca="1">IFERROR(__xludf.DUMMYFUNCTION("""COMPUTED_VALUE"""),"#VALUE!")</f>
        <v>#VALUE!</v>
      </c>
      <c r="BG45" t="str">
        <f ca="1">IFERROR(__xludf.DUMMYFUNCTION("""COMPUTED_VALUE"""),"#VALUE!")</f>
        <v>#VALUE!</v>
      </c>
      <c r="BI45" t="str">
        <f ca="1">IFERROR(__xludf.DUMMYFUNCTION("""COMPUTED_VALUE"""),"#VALUE!")</f>
        <v>#VALUE!</v>
      </c>
      <c r="BK45" t="str">
        <f ca="1">IFERROR(__xludf.DUMMYFUNCTION("""COMPUTED_VALUE"""),"#VALUE!")</f>
        <v>#VALUE!</v>
      </c>
      <c r="BM45" t="str">
        <f ca="1">IFERROR(__xludf.DUMMYFUNCTION("""COMPUTED_VALUE"""),"#VALUE!")</f>
        <v>#VALUE!</v>
      </c>
      <c r="BO45" t="str">
        <f ca="1">IFERROR(__xludf.DUMMYFUNCTION("""COMPUTED_VALUE"""),"#VALUE!")</f>
        <v>#VALUE!</v>
      </c>
      <c r="BQ45" t="str">
        <f ca="1">IFERROR(__xludf.DUMMYFUNCTION("""COMPUTED_VALUE"""),"#VALUE!")</f>
        <v>#VALUE!</v>
      </c>
      <c r="BS45" t="str">
        <f ca="1">IFERROR(__xludf.DUMMYFUNCTION("""COMPUTED_VALUE"""),"#VALUE!")</f>
        <v>#VALUE!</v>
      </c>
      <c r="BU45" t="str">
        <f ca="1">IFERROR(__xludf.DUMMYFUNCTION("""COMPUTED_VALUE"""),"#VALUE!")</f>
        <v>#VALUE!</v>
      </c>
      <c r="BW45" t="str">
        <f ca="1">IFERROR(__xludf.DUMMYFUNCTION("""COMPUTED_VALUE"""),"#VALUE!")</f>
        <v>#VALUE!</v>
      </c>
      <c r="BY45" t="str">
        <f ca="1">IFERROR(__xludf.DUMMYFUNCTION("""COMPUTED_VALUE"""),"#VALUE!")</f>
        <v>#VALUE!</v>
      </c>
      <c r="CA45" t="str">
        <f ca="1">IFERROR(__xludf.DUMMYFUNCTION("""COMPUTED_VALUE"""),"#VALUE!")</f>
        <v>#VALUE!</v>
      </c>
      <c r="CC45" t="str">
        <f ca="1">IFERROR(__xludf.DUMMYFUNCTION("""COMPUTED_VALUE"""),"#VALUE!")</f>
        <v>#VALUE!</v>
      </c>
      <c r="CE45" t="str">
        <f ca="1">IFERROR(__xludf.DUMMYFUNCTION("""COMPUTED_VALUE"""),"#VALUE!")</f>
        <v>#VALUE!</v>
      </c>
      <c r="CG45" t="str">
        <f ca="1">IFERROR(__xludf.DUMMYFUNCTION("""COMPUTED_VALUE"""),"#VALUE!")</f>
        <v>#VALUE!</v>
      </c>
      <c r="CI45" t="str">
        <f ca="1">IFERROR(__xludf.DUMMYFUNCTION("""COMPUTED_VALUE"""),"#VALUE!")</f>
        <v>#VALUE!</v>
      </c>
      <c r="CK45" t="str">
        <f ca="1">IFERROR(__xludf.DUMMYFUNCTION("""COMPUTED_VALUE"""),"#VALUE!")</f>
        <v>#VALUE!</v>
      </c>
      <c r="CS45" t="str">
        <f ca="1">IFERROR(__xludf.DUMMYFUNCTION("""COMPUTED_VALUE"""),"#VALUE!")</f>
        <v>#VALUE!</v>
      </c>
      <c r="CU45" t="str">
        <f ca="1">IFERROR(__xludf.DUMMYFUNCTION("""COMPUTED_VALUE"""),"#VALUE!")</f>
        <v>#VALUE!</v>
      </c>
      <c r="CV45" t="str">
        <f ca="1">IFERROR(__xludf.DUMMYFUNCTION("""COMPUTED_VALUE"""),"L0001")</f>
        <v>L0001</v>
      </c>
      <c r="CW45" t="str">
        <f ca="1">IFERROR(__xludf.DUMMYFUNCTION("""COMPUTED_VALUE"""),"Giaveno")</f>
        <v>Giaveno</v>
      </c>
      <c r="CY45" t="str">
        <f ca="1">IFERROR(__xludf.DUMMYFUNCTION("""COMPUTED_VALUE"""),"#VALUE!")</f>
        <v>#VALUE!</v>
      </c>
      <c r="DC45" t="str">
        <f ca="1">IFERROR(__xludf.DUMMYFUNCTION("""COMPUTED_VALUE"""),"#VALUE!")</f>
        <v>#VALUE!</v>
      </c>
      <c r="DE45" t="str">
        <f ca="1">IFERROR(__xludf.DUMMYFUNCTION("""COMPUTED_VALUE"""),"#VALUE!")</f>
        <v>#VALUE!</v>
      </c>
      <c r="DI45" t="str">
        <f ca="1">IFERROR(__xludf.DUMMYFUNCTION("""COMPUTED_VALUE"""),"#VALUE!")</f>
        <v>#VALUE!</v>
      </c>
      <c r="DJ45" t="str">
        <f ca="1">IFERROR(__xludf.DUMMYFUNCTION("""COMPUTED_VALUE"""),"#VALUE!")</f>
        <v>#VALUE!</v>
      </c>
      <c r="DL45" t="str">
        <f ca="1">IFERROR(__xludf.DUMMYFUNCTION("""COMPUTED_VALUE"""),"Davor Salihović")</f>
        <v>Davor Salihović</v>
      </c>
    </row>
    <row r="46" spans="1:116" ht="13.2" x14ac:dyDescent="0.25">
      <c r="A46" t="str">
        <f ca="1">IFERROR(__xludf.DUMMYFUNCTION("""COMPUTED_VALUE"""),"P0045")</f>
        <v>P0045</v>
      </c>
      <c r="B46" t="str">
        <f ca="1">IFERROR(__xludf.DUMMYFUNCTION("""COMPUTED_VALUE"""),"Aymonetus de Bonaudo")</f>
        <v>Aymonetus de Bonaudo</v>
      </c>
      <c r="D46" t="str">
        <f ca="1">IFERROR(__xludf.DUMMYFUNCTION("""COMPUTED_VALUE"""),"#VALUE!")</f>
        <v>#VALUE!</v>
      </c>
      <c r="E46" t="str">
        <f ca="1">IFERROR(__xludf.DUMMYFUNCTION("""COMPUTED_VALUE"""),"Aymonetus")</f>
        <v>Aymonetus</v>
      </c>
      <c r="J46" t="str">
        <f ca="1">IFERROR(__xludf.DUMMYFUNCTION("""COMPUTED_VALUE"""),"de")</f>
        <v>de</v>
      </c>
      <c r="K46" t="str">
        <f ca="1">IFERROR(__xludf.DUMMYFUNCTION("""COMPUTED_VALUE"""),"Bonaudo")</f>
        <v>Bonaudo</v>
      </c>
      <c r="L46" t="str">
        <f ca="1">IFERROR(__xludf.DUMMYFUNCTION("""COMPUTED_VALUE"""),"de Bonaudo")</f>
        <v>de Bonaudo</v>
      </c>
      <c r="S46" t="str">
        <f ca="1">IFERROR(__xludf.DUMMYFUNCTION("""COMPUTED_VALUE"""),"Latin")</f>
        <v>Latin</v>
      </c>
      <c r="T46" t="str">
        <f ca="1">IFERROR(__xludf.DUMMYFUNCTION("""COMPUTED_VALUE"""),"definite")</f>
        <v>definite</v>
      </c>
      <c r="U46" t="str">
        <f ca="1">IFERROR(__xludf.DUMMYFUNCTION("""COMPUTED_VALUE"""),"C2553")</f>
        <v>C2553</v>
      </c>
      <c r="V46" t="str">
        <f ca="1">IFERROR(__xludf.DUMMYFUNCTION("""COMPUTED_VALUE"""),"male")</f>
        <v>male</v>
      </c>
      <c r="Z46" t="str">
        <f ca="1">IFERROR(__xludf.DUMMYFUNCTION("""COMPUTED_VALUE"""),"164")</f>
        <v>164</v>
      </c>
      <c r="AA46" t="str">
        <f ca="1">IFERROR(__xludf.DUMMYFUNCTION("""COMPUTED_VALUE"""),"d")</f>
        <v>d</v>
      </c>
      <c r="AB46" t="str">
        <f ca="1">IFERROR(__xludf.DUMMYFUNCTION("""COMPUTED_VALUE"""),"NA")</f>
        <v>NA</v>
      </c>
      <c r="AE46" t="str">
        <f ca="1">IFERROR(__xludf.DUMMYFUNCTION("""COMPUTED_VALUE"""),"#VALUE!")</f>
        <v>#VALUE!</v>
      </c>
      <c r="AF46" t="str">
        <f ca="1">IFERROR(__xludf.DUMMYFUNCTION("""COMPUTED_VALUE"""),"#N/A")</f>
        <v>#N/A</v>
      </c>
      <c r="AG46" t="str">
        <f ca="1">IFERROR(__xludf.DUMMYFUNCTION("""COMPUTED_VALUE"""),"#N/A")</f>
        <v>#N/A</v>
      </c>
      <c r="AH46" t="str">
        <f ca="1">IFERROR(__xludf.DUMMYFUNCTION("""COMPUTED_VALUE"""),"C2335")</f>
        <v>C2335</v>
      </c>
      <c r="AI46" t="str">
        <f ca="1">IFERROR(__xludf.DUMMYFUNCTION("""COMPUTED_VALUE"""),"daughter")</f>
        <v>daughter</v>
      </c>
      <c r="AJ46" t="str">
        <f ca="1">IFERROR(__xludf.DUMMYFUNCTION("""COMPUTED_VALUE"""),"P0044")</f>
        <v>P0044</v>
      </c>
      <c r="AK46" t="str">
        <f ca="1">IFERROR(__xludf.DUMMYFUNCTION("""COMPUTED_VALUE"""),"Reymonda, uxor Iohannis Bec")</f>
        <v>Reymonda, uxor Iohannis Bec</v>
      </c>
      <c r="AM46" t="str">
        <f ca="1">IFERROR(__xludf.DUMMYFUNCTION("""COMPUTED_VALUE"""),"#VALUE!")</f>
        <v>#VALUE!</v>
      </c>
      <c r="AO46" t="str">
        <f ca="1">IFERROR(__xludf.DUMMYFUNCTION("""COMPUTED_VALUE"""),"#VALUE!")</f>
        <v>#VALUE!</v>
      </c>
      <c r="AQ46" t="str">
        <f ca="1">IFERROR(__xludf.DUMMYFUNCTION("""COMPUTED_VALUE"""),"#VALUE!")</f>
        <v>#VALUE!</v>
      </c>
      <c r="AS46" t="str">
        <f ca="1">IFERROR(__xludf.DUMMYFUNCTION("""COMPUTED_VALUE"""),"#VALUE!")</f>
        <v>#VALUE!</v>
      </c>
      <c r="AU46" t="str">
        <f ca="1">IFERROR(__xludf.DUMMYFUNCTION("""COMPUTED_VALUE"""),"#VALUE!")</f>
        <v>#VALUE!</v>
      </c>
      <c r="AW46" t="str">
        <f ca="1">IFERROR(__xludf.DUMMYFUNCTION("""COMPUTED_VALUE"""),"#VALUE!")</f>
        <v>#VALUE!</v>
      </c>
      <c r="AY46" t="str">
        <f ca="1">IFERROR(__xludf.DUMMYFUNCTION("""COMPUTED_VALUE"""),"#VALUE!")</f>
        <v>#VALUE!</v>
      </c>
      <c r="BA46" t="str">
        <f ca="1">IFERROR(__xludf.DUMMYFUNCTION("""COMPUTED_VALUE"""),"#VALUE!")</f>
        <v>#VALUE!</v>
      </c>
      <c r="BC46" t="str">
        <f ca="1">IFERROR(__xludf.DUMMYFUNCTION("""COMPUTED_VALUE"""),"#VALUE!")</f>
        <v>#VALUE!</v>
      </c>
      <c r="BE46" t="str">
        <f ca="1">IFERROR(__xludf.DUMMYFUNCTION("""COMPUTED_VALUE"""),"#VALUE!")</f>
        <v>#VALUE!</v>
      </c>
      <c r="BG46" t="str">
        <f ca="1">IFERROR(__xludf.DUMMYFUNCTION("""COMPUTED_VALUE"""),"#VALUE!")</f>
        <v>#VALUE!</v>
      </c>
      <c r="BI46" t="str">
        <f ca="1">IFERROR(__xludf.DUMMYFUNCTION("""COMPUTED_VALUE"""),"#VALUE!")</f>
        <v>#VALUE!</v>
      </c>
      <c r="BK46" t="str">
        <f ca="1">IFERROR(__xludf.DUMMYFUNCTION("""COMPUTED_VALUE"""),"#VALUE!")</f>
        <v>#VALUE!</v>
      </c>
      <c r="BM46" t="str">
        <f ca="1">IFERROR(__xludf.DUMMYFUNCTION("""COMPUTED_VALUE"""),"#VALUE!")</f>
        <v>#VALUE!</v>
      </c>
      <c r="BO46" t="str">
        <f ca="1">IFERROR(__xludf.DUMMYFUNCTION("""COMPUTED_VALUE"""),"#VALUE!")</f>
        <v>#VALUE!</v>
      </c>
      <c r="BQ46" t="str">
        <f ca="1">IFERROR(__xludf.DUMMYFUNCTION("""COMPUTED_VALUE"""),"#VALUE!")</f>
        <v>#VALUE!</v>
      </c>
      <c r="BS46" t="str">
        <f ca="1">IFERROR(__xludf.DUMMYFUNCTION("""COMPUTED_VALUE"""),"#VALUE!")</f>
        <v>#VALUE!</v>
      </c>
      <c r="BU46" t="str">
        <f ca="1">IFERROR(__xludf.DUMMYFUNCTION("""COMPUTED_VALUE"""),"#VALUE!")</f>
        <v>#VALUE!</v>
      </c>
      <c r="BW46" t="str">
        <f ca="1">IFERROR(__xludf.DUMMYFUNCTION("""COMPUTED_VALUE"""),"#VALUE!")</f>
        <v>#VALUE!</v>
      </c>
      <c r="BY46" t="str">
        <f ca="1">IFERROR(__xludf.DUMMYFUNCTION("""COMPUTED_VALUE"""),"#VALUE!")</f>
        <v>#VALUE!</v>
      </c>
      <c r="CA46" t="str">
        <f ca="1">IFERROR(__xludf.DUMMYFUNCTION("""COMPUTED_VALUE"""),"#VALUE!")</f>
        <v>#VALUE!</v>
      </c>
      <c r="CC46" t="str">
        <f ca="1">IFERROR(__xludf.DUMMYFUNCTION("""COMPUTED_VALUE"""),"#VALUE!")</f>
        <v>#VALUE!</v>
      </c>
      <c r="CE46" t="str">
        <f ca="1">IFERROR(__xludf.DUMMYFUNCTION("""COMPUTED_VALUE"""),"#VALUE!")</f>
        <v>#VALUE!</v>
      </c>
      <c r="CG46" t="str">
        <f ca="1">IFERROR(__xludf.DUMMYFUNCTION("""COMPUTED_VALUE"""),"#VALUE!")</f>
        <v>#VALUE!</v>
      </c>
      <c r="CI46" t="str">
        <f ca="1">IFERROR(__xludf.DUMMYFUNCTION("""COMPUTED_VALUE"""),"#VALUE!")</f>
        <v>#VALUE!</v>
      </c>
      <c r="CK46" t="str">
        <f ca="1">IFERROR(__xludf.DUMMYFUNCTION("""COMPUTED_VALUE"""),"#VALUE!")</f>
        <v>#VALUE!</v>
      </c>
      <c r="CS46" t="str">
        <f ca="1">IFERROR(__xludf.DUMMYFUNCTION("""COMPUTED_VALUE"""),"#VALUE!")</f>
        <v>#VALUE!</v>
      </c>
      <c r="CU46" t="str">
        <f ca="1">IFERROR(__xludf.DUMMYFUNCTION("""COMPUTED_VALUE"""),"#VALUE!")</f>
        <v>#VALUE!</v>
      </c>
      <c r="CW46" t="str">
        <f ca="1">IFERROR(__xludf.DUMMYFUNCTION("""COMPUTED_VALUE"""),"#VALUE!")</f>
        <v>#VALUE!</v>
      </c>
      <c r="CY46" t="str">
        <f ca="1">IFERROR(__xludf.DUMMYFUNCTION("""COMPUTED_VALUE"""),"#VALUE!")</f>
        <v>#VALUE!</v>
      </c>
      <c r="DC46" t="str">
        <f ca="1">IFERROR(__xludf.DUMMYFUNCTION("""COMPUTED_VALUE"""),"#VALUE!")</f>
        <v>#VALUE!</v>
      </c>
      <c r="DE46" t="str">
        <f ca="1">IFERROR(__xludf.DUMMYFUNCTION("""COMPUTED_VALUE"""),"#VALUE!")</f>
        <v>#VALUE!</v>
      </c>
      <c r="DI46" t="str">
        <f ca="1">IFERROR(__xludf.DUMMYFUNCTION("""COMPUTED_VALUE"""),"#VALUE!")</f>
        <v>#VALUE!</v>
      </c>
      <c r="DJ46" t="str">
        <f ca="1">IFERROR(__xludf.DUMMYFUNCTION("""COMPUTED_VALUE"""),"#VALUE!")</f>
        <v>#VALUE!</v>
      </c>
      <c r="DL46" t="str">
        <f ca="1">IFERROR(__xludf.DUMMYFUNCTION("""COMPUTED_VALUE"""),"Davor Salihović")</f>
        <v>Davor Salihović</v>
      </c>
    </row>
    <row r="47" spans="1:116" ht="13.2" x14ac:dyDescent="0.25">
      <c r="A47" t="str">
        <f ca="1">IFERROR(__xludf.DUMMYFUNCTION("""COMPUTED_VALUE"""),"P0046")</f>
        <v>P0046</v>
      </c>
      <c r="B47" t="str">
        <f ca="1">IFERROR(__xludf.DUMMYFUNCTION("""COMPUTED_VALUE"""),"Iohannes Beç")</f>
        <v>Iohannes Beç</v>
      </c>
      <c r="D47" t="str">
        <f ca="1">IFERROR(__xludf.DUMMYFUNCTION("""COMPUTED_VALUE"""),"#VALUE!")</f>
        <v>#VALUE!</v>
      </c>
      <c r="E47" t="str">
        <f ca="1">IFERROR(__xludf.DUMMYFUNCTION("""COMPUTED_VALUE"""),"Iohannes")</f>
        <v>Iohannes</v>
      </c>
      <c r="K47" t="str">
        <f ca="1">IFERROR(__xludf.DUMMYFUNCTION("""COMPUTED_VALUE"""),"Beç")</f>
        <v>Beç</v>
      </c>
      <c r="L47" t="str">
        <f ca="1">IFERROR(__xludf.DUMMYFUNCTION("""COMPUTED_VALUE"""),"Beç")</f>
        <v>Beç</v>
      </c>
      <c r="S47" t="str">
        <f ca="1">IFERROR(__xludf.DUMMYFUNCTION("""COMPUTED_VALUE"""),"Latin")</f>
        <v>Latin</v>
      </c>
      <c r="T47" t="str">
        <f ca="1">IFERROR(__xludf.DUMMYFUNCTION("""COMPUTED_VALUE"""),"definite")</f>
        <v>definite</v>
      </c>
      <c r="U47" t="str">
        <f ca="1">IFERROR(__xludf.DUMMYFUNCTION("""COMPUTED_VALUE"""),"C2553")</f>
        <v>C2553</v>
      </c>
      <c r="V47" t="str">
        <f ca="1">IFERROR(__xludf.DUMMYFUNCTION("""COMPUTED_VALUE"""),"male")</f>
        <v>male</v>
      </c>
      <c r="Z47" t="str">
        <f ca="1">IFERROR(__xludf.DUMMYFUNCTION("""COMPUTED_VALUE"""),"164, 184")</f>
        <v>164, 184</v>
      </c>
      <c r="AA47" t="str">
        <f ca="1">IFERROR(__xludf.DUMMYFUNCTION("""COMPUTED_VALUE"""),"d")</f>
        <v>d</v>
      </c>
      <c r="AB47" t="str">
        <f ca="1">IFERROR(__xludf.DUMMYFUNCTION("""COMPUTED_VALUE"""),"suspect")</f>
        <v>suspect</v>
      </c>
      <c r="AE47" t="str">
        <f ca="1">IFERROR(__xludf.DUMMYFUNCTION("""COMPUTED_VALUE"""),"#VALUE!")</f>
        <v>#VALUE!</v>
      </c>
      <c r="AF47" t="str">
        <f ca="1">IFERROR(__xludf.DUMMYFUNCTION("""COMPUTED_VALUE"""),"#N/A")</f>
        <v>#N/A</v>
      </c>
      <c r="AG47" t="str">
        <f ca="1">IFERROR(__xludf.DUMMYFUNCTION("""COMPUTED_VALUE"""),"#N/A")</f>
        <v>#N/A</v>
      </c>
      <c r="AH47" t="str">
        <f ca="1">IFERROR(__xludf.DUMMYFUNCTION("""COMPUTED_VALUE"""),"C2348")</f>
        <v>C2348</v>
      </c>
      <c r="AI47" t="str">
        <f ca="1">IFERROR(__xludf.DUMMYFUNCTION("""COMPUTED_VALUE"""),"wife")</f>
        <v>wife</v>
      </c>
      <c r="AJ47" t="str">
        <f ca="1">IFERROR(__xludf.DUMMYFUNCTION("""COMPUTED_VALUE"""),"P0044")</f>
        <v>P0044</v>
      </c>
      <c r="AK47" t="str">
        <f ca="1">IFERROR(__xludf.DUMMYFUNCTION("""COMPUTED_VALUE"""),"Reymonda, uxor Iohannis Bec")</f>
        <v>Reymonda, uxor Iohannis Bec</v>
      </c>
      <c r="AM47" t="str">
        <f ca="1">IFERROR(__xludf.DUMMYFUNCTION("""COMPUTED_VALUE"""),"#VALUE!")</f>
        <v>#VALUE!</v>
      </c>
      <c r="AO47" t="str">
        <f ca="1">IFERROR(__xludf.DUMMYFUNCTION("""COMPUTED_VALUE"""),"#VALUE!")</f>
        <v>#VALUE!</v>
      </c>
      <c r="AQ47" t="str">
        <f ca="1">IFERROR(__xludf.DUMMYFUNCTION("""COMPUTED_VALUE"""),"#VALUE!")</f>
        <v>#VALUE!</v>
      </c>
      <c r="AS47" t="str">
        <f ca="1">IFERROR(__xludf.DUMMYFUNCTION("""COMPUTED_VALUE"""),"#VALUE!")</f>
        <v>#VALUE!</v>
      </c>
      <c r="AU47" t="str">
        <f ca="1">IFERROR(__xludf.DUMMYFUNCTION("""COMPUTED_VALUE"""),"#VALUE!")</f>
        <v>#VALUE!</v>
      </c>
      <c r="AW47" t="str">
        <f ca="1">IFERROR(__xludf.DUMMYFUNCTION("""COMPUTED_VALUE"""),"#VALUE!")</f>
        <v>#VALUE!</v>
      </c>
      <c r="AY47" t="str">
        <f ca="1">IFERROR(__xludf.DUMMYFUNCTION("""COMPUTED_VALUE"""),"#VALUE!")</f>
        <v>#VALUE!</v>
      </c>
      <c r="BA47" t="str">
        <f ca="1">IFERROR(__xludf.DUMMYFUNCTION("""COMPUTED_VALUE"""),"#VALUE!")</f>
        <v>#VALUE!</v>
      </c>
      <c r="BC47" t="str">
        <f ca="1">IFERROR(__xludf.DUMMYFUNCTION("""COMPUTED_VALUE"""),"#VALUE!")</f>
        <v>#VALUE!</v>
      </c>
      <c r="BE47" t="str">
        <f ca="1">IFERROR(__xludf.DUMMYFUNCTION("""COMPUTED_VALUE"""),"#VALUE!")</f>
        <v>#VALUE!</v>
      </c>
      <c r="BG47" t="str">
        <f ca="1">IFERROR(__xludf.DUMMYFUNCTION("""COMPUTED_VALUE"""),"#VALUE!")</f>
        <v>#VALUE!</v>
      </c>
      <c r="BI47" t="str">
        <f ca="1">IFERROR(__xludf.DUMMYFUNCTION("""COMPUTED_VALUE"""),"#VALUE!")</f>
        <v>#VALUE!</v>
      </c>
      <c r="BK47" t="str">
        <f ca="1">IFERROR(__xludf.DUMMYFUNCTION("""COMPUTED_VALUE"""),"#VALUE!")</f>
        <v>#VALUE!</v>
      </c>
      <c r="BM47" t="str">
        <f ca="1">IFERROR(__xludf.DUMMYFUNCTION("""COMPUTED_VALUE"""),"#VALUE!")</f>
        <v>#VALUE!</v>
      </c>
      <c r="BO47" t="str">
        <f ca="1">IFERROR(__xludf.DUMMYFUNCTION("""COMPUTED_VALUE"""),"#VALUE!")</f>
        <v>#VALUE!</v>
      </c>
      <c r="BQ47" t="str">
        <f ca="1">IFERROR(__xludf.DUMMYFUNCTION("""COMPUTED_VALUE"""),"#VALUE!")</f>
        <v>#VALUE!</v>
      </c>
      <c r="BS47" t="str">
        <f ca="1">IFERROR(__xludf.DUMMYFUNCTION("""COMPUTED_VALUE"""),"#VALUE!")</f>
        <v>#VALUE!</v>
      </c>
      <c r="BU47" t="str">
        <f ca="1">IFERROR(__xludf.DUMMYFUNCTION("""COMPUTED_VALUE"""),"#VALUE!")</f>
        <v>#VALUE!</v>
      </c>
      <c r="BW47" t="str">
        <f ca="1">IFERROR(__xludf.DUMMYFUNCTION("""COMPUTED_VALUE"""),"#VALUE!")</f>
        <v>#VALUE!</v>
      </c>
      <c r="BY47" t="str">
        <f ca="1">IFERROR(__xludf.DUMMYFUNCTION("""COMPUTED_VALUE"""),"#VALUE!")</f>
        <v>#VALUE!</v>
      </c>
      <c r="CA47" t="str">
        <f ca="1">IFERROR(__xludf.DUMMYFUNCTION("""COMPUTED_VALUE"""),"#VALUE!")</f>
        <v>#VALUE!</v>
      </c>
      <c r="CC47" t="str">
        <f ca="1">IFERROR(__xludf.DUMMYFUNCTION("""COMPUTED_VALUE"""),"#VALUE!")</f>
        <v>#VALUE!</v>
      </c>
      <c r="CE47" t="str">
        <f ca="1">IFERROR(__xludf.DUMMYFUNCTION("""COMPUTED_VALUE"""),"#VALUE!")</f>
        <v>#VALUE!</v>
      </c>
      <c r="CG47" t="str">
        <f ca="1">IFERROR(__xludf.DUMMYFUNCTION("""COMPUTED_VALUE"""),"#VALUE!")</f>
        <v>#VALUE!</v>
      </c>
      <c r="CI47" t="str">
        <f ca="1">IFERROR(__xludf.DUMMYFUNCTION("""COMPUTED_VALUE"""),"#VALUE!")</f>
        <v>#VALUE!</v>
      </c>
      <c r="CK47" t="str">
        <f ca="1">IFERROR(__xludf.DUMMYFUNCTION("""COMPUTED_VALUE"""),"#VALUE!")</f>
        <v>#VALUE!</v>
      </c>
      <c r="CS47" t="str">
        <f ca="1">IFERROR(__xludf.DUMMYFUNCTION("""COMPUTED_VALUE"""),"#VALUE!")</f>
        <v>#VALUE!</v>
      </c>
      <c r="CU47" t="str">
        <f ca="1">IFERROR(__xludf.DUMMYFUNCTION("""COMPUTED_VALUE"""),"#VALUE!")</f>
        <v>#VALUE!</v>
      </c>
      <c r="CW47" t="str">
        <f ca="1">IFERROR(__xludf.DUMMYFUNCTION("""COMPUTED_VALUE"""),"#VALUE!")</f>
        <v>#VALUE!</v>
      </c>
      <c r="CY47" t="str">
        <f ca="1">IFERROR(__xludf.DUMMYFUNCTION("""COMPUTED_VALUE"""),"#VALUE!")</f>
        <v>#VALUE!</v>
      </c>
      <c r="DC47" t="str">
        <f ca="1">IFERROR(__xludf.DUMMYFUNCTION("""COMPUTED_VALUE"""),"#VALUE!")</f>
        <v>#VALUE!</v>
      </c>
      <c r="DE47" t="str">
        <f ca="1">IFERROR(__xludf.DUMMYFUNCTION("""COMPUTED_VALUE"""),"#VALUE!")</f>
        <v>#VALUE!</v>
      </c>
      <c r="DI47" t="str">
        <f ca="1">IFERROR(__xludf.DUMMYFUNCTION("""COMPUTED_VALUE"""),"#VALUE!")</f>
        <v>#VALUE!</v>
      </c>
      <c r="DJ47" t="str">
        <f ca="1">IFERROR(__xludf.DUMMYFUNCTION("""COMPUTED_VALUE"""),"#VALUE!")</f>
        <v>#VALUE!</v>
      </c>
      <c r="DL47" t="str">
        <f ca="1">IFERROR(__xludf.DUMMYFUNCTION("""COMPUTED_VALUE"""),"Davor Salihović")</f>
        <v>Davor Salihović</v>
      </c>
    </row>
    <row r="48" spans="1:116" ht="13.2" x14ac:dyDescent="0.25">
      <c r="A48" t="str">
        <f ca="1">IFERROR(__xludf.DUMMYFUNCTION("""COMPUTED_VALUE"""),"P0047")</f>
        <v>P0047</v>
      </c>
      <c r="B48" t="str">
        <f ca="1">IFERROR(__xludf.DUMMYFUNCTION("""COMPUTED_VALUE"""),"Agnessona, filia Petri Germane")</f>
        <v>Agnessona, filia Petri Germane</v>
      </c>
      <c r="D48" t="str">
        <f ca="1">IFERROR(__xludf.DUMMYFUNCTION("""COMPUTED_VALUE"""),"#VALUE!")</f>
        <v>#VALUE!</v>
      </c>
      <c r="E48" t="str">
        <f ca="1">IFERROR(__xludf.DUMMYFUNCTION("""COMPUTED_VALUE"""),"Agnessona")</f>
        <v>Agnessona</v>
      </c>
      <c r="Q48" t="str">
        <f ca="1">IFERROR(__xludf.DUMMYFUNCTION("""COMPUTED_VALUE"""),"filia Petri Germane")</f>
        <v>filia Petri Germane</v>
      </c>
      <c r="S48" t="str">
        <f ca="1">IFERROR(__xludf.DUMMYFUNCTION("""COMPUTED_VALUE"""),"Latin")</f>
        <v>Latin</v>
      </c>
      <c r="T48" t="str">
        <f ca="1">IFERROR(__xludf.DUMMYFUNCTION("""COMPUTED_VALUE"""),"definite")</f>
        <v>definite</v>
      </c>
      <c r="U48" t="str">
        <f ca="1">IFERROR(__xludf.DUMMYFUNCTION("""COMPUTED_VALUE"""),"C2552")</f>
        <v>C2552</v>
      </c>
      <c r="V48" t="str">
        <f ca="1">IFERROR(__xludf.DUMMYFUNCTION("""COMPUTED_VALUE"""),"female")</f>
        <v>female</v>
      </c>
      <c r="Z48" t="str">
        <f ca="1">IFERROR(__xludf.DUMMYFUNCTION("""COMPUTED_VALUE"""),"164")</f>
        <v>164</v>
      </c>
      <c r="AA48" t="str">
        <f ca="1">IFERROR(__xludf.DUMMYFUNCTION("""COMPUTED_VALUE"""),"d")</f>
        <v>d</v>
      </c>
      <c r="AB48" t="str">
        <f ca="1">IFERROR(__xludf.DUMMYFUNCTION("""COMPUTED_VALUE"""),"suspect")</f>
        <v>suspect</v>
      </c>
      <c r="AE48" t="str">
        <f ca="1">IFERROR(__xludf.DUMMYFUNCTION("""COMPUTED_VALUE"""),"#VALUE!")</f>
        <v>#VALUE!</v>
      </c>
      <c r="AF48" t="str">
        <f ca="1">IFERROR(__xludf.DUMMYFUNCTION("""COMPUTED_VALUE"""),"#N/A")</f>
        <v>#N/A</v>
      </c>
      <c r="AG48" t="str">
        <f ca="1">IFERROR(__xludf.DUMMYFUNCTION("""COMPUTED_VALUE"""),"#N/A")</f>
        <v>#N/A</v>
      </c>
      <c r="AI48" t="str">
        <f ca="1">IFERROR(__xludf.DUMMYFUNCTION("""COMPUTED_VALUE"""),"#VALUE!")</f>
        <v>#VALUE!</v>
      </c>
      <c r="AK48" t="str">
        <f ca="1">IFERROR(__xludf.DUMMYFUNCTION("""COMPUTED_VALUE"""),"#VALUE!")</f>
        <v>#VALUE!</v>
      </c>
      <c r="AM48" t="str">
        <f ca="1">IFERROR(__xludf.DUMMYFUNCTION("""COMPUTED_VALUE"""),"#VALUE!")</f>
        <v>#VALUE!</v>
      </c>
      <c r="AO48" t="str">
        <f ca="1">IFERROR(__xludf.DUMMYFUNCTION("""COMPUTED_VALUE"""),"#VALUE!")</f>
        <v>#VALUE!</v>
      </c>
      <c r="AQ48" t="str">
        <f ca="1">IFERROR(__xludf.DUMMYFUNCTION("""COMPUTED_VALUE"""),"#VALUE!")</f>
        <v>#VALUE!</v>
      </c>
      <c r="AS48" t="str">
        <f ca="1">IFERROR(__xludf.DUMMYFUNCTION("""COMPUTED_VALUE"""),"#VALUE!")</f>
        <v>#VALUE!</v>
      </c>
      <c r="AU48" t="str">
        <f ca="1">IFERROR(__xludf.DUMMYFUNCTION("""COMPUTED_VALUE"""),"#VALUE!")</f>
        <v>#VALUE!</v>
      </c>
      <c r="AW48" t="str">
        <f ca="1">IFERROR(__xludf.DUMMYFUNCTION("""COMPUTED_VALUE"""),"#VALUE!")</f>
        <v>#VALUE!</v>
      </c>
      <c r="AY48" t="str">
        <f ca="1">IFERROR(__xludf.DUMMYFUNCTION("""COMPUTED_VALUE"""),"#VALUE!")</f>
        <v>#VALUE!</v>
      </c>
      <c r="BA48" t="str">
        <f ca="1">IFERROR(__xludf.DUMMYFUNCTION("""COMPUTED_VALUE"""),"#VALUE!")</f>
        <v>#VALUE!</v>
      </c>
      <c r="BC48" t="str">
        <f ca="1">IFERROR(__xludf.DUMMYFUNCTION("""COMPUTED_VALUE"""),"#VALUE!")</f>
        <v>#VALUE!</v>
      </c>
      <c r="BE48" t="str">
        <f ca="1">IFERROR(__xludf.DUMMYFUNCTION("""COMPUTED_VALUE"""),"#VALUE!")</f>
        <v>#VALUE!</v>
      </c>
      <c r="BG48" t="str">
        <f ca="1">IFERROR(__xludf.DUMMYFUNCTION("""COMPUTED_VALUE"""),"#VALUE!")</f>
        <v>#VALUE!</v>
      </c>
      <c r="BI48" t="str">
        <f ca="1">IFERROR(__xludf.DUMMYFUNCTION("""COMPUTED_VALUE"""),"#VALUE!")</f>
        <v>#VALUE!</v>
      </c>
      <c r="BK48" t="str">
        <f ca="1">IFERROR(__xludf.DUMMYFUNCTION("""COMPUTED_VALUE"""),"#VALUE!")</f>
        <v>#VALUE!</v>
      </c>
      <c r="BM48" t="str">
        <f ca="1">IFERROR(__xludf.DUMMYFUNCTION("""COMPUTED_VALUE"""),"#VALUE!")</f>
        <v>#VALUE!</v>
      </c>
      <c r="BO48" t="str">
        <f ca="1">IFERROR(__xludf.DUMMYFUNCTION("""COMPUTED_VALUE"""),"#VALUE!")</f>
        <v>#VALUE!</v>
      </c>
      <c r="BQ48" t="str">
        <f ca="1">IFERROR(__xludf.DUMMYFUNCTION("""COMPUTED_VALUE"""),"#VALUE!")</f>
        <v>#VALUE!</v>
      </c>
      <c r="BS48" t="str">
        <f ca="1">IFERROR(__xludf.DUMMYFUNCTION("""COMPUTED_VALUE"""),"#VALUE!")</f>
        <v>#VALUE!</v>
      </c>
      <c r="BU48" t="str">
        <f ca="1">IFERROR(__xludf.DUMMYFUNCTION("""COMPUTED_VALUE"""),"#VALUE!")</f>
        <v>#VALUE!</v>
      </c>
      <c r="BW48" t="str">
        <f ca="1">IFERROR(__xludf.DUMMYFUNCTION("""COMPUTED_VALUE"""),"#VALUE!")</f>
        <v>#VALUE!</v>
      </c>
      <c r="BY48" t="str">
        <f ca="1">IFERROR(__xludf.DUMMYFUNCTION("""COMPUTED_VALUE"""),"#VALUE!")</f>
        <v>#VALUE!</v>
      </c>
      <c r="CA48" t="str">
        <f ca="1">IFERROR(__xludf.DUMMYFUNCTION("""COMPUTED_VALUE"""),"#VALUE!")</f>
        <v>#VALUE!</v>
      </c>
      <c r="CC48" t="str">
        <f ca="1">IFERROR(__xludf.DUMMYFUNCTION("""COMPUTED_VALUE"""),"#VALUE!")</f>
        <v>#VALUE!</v>
      </c>
      <c r="CE48" t="str">
        <f ca="1">IFERROR(__xludf.DUMMYFUNCTION("""COMPUTED_VALUE"""),"#VALUE!")</f>
        <v>#VALUE!</v>
      </c>
      <c r="CG48" t="str">
        <f ca="1">IFERROR(__xludf.DUMMYFUNCTION("""COMPUTED_VALUE"""),"#VALUE!")</f>
        <v>#VALUE!</v>
      </c>
      <c r="CI48" t="str">
        <f ca="1">IFERROR(__xludf.DUMMYFUNCTION("""COMPUTED_VALUE"""),"#VALUE!")</f>
        <v>#VALUE!</v>
      </c>
      <c r="CK48" t="str">
        <f ca="1">IFERROR(__xludf.DUMMYFUNCTION("""COMPUTED_VALUE"""),"#VALUE!")</f>
        <v>#VALUE!</v>
      </c>
      <c r="CS48" t="str">
        <f ca="1">IFERROR(__xludf.DUMMYFUNCTION("""COMPUTED_VALUE"""),"#VALUE!")</f>
        <v>#VALUE!</v>
      </c>
      <c r="CU48" t="str">
        <f ca="1">IFERROR(__xludf.DUMMYFUNCTION("""COMPUTED_VALUE"""),"#VALUE!")</f>
        <v>#VALUE!</v>
      </c>
      <c r="CV48" t="str">
        <f ca="1">IFERROR(__xludf.DUMMYFUNCTION("""COMPUTED_VALUE"""),"L0001")</f>
        <v>L0001</v>
      </c>
      <c r="CW48" t="str">
        <f ca="1">IFERROR(__xludf.DUMMYFUNCTION("""COMPUTED_VALUE"""),"Giaveno")</f>
        <v>Giaveno</v>
      </c>
      <c r="CY48" t="str">
        <f ca="1">IFERROR(__xludf.DUMMYFUNCTION("""COMPUTED_VALUE"""),"#VALUE!")</f>
        <v>#VALUE!</v>
      </c>
      <c r="DC48" t="str">
        <f ca="1">IFERROR(__xludf.DUMMYFUNCTION("""COMPUTED_VALUE"""),"#VALUE!")</f>
        <v>#VALUE!</v>
      </c>
      <c r="DE48" t="str">
        <f ca="1">IFERROR(__xludf.DUMMYFUNCTION("""COMPUTED_VALUE"""),"#VALUE!")</f>
        <v>#VALUE!</v>
      </c>
      <c r="DI48" t="str">
        <f ca="1">IFERROR(__xludf.DUMMYFUNCTION("""COMPUTED_VALUE"""),"#VALUE!")</f>
        <v>#VALUE!</v>
      </c>
      <c r="DJ48" t="str">
        <f ca="1">IFERROR(__xludf.DUMMYFUNCTION("""COMPUTED_VALUE"""),"#VALUE!")</f>
        <v>#VALUE!</v>
      </c>
      <c r="DL48" t="str">
        <f ca="1">IFERROR(__xludf.DUMMYFUNCTION("""COMPUTED_VALUE"""),"Davor Salihović")</f>
        <v>Davor Salihović</v>
      </c>
    </row>
    <row r="49" spans="1:116" ht="13.2" x14ac:dyDescent="0.25">
      <c r="A49" t="str">
        <f ca="1">IFERROR(__xludf.DUMMYFUNCTION("""COMPUTED_VALUE"""),"P0048")</f>
        <v>P0048</v>
      </c>
      <c r="B49" t="str">
        <f ca="1">IFERROR(__xludf.DUMMYFUNCTION("""COMPUTED_VALUE"""),"Petrus Germane")</f>
        <v>Petrus Germane</v>
      </c>
      <c r="D49" t="str">
        <f ca="1">IFERROR(__xludf.DUMMYFUNCTION("""COMPUTED_VALUE"""),"#VALUE!")</f>
        <v>#VALUE!</v>
      </c>
      <c r="E49" t="str">
        <f ca="1">IFERROR(__xludf.DUMMYFUNCTION("""COMPUTED_VALUE"""),"Petrus ")</f>
        <v xml:space="preserve">Petrus </v>
      </c>
      <c r="K49" t="str">
        <f ca="1">IFERROR(__xludf.DUMMYFUNCTION("""COMPUTED_VALUE"""),"Germane")</f>
        <v>Germane</v>
      </c>
      <c r="L49" t="str">
        <f ca="1">IFERROR(__xludf.DUMMYFUNCTION("""COMPUTED_VALUE"""),"Germane")</f>
        <v>Germane</v>
      </c>
      <c r="S49" t="str">
        <f ca="1">IFERROR(__xludf.DUMMYFUNCTION("""COMPUTED_VALUE"""),"Latin")</f>
        <v>Latin</v>
      </c>
      <c r="T49" t="str">
        <f ca="1">IFERROR(__xludf.DUMMYFUNCTION("""COMPUTED_VALUE"""),"definite")</f>
        <v>definite</v>
      </c>
      <c r="U49" t="str">
        <f ca="1">IFERROR(__xludf.DUMMYFUNCTION("""COMPUTED_VALUE"""),"C2553")</f>
        <v>C2553</v>
      </c>
      <c r="V49" t="str">
        <f ca="1">IFERROR(__xludf.DUMMYFUNCTION("""COMPUTED_VALUE"""),"male")</f>
        <v>male</v>
      </c>
      <c r="Z49" t="str">
        <f ca="1">IFERROR(__xludf.DUMMYFUNCTION("""COMPUTED_VALUE"""),"164")</f>
        <v>164</v>
      </c>
      <c r="AA49" t="str">
        <f ca="1">IFERROR(__xludf.DUMMYFUNCTION("""COMPUTED_VALUE"""),"o")</f>
        <v>o</v>
      </c>
      <c r="AB49" t="str">
        <f ca="1">IFERROR(__xludf.DUMMYFUNCTION("""COMPUTED_VALUE"""),"NA")</f>
        <v>NA</v>
      </c>
      <c r="AE49" t="str">
        <f ca="1">IFERROR(__xludf.DUMMYFUNCTION("""COMPUTED_VALUE"""),"#VALUE!")</f>
        <v>#VALUE!</v>
      </c>
      <c r="AF49" t="str">
        <f ca="1">IFERROR(__xludf.DUMMYFUNCTION("""COMPUTED_VALUE"""),"#N/A")</f>
        <v>#N/A</v>
      </c>
      <c r="AG49" t="str">
        <f ca="1">IFERROR(__xludf.DUMMYFUNCTION("""COMPUTED_VALUE"""),"#N/A")</f>
        <v>#N/A</v>
      </c>
      <c r="AH49" t="str">
        <f ca="1">IFERROR(__xludf.DUMMYFUNCTION("""COMPUTED_VALUE"""),"C2335")</f>
        <v>C2335</v>
      </c>
      <c r="AI49" t="str">
        <f ca="1">IFERROR(__xludf.DUMMYFUNCTION("""COMPUTED_VALUE"""),"daughter")</f>
        <v>daughter</v>
      </c>
      <c r="AJ49" t="str">
        <f ca="1">IFERROR(__xludf.DUMMYFUNCTION("""COMPUTED_VALUE"""),"P0047")</f>
        <v>P0047</v>
      </c>
      <c r="AK49" t="str">
        <f ca="1">IFERROR(__xludf.DUMMYFUNCTION("""COMPUTED_VALUE"""),"Agnessona, filia Petri Germane")</f>
        <v>Agnessona, filia Petri Germane</v>
      </c>
      <c r="AM49" t="str">
        <f ca="1">IFERROR(__xludf.DUMMYFUNCTION("""COMPUTED_VALUE"""),"#VALUE!")</f>
        <v>#VALUE!</v>
      </c>
      <c r="AO49" t="str">
        <f ca="1">IFERROR(__xludf.DUMMYFUNCTION("""COMPUTED_VALUE"""),"#VALUE!")</f>
        <v>#VALUE!</v>
      </c>
      <c r="AQ49" t="str">
        <f ca="1">IFERROR(__xludf.DUMMYFUNCTION("""COMPUTED_VALUE"""),"#VALUE!")</f>
        <v>#VALUE!</v>
      </c>
      <c r="AS49" t="str">
        <f ca="1">IFERROR(__xludf.DUMMYFUNCTION("""COMPUTED_VALUE"""),"#VALUE!")</f>
        <v>#VALUE!</v>
      </c>
      <c r="AU49" t="str">
        <f ca="1">IFERROR(__xludf.DUMMYFUNCTION("""COMPUTED_VALUE"""),"#VALUE!")</f>
        <v>#VALUE!</v>
      </c>
      <c r="AW49" t="str">
        <f ca="1">IFERROR(__xludf.DUMMYFUNCTION("""COMPUTED_VALUE"""),"#VALUE!")</f>
        <v>#VALUE!</v>
      </c>
      <c r="AY49" t="str">
        <f ca="1">IFERROR(__xludf.DUMMYFUNCTION("""COMPUTED_VALUE"""),"#VALUE!")</f>
        <v>#VALUE!</v>
      </c>
      <c r="BA49" t="str">
        <f ca="1">IFERROR(__xludf.DUMMYFUNCTION("""COMPUTED_VALUE"""),"#VALUE!")</f>
        <v>#VALUE!</v>
      </c>
      <c r="BC49" t="str">
        <f ca="1">IFERROR(__xludf.DUMMYFUNCTION("""COMPUTED_VALUE"""),"#VALUE!")</f>
        <v>#VALUE!</v>
      </c>
      <c r="BE49" t="str">
        <f ca="1">IFERROR(__xludf.DUMMYFUNCTION("""COMPUTED_VALUE"""),"#VALUE!")</f>
        <v>#VALUE!</v>
      </c>
      <c r="BG49" t="str">
        <f ca="1">IFERROR(__xludf.DUMMYFUNCTION("""COMPUTED_VALUE"""),"#VALUE!")</f>
        <v>#VALUE!</v>
      </c>
      <c r="BI49" t="str">
        <f ca="1">IFERROR(__xludf.DUMMYFUNCTION("""COMPUTED_VALUE"""),"#VALUE!")</f>
        <v>#VALUE!</v>
      </c>
      <c r="BK49" t="str">
        <f ca="1">IFERROR(__xludf.DUMMYFUNCTION("""COMPUTED_VALUE"""),"#VALUE!")</f>
        <v>#VALUE!</v>
      </c>
      <c r="BM49" t="str">
        <f ca="1">IFERROR(__xludf.DUMMYFUNCTION("""COMPUTED_VALUE"""),"#VALUE!")</f>
        <v>#VALUE!</v>
      </c>
      <c r="BO49" t="str">
        <f ca="1">IFERROR(__xludf.DUMMYFUNCTION("""COMPUTED_VALUE"""),"#VALUE!")</f>
        <v>#VALUE!</v>
      </c>
      <c r="BQ49" t="str">
        <f ca="1">IFERROR(__xludf.DUMMYFUNCTION("""COMPUTED_VALUE"""),"#VALUE!")</f>
        <v>#VALUE!</v>
      </c>
      <c r="BS49" t="str">
        <f ca="1">IFERROR(__xludf.DUMMYFUNCTION("""COMPUTED_VALUE"""),"#VALUE!")</f>
        <v>#VALUE!</v>
      </c>
      <c r="BU49" t="str">
        <f ca="1">IFERROR(__xludf.DUMMYFUNCTION("""COMPUTED_VALUE"""),"#VALUE!")</f>
        <v>#VALUE!</v>
      </c>
      <c r="BW49" t="str">
        <f ca="1">IFERROR(__xludf.DUMMYFUNCTION("""COMPUTED_VALUE"""),"#VALUE!")</f>
        <v>#VALUE!</v>
      </c>
      <c r="BY49" t="str">
        <f ca="1">IFERROR(__xludf.DUMMYFUNCTION("""COMPUTED_VALUE"""),"#VALUE!")</f>
        <v>#VALUE!</v>
      </c>
      <c r="CA49" t="str">
        <f ca="1">IFERROR(__xludf.DUMMYFUNCTION("""COMPUTED_VALUE"""),"#VALUE!")</f>
        <v>#VALUE!</v>
      </c>
      <c r="CC49" t="str">
        <f ca="1">IFERROR(__xludf.DUMMYFUNCTION("""COMPUTED_VALUE"""),"#VALUE!")</f>
        <v>#VALUE!</v>
      </c>
      <c r="CE49" t="str">
        <f ca="1">IFERROR(__xludf.DUMMYFUNCTION("""COMPUTED_VALUE"""),"#VALUE!")</f>
        <v>#VALUE!</v>
      </c>
      <c r="CG49" t="str">
        <f ca="1">IFERROR(__xludf.DUMMYFUNCTION("""COMPUTED_VALUE"""),"#VALUE!")</f>
        <v>#VALUE!</v>
      </c>
      <c r="CI49" t="str">
        <f ca="1">IFERROR(__xludf.DUMMYFUNCTION("""COMPUTED_VALUE"""),"#VALUE!")</f>
        <v>#VALUE!</v>
      </c>
      <c r="CK49" t="str">
        <f ca="1">IFERROR(__xludf.DUMMYFUNCTION("""COMPUTED_VALUE"""),"#VALUE!")</f>
        <v>#VALUE!</v>
      </c>
      <c r="CS49" t="str">
        <f ca="1">IFERROR(__xludf.DUMMYFUNCTION("""COMPUTED_VALUE"""),"#VALUE!")</f>
        <v>#VALUE!</v>
      </c>
      <c r="CU49" t="str">
        <f ca="1">IFERROR(__xludf.DUMMYFUNCTION("""COMPUTED_VALUE"""),"#VALUE!")</f>
        <v>#VALUE!</v>
      </c>
      <c r="CW49" t="str">
        <f ca="1">IFERROR(__xludf.DUMMYFUNCTION("""COMPUTED_VALUE"""),"#VALUE!")</f>
        <v>#VALUE!</v>
      </c>
      <c r="CY49" t="str">
        <f ca="1">IFERROR(__xludf.DUMMYFUNCTION("""COMPUTED_VALUE"""),"#VALUE!")</f>
        <v>#VALUE!</v>
      </c>
      <c r="DC49" t="str">
        <f ca="1">IFERROR(__xludf.DUMMYFUNCTION("""COMPUTED_VALUE"""),"#VALUE!")</f>
        <v>#VALUE!</v>
      </c>
      <c r="DE49" t="str">
        <f ca="1">IFERROR(__xludf.DUMMYFUNCTION("""COMPUTED_VALUE"""),"#VALUE!")</f>
        <v>#VALUE!</v>
      </c>
      <c r="DI49" t="str">
        <f ca="1">IFERROR(__xludf.DUMMYFUNCTION("""COMPUTED_VALUE"""),"#VALUE!")</f>
        <v>#VALUE!</v>
      </c>
      <c r="DJ49" t="str">
        <f ca="1">IFERROR(__xludf.DUMMYFUNCTION("""COMPUTED_VALUE"""),"#VALUE!")</f>
        <v>#VALUE!</v>
      </c>
      <c r="DL49" t="str">
        <f ca="1">IFERROR(__xludf.DUMMYFUNCTION("""COMPUTED_VALUE"""),"Davor Salihović")</f>
        <v>Davor Salihović</v>
      </c>
    </row>
    <row r="50" spans="1:116" ht="13.2" x14ac:dyDescent="0.25">
      <c r="A50" t="str">
        <f ca="1">IFERROR(__xludf.DUMMYFUNCTION("""COMPUTED_VALUE"""),"P0049")</f>
        <v>P0049</v>
      </c>
      <c r="B50" t="str">
        <f ca="1">IFERROR(__xludf.DUMMYFUNCTION("""COMPUTED_VALUE"""),"Bonissetus de Covaciis")</f>
        <v>Bonissetus de Covaciis</v>
      </c>
      <c r="D50" t="str">
        <f ca="1">IFERROR(__xludf.DUMMYFUNCTION("""COMPUTED_VALUE"""),"#VALUE!")</f>
        <v>#VALUE!</v>
      </c>
      <c r="E50" t="str">
        <f ca="1">IFERROR(__xludf.DUMMYFUNCTION("""COMPUTED_VALUE"""),"Bonissetus")</f>
        <v>Bonissetus</v>
      </c>
      <c r="J50" t="str">
        <f ca="1">IFERROR(__xludf.DUMMYFUNCTION("""COMPUTED_VALUE"""),"de")</f>
        <v>de</v>
      </c>
      <c r="K50" t="str">
        <f ca="1">IFERROR(__xludf.DUMMYFUNCTION("""COMPUTED_VALUE"""),"Covaciis")</f>
        <v>Covaciis</v>
      </c>
      <c r="L50" t="str">
        <f ca="1">IFERROR(__xludf.DUMMYFUNCTION("""COMPUTED_VALUE"""),"de Covaciis")</f>
        <v>de Covaciis</v>
      </c>
      <c r="Q50" t="str">
        <f ca="1">IFERROR(__xludf.DUMMYFUNCTION("""COMPUTED_VALUE"""),"bubulcus Hugoneti de Alaxie")</f>
        <v>bubulcus Hugoneti de Alaxie</v>
      </c>
      <c r="S50" t="str">
        <f ca="1">IFERROR(__xludf.DUMMYFUNCTION("""COMPUTED_VALUE"""),"Latin")</f>
        <v>Latin</v>
      </c>
      <c r="T50" t="str">
        <f ca="1">IFERROR(__xludf.DUMMYFUNCTION("""COMPUTED_VALUE"""),"definite")</f>
        <v>definite</v>
      </c>
      <c r="U50" t="str">
        <f ca="1">IFERROR(__xludf.DUMMYFUNCTION("""COMPUTED_VALUE"""),"C2553")</f>
        <v>C2553</v>
      </c>
      <c r="V50" t="str">
        <f ca="1">IFERROR(__xludf.DUMMYFUNCTION("""COMPUTED_VALUE"""),"male")</f>
        <v>male</v>
      </c>
      <c r="Z50" t="str">
        <f ca="1">IFERROR(__xludf.DUMMYFUNCTION("""COMPUTED_VALUE"""),"164")</f>
        <v>164</v>
      </c>
      <c r="AA50" t="str">
        <f ca="1">IFERROR(__xludf.DUMMYFUNCTION("""COMPUTED_VALUE"""),"d")</f>
        <v>d</v>
      </c>
      <c r="AB50" t="str">
        <f ca="1">IFERROR(__xludf.DUMMYFUNCTION("""COMPUTED_VALUE"""),"suspect")</f>
        <v>suspect</v>
      </c>
      <c r="AE50" t="str">
        <f ca="1">IFERROR(__xludf.DUMMYFUNCTION("""COMPUTED_VALUE"""),"#VALUE!")</f>
        <v>#VALUE!</v>
      </c>
      <c r="AF50" t="str">
        <f ca="1">IFERROR(__xludf.DUMMYFUNCTION("""COMPUTED_VALUE"""),"#N/A")</f>
        <v>#N/A</v>
      </c>
      <c r="AG50" t="str">
        <f ca="1">IFERROR(__xludf.DUMMYFUNCTION("""COMPUTED_VALUE"""),"#N/A")</f>
        <v>#N/A</v>
      </c>
      <c r="AI50" t="str">
        <f ca="1">IFERROR(__xludf.DUMMYFUNCTION("""COMPUTED_VALUE"""),"#VALUE!")</f>
        <v>#VALUE!</v>
      </c>
      <c r="AK50" t="str">
        <f ca="1">IFERROR(__xludf.DUMMYFUNCTION("""COMPUTED_VALUE"""),"#VALUE!")</f>
        <v>#VALUE!</v>
      </c>
      <c r="AM50" t="str">
        <f ca="1">IFERROR(__xludf.DUMMYFUNCTION("""COMPUTED_VALUE"""),"#VALUE!")</f>
        <v>#VALUE!</v>
      </c>
      <c r="AO50" t="str">
        <f ca="1">IFERROR(__xludf.DUMMYFUNCTION("""COMPUTED_VALUE"""),"#VALUE!")</f>
        <v>#VALUE!</v>
      </c>
      <c r="AQ50" t="str">
        <f ca="1">IFERROR(__xludf.DUMMYFUNCTION("""COMPUTED_VALUE"""),"#VALUE!")</f>
        <v>#VALUE!</v>
      </c>
      <c r="AS50" t="str">
        <f ca="1">IFERROR(__xludf.DUMMYFUNCTION("""COMPUTED_VALUE"""),"#VALUE!")</f>
        <v>#VALUE!</v>
      </c>
      <c r="AU50" t="str">
        <f ca="1">IFERROR(__xludf.DUMMYFUNCTION("""COMPUTED_VALUE"""),"#VALUE!")</f>
        <v>#VALUE!</v>
      </c>
      <c r="AW50" t="str">
        <f ca="1">IFERROR(__xludf.DUMMYFUNCTION("""COMPUTED_VALUE"""),"#VALUE!")</f>
        <v>#VALUE!</v>
      </c>
      <c r="AY50" t="str">
        <f ca="1">IFERROR(__xludf.DUMMYFUNCTION("""COMPUTED_VALUE"""),"#VALUE!")</f>
        <v>#VALUE!</v>
      </c>
      <c r="BA50" t="str">
        <f ca="1">IFERROR(__xludf.DUMMYFUNCTION("""COMPUTED_VALUE"""),"#VALUE!")</f>
        <v>#VALUE!</v>
      </c>
      <c r="BC50" t="str">
        <f ca="1">IFERROR(__xludf.DUMMYFUNCTION("""COMPUTED_VALUE"""),"#VALUE!")</f>
        <v>#VALUE!</v>
      </c>
      <c r="BE50" t="str">
        <f ca="1">IFERROR(__xludf.DUMMYFUNCTION("""COMPUTED_VALUE"""),"#VALUE!")</f>
        <v>#VALUE!</v>
      </c>
      <c r="BG50" t="str">
        <f ca="1">IFERROR(__xludf.DUMMYFUNCTION("""COMPUTED_VALUE"""),"#VALUE!")</f>
        <v>#VALUE!</v>
      </c>
      <c r="BI50" t="str">
        <f ca="1">IFERROR(__xludf.DUMMYFUNCTION("""COMPUTED_VALUE"""),"#VALUE!")</f>
        <v>#VALUE!</v>
      </c>
      <c r="BK50" t="str">
        <f ca="1">IFERROR(__xludf.DUMMYFUNCTION("""COMPUTED_VALUE"""),"#VALUE!")</f>
        <v>#VALUE!</v>
      </c>
      <c r="BM50" t="str">
        <f ca="1">IFERROR(__xludf.DUMMYFUNCTION("""COMPUTED_VALUE"""),"#VALUE!")</f>
        <v>#VALUE!</v>
      </c>
      <c r="BO50" t="str">
        <f ca="1">IFERROR(__xludf.DUMMYFUNCTION("""COMPUTED_VALUE"""),"#VALUE!")</f>
        <v>#VALUE!</v>
      </c>
      <c r="BQ50" t="str">
        <f ca="1">IFERROR(__xludf.DUMMYFUNCTION("""COMPUTED_VALUE"""),"#VALUE!")</f>
        <v>#VALUE!</v>
      </c>
      <c r="BS50" t="str">
        <f ca="1">IFERROR(__xludf.DUMMYFUNCTION("""COMPUTED_VALUE"""),"#VALUE!")</f>
        <v>#VALUE!</v>
      </c>
      <c r="BU50" t="str">
        <f ca="1">IFERROR(__xludf.DUMMYFUNCTION("""COMPUTED_VALUE"""),"#VALUE!")</f>
        <v>#VALUE!</v>
      </c>
      <c r="BW50" t="str">
        <f ca="1">IFERROR(__xludf.DUMMYFUNCTION("""COMPUTED_VALUE"""),"#VALUE!")</f>
        <v>#VALUE!</v>
      </c>
      <c r="BY50" t="str">
        <f ca="1">IFERROR(__xludf.DUMMYFUNCTION("""COMPUTED_VALUE"""),"#VALUE!")</f>
        <v>#VALUE!</v>
      </c>
      <c r="CA50" t="str">
        <f ca="1">IFERROR(__xludf.DUMMYFUNCTION("""COMPUTED_VALUE"""),"#VALUE!")</f>
        <v>#VALUE!</v>
      </c>
      <c r="CC50" t="str">
        <f ca="1">IFERROR(__xludf.DUMMYFUNCTION("""COMPUTED_VALUE"""),"#VALUE!")</f>
        <v>#VALUE!</v>
      </c>
      <c r="CE50" t="str">
        <f ca="1">IFERROR(__xludf.DUMMYFUNCTION("""COMPUTED_VALUE"""),"#VALUE!")</f>
        <v>#VALUE!</v>
      </c>
      <c r="CG50" t="str">
        <f ca="1">IFERROR(__xludf.DUMMYFUNCTION("""COMPUTED_VALUE"""),"#VALUE!")</f>
        <v>#VALUE!</v>
      </c>
      <c r="CI50" t="str">
        <f ca="1">IFERROR(__xludf.DUMMYFUNCTION("""COMPUTED_VALUE"""),"#VALUE!")</f>
        <v>#VALUE!</v>
      </c>
      <c r="CK50" t="str">
        <f ca="1">IFERROR(__xludf.DUMMYFUNCTION("""COMPUTED_VALUE"""),"#VALUE!")</f>
        <v>#VALUE!</v>
      </c>
      <c r="CS50" t="str">
        <f ca="1">IFERROR(__xludf.DUMMYFUNCTION("""COMPUTED_VALUE"""),"#VALUE!")</f>
        <v>#VALUE!</v>
      </c>
      <c r="CT50" t="str">
        <f ca="1">IFERROR(__xludf.DUMMYFUNCTION("""COMPUTED_VALUE"""),"L0002")</f>
        <v>L0002</v>
      </c>
      <c r="CU50" t="str">
        <f ca="1">IFERROR(__xludf.DUMMYFUNCTION("""COMPUTED_VALUE"""),"Coazze")</f>
        <v>Coazze</v>
      </c>
      <c r="CV50" t="str">
        <f ca="1">IFERROR(__xludf.DUMMYFUNCTION("""COMPUTED_VALUE"""),"L0001")</f>
        <v>L0001</v>
      </c>
      <c r="CW50" t="str">
        <f ca="1">IFERROR(__xludf.DUMMYFUNCTION("""COMPUTED_VALUE"""),"Giaveno")</f>
        <v>Giaveno</v>
      </c>
      <c r="CX50" t="str">
        <f ca="1">IFERROR(__xludf.DUMMYFUNCTION("""COMPUTED_VALUE"""),"C2728")</f>
        <v>C2728</v>
      </c>
      <c r="CY50" t="str">
        <f ca="1">IFERROR(__xludf.DUMMYFUNCTION("""COMPUTED_VALUE"""),"bubulcus")</f>
        <v>bubulcus</v>
      </c>
      <c r="DA50" t="str">
        <f ca="1">IFERROR(__xludf.DUMMYFUNCTION("""COMPUTED_VALUE"""),"manual worker")</f>
        <v>manual worker</v>
      </c>
      <c r="DB50" t="str">
        <f ca="1">IFERROR(__xludf.DUMMYFUNCTION("""COMPUTED_VALUE"""),"C2728")</f>
        <v>C2728</v>
      </c>
      <c r="DC50" t="str">
        <f ca="1">IFERROR(__xludf.DUMMYFUNCTION("""COMPUTED_VALUE"""),"bubulcus")</f>
        <v>bubulcus</v>
      </c>
      <c r="DE50" t="str">
        <f ca="1">IFERROR(__xludf.DUMMYFUNCTION("""COMPUTED_VALUE"""),"#VALUE!")</f>
        <v>#VALUE!</v>
      </c>
      <c r="DI50" t="str">
        <f ca="1">IFERROR(__xludf.DUMMYFUNCTION("""COMPUTED_VALUE"""),"#VALUE!")</f>
        <v>#VALUE!</v>
      </c>
      <c r="DJ50" t="str">
        <f ca="1">IFERROR(__xludf.DUMMYFUNCTION("""COMPUTED_VALUE"""),"#VALUE!")</f>
        <v>#VALUE!</v>
      </c>
      <c r="DL50" t="str">
        <f ca="1">IFERROR(__xludf.DUMMYFUNCTION("""COMPUTED_VALUE"""),"Davor Salihović")</f>
        <v>Davor Salihović</v>
      </c>
    </row>
    <row r="51" spans="1:116" ht="13.2" x14ac:dyDescent="0.25">
      <c r="A51" t="str">
        <f ca="1">IFERROR(__xludf.DUMMYFUNCTION("""COMPUTED_VALUE"""),"P0050")</f>
        <v>P0050</v>
      </c>
      <c r="B51" t="str">
        <f ca="1">IFERROR(__xludf.DUMMYFUNCTION("""COMPUTED_VALUE"""),"Hugonetus de Alaxie")</f>
        <v>Hugonetus de Alaxie</v>
      </c>
      <c r="D51" t="str">
        <f ca="1">IFERROR(__xludf.DUMMYFUNCTION("""COMPUTED_VALUE"""),"#VALUE!")</f>
        <v>#VALUE!</v>
      </c>
      <c r="E51" t="str">
        <f ca="1">IFERROR(__xludf.DUMMYFUNCTION("""COMPUTED_VALUE"""),"Hugonetus")</f>
        <v>Hugonetus</v>
      </c>
      <c r="J51" t="str">
        <f ca="1">IFERROR(__xludf.DUMMYFUNCTION("""COMPUTED_VALUE"""),"de")</f>
        <v>de</v>
      </c>
      <c r="K51" t="str">
        <f ca="1">IFERROR(__xludf.DUMMYFUNCTION("""COMPUTED_VALUE"""),"Alaxie")</f>
        <v>Alaxie</v>
      </c>
      <c r="L51" t="str">
        <f ca="1">IFERROR(__xludf.DUMMYFUNCTION("""COMPUTED_VALUE"""),"de Alaxie")</f>
        <v>de Alaxie</v>
      </c>
      <c r="S51" t="str">
        <f ca="1">IFERROR(__xludf.DUMMYFUNCTION("""COMPUTED_VALUE"""),"Latin")</f>
        <v>Latin</v>
      </c>
      <c r="T51" t="str">
        <f ca="1">IFERROR(__xludf.DUMMYFUNCTION("""COMPUTED_VALUE"""),"definite")</f>
        <v>definite</v>
      </c>
      <c r="U51" t="str">
        <f ca="1">IFERROR(__xludf.DUMMYFUNCTION("""COMPUTED_VALUE"""),"C2553")</f>
        <v>C2553</v>
      </c>
      <c r="V51" t="str">
        <f ca="1">IFERROR(__xludf.DUMMYFUNCTION("""COMPUTED_VALUE"""),"male")</f>
        <v>male</v>
      </c>
      <c r="Z51" t="str">
        <f ca="1">IFERROR(__xludf.DUMMYFUNCTION("""COMPUTED_VALUE"""),"164")</f>
        <v>164</v>
      </c>
      <c r="AA51" t="str">
        <f ca="1">IFERROR(__xludf.DUMMYFUNCTION("""COMPUTED_VALUE"""),"o")</f>
        <v>o</v>
      </c>
      <c r="AB51" t="str">
        <f ca="1">IFERROR(__xludf.DUMMYFUNCTION("""COMPUTED_VALUE"""),"NA")</f>
        <v>NA</v>
      </c>
      <c r="AE51" t="str">
        <f ca="1">IFERROR(__xludf.DUMMYFUNCTION("""COMPUTED_VALUE"""),"#VALUE!")</f>
        <v>#VALUE!</v>
      </c>
      <c r="AF51" t="str">
        <f ca="1">IFERROR(__xludf.DUMMYFUNCTION("""COMPUTED_VALUE"""),"#N/A")</f>
        <v>#N/A</v>
      </c>
      <c r="AG51" t="str">
        <f ca="1">IFERROR(__xludf.DUMMYFUNCTION("""COMPUTED_VALUE"""),"#N/A")</f>
        <v>#N/A</v>
      </c>
      <c r="AI51" t="str">
        <f ca="1">IFERROR(__xludf.DUMMYFUNCTION("""COMPUTED_VALUE"""),"#VALUE!")</f>
        <v>#VALUE!</v>
      </c>
      <c r="AK51" t="str">
        <f ca="1">IFERROR(__xludf.DUMMYFUNCTION("""COMPUTED_VALUE"""),"#VALUE!")</f>
        <v>#VALUE!</v>
      </c>
      <c r="AM51" t="str">
        <f ca="1">IFERROR(__xludf.DUMMYFUNCTION("""COMPUTED_VALUE"""),"#VALUE!")</f>
        <v>#VALUE!</v>
      </c>
      <c r="AO51" t="str">
        <f ca="1">IFERROR(__xludf.DUMMYFUNCTION("""COMPUTED_VALUE"""),"#VALUE!")</f>
        <v>#VALUE!</v>
      </c>
      <c r="AQ51" t="str">
        <f ca="1">IFERROR(__xludf.DUMMYFUNCTION("""COMPUTED_VALUE"""),"#VALUE!")</f>
        <v>#VALUE!</v>
      </c>
      <c r="AS51" t="str">
        <f ca="1">IFERROR(__xludf.DUMMYFUNCTION("""COMPUTED_VALUE"""),"#VALUE!")</f>
        <v>#VALUE!</v>
      </c>
      <c r="AU51" t="str">
        <f ca="1">IFERROR(__xludf.DUMMYFUNCTION("""COMPUTED_VALUE"""),"#VALUE!")</f>
        <v>#VALUE!</v>
      </c>
      <c r="AW51" t="str">
        <f ca="1">IFERROR(__xludf.DUMMYFUNCTION("""COMPUTED_VALUE"""),"#VALUE!")</f>
        <v>#VALUE!</v>
      </c>
      <c r="AY51" t="str">
        <f ca="1">IFERROR(__xludf.DUMMYFUNCTION("""COMPUTED_VALUE"""),"#VALUE!")</f>
        <v>#VALUE!</v>
      </c>
      <c r="BA51" t="str">
        <f ca="1">IFERROR(__xludf.DUMMYFUNCTION("""COMPUTED_VALUE"""),"#VALUE!")</f>
        <v>#VALUE!</v>
      </c>
      <c r="BC51" t="str">
        <f ca="1">IFERROR(__xludf.DUMMYFUNCTION("""COMPUTED_VALUE"""),"#VALUE!")</f>
        <v>#VALUE!</v>
      </c>
      <c r="BE51" t="str">
        <f ca="1">IFERROR(__xludf.DUMMYFUNCTION("""COMPUTED_VALUE"""),"#VALUE!")</f>
        <v>#VALUE!</v>
      </c>
      <c r="BG51" t="str">
        <f ca="1">IFERROR(__xludf.DUMMYFUNCTION("""COMPUTED_VALUE"""),"#VALUE!")</f>
        <v>#VALUE!</v>
      </c>
      <c r="BI51" t="str">
        <f ca="1">IFERROR(__xludf.DUMMYFUNCTION("""COMPUTED_VALUE"""),"#VALUE!")</f>
        <v>#VALUE!</v>
      </c>
      <c r="BK51" t="str">
        <f ca="1">IFERROR(__xludf.DUMMYFUNCTION("""COMPUTED_VALUE"""),"#VALUE!")</f>
        <v>#VALUE!</v>
      </c>
      <c r="BM51" t="str">
        <f ca="1">IFERROR(__xludf.DUMMYFUNCTION("""COMPUTED_VALUE"""),"#VALUE!")</f>
        <v>#VALUE!</v>
      </c>
      <c r="BO51" t="str">
        <f ca="1">IFERROR(__xludf.DUMMYFUNCTION("""COMPUTED_VALUE"""),"#VALUE!")</f>
        <v>#VALUE!</v>
      </c>
      <c r="BQ51" t="str">
        <f ca="1">IFERROR(__xludf.DUMMYFUNCTION("""COMPUTED_VALUE"""),"#VALUE!")</f>
        <v>#VALUE!</v>
      </c>
      <c r="BS51" t="str">
        <f ca="1">IFERROR(__xludf.DUMMYFUNCTION("""COMPUTED_VALUE"""),"#VALUE!")</f>
        <v>#VALUE!</v>
      </c>
      <c r="BU51" t="str">
        <f ca="1">IFERROR(__xludf.DUMMYFUNCTION("""COMPUTED_VALUE"""),"#VALUE!")</f>
        <v>#VALUE!</v>
      </c>
      <c r="BW51" t="str">
        <f ca="1">IFERROR(__xludf.DUMMYFUNCTION("""COMPUTED_VALUE"""),"#VALUE!")</f>
        <v>#VALUE!</v>
      </c>
      <c r="BY51" t="str">
        <f ca="1">IFERROR(__xludf.DUMMYFUNCTION("""COMPUTED_VALUE"""),"#VALUE!")</f>
        <v>#VALUE!</v>
      </c>
      <c r="CA51" t="str">
        <f ca="1">IFERROR(__xludf.DUMMYFUNCTION("""COMPUTED_VALUE"""),"#VALUE!")</f>
        <v>#VALUE!</v>
      </c>
      <c r="CC51" t="str">
        <f ca="1">IFERROR(__xludf.DUMMYFUNCTION("""COMPUTED_VALUE"""),"#VALUE!")</f>
        <v>#VALUE!</v>
      </c>
      <c r="CE51" t="str">
        <f ca="1">IFERROR(__xludf.DUMMYFUNCTION("""COMPUTED_VALUE"""),"#VALUE!")</f>
        <v>#VALUE!</v>
      </c>
      <c r="CG51" t="str">
        <f ca="1">IFERROR(__xludf.DUMMYFUNCTION("""COMPUTED_VALUE"""),"#VALUE!")</f>
        <v>#VALUE!</v>
      </c>
      <c r="CI51" t="str">
        <f ca="1">IFERROR(__xludf.DUMMYFUNCTION("""COMPUTED_VALUE"""),"#VALUE!")</f>
        <v>#VALUE!</v>
      </c>
      <c r="CK51" t="str">
        <f ca="1">IFERROR(__xludf.DUMMYFUNCTION("""COMPUTED_VALUE"""),"#VALUE!")</f>
        <v>#VALUE!</v>
      </c>
      <c r="CS51" t="str">
        <f ca="1">IFERROR(__xludf.DUMMYFUNCTION("""COMPUTED_VALUE"""),"#VALUE!")</f>
        <v>#VALUE!</v>
      </c>
      <c r="CU51" t="str">
        <f ca="1">IFERROR(__xludf.DUMMYFUNCTION("""COMPUTED_VALUE"""),"#VALUE!")</f>
        <v>#VALUE!</v>
      </c>
      <c r="CW51" t="str">
        <f ca="1">IFERROR(__xludf.DUMMYFUNCTION("""COMPUTED_VALUE"""),"#VALUE!")</f>
        <v>#VALUE!</v>
      </c>
      <c r="CY51" t="str">
        <f ca="1">IFERROR(__xludf.DUMMYFUNCTION("""COMPUTED_VALUE"""),"#VALUE!")</f>
        <v>#VALUE!</v>
      </c>
      <c r="DC51" t="str">
        <f ca="1">IFERROR(__xludf.DUMMYFUNCTION("""COMPUTED_VALUE"""),"#VALUE!")</f>
        <v>#VALUE!</v>
      </c>
      <c r="DE51" t="str">
        <f ca="1">IFERROR(__xludf.DUMMYFUNCTION("""COMPUTED_VALUE"""),"#VALUE!")</f>
        <v>#VALUE!</v>
      </c>
      <c r="DI51" t="str">
        <f ca="1">IFERROR(__xludf.DUMMYFUNCTION("""COMPUTED_VALUE"""),"#VALUE!")</f>
        <v>#VALUE!</v>
      </c>
      <c r="DJ51" t="str">
        <f ca="1">IFERROR(__xludf.DUMMYFUNCTION("""COMPUTED_VALUE"""),"#VALUE!")</f>
        <v>#VALUE!</v>
      </c>
      <c r="DL51" t="str">
        <f ca="1">IFERROR(__xludf.DUMMYFUNCTION("""COMPUTED_VALUE"""),"Davor Salihović")</f>
        <v>Davor Salihović</v>
      </c>
    </row>
    <row r="52" spans="1:116" ht="13.2" x14ac:dyDescent="0.25">
      <c r="A52" t="str">
        <f ca="1">IFERROR(__xludf.DUMMYFUNCTION("""COMPUTED_VALUE"""),"P0051")</f>
        <v>P0051</v>
      </c>
      <c r="B52" t="str">
        <f ca="1">IFERROR(__xludf.DUMMYFUNCTION("""COMPUTED_VALUE"""),"Palmeronus Goytrati")</f>
        <v>Palmeronus Goytrati</v>
      </c>
      <c r="D52" t="str">
        <f ca="1">IFERROR(__xludf.DUMMYFUNCTION("""COMPUTED_VALUE"""),"#VALUE!")</f>
        <v>#VALUE!</v>
      </c>
      <c r="E52" t="str">
        <f ca="1">IFERROR(__xludf.DUMMYFUNCTION("""COMPUTED_VALUE"""),"Palmeronus")</f>
        <v>Palmeronus</v>
      </c>
      <c r="F52" t="str">
        <f ca="1">IFERROR(__xludf.DUMMYFUNCTION("""COMPUTED_VALUE"""),"Palmerius")</f>
        <v>Palmerius</v>
      </c>
      <c r="K52" t="str">
        <f ca="1">IFERROR(__xludf.DUMMYFUNCTION("""COMPUTED_VALUE"""),"Goytrati")</f>
        <v>Goytrati</v>
      </c>
      <c r="L52" t="str">
        <f ca="1">IFERROR(__xludf.DUMMYFUNCTION("""COMPUTED_VALUE"""),"Goytrati")</f>
        <v>Goytrati</v>
      </c>
      <c r="M52" t="str">
        <f ca="1">IFERROR(__xludf.DUMMYFUNCTION("""COMPUTED_VALUE"""),"de")</f>
        <v>de</v>
      </c>
      <c r="N52" t="str">
        <f ca="1">IFERROR(__xludf.DUMMYFUNCTION("""COMPUTED_VALUE"""),"Villelmeta")</f>
        <v>Villelmeta</v>
      </c>
      <c r="O52" t="str">
        <f ca="1">IFERROR(__xludf.DUMMYFUNCTION("""COMPUTED_VALUE"""),"de Villelmeta")</f>
        <v>de Villelmeta</v>
      </c>
      <c r="S52" t="str">
        <f ca="1">IFERROR(__xludf.DUMMYFUNCTION("""COMPUTED_VALUE"""),"Latin")</f>
        <v>Latin</v>
      </c>
      <c r="T52" t="str">
        <f ca="1">IFERROR(__xludf.DUMMYFUNCTION("""COMPUTED_VALUE"""),"definite")</f>
        <v>definite</v>
      </c>
      <c r="U52" t="str">
        <f ca="1">IFERROR(__xludf.DUMMYFUNCTION("""COMPUTED_VALUE"""),"C2553")</f>
        <v>C2553</v>
      </c>
      <c r="V52" t="str">
        <f ca="1">IFERROR(__xludf.DUMMYFUNCTION("""COMPUTED_VALUE"""),"male")</f>
        <v>male</v>
      </c>
      <c r="Z52" t="str">
        <f ca="1">IFERROR(__xludf.DUMMYFUNCTION("""COMPUTED_VALUE"""),"164, 168, 169, 170, 172, 173, 174, 175, 177, 178, 184, 187, 188, 189, 190, 191, 193, 199, 208, 209, 215, 221, 223, 224, 225, 227, 232, 234, 236, 237, 252")</f>
        <v>164, 168, 169, 170, 172, 173, 174, 175, 177, 178, 184, 187, 188, 189, 190, 191, 193, 199, 208, 209, 215, 221, 223, 224, 225, 227, 232, 234, 236, 237, 252</v>
      </c>
      <c r="AA52" t="str">
        <f ca="1">IFERROR(__xludf.DUMMYFUNCTION("""COMPUTED_VALUE"""),"d")</f>
        <v>d</v>
      </c>
      <c r="AB52" t="str">
        <f ca="1">IFERROR(__xludf.DUMMYFUNCTION("""COMPUTED_VALUE"""),"suspect")</f>
        <v>suspect</v>
      </c>
      <c r="AD52" t="str">
        <f ca="1">IFERROR(__xludf.DUMMYFUNCTION("""COMPUTED_VALUE"""),"C3287")</f>
        <v>C3287</v>
      </c>
      <c r="AE52" t="str">
        <f ca="1">IFERROR(__xludf.DUMMYFUNCTION("""COMPUTED_VALUE"""),"alive")</f>
        <v>alive</v>
      </c>
      <c r="AF52" t="str">
        <f ca="1">IFERROR(__xludf.DUMMYFUNCTION("""COMPUTED_VALUE"""),"C1753")</f>
        <v>C1753</v>
      </c>
      <c r="AG52" t="str">
        <f ca="1">IFERROR(__xludf.DUMMYFUNCTION("""COMPUTED_VALUE"""),"1335-01-20")</f>
        <v>1335-01-20</v>
      </c>
      <c r="AH52" t="str">
        <f ca="1">IFERROR(__xludf.DUMMYFUNCTION("""COMPUTED_VALUE"""),"C2341")</f>
        <v>C2341</v>
      </c>
      <c r="AI52" t="str">
        <f ca="1">IFERROR(__xludf.DUMMYFUNCTION("""COMPUTED_VALUE"""),"mother")</f>
        <v>mother</v>
      </c>
      <c r="AJ52" t="str">
        <f ca="1">IFERROR(__xludf.DUMMYFUNCTION("""COMPUTED_VALUE"""),"P0165")</f>
        <v>P0165</v>
      </c>
      <c r="AK52" t="str">
        <f ca="1">IFERROR(__xludf.DUMMYFUNCTION("""COMPUTED_VALUE"""),"Villelmeta Goytrata")</f>
        <v>Villelmeta Goytrata</v>
      </c>
      <c r="AL52" t="str">
        <f ca="1">IFERROR(__xludf.DUMMYFUNCTION("""COMPUTED_VALUE"""),"C0147")</f>
        <v>C0147</v>
      </c>
      <c r="AM52" t="str">
        <f ca="1">IFERROR(__xludf.DUMMYFUNCTION("""COMPUTED_VALUE"""),"warrantor")</f>
        <v>warrantor</v>
      </c>
      <c r="AN52" t="str">
        <f ca="1">IFERROR(__xludf.DUMMYFUNCTION("""COMPUTED_VALUE"""),"P0173")</f>
        <v>P0173</v>
      </c>
      <c r="AO52" t="str">
        <f ca="1">IFERROR(__xludf.DUMMYFUNCTION("""COMPUTED_VALUE"""),"Iacobus Porpua")</f>
        <v>Iacobus Porpua</v>
      </c>
      <c r="AP52" t="str">
        <f ca="1">IFERROR(__xludf.DUMMYFUNCTION("""COMPUTED_VALUE"""),"C0147")</f>
        <v>C0147</v>
      </c>
      <c r="AQ52" t="str">
        <f ca="1">IFERROR(__xludf.DUMMYFUNCTION("""COMPUTED_VALUE"""),"warrantor")</f>
        <v>warrantor</v>
      </c>
      <c r="AR52" t="str">
        <f ca="1">IFERROR(__xludf.DUMMYFUNCTION("""COMPUTED_VALUE"""),"P0284")</f>
        <v>P0284</v>
      </c>
      <c r="AS52" t="str">
        <f ca="1">IFERROR(__xludf.DUMMYFUNCTION("""COMPUTED_VALUE"""),"Petrus Iarsseti")</f>
        <v>Petrus Iarsseti</v>
      </c>
      <c r="AU52" t="str">
        <f ca="1">IFERROR(__xludf.DUMMYFUNCTION("""COMPUTED_VALUE"""),"#VALUE!")</f>
        <v>#VALUE!</v>
      </c>
      <c r="AW52" t="str">
        <f ca="1">IFERROR(__xludf.DUMMYFUNCTION("""COMPUTED_VALUE"""),"#VALUE!")</f>
        <v>#VALUE!</v>
      </c>
      <c r="AY52" t="str">
        <f ca="1">IFERROR(__xludf.DUMMYFUNCTION("""COMPUTED_VALUE"""),"#VALUE!")</f>
        <v>#VALUE!</v>
      </c>
      <c r="BA52" t="str">
        <f ca="1">IFERROR(__xludf.DUMMYFUNCTION("""COMPUTED_VALUE"""),"#VALUE!")</f>
        <v>#VALUE!</v>
      </c>
      <c r="BC52" t="str">
        <f ca="1">IFERROR(__xludf.DUMMYFUNCTION("""COMPUTED_VALUE"""),"#VALUE!")</f>
        <v>#VALUE!</v>
      </c>
      <c r="BE52" t="str">
        <f ca="1">IFERROR(__xludf.DUMMYFUNCTION("""COMPUTED_VALUE"""),"#VALUE!")</f>
        <v>#VALUE!</v>
      </c>
      <c r="BG52" t="str">
        <f ca="1">IFERROR(__xludf.DUMMYFUNCTION("""COMPUTED_VALUE"""),"#VALUE!")</f>
        <v>#VALUE!</v>
      </c>
      <c r="BI52" t="str">
        <f ca="1">IFERROR(__xludf.DUMMYFUNCTION("""COMPUTED_VALUE"""),"#VALUE!")</f>
        <v>#VALUE!</v>
      </c>
      <c r="BK52" t="str">
        <f ca="1">IFERROR(__xludf.DUMMYFUNCTION("""COMPUTED_VALUE"""),"#VALUE!")</f>
        <v>#VALUE!</v>
      </c>
      <c r="BM52" t="str">
        <f ca="1">IFERROR(__xludf.DUMMYFUNCTION("""COMPUTED_VALUE"""),"#VALUE!")</f>
        <v>#VALUE!</v>
      </c>
      <c r="BO52" t="str">
        <f ca="1">IFERROR(__xludf.DUMMYFUNCTION("""COMPUTED_VALUE"""),"#VALUE!")</f>
        <v>#VALUE!</v>
      </c>
      <c r="BQ52" t="str">
        <f ca="1">IFERROR(__xludf.DUMMYFUNCTION("""COMPUTED_VALUE"""),"#VALUE!")</f>
        <v>#VALUE!</v>
      </c>
      <c r="BS52" t="str">
        <f ca="1">IFERROR(__xludf.DUMMYFUNCTION("""COMPUTED_VALUE"""),"#VALUE!")</f>
        <v>#VALUE!</v>
      </c>
      <c r="BU52" t="str">
        <f ca="1">IFERROR(__xludf.DUMMYFUNCTION("""COMPUTED_VALUE"""),"#VALUE!")</f>
        <v>#VALUE!</v>
      </c>
      <c r="BW52" t="str">
        <f ca="1">IFERROR(__xludf.DUMMYFUNCTION("""COMPUTED_VALUE"""),"#VALUE!")</f>
        <v>#VALUE!</v>
      </c>
      <c r="BY52" t="str">
        <f ca="1">IFERROR(__xludf.DUMMYFUNCTION("""COMPUTED_VALUE"""),"#VALUE!")</f>
        <v>#VALUE!</v>
      </c>
      <c r="CA52" t="str">
        <f ca="1">IFERROR(__xludf.DUMMYFUNCTION("""COMPUTED_VALUE"""),"#VALUE!")</f>
        <v>#VALUE!</v>
      </c>
      <c r="CC52" t="str">
        <f ca="1">IFERROR(__xludf.DUMMYFUNCTION("""COMPUTED_VALUE"""),"#VALUE!")</f>
        <v>#VALUE!</v>
      </c>
      <c r="CD52" t="str">
        <f ca="1">IFERROR(__xludf.DUMMYFUNCTION("""COMPUTED_VALUE"""),"C3598")</f>
        <v>C3598</v>
      </c>
      <c r="CE52" t="str">
        <f ca="1">IFERROR(__xludf.DUMMYFUNCTION("""COMPUTED_VALUE"""),"location of congregation")</f>
        <v>location of congregation</v>
      </c>
      <c r="CF52" t="str">
        <f ca="1">IFERROR(__xludf.DUMMYFUNCTION("""COMPUTED_VALUE"""),"L0154#L0025#L0079#L0080#L0087#L0071#L0088#L0068#L0089#L0090#L0065#L0067#L0115#L0119#L0129#L0132#L0139#L0140")</f>
        <v>L0154#L0025#L0079#L0080#L0087#L0071#L0088#L0068#L0089#L0090#L0065#L0067#L0115#L0119#L0129#L0132#L0139#L0140</v>
      </c>
      <c r="CG52" t="str">
        <f ca="1">IFERROR(__xludf.DUMMYFUNCTION("""COMPUTED_VALUE"""),"domus Palmeroni Goytro #domus Villelmeti Domenici #domus Martinii Dominici #domus Petrii Burgi #domus Petri de Rosseto #domus Iohannis Mulini de Sala #tectum Petri de Rosseto #domus Vieti de Mondino #domus Iohannis de Facio Ferrandi #domus Thome de Iohann"&amp;"e Iordani #domus Iohannis de Castagno de Giaveno #domus Petri Rupphini #domus Agnessone de Rosseto #domus Addorne, uxoris Iohannis Mulini #domus Marchete de Mondino #domus Aleysine Burgi #domus Laurencii de Collo #domus Iacobi Milla")</f>
        <v>domus Palmeroni Goytro #domus Villelmeti Domenici #domus Martinii Dominici #domus Petrii Burgi #domus Petri de Rosseto #domus Iohannis Mulini de Sala #tectum Petri de Rosseto #domus Vieti de Mondino #domus Iohannis de Facio Ferrandi #domus Thome de Iohanne Iordani #domus Iohannis de Castagno de Giaveno #domus Petri Rupphini #domus Agnessone de Rosseto #domus Addorne, uxoris Iohannis Mulini #domus Marchete de Mondino #domus Aleysine Burgi #domus Laurencii de Collo #domus Iacobi Milla</v>
      </c>
      <c r="CH52" t="str">
        <f ca="1">IFERROR(__xludf.DUMMYFUNCTION("""COMPUTED_VALUE"""),"P0173#P0284")</f>
        <v>P0173#P0284</v>
      </c>
      <c r="CI52" t="str">
        <f ca="1">IFERROR(__xludf.DUMMYFUNCTION("""COMPUTED_VALUE"""),"Iacobus Porpua #Petrus Iarsseti")</f>
        <v>Iacobus Porpua #Petrus Iarsseti</v>
      </c>
      <c r="CJ52" t="str">
        <f ca="1">IFERROR(__xludf.DUMMYFUNCTION("""COMPUTED_VALUE"""),"P0229#P0040#P0105#P0208")</f>
        <v>P0229#P0040#P0105#P0208</v>
      </c>
      <c r="CK52" t="str">
        <f ca="1">IFERROR(__xludf.DUMMYFUNCTION("""COMPUTED_VALUE"""),"Marguerita Borsseta #Petrus de Rosseto #Villelminus de Oddo #Martinus Dominici")</f>
        <v>Marguerita Borsseta #Petrus de Rosseto #Villelminus de Oddo #Martinus Dominici</v>
      </c>
      <c r="CO52" t="str">
        <f ca="1">IFERROR(__xludf.DUMMYFUNCTION("""COMPUTED_VALUE"""),"Goytrat")</f>
        <v>Goytrat</v>
      </c>
      <c r="CS52" t="str">
        <f ca="1">IFERROR(__xludf.DUMMYFUNCTION("""COMPUTED_VALUE"""),"#VALUE!")</f>
        <v>#VALUE!</v>
      </c>
      <c r="CU52" t="str">
        <f ca="1">IFERROR(__xludf.DUMMYFUNCTION("""COMPUTED_VALUE"""),"#VALUE!")</f>
        <v>#VALUE!</v>
      </c>
      <c r="CV52" t="str">
        <f ca="1">IFERROR(__xludf.DUMMYFUNCTION("""COMPUTED_VALUE"""),"L0010")</f>
        <v>L0010</v>
      </c>
      <c r="CW52" t="str">
        <f ca="1">IFERROR(__xludf.DUMMYFUNCTION("""COMPUTED_VALUE"""),"Buffa")</f>
        <v>Buffa</v>
      </c>
      <c r="CX52" t="str">
        <f ca="1">IFERROR(__xludf.DUMMYFUNCTION("""COMPUTED_VALUE"""),"C3188")</f>
        <v>C3188</v>
      </c>
      <c r="CY52" t="str">
        <f ca="1">IFERROR(__xludf.DUMMYFUNCTION("""COMPUTED_VALUE"""),"sacerdos Valdensium")</f>
        <v>sacerdos Valdensium</v>
      </c>
      <c r="DA52" t="str">
        <f ca="1">IFERROR(__xludf.DUMMYFUNCTION("""COMPUTED_VALUE"""),"dissident minister")</f>
        <v>dissident minister</v>
      </c>
      <c r="DC52" t="str">
        <f ca="1">IFERROR(__xludf.DUMMYFUNCTION("""COMPUTED_VALUE"""),"#VALUE!")</f>
        <v>#VALUE!</v>
      </c>
      <c r="DD52" t="str">
        <f ca="1">IFERROR(__xludf.DUMMYFUNCTION("""COMPUTED_VALUE"""),"C3188")</f>
        <v>C3188</v>
      </c>
      <c r="DE52" t="str">
        <f ca="1">IFERROR(__xludf.DUMMYFUNCTION("""COMPUTED_VALUE"""),"sacerdos Valdensium")</f>
        <v>sacerdos Valdensium</v>
      </c>
      <c r="DF52" t="str">
        <f ca="1">IFERROR(__xludf.DUMMYFUNCTION("""COMPUTED_VALUE"""),"y")</f>
        <v>y</v>
      </c>
      <c r="DG52" t="str">
        <f ca="1">IFERROR(__xludf.DUMMYFUNCTION("""COMPUTED_VALUE"""),"172-173, 189-190, 236")</f>
        <v>172-173, 189-190, 236</v>
      </c>
      <c r="DH52" t="str">
        <f ca="1">IFERROR(__xludf.DUMMYFUNCTION("""COMPUTED_VALUE"""),"L0154#L0025#L0079#L0080#L0087#L0071#L0088#L0068#L0089#L0090#L0065#L0067#L0115#L0119#L0129#L0132#L0139#L0140")</f>
        <v>L0154#L0025#L0079#L0080#L0087#L0071#L0088#L0068#L0089#L0090#L0065#L0067#L0115#L0119#L0129#L0132#L0139#L0140</v>
      </c>
      <c r="DI52" t="str">
        <f ca="1">IFERROR(__xludf.DUMMYFUNCTION("""COMPUTED_VALUE"""),"domus Palmeroni Goytro #domus Villelmeti Domenici #domus Martinii Dominici #domus Petrii Burgi #domus Petri de Rosseto #domus Iohannis Mulini de Sala #tectum Petri de Rosseto #domus Vieti de Mondino #domus Iohannis de Facio Ferrandi #domus Thome de Iohann"&amp;"e Iordani #domus Iohannis de Castagno de Giaveno #domus Petri Rupphini #domus Agnessone de Rosseto #domus Addorne, uxoris Iohannis Mulini #domus Marchete de Mondino #domus Aleysine Burgi #domus Laurencii de Collo #domus Iacobi Milla")</f>
        <v>domus Palmeroni Goytro #domus Villelmeti Domenici #domus Martinii Dominici #domus Petrii Burgi #domus Petri de Rosseto #domus Iohannis Mulini de Sala #tectum Petri de Rosseto #domus Vieti de Mondino #domus Iohannis de Facio Ferrandi #domus Thome de Iohanne Iordani #domus Iohannis de Castagno de Giaveno #domus Petri Rupphini #domus Agnessone de Rosseto #domus Addorne, uxoris Iohannis Mulini #domus Marchete de Mondino #domus Aleysine Burgi #domus Laurencii de Collo #domus Iacobi Milla</v>
      </c>
      <c r="DJ52" t="str">
        <f ca="1">IFERROR(__xludf.DUMMYFUNCTION("""COMPUTED_VALUE"""),"domus #domus #domus #domus #domus #domus #building #domus #domus #domus #domus #domus #domus #domus #domus #domus #domus #domus")</f>
        <v>domus #domus #domus #domus #domus #domus #building #domus #domus #domus #domus #domus #domus #domus #domus #domus #domus #domus</v>
      </c>
      <c r="DK52" t="str">
        <f ca="1">IFERROR(__xludf.DUMMYFUNCTION("""COMPUTED_VALUE"""),"qui est maior inter eos' Merlo, 169")</f>
        <v>qui est maior inter eos' Merlo, 169</v>
      </c>
      <c r="DL52" t="str">
        <f ca="1">IFERROR(__xludf.DUMMYFUNCTION("""COMPUTED_VALUE"""),"Davor Salihović")</f>
        <v>Davor Salihović</v>
      </c>
    </row>
    <row r="53" spans="1:116" ht="13.2" x14ac:dyDescent="0.25">
      <c r="A53" t="str">
        <f ca="1">IFERROR(__xludf.DUMMYFUNCTION("""COMPUTED_VALUE"""),"P0052")</f>
        <v>P0052</v>
      </c>
      <c r="B53" t="str">
        <f ca="1">IFERROR(__xludf.DUMMYFUNCTION("""COMPUTED_VALUE"""),"Iohannes de Revello")</f>
        <v>Iohannes de Revello</v>
      </c>
      <c r="C53" t="str">
        <f ca="1">IFERROR(__xludf.DUMMYFUNCTION("""COMPUTED_VALUE"""),"C3518")</f>
        <v>C3518</v>
      </c>
      <c r="D53" t="str">
        <f ca="1">IFERROR(__xludf.DUMMYFUNCTION("""COMPUTED_VALUE"""),"frater")</f>
        <v>frater</v>
      </c>
      <c r="E53" t="str">
        <f ca="1">IFERROR(__xludf.DUMMYFUNCTION("""COMPUTED_VALUE"""),"Iohannes")</f>
        <v>Iohannes</v>
      </c>
      <c r="J53" t="str">
        <f ca="1">IFERROR(__xludf.DUMMYFUNCTION("""COMPUTED_VALUE"""),"de")</f>
        <v>de</v>
      </c>
      <c r="K53" t="str">
        <f ca="1">IFERROR(__xludf.DUMMYFUNCTION("""COMPUTED_VALUE"""),"Revello")</f>
        <v>Revello</v>
      </c>
      <c r="L53" t="str">
        <f ca="1">IFERROR(__xludf.DUMMYFUNCTION("""COMPUTED_VALUE"""),"de Revello")</f>
        <v>de Revello</v>
      </c>
      <c r="Q53" t="str">
        <f ca="1">IFERROR(__xludf.DUMMYFUNCTION("""COMPUTED_VALUE"""),"socius inquisitoris")</f>
        <v>socius inquisitoris</v>
      </c>
      <c r="S53" t="str">
        <f ca="1">IFERROR(__xludf.DUMMYFUNCTION("""COMPUTED_VALUE"""),"Latin")</f>
        <v>Latin</v>
      </c>
      <c r="T53" t="str">
        <f ca="1">IFERROR(__xludf.DUMMYFUNCTION("""COMPUTED_VALUE"""),"definite")</f>
        <v>definite</v>
      </c>
      <c r="U53" t="str">
        <f ca="1">IFERROR(__xludf.DUMMYFUNCTION("""COMPUTED_VALUE"""),"C2553")</f>
        <v>C2553</v>
      </c>
      <c r="V53" t="str">
        <f ca="1">IFERROR(__xludf.DUMMYFUNCTION("""COMPUTED_VALUE"""),"male")</f>
        <v>male</v>
      </c>
      <c r="Z53" t="str">
        <f ca="1">IFERROR(__xludf.DUMMYFUNCTION("""COMPUTED_VALUE"""),"164, 170, 171, 172, 175, 178, 179, 184, 186, 187, 188, 189, 191, 192, 193, 194, 195, 196, 197, 199, 200, 210, 211, 214, 216, 218, 219, 224, 228, 229, 230")</f>
        <v>164, 170, 171, 172, 175, 178, 179, 184, 186, 187, 188, 189, 191, 192, 193, 194, 195, 196, 197, 199, 200, 210, 211, 214, 216, 218, 219, 224, 228, 229, 230</v>
      </c>
      <c r="AA53" t="str">
        <f ca="1">IFERROR(__xludf.DUMMYFUNCTION("""COMPUTED_VALUE"""),"i")</f>
        <v>i</v>
      </c>
      <c r="AB53" t="str">
        <f ca="1">IFERROR(__xludf.DUMMYFUNCTION("""COMPUTED_VALUE"""),"inquisitor's assistant")</f>
        <v>inquisitor's assistant</v>
      </c>
      <c r="AD53" t="str">
        <f ca="1">IFERROR(__xludf.DUMMYFUNCTION("""COMPUTED_VALUE"""),"C3287")</f>
        <v>C3287</v>
      </c>
      <c r="AE53" t="str">
        <f ca="1">IFERROR(__xludf.DUMMYFUNCTION("""COMPUTED_VALUE"""),"alive")</f>
        <v>alive</v>
      </c>
      <c r="AF53" t="str">
        <f ca="1">IFERROR(__xludf.DUMMYFUNCTION("""COMPUTED_VALUE"""),"C1753")</f>
        <v>C1753</v>
      </c>
      <c r="AG53" t="str">
        <f ca="1">IFERROR(__xludf.DUMMYFUNCTION("""COMPUTED_VALUE"""),"1335-01-20")</f>
        <v>1335-01-20</v>
      </c>
      <c r="AI53" t="str">
        <f ca="1">IFERROR(__xludf.DUMMYFUNCTION("""COMPUTED_VALUE"""),"#VALUE!")</f>
        <v>#VALUE!</v>
      </c>
      <c r="AK53" t="str">
        <f ca="1">IFERROR(__xludf.DUMMYFUNCTION("""COMPUTED_VALUE"""),"#VALUE!")</f>
        <v>#VALUE!</v>
      </c>
      <c r="AM53" t="str">
        <f ca="1">IFERROR(__xludf.DUMMYFUNCTION("""COMPUTED_VALUE"""),"#VALUE!")</f>
        <v>#VALUE!</v>
      </c>
      <c r="AO53" t="str">
        <f ca="1">IFERROR(__xludf.DUMMYFUNCTION("""COMPUTED_VALUE"""),"#VALUE!")</f>
        <v>#VALUE!</v>
      </c>
      <c r="AQ53" t="str">
        <f ca="1">IFERROR(__xludf.DUMMYFUNCTION("""COMPUTED_VALUE"""),"#VALUE!")</f>
        <v>#VALUE!</v>
      </c>
      <c r="AS53" t="str">
        <f ca="1">IFERROR(__xludf.DUMMYFUNCTION("""COMPUTED_VALUE"""),"#VALUE!")</f>
        <v>#VALUE!</v>
      </c>
      <c r="AU53" t="str">
        <f ca="1">IFERROR(__xludf.DUMMYFUNCTION("""COMPUTED_VALUE"""),"#VALUE!")</f>
        <v>#VALUE!</v>
      </c>
      <c r="AW53" t="str">
        <f ca="1">IFERROR(__xludf.DUMMYFUNCTION("""COMPUTED_VALUE"""),"#VALUE!")</f>
        <v>#VALUE!</v>
      </c>
      <c r="AY53" t="str">
        <f ca="1">IFERROR(__xludf.DUMMYFUNCTION("""COMPUTED_VALUE"""),"#VALUE!")</f>
        <v>#VALUE!</v>
      </c>
      <c r="BA53" t="str">
        <f ca="1">IFERROR(__xludf.DUMMYFUNCTION("""COMPUTED_VALUE"""),"#VALUE!")</f>
        <v>#VALUE!</v>
      </c>
      <c r="BC53" t="str">
        <f ca="1">IFERROR(__xludf.DUMMYFUNCTION("""COMPUTED_VALUE"""),"#VALUE!")</f>
        <v>#VALUE!</v>
      </c>
      <c r="BE53" t="str">
        <f ca="1">IFERROR(__xludf.DUMMYFUNCTION("""COMPUTED_VALUE"""),"#VALUE!")</f>
        <v>#VALUE!</v>
      </c>
      <c r="BG53" t="str">
        <f ca="1">IFERROR(__xludf.DUMMYFUNCTION("""COMPUTED_VALUE"""),"#VALUE!")</f>
        <v>#VALUE!</v>
      </c>
      <c r="BI53" t="str">
        <f ca="1">IFERROR(__xludf.DUMMYFUNCTION("""COMPUTED_VALUE"""),"#VALUE!")</f>
        <v>#VALUE!</v>
      </c>
      <c r="BK53" t="str">
        <f ca="1">IFERROR(__xludf.DUMMYFUNCTION("""COMPUTED_VALUE"""),"#VALUE!")</f>
        <v>#VALUE!</v>
      </c>
      <c r="BM53" t="str">
        <f ca="1">IFERROR(__xludf.DUMMYFUNCTION("""COMPUTED_VALUE"""),"#VALUE!")</f>
        <v>#VALUE!</v>
      </c>
      <c r="BO53" t="str">
        <f ca="1">IFERROR(__xludf.DUMMYFUNCTION("""COMPUTED_VALUE"""),"#VALUE!")</f>
        <v>#VALUE!</v>
      </c>
      <c r="BQ53" t="str">
        <f ca="1">IFERROR(__xludf.DUMMYFUNCTION("""COMPUTED_VALUE"""),"#VALUE!")</f>
        <v>#VALUE!</v>
      </c>
      <c r="BS53" t="str">
        <f ca="1">IFERROR(__xludf.DUMMYFUNCTION("""COMPUTED_VALUE"""),"#VALUE!")</f>
        <v>#VALUE!</v>
      </c>
      <c r="BU53" t="str">
        <f ca="1">IFERROR(__xludf.DUMMYFUNCTION("""COMPUTED_VALUE"""),"#VALUE!")</f>
        <v>#VALUE!</v>
      </c>
      <c r="BW53" t="str">
        <f ca="1">IFERROR(__xludf.DUMMYFUNCTION("""COMPUTED_VALUE"""),"#VALUE!")</f>
        <v>#VALUE!</v>
      </c>
      <c r="BY53" t="str">
        <f ca="1">IFERROR(__xludf.DUMMYFUNCTION("""COMPUTED_VALUE"""),"#VALUE!")</f>
        <v>#VALUE!</v>
      </c>
      <c r="CA53" t="str">
        <f ca="1">IFERROR(__xludf.DUMMYFUNCTION("""COMPUTED_VALUE"""),"#VALUE!")</f>
        <v>#VALUE!</v>
      </c>
      <c r="CC53" t="str">
        <f ca="1">IFERROR(__xludf.DUMMYFUNCTION("""COMPUTED_VALUE"""),"#VALUE!")</f>
        <v>#VALUE!</v>
      </c>
      <c r="CE53" t="str">
        <f ca="1">IFERROR(__xludf.DUMMYFUNCTION("""COMPUTED_VALUE"""),"#VALUE!")</f>
        <v>#VALUE!</v>
      </c>
      <c r="CG53" t="str">
        <f ca="1">IFERROR(__xludf.DUMMYFUNCTION("""COMPUTED_VALUE"""),"#VALUE!")</f>
        <v>#VALUE!</v>
      </c>
      <c r="CI53" t="str">
        <f ca="1">IFERROR(__xludf.DUMMYFUNCTION("""COMPUTED_VALUE"""),"#VALUE!")</f>
        <v>#VALUE!</v>
      </c>
      <c r="CK53" t="str">
        <f ca="1">IFERROR(__xludf.DUMMYFUNCTION("""COMPUTED_VALUE"""),"#VALUE!")</f>
        <v>#VALUE!</v>
      </c>
      <c r="CS53" t="str">
        <f ca="1">IFERROR(__xludf.DUMMYFUNCTION("""COMPUTED_VALUE"""),"#VALUE!")</f>
        <v>#VALUE!</v>
      </c>
      <c r="CU53" t="str">
        <f ca="1">IFERROR(__xludf.DUMMYFUNCTION("""COMPUTED_VALUE"""),"#VALUE!")</f>
        <v>#VALUE!</v>
      </c>
      <c r="CW53" t="str">
        <f ca="1">IFERROR(__xludf.DUMMYFUNCTION("""COMPUTED_VALUE"""),"#VALUE!")</f>
        <v>#VALUE!</v>
      </c>
      <c r="CX53" t="str">
        <f ca="1">IFERROR(__xludf.DUMMYFUNCTION("""COMPUTED_VALUE"""),"C3189")</f>
        <v>C3189</v>
      </c>
      <c r="CY53" t="str">
        <f ca="1">IFERROR(__xludf.DUMMYFUNCTION("""COMPUTED_VALUE"""),"socius inquisitoris")</f>
        <v>socius inquisitoris</v>
      </c>
      <c r="DA53" t="str">
        <f ca="1">IFERROR(__xludf.DUMMYFUNCTION("""COMPUTED_VALUE"""),"churchperson")</f>
        <v>churchperson</v>
      </c>
      <c r="DC53" t="str">
        <f ca="1">IFERROR(__xludf.DUMMYFUNCTION("""COMPUTED_VALUE"""),"#VALUE!")</f>
        <v>#VALUE!</v>
      </c>
      <c r="DD53" t="str">
        <f ca="1">IFERROR(__xludf.DUMMYFUNCTION("""COMPUTED_VALUE"""),"C3189")</f>
        <v>C3189</v>
      </c>
      <c r="DE53" t="str">
        <f ca="1">IFERROR(__xludf.DUMMYFUNCTION("""COMPUTED_VALUE"""),"socius inquisitoris")</f>
        <v>socius inquisitoris</v>
      </c>
      <c r="DI53" t="str">
        <f ca="1">IFERROR(__xludf.DUMMYFUNCTION("""COMPUTED_VALUE"""),"#VALUE!")</f>
        <v>#VALUE!</v>
      </c>
      <c r="DJ53" t="str">
        <f ca="1">IFERROR(__xludf.DUMMYFUNCTION("""COMPUTED_VALUE"""),"#VALUE!")</f>
        <v>#VALUE!</v>
      </c>
      <c r="DL53" t="str">
        <f ca="1">IFERROR(__xludf.DUMMYFUNCTION("""COMPUTED_VALUE"""),"Davor Salihović")</f>
        <v>Davor Salihović</v>
      </c>
    </row>
    <row r="54" spans="1:116" ht="13.2" x14ac:dyDescent="0.25">
      <c r="A54" t="str">
        <f ca="1">IFERROR(__xludf.DUMMYFUNCTION("""COMPUTED_VALUE"""),"P0053")</f>
        <v>P0053</v>
      </c>
      <c r="B54" t="str">
        <f ca="1">IFERROR(__xludf.DUMMYFUNCTION("""COMPUTED_VALUE"""),"Iohannes Gauterii")</f>
        <v>Iohannes Gauterii</v>
      </c>
      <c r="D54" t="str">
        <f ca="1">IFERROR(__xludf.DUMMYFUNCTION("""COMPUTED_VALUE"""),"#VALUE!")</f>
        <v>#VALUE!</v>
      </c>
      <c r="E54" t="str">
        <f ca="1">IFERROR(__xludf.DUMMYFUNCTION("""COMPUTED_VALUE"""),"Iohannes")</f>
        <v>Iohannes</v>
      </c>
      <c r="K54" t="str">
        <f ca="1">IFERROR(__xludf.DUMMYFUNCTION("""COMPUTED_VALUE"""),"Gauterii")</f>
        <v>Gauterii</v>
      </c>
      <c r="L54" t="str">
        <f ca="1">IFERROR(__xludf.DUMMYFUNCTION("""COMPUTED_VALUE"""),"Gauterii")</f>
        <v>Gauterii</v>
      </c>
      <c r="M54" t="str">
        <f ca="1">IFERROR(__xludf.DUMMYFUNCTION("""COMPUTED_VALUE"""),"de")</f>
        <v>de</v>
      </c>
      <c r="N54" t="str">
        <f ca="1">IFERROR(__xludf.DUMMYFUNCTION("""COMPUTED_VALUE"""),"Melluro")</f>
        <v>Melluro</v>
      </c>
      <c r="O54" t="str">
        <f ca="1">IFERROR(__xludf.DUMMYFUNCTION("""COMPUTED_VALUE"""),"de Melluro")</f>
        <v>de Melluro</v>
      </c>
      <c r="P54" t="str">
        <f ca="1">IFERROR(__xludf.DUMMYFUNCTION("""COMPUTED_VALUE"""),"Gauterius")</f>
        <v>Gauterius</v>
      </c>
      <c r="Q54" t="str">
        <f ca="1">IFERROR(__xludf.DUMMYFUNCTION("""COMPUTED_VALUE"""),"famulus Villelmeti Dominici")</f>
        <v>famulus Villelmeti Dominici</v>
      </c>
      <c r="S54" t="str">
        <f ca="1">IFERROR(__xludf.DUMMYFUNCTION("""COMPUTED_VALUE"""),"Latin")</f>
        <v>Latin</v>
      </c>
      <c r="T54" t="str">
        <f ca="1">IFERROR(__xludf.DUMMYFUNCTION("""COMPUTED_VALUE"""),"definite")</f>
        <v>definite</v>
      </c>
      <c r="U54" t="str">
        <f ca="1">IFERROR(__xludf.DUMMYFUNCTION("""COMPUTED_VALUE"""),"C2553")</f>
        <v>C2553</v>
      </c>
      <c r="V54" t="str">
        <f ca="1">IFERROR(__xludf.DUMMYFUNCTION("""COMPUTED_VALUE"""),"male")</f>
        <v>male</v>
      </c>
      <c r="Z54" t="str">
        <f ca="1">IFERROR(__xludf.DUMMYFUNCTION("""COMPUTED_VALUE"""),"164, 168, 169, 170, 176, 178, 179, 183, 185, 187, 190, 191, 194, 197, 203, 208, 210, 213, 221, 222, 223, 226, 228, 235, 251")</f>
        <v>164, 168, 169, 170, 176, 178, 179, 183, 185, 187, 190, 191, 194, 197, 203, 208, 210, 213, 221, 222, 223, 226, 228, 235, 251</v>
      </c>
      <c r="AA54" t="str">
        <f ca="1">IFERROR(__xludf.DUMMYFUNCTION("""COMPUTED_VALUE"""),"d")</f>
        <v>d</v>
      </c>
      <c r="AB54" t="str">
        <f ca="1">IFERROR(__xludf.DUMMYFUNCTION("""COMPUTED_VALUE"""),"suspect")</f>
        <v>suspect</v>
      </c>
      <c r="AD54" t="str">
        <f ca="1">IFERROR(__xludf.DUMMYFUNCTION("""COMPUTED_VALUE"""),"C3287")</f>
        <v>C3287</v>
      </c>
      <c r="AE54" t="str">
        <f ca="1">IFERROR(__xludf.DUMMYFUNCTION("""COMPUTED_VALUE"""),"alive")</f>
        <v>alive</v>
      </c>
      <c r="AF54" t="str">
        <f ca="1">IFERROR(__xludf.DUMMYFUNCTION("""COMPUTED_VALUE"""),"C1753")</f>
        <v>C1753</v>
      </c>
      <c r="AG54" t="str">
        <f ca="1">IFERROR(__xludf.DUMMYFUNCTION("""COMPUTED_VALUE"""),"1335-01-20")</f>
        <v>1335-01-20</v>
      </c>
      <c r="AH54" t="str">
        <f ca="1">IFERROR(__xludf.DUMMYFUNCTION("""COMPUTED_VALUE"""),"C2337")</f>
        <v>C2337</v>
      </c>
      <c r="AI54" t="str">
        <f ca="1">IFERROR(__xludf.DUMMYFUNCTION("""COMPUTED_VALUE"""),"brother")</f>
        <v>brother</v>
      </c>
      <c r="AJ54" t="str">
        <f ca="1">IFERROR(__xludf.DUMMYFUNCTION("""COMPUTED_VALUE"""),"P0238")</f>
        <v>P0238</v>
      </c>
      <c r="AK54" t="str">
        <f ca="1">IFERROR(__xludf.DUMMYFUNCTION("""COMPUTED_VALUE"""),"Petrus Gauterii")</f>
        <v>Petrus Gauterii</v>
      </c>
      <c r="AL54" t="str">
        <f ca="1">IFERROR(__xludf.DUMMYFUNCTION("""COMPUTED_VALUE"""),"C0147")</f>
        <v>C0147</v>
      </c>
      <c r="AM54" t="str">
        <f ca="1">IFERROR(__xludf.DUMMYFUNCTION("""COMPUTED_VALUE"""),"warrantor")</f>
        <v>warrantor</v>
      </c>
      <c r="AN54" t="str">
        <f ca="1">IFERROR(__xludf.DUMMYFUNCTION("""COMPUTED_VALUE"""),"P0238")</f>
        <v>P0238</v>
      </c>
      <c r="AO54" t="str">
        <f ca="1">IFERROR(__xludf.DUMMYFUNCTION("""COMPUTED_VALUE"""),"Petrus Gauterii")</f>
        <v>Petrus Gauterii</v>
      </c>
      <c r="AQ54" t="str">
        <f ca="1">IFERROR(__xludf.DUMMYFUNCTION("""COMPUTED_VALUE"""),"#VALUE!")</f>
        <v>#VALUE!</v>
      </c>
      <c r="AS54" t="str">
        <f ca="1">IFERROR(__xludf.DUMMYFUNCTION("""COMPUTED_VALUE"""),"#VALUE!")</f>
        <v>#VALUE!</v>
      </c>
      <c r="AU54" t="str">
        <f ca="1">IFERROR(__xludf.DUMMYFUNCTION("""COMPUTED_VALUE"""),"#VALUE!")</f>
        <v>#VALUE!</v>
      </c>
      <c r="AW54" t="str">
        <f ca="1">IFERROR(__xludf.DUMMYFUNCTION("""COMPUTED_VALUE"""),"#VALUE!")</f>
        <v>#VALUE!</v>
      </c>
      <c r="AY54" t="str">
        <f ca="1">IFERROR(__xludf.DUMMYFUNCTION("""COMPUTED_VALUE"""),"#VALUE!")</f>
        <v>#VALUE!</v>
      </c>
      <c r="BA54" t="str">
        <f ca="1">IFERROR(__xludf.DUMMYFUNCTION("""COMPUTED_VALUE"""),"#VALUE!")</f>
        <v>#VALUE!</v>
      </c>
      <c r="BC54" t="str">
        <f ca="1">IFERROR(__xludf.DUMMYFUNCTION("""COMPUTED_VALUE"""),"#VALUE!")</f>
        <v>#VALUE!</v>
      </c>
      <c r="BE54" t="str">
        <f ca="1">IFERROR(__xludf.DUMMYFUNCTION("""COMPUTED_VALUE"""),"#VALUE!")</f>
        <v>#VALUE!</v>
      </c>
      <c r="BG54" t="str">
        <f ca="1">IFERROR(__xludf.DUMMYFUNCTION("""COMPUTED_VALUE"""),"#VALUE!")</f>
        <v>#VALUE!</v>
      </c>
      <c r="BI54" t="str">
        <f ca="1">IFERROR(__xludf.DUMMYFUNCTION("""COMPUTED_VALUE"""),"#VALUE!")</f>
        <v>#VALUE!</v>
      </c>
      <c r="BK54" t="str">
        <f ca="1">IFERROR(__xludf.DUMMYFUNCTION("""COMPUTED_VALUE"""),"#VALUE!")</f>
        <v>#VALUE!</v>
      </c>
      <c r="BM54" t="str">
        <f ca="1">IFERROR(__xludf.DUMMYFUNCTION("""COMPUTED_VALUE"""),"#VALUE!")</f>
        <v>#VALUE!</v>
      </c>
      <c r="BO54" t="str">
        <f ca="1">IFERROR(__xludf.DUMMYFUNCTION("""COMPUTED_VALUE"""),"#VALUE!")</f>
        <v>#VALUE!</v>
      </c>
      <c r="BQ54" t="str">
        <f ca="1">IFERROR(__xludf.DUMMYFUNCTION("""COMPUTED_VALUE"""),"#VALUE!")</f>
        <v>#VALUE!</v>
      </c>
      <c r="BS54" t="str">
        <f ca="1">IFERROR(__xludf.DUMMYFUNCTION("""COMPUTED_VALUE"""),"#VALUE!")</f>
        <v>#VALUE!</v>
      </c>
      <c r="BU54" t="str">
        <f ca="1">IFERROR(__xludf.DUMMYFUNCTION("""COMPUTED_VALUE"""),"#VALUE!")</f>
        <v>#VALUE!</v>
      </c>
      <c r="BW54" t="str">
        <f ca="1">IFERROR(__xludf.DUMMYFUNCTION("""COMPUTED_VALUE"""),"#VALUE!")</f>
        <v>#VALUE!</v>
      </c>
      <c r="BY54" t="str">
        <f ca="1">IFERROR(__xludf.DUMMYFUNCTION("""COMPUTED_VALUE"""),"#VALUE!")</f>
        <v>#VALUE!</v>
      </c>
      <c r="CA54" t="str">
        <f ca="1">IFERROR(__xludf.DUMMYFUNCTION("""COMPUTED_VALUE"""),"#VALUE!")</f>
        <v>#VALUE!</v>
      </c>
      <c r="CC54" t="str">
        <f ca="1">IFERROR(__xludf.DUMMYFUNCTION("""COMPUTED_VALUE"""),"#VALUE!")</f>
        <v>#VALUE!</v>
      </c>
      <c r="CD54" t="str">
        <f ca="1">IFERROR(__xludf.DUMMYFUNCTION("""COMPUTED_VALUE"""),"C3598")</f>
        <v>C3598</v>
      </c>
      <c r="CE54" t="str">
        <f ca="1">IFERROR(__xludf.DUMMYFUNCTION("""COMPUTED_VALUE"""),"location of congregation")</f>
        <v>location of congregation</v>
      </c>
      <c r="CF54" t="str">
        <f ca="1">IFERROR(__xludf.DUMMYFUNCTION("""COMPUTED_VALUE"""),"L0057#L0059#L0060#L0061#L0064#L0065#L0025#L0066#L0067#L0068#L0069#L0070#L0071#L0072#L0079#L0083#L0076#L0121#L0131")</f>
        <v>L0057#L0059#L0060#L0061#L0064#L0065#L0025#L0066#L0067#L0068#L0069#L0070#L0071#L0072#L0079#L0083#L0076#L0121#L0131</v>
      </c>
      <c r="CG54" t="str">
        <f ca="1">IFERROR(__xludf.DUMMYFUNCTION("""COMPUTED_VALUE"""),"domus de Combis #domus Michaelis Richaudi #domus Petri Balbi de Coazze #domus Amedei de Combravino #domus Stephani Vet #domus Iohannis de Castagno de Giaveno #domus Villelmeti Domenici #domus Bernardi de Rosseto #domus Petri Rupphini #domus Vieti de Mondi"&amp;"no #domus Iohannis Martini #domus Iohannis de Boysono #domus Iohannis Mulini de Sala #domus Merineti Alberia #domus Martinii Dominici #domus Nicoleti Feliçati de Villanova #domus Iohannis Torenchi #domus Broxie, uxoris Iacobi Bernardi #domus Ronde Feliçat"&amp;"i")</f>
        <v>domus de Combis #domus Michaelis Richaudi #domus Petri Balbi de Coazze #domus Amedei de Combravino #domus Stephani Vet #domus Iohannis de Castagno de Giaveno #domus Villelmeti Domenici #domus Bernardi de Rosseto #domus Petri Rupphini #domus Vieti de Mondino #domus Iohannis Martini #domus Iohannis de Boysono #domus Iohannis Mulini de Sala #domus Merineti Alberia #domus Martinii Dominici #domus Nicoleti Feliçati de Villanova #domus Iohannis Torenchi #domus Broxie, uxoris Iacobi Bernardi #domus Ronde Feliçati</v>
      </c>
      <c r="CH54" t="str">
        <f ca="1">IFERROR(__xludf.DUMMYFUNCTION("""COMPUTED_VALUE"""),"P0238")</f>
        <v>P0238</v>
      </c>
      <c r="CI54" t="str">
        <f ca="1">IFERROR(__xludf.DUMMYFUNCTION("""COMPUTED_VALUE"""),"Petrus Gauterii")</f>
        <v>Petrus Gauterii</v>
      </c>
      <c r="CJ54" t="str">
        <f ca="1">IFERROR(__xludf.DUMMYFUNCTION("""COMPUTED_VALUE"""),"P0183")</f>
        <v>P0183</v>
      </c>
      <c r="CK54" t="str">
        <f ca="1">IFERROR(__xludf.DUMMYFUNCTION("""COMPUTED_VALUE"""),"Martinus Pastre")</f>
        <v>Martinus Pastre</v>
      </c>
      <c r="CO54" t="str">
        <f ca="1">IFERROR(__xludf.DUMMYFUNCTION("""COMPUTED_VALUE"""),"Gauterius")</f>
        <v>Gauterius</v>
      </c>
      <c r="CS54" t="str">
        <f ca="1">IFERROR(__xludf.DUMMYFUNCTION("""COMPUTED_VALUE"""),"#VALUE!")</f>
        <v>#VALUE!</v>
      </c>
      <c r="CT54" t="str">
        <f ca="1">IFERROR(__xludf.DUMMYFUNCTION("""COMPUTED_VALUE"""),"L0054")</f>
        <v>L0054</v>
      </c>
      <c r="CU54" t="str">
        <f ca="1">IFERROR(__xludf.DUMMYFUNCTION("""COMPUTED_VALUE"""),"Villaretto")</f>
        <v>Villaretto</v>
      </c>
      <c r="CV54" t="str">
        <f ca="1">IFERROR(__xludf.DUMMYFUNCTION("""COMPUTED_VALUE"""),"L0001")</f>
        <v>L0001</v>
      </c>
      <c r="CW54" t="str">
        <f ca="1">IFERROR(__xludf.DUMMYFUNCTION("""COMPUTED_VALUE"""),"Giaveno")</f>
        <v>Giaveno</v>
      </c>
      <c r="CX54" t="str">
        <f ca="1">IFERROR(__xludf.DUMMYFUNCTION("""COMPUTED_VALUE"""),"C3190")</f>
        <v>C3190</v>
      </c>
      <c r="CY54" t="str">
        <f ca="1">IFERROR(__xludf.DUMMYFUNCTION("""COMPUTED_VALUE"""),"doctor secte Valdensium")</f>
        <v>doctor secte Valdensium</v>
      </c>
      <c r="DA54" t="str">
        <f ca="1">IFERROR(__xludf.DUMMYFUNCTION("""COMPUTED_VALUE"""),"dissident minister")</f>
        <v>dissident minister</v>
      </c>
      <c r="DC54" t="str">
        <f ca="1">IFERROR(__xludf.DUMMYFUNCTION("""COMPUTED_VALUE"""),"#VALUE!")</f>
        <v>#VALUE!</v>
      </c>
      <c r="DD54" t="str">
        <f ca="1">IFERROR(__xludf.DUMMYFUNCTION("""COMPUTED_VALUE"""),"C3190")</f>
        <v>C3190</v>
      </c>
      <c r="DE54" t="str">
        <f ca="1">IFERROR(__xludf.DUMMYFUNCTION("""COMPUTED_VALUE"""),"doctor secte Valdensium")</f>
        <v>doctor secte Valdensium</v>
      </c>
      <c r="DF54" t="str">
        <f ca="1">IFERROR(__xludf.DUMMYFUNCTION("""COMPUTED_VALUE"""),"y")</f>
        <v>y</v>
      </c>
      <c r="DG54" t="str">
        <f ca="1">IFERROR(__xludf.DUMMYFUNCTION("""COMPUTED_VALUE"""),"176-178")</f>
        <v>176-178</v>
      </c>
      <c r="DH54" t="str">
        <f ca="1">IFERROR(__xludf.DUMMYFUNCTION("""COMPUTED_VALUE"""),"L0057#L0059#L0060#L0061#L0064#L0065#L0025#L0066#L0067#L0068#L0069#L0070#L0071#L0072#L0079#L0083#L0076#L0121#L0131")</f>
        <v>L0057#L0059#L0060#L0061#L0064#L0065#L0025#L0066#L0067#L0068#L0069#L0070#L0071#L0072#L0079#L0083#L0076#L0121#L0131</v>
      </c>
      <c r="DI54" t="str">
        <f ca="1">IFERROR(__xludf.DUMMYFUNCTION("""COMPUTED_VALUE"""),"domus de Combis #domus Michaelis Richaudi #domus Petri Balbi de Coazze #domus Amedei de Combravino #domus Stephani Vet #domus Iohannis de Castagno de Giaveno #domus Villelmeti Domenici #domus Bernardi de Rosseto #domus Petri Rupphini #domus Vieti de Mondi"&amp;"no #domus Iohannis Martini #domus Iohannis de Boysono #domus Iohannis Mulini de Sala #domus Merineti Alberia #domus Martinii Dominici #domus Nicoleti Feliçati de Villanova #domus Iohannis Torenchi #domus Broxie, uxoris Iacobi Bernardi #domus Ronde Feliçat"&amp;"i")</f>
        <v>domus de Combis #domus Michaelis Richaudi #domus Petri Balbi de Coazze #domus Amedei de Combravino #domus Stephani Vet #domus Iohannis de Castagno de Giaveno #domus Villelmeti Domenici #domus Bernardi de Rosseto #domus Petri Rupphini #domus Vieti de Mondino #domus Iohannis Martini #domus Iohannis de Boysono #domus Iohannis Mulini de Sala #domus Merineti Alberia #domus Martinii Dominici #domus Nicoleti Feliçati de Villanova #domus Iohannis Torenchi #domus Broxie, uxoris Iacobi Bernardi #domus Ronde Feliçati</v>
      </c>
      <c r="DJ54" t="str">
        <f ca="1">IFERROR(__xludf.DUMMYFUNCTION("""COMPUTED_VALUE"""),"domus #domus #domus #domus #domus #domus #domus #domus #domus #domus #domus #domus #domus #domus #domus #domus #domus #domus #domus")</f>
        <v>domus #domus #domus #domus #domus #domus #domus #domus #domus #domus #domus #domus #domus #domus #domus #domus #domus #domus #domus</v>
      </c>
      <c r="DK54" t="str">
        <f ca="1">IFERROR(__xludf.DUMMYFUNCTION("""COMPUTED_VALUE"""),"inter eos principalis, Merlo, 169")</f>
        <v>inter eos principalis, Merlo, 169</v>
      </c>
      <c r="DL54" t="str">
        <f ca="1">IFERROR(__xludf.DUMMYFUNCTION("""COMPUTED_VALUE"""),"Davor Salihović")</f>
        <v>Davor Salihović</v>
      </c>
    </row>
    <row r="55" spans="1:116" ht="13.2" x14ac:dyDescent="0.25">
      <c r="A55" t="str">
        <f ca="1">IFERROR(__xludf.DUMMYFUNCTION("""COMPUTED_VALUE"""),"P0054")</f>
        <v>P0054</v>
      </c>
      <c r="B55" t="str">
        <f ca="1">IFERROR(__xludf.DUMMYFUNCTION("""COMPUTED_VALUE"""),"filia Marguerite Perrete")</f>
        <v>filia Marguerite Perrete</v>
      </c>
      <c r="D55" t="str">
        <f ca="1">IFERROR(__xludf.DUMMYFUNCTION("""COMPUTED_VALUE"""),"#VALUE!")</f>
        <v>#VALUE!</v>
      </c>
      <c r="E55" t="str">
        <f ca="1">IFERROR(__xludf.DUMMYFUNCTION("""COMPUTED_VALUE"""),"filia Marguerite Perrete")</f>
        <v>filia Marguerite Perrete</v>
      </c>
      <c r="S55" t="str">
        <f ca="1">IFERROR(__xludf.DUMMYFUNCTION("""COMPUTED_VALUE"""),"Latin")</f>
        <v>Latin</v>
      </c>
      <c r="T55" t="str">
        <f ca="1">IFERROR(__xludf.DUMMYFUNCTION("""COMPUTED_VALUE"""),"indefinite")</f>
        <v>indefinite</v>
      </c>
      <c r="U55" t="str">
        <f ca="1">IFERROR(__xludf.DUMMYFUNCTION("""COMPUTED_VALUE"""),"C2552")</f>
        <v>C2552</v>
      </c>
      <c r="V55" t="str">
        <f ca="1">IFERROR(__xludf.DUMMYFUNCTION("""COMPUTED_VALUE"""),"female")</f>
        <v>female</v>
      </c>
      <c r="Z55" t="str">
        <f ca="1">IFERROR(__xludf.DUMMYFUNCTION("""COMPUTED_VALUE"""),"164")</f>
        <v>164</v>
      </c>
      <c r="AA55" t="str">
        <f ca="1">IFERROR(__xludf.DUMMYFUNCTION("""COMPUTED_VALUE"""),"d")</f>
        <v>d</v>
      </c>
      <c r="AB55" t="str">
        <f ca="1">IFERROR(__xludf.DUMMYFUNCTION("""COMPUTED_VALUE"""),"suspect")</f>
        <v>suspect</v>
      </c>
      <c r="AE55" t="str">
        <f ca="1">IFERROR(__xludf.DUMMYFUNCTION("""COMPUTED_VALUE"""),"#VALUE!")</f>
        <v>#VALUE!</v>
      </c>
      <c r="AF55" t="str">
        <f ca="1">IFERROR(__xludf.DUMMYFUNCTION("""COMPUTED_VALUE"""),"#N/A")</f>
        <v>#N/A</v>
      </c>
      <c r="AG55" t="str">
        <f ca="1">IFERROR(__xludf.DUMMYFUNCTION("""COMPUTED_VALUE"""),"#N/A")</f>
        <v>#N/A</v>
      </c>
      <c r="AI55" t="str">
        <f ca="1">IFERROR(__xludf.DUMMYFUNCTION("""COMPUTED_VALUE"""),"#VALUE!")</f>
        <v>#VALUE!</v>
      </c>
      <c r="AK55" t="str">
        <f ca="1">IFERROR(__xludf.DUMMYFUNCTION("""COMPUTED_VALUE"""),"#VALUE!")</f>
        <v>#VALUE!</v>
      </c>
      <c r="AM55" t="str">
        <f ca="1">IFERROR(__xludf.DUMMYFUNCTION("""COMPUTED_VALUE"""),"#VALUE!")</f>
        <v>#VALUE!</v>
      </c>
      <c r="AO55" t="str">
        <f ca="1">IFERROR(__xludf.DUMMYFUNCTION("""COMPUTED_VALUE"""),"#VALUE!")</f>
        <v>#VALUE!</v>
      </c>
      <c r="AQ55" t="str">
        <f ca="1">IFERROR(__xludf.DUMMYFUNCTION("""COMPUTED_VALUE"""),"#VALUE!")</f>
        <v>#VALUE!</v>
      </c>
      <c r="AS55" t="str">
        <f ca="1">IFERROR(__xludf.DUMMYFUNCTION("""COMPUTED_VALUE"""),"#VALUE!")</f>
        <v>#VALUE!</v>
      </c>
      <c r="AU55" t="str">
        <f ca="1">IFERROR(__xludf.DUMMYFUNCTION("""COMPUTED_VALUE"""),"#VALUE!")</f>
        <v>#VALUE!</v>
      </c>
      <c r="AW55" t="str">
        <f ca="1">IFERROR(__xludf.DUMMYFUNCTION("""COMPUTED_VALUE"""),"#VALUE!")</f>
        <v>#VALUE!</v>
      </c>
      <c r="AY55" t="str">
        <f ca="1">IFERROR(__xludf.DUMMYFUNCTION("""COMPUTED_VALUE"""),"#VALUE!")</f>
        <v>#VALUE!</v>
      </c>
      <c r="BA55" t="str">
        <f ca="1">IFERROR(__xludf.DUMMYFUNCTION("""COMPUTED_VALUE"""),"#VALUE!")</f>
        <v>#VALUE!</v>
      </c>
      <c r="BC55" t="str">
        <f ca="1">IFERROR(__xludf.DUMMYFUNCTION("""COMPUTED_VALUE"""),"#VALUE!")</f>
        <v>#VALUE!</v>
      </c>
      <c r="BE55" t="str">
        <f ca="1">IFERROR(__xludf.DUMMYFUNCTION("""COMPUTED_VALUE"""),"#VALUE!")</f>
        <v>#VALUE!</v>
      </c>
      <c r="BG55" t="str">
        <f ca="1">IFERROR(__xludf.DUMMYFUNCTION("""COMPUTED_VALUE"""),"#VALUE!")</f>
        <v>#VALUE!</v>
      </c>
      <c r="BI55" t="str">
        <f ca="1">IFERROR(__xludf.DUMMYFUNCTION("""COMPUTED_VALUE"""),"#VALUE!")</f>
        <v>#VALUE!</v>
      </c>
      <c r="BK55" t="str">
        <f ca="1">IFERROR(__xludf.DUMMYFUNCTION("""COMPUTED_VALUE"""),"#VALUE!")</f>
        <v>#VALUE!</v>
      </c>
      <c r="BM55" t="str">
        <f ca="1">IFERROR(__xludf.DUMMYFUNCTION("""COMPUTED_VALUE"""),"#VALUE!")</f>
        <v>#VALUE!</v>
      </c>
      <c r="BO55" t="str">
        <f ca="1">IFERROR(__xludf.DUMMYFUNCTION("""COMPUTED_VALUE"""),"#VALUE!")</f>
        <v>#VALUE!</v>
      </c>
      <c r="BQ55" t="str">
        <f ca="1">IFERROR(__xludf.DUMMYFUNCTION("""COMPUTED_VALUE"""),"#VALUE!")</f>
        <v>#VALUE!</v>
      </c>
      <c r="BS55" t="str">
        <f ca="1">IFERROR(__xludf.DUMMYFUNCTION("""COMPUTED_VALUE"""),"#VALUE!")</f>
        <v>#VALUE!</v>
      </c>
      <c r="BU55" t="str">
        <f ca="1">IFERROR(__xludf.DUMMYFUNCTION("""COMPUTED_VALUE"""),"#VALUE!")</f>
        <v>#VALUE!</v>
      </c>
      <c r="BW55" t="str">
        <f ca="1">IFERROR(__xludf.DUMMYFUNCTION("""COMPUTED_VALUE"""),"#VALUE!")</f>
        <v>#VALUE!</v>
      </c>
      <c r="BY55" t="str">
        <f ca="1">IFERROR(__xludf.DUMMYFUNCTION("""COMPUTED_VALUE"""),"#VALUE!")</f>
        <v>#VALUE!</v>
      </c>
      <c r="CA55" t="str">
        <f ca="1">IFERROR(__xludf.DUMMYFUNCTION("""COMPUTED_VALUE"""),"#VALUE!")</f>
        <v>#VALUE!</v>
      </c>
      <c r="CC55" t="str">
        <f ca="1">IFERROR(__xludf.DUMMYFUNCTION("""COMPUTED_VALUE"""),"#VALUE!")</f>
        <v>#VALUE!</v>
      </c>
      <c r="CE55" t="str">
        <f ca="1">IFERROR(__xludf.DUMMYFUNCTION("""COMPUTED_VALUE"""),"#VALUE!")</f>
        <v>#VALUE!</v>
      </c>
      <c r="CG55" t="str">
        <f ca="1">IFERROR(__xludf.DUMMYFUNCTION("""COMPUTED_VALUE"""),"#VALUE!")</f>
        <v>#VALUE!</v>
      </c>
      <c r="CI55" t="str">
        <f ca="1">IFERROR(__xludf.DUMMYFUNCTION("""COMPUTED_VALUE"""),"#VALUE!")</f>
        <v>#VALUE!</v>
      </c>
      <c r="CK55" t="str">
        <f ca="1">IFERROR(__xludf.DUMMYFUNCTION("""COMPUTED_VALUE"""),"#VALUE!")</f>
        <v>#VALUE!</v>
      </c>
      <c r="CS55" t="str">
        <f ca="1">IFERROR(__xludf.DUMMYFUNCTION("""COMPUTED_VALUE"""),"#VALUE!")</f>
        <v>#VALUE!</v>
      </c>
      <c r="CU55" t="str">
        <f ca="1">IFERROR(__xludf.DUMMYFUNCTION("""COMPUTED_VALUE"""),"#VALUE!")</f>
        <v>#VALUE!</v>
      </c>
      <c r="CV55" t="str">
        <f ca="1">IFERROR(__xludf.DUMMYFUNCTION("""COMPUTED_VALUE"""),"L0001")</f>
        <v>L0001</v>
      </c>
      <c r="CW55" t="str">
        <f ca="1">IFERROR(__xludf.DUMMYFUNCTION("""COMPUTED_VALUE"""),"Giaveno")</f>
        <v>Giaveno</v>
      </c>
      <c r="CY55" t="str">
        <f ca="1">IFERROR(__xludf.DUMMYFUNCTION("""COMPUTED_VALUE"""),"#VALUE!")</f>
        <v>#VALUE!</v>
      </c>
      <c r="DC55" t="str">
        <f ca="1">IFERROR(__xludf.DUMMYFUNCTION("""COMPUTED_VALUE"""),"#VALUE!")</f>
        <v>#VALUE!</v>
      </c>
      <c r="DE55" t="str">
        <f ca="1">IFERROR(__xludf.DUMMYFUNCTION("""COMPUTED_VALUE"""),"#VALUE!")</f>
        <v>#VALUE!</v>
      </c>
      <c r="DI55" t="str">
        <f ca="1">IFERROR(__xludf.DUMMYFUNCTION("""COMPUTED_VALUE"""),"#VALUE!")</f>
        <v>#VALUE!</v>
      </c>
      <c r="DJ55" t="str">
        <f ca="1">IFERROR(__xludf.DUMMYFUNCTION("""COMPUTED_VALUE"""),"#VALUE!")</f>
        <v>#VALUE!</v>
      </c>
      <c r="DL55" t="str">
        <f ca="1">IFERROR(__xludf.DUMMYFUNCTION("""COMPUTED_VALUE"""),"Davor Salihović")</f>
        <v>Davor Salihović</v>
      </c>
    </row>
    <row r="56" spans="1:116" ht="13.2" x14ac:dyDescent="0.25">
      <c r="A56" t="str">
        <f ca="1">IFERROR(__xludf.DUMMYFUNCTION("""COMPUTED_VALUE"""),"P0055")</f>
        <v>P0055</v>
      </c>
      <c r="B56" t="str">
        <f ca="1">IFERROR(__xludf.DUMMYFUNCTION("""COMPUTED_VALUE"""),"Petrus Rupphini")</f>
        <v>Petrus Rupphini</v>
      </c>
      <c r="D56" t="str">
        <f ca="1">IFERROR(__xludf.DUMMYFUNCTION("""COMPUTED_VALUE"""),"#VALUE!")</f>
        <v>#VALUE!</v>
      </c>
      <c r="E56" t="str">
        <f ca="1">IFERROR(__xludf.DUMMYFUNCTION("""COMPUTED_VALUE"""),"Petrus")</f>
        <v>Petrus</v>
      </c>
      <c r="K56" t="str">
        <f ca="1">IFERROR(__xludf.DUMMYFUNCTION("""COMPUTED_VALUE"""),"Rupphini")</f>
        <v>Rupphini</v>
      </c>
      <c r="L56" t="str">
        <f ca="1">IFERROR(__xludf.DUMMYFUNCTION("""COMPUTED_VALUE"""),"Rupphini")</f>
        <v>Rupphini</v>
      </c>
      <c r="S56" t="str">
        <f ca="1">IFERROR(__xludf.DUMMYFUNCTION("""COMPUTED_VALUE"""),"Latin")</f>
        <v>Latin</v>
      </c>
      <c r="T56" t="str">
        <f ca="1">IFERROR(__xludf.DUMMYFUNCTION("""COMPUTED_VALUE"""),"definite")</f>
        <v>definite</v>
      </c>
      <c r="U56" t="str">
        <f ca="1">IFERROR(__xludf.DUMMYFUNCTION("""COMPUTED_VALUE"""),"C2553")</f>
        <v>C2553</v>
      </c>
      <c r="V56" t="str">
        <f ca="1">IFERROR(__xludf.DUMMYFUNCTION("""COMPUTED_VALUE"""),"male")</f>
        <v>male</v>
      </c>
      <c r="Z56" t="str">
        <f ca="1">IFERROR(__xludf.DUMMYFUNCTION("""COMPUTED_VALUE"""),"164, 168, 169, 172, 174, 177, 182, 192, 193, 194, 196, 197, 199, 200, 203, 205, 206, 211, 223, 227, 228, 232, 233, 234, 236, 237, 239, 245, 250")</f>
        <v>164, 168, 169, 172, 174, 177, 182, 192, 193, 194, 196, 197, 199, 200, 203, 205, 206, 211, 223, 227, 228, 232, 233, 234, 236, 237, 239, 245, 250</v>
      </c>
      <c r="AA56" t="str">
        <f ca="1">IFERROR(__xludf.DUMMYFUNCTION("""COMPUTED_VALUE"""),"d")</f>
        <v>d</v>
      </c>
      <c r="AB56" t="str">
        <f ca="1">IFERROR(__xludf.DUMMYFUNCTION("""COMPUTED_VALUE"""),"suspect")</f>
        <v>suspect</v>
      </c>
      <c r="AD56" t="str">
        <f ca="1">IFERROR(__xludf.DUMMYFUNCTION("""COMPUTED_VALUE"""),"C3287")</f>
        <v>C3287</v>
      </c>
      <c r="AE56" t="str">
        <f ca="1">IFERROR(__xludf.DUMMYFUNCTION("""COMPUTED_VALUE"""),"alive")</f>
        <v>alive</v>
      </c>
      <c r="AF56" t="str">
        <f ca="1">IFERROR(__xludf.DUMMYFUNCTION("""COMPUTED_VALUE"""),"C1753")</f>
        <v>C1753</v>
      </c>
      <c r="AG56" t="str">
        <f ca="1">IFERROR(__xludf.DUMMYFUNCTION("""COMPUTED_VALUE"""),"1335-01-20")</f>
        <v>1335-01-20</v>
      </c>
      <c r="AH56" t="str">
        <f ca="1">IFERROR(__xludf.DUMMYFUNCTION("""COMPUTED_VALUE"""),"C2347")</f>
        <v>C2347</v>
      </c>
      <c r="AI56" t="str">
        <f ca="1">IFERROR(__xludf.DUMMYFUNCTION("""COMPUTED_VALUE"""),"sister")</f>
        <v>sister</v>
      </c>
      <c r="AJ56" t="str">
        <f ca="1">IFERROR(__xludf.DUMMYFUNCTION("""COMPUTED_VALUE"""),"P0056")</f>
        <v>P0056</v>
      </c>
      <c r="AK56" t="str">
        <f ca="1">IFERROR(__xludf.DUMMYFUNCTION("""COMPUTED_VALUE"""),"soror Petri Rupphini")</f>
        <v>soror Petri Rupphini</v>
      </c>
      <c r="AL56" t="str">
        <f ca="1">IFERROR(__xludf.DUMMYFUNCTION("""COMPUTED_VALUE"""),"C2347")</f>
        <v>C2347</v>
      </c>
      <c r="AM56" t="str">
        <f ca="1">IFERROR(__xludf.DUMMYFUNCTION("""COMPUTED_VALUE"""),"sister")</f>
        <v>sister</v>
      </c>
      <c r="AN56" t="str">
        <f ca="1">IFERROR(__xludf.DUMMYFUNCTION("""COMPUTED_VALUE"""),"P0140")</f>
        <v>P0140</v>
      </c>
      <c r="AO56" t="str">
        <f ca="1">IFERROR(__xludf.DUMMYFUNCTION("""COMPUTED_VALUE"""),"Hermelina, soror Petri Rupphini")</f>
        <v>Hermelina, soror Petri Rupphini</v>
      </c>
      <c r="AP56" t="str">
        <f ca="1">IFERROR(__xludf.DUMMYFUNCTION("""COMPUTED_VALUE"""),"C2341")</f>
        <v>C2341</v>
      </c>
      <c r="AQ56" t="str">
        <f ca="1">IFERROR(__xludf.DUMMYFUNCTION("""COMPUTED_VALUE"""),"mother")</f>
        <v>mother</v>
      </c>
      <c r="AR56" t="str">
        <f ca="1">IFERROR(__xludf.DUMMYFUNCTION("""COMPUTED_VALUE"""),"P0294")</f>
        <v>P0294</v>
      </c>
      <c r="AS56" t="str">
        <f ca="1">IFERROR(__xludf.DUMMYFUNCTION("""COMPUTED_VALUE"""),"mater Petri Rupphini")</f>
        <v>mater Petri Rupphini</v>
      </c>
      <c r="AT56" t="str">
        <f ca="1">IFERROR(__xludf.DUMMYFUNCTION("""COMPUTED_VALUE"""),"C2348")</f>
        <v>C2348</v>
      </c>
      <c r="AU56" t="str">
        <f ca="1">IFERROR(__xludf.DUMMYFUNCTION("""COMPUTED_VALUE"""),"wife")</f>
        <v>wife</v>
      </c>
      <c r="AV56" t="str">
        <f ca="1">IFERROR(__xludf.DUMMYFUNCTION("""COMPUTED_VALUE"""),"P0298")</f>
        <v>P0298</v>
      </c>
      <c r="AW56" t="str">
        <f ca="1">IFERROR(__xludf.DUMMYFUNCTION("""COMPUTED_VALUE"""),"uxor Petri Rupphini")</f>
        <v>uxor Petri Rupphini</v>
      </c>
      <c r="AX56" t="str">
        <f ca="1">IFERROR(__xludf.DUMMYFUNCTION("""COMPUTED_VALUE"""),"C2347")</f>
        <v>C2347</v>
      </c>
      <c r="AY56" t="str">
        <f ca="1">IFERROR(__xludf.DUMMYFUNCTION("""COMPUTED_VALUE"""),"sister")</f>
        <v>sister</v>
      </c>
      <c r="AZ56" t="str">
        <f ca="1">IFERROR(__xludf.DUMMYFUNCTION("""COMPUTED_VALUE"""),"P0388")</f>
        <v>P0388</v>
      </c>
      <c r="BA56" t="str">
        <f ca="1">IFERROR(__xludf.DUMMYFUNCTION("""COMPUTED_VALUE"""),"Mathondina, soror Petri Rupphini")</f>
        <v>Mathondina, soror Petri Rupphini</v>
      </c>
      <c r="BB56" t="str">
        <f ca="1">IFERROR(__xludf.DUMMYFUNCTION("""COMPUTED_VALUE"""),"C0147")</f>
        <v>C0147</v>
      </c>
      <c r="BC56" t="str">
        <f ca="1">IFERROR(__xludf.DUMMYFUNCTION("""COMPUTED_VALUE"""),"warrantor")</f>
        <v>warrantor</v>
      </c>
      <c r="BD56" t="str">
        <f ca="1">IFERROR(__xludf.DUMMYFUNCTION("""COMPUTED_VALUE"""),"P0179")</f>
        <v>P0179</v>
      </c>
      <c r="BE56" t="str">
        <f ca="1">IFERROR(__xludf.DUMMYFUNCTION("""COMPUTED_VALUE"""),"Guigo de Falcona")</f>
        <v>Guigo de Falcona</v>
      </c>
      <c r="BF56" t="str">
        <f ca="1">IFERROR(__xludf.DUMMYFUNCTION("""COMPUTED_VALUE"""),"C0147")</f>
        <v>C0147</v>
      </c>
      <c r="BG56" t="str">
        <f ca="1">IFERROR(__xludf.DUMMYFUNCTION("""COMPUTED_VALUE"""),"warrantor")</f>
        <v>warrantor</v>
      </c>
      <c r="BH56" t="str">
        <f ca="1">IFERROR(__xludf.DUMMYFUNCTION("""COMPUTED_VALUE"""),"P0309")</f>
        <v>P0309</v>
      </c>
      <c r="BI56" t="str">
        <f ca="1">IFERROR(__xludf.DUMMYFUNCTION("""COMPUTED_VALUE"""),"Martinus Ferrerius")</f>
        <v>Martinus Ferrerius</v>
      </c>
      <c r="BK56" t="str">
        <f ca="1">IFERROR(__xludf.DUMMYFUNCTION("""COMPUTED_VALUE"""),"#VALUE!")</f>
        <v>#VALUE!</v>
      </c>
      <c r="BM56" t="str">
        <f ca="1">IFERROR(__xludf.DUMMYFUNCTION("""COMPUTED_VALUE"""),"#VALUE!")</f>
        <v>#VALUE!</v>
      </c>
      <c r="BO56" t="str">
        <f ca="1">IFERROR(__xludf.DUMMYFUNCTION("""COMPUTED_VALUE"""),"#VALUE!")</f>
        <v>#VALUE!</v>
      </c>
      <c r="BQ56" t="str">
        <f ca="1">IFERROR(__xludf.DUMMYFUNCTION("""COMPUTED_VALUE"""),"#VALUE!")</f>
        <v>#VALUE!</v>
      </c>
      <c r="BS56" t="str">
        <f ca="1">IFERROR(__xludf.DUMMYFUNCTION("""COMPUTED_VALUE"""),"#VALUE!")</f>
        <v>#VALUE!</v>
      </c>
      <c r="BU56" t="str">
        <f ca="1">IFERROR(__xludf.DUMMYFUNCTION("""COMPUTED_VALUE"""),"#VALUE!")</f>
        <v>#VALUE!</v>
      </c>
      <c r="BW56" t="str">
        <f ca="1">IFERROR(__xludf.DUMMYFUNCTION("""COMPUTED_VALUE"""),"#VALUE!")</f>
        <v>#VALUE!</v>
      </c>
      <c r="BY56" t="str">
        <f ca="1">IFERROR(__xludf.DUMMYFUNCTION("""COMPUTED_VALUE"""),"#VALUE!")</f>
        <v>#VALUE!</v>
      </c>
      <c r="CA56" t="str">
        <f ca="1">IFERROR(__xludf.DUMMYFUNCTION("""COMPUTED_VALUE"""),"#VALUE!")</f>
        <v>#VALUE!</v>
      </c>
      <c r="CC56" t="str">
        <f ca="1">IFERROR(__xludf.DUMMYFUNCTION("""COMPUTED_VALUE"""),"#VALUE!")</f>
        <v>#VALUE!</v>
      </c>
      <c r="CD56" t="str">
        <f ca="1">IFERROR(__xludf.DUMMYFUNCTION("""COMPUTED_VALUE"""),"C3598")</f>
        <v>C3598</v>
      </c>
      <c r="CE56" t="str">
        <f ca="1">IFERROR(__xludf.DUMMYFUNCTION("""COMPUTED_VALUE"""),"location of congregation")</f>
        <v>location of congregation</v>
      </c>
      <c r="CF56" t="str">
        <f ca="1">IFERROR(__xludf.DUMMYFUNCTION("""COMPUTED_VALUE"""),"L0065#L0068#L0032#L0080#L0104#L0122#L0132#L0097")</f>
        <v>L0065#L0068#L0032#L0080#L0104#L0122#L0132#L0097</v>
      </c>
      <c r="CG56" t="str">
        <f ca="1">IFERROR(__xludf.DUMMYFUNCTION("""COMPUTED_VALUE"""),"domus Iohannis de Castagno de Giaveno #domus Vieti de Mondino #domus Villelmi de Oddo #domus Petrii Burgi #domus Beatricis de Oddo #domus Margerite Planche #domus Aleysine Burgi #domus Iohannis Borrellati")</f>
        <v>domus Iohannis de Castagno de Giaveno #domus Vieti de Mondino #domus Villelmi de Oddo #domus Petrii Burgi #domus Beatricis de Oddo #domus Margerite Planche #domus Aleysine Burgi #domus Iohannis Borrellati</v>
      </c>
      <c r="CH56" t="str">
        <f ca="1">IFERROR(__xludf.DUMMYFUNCTION("""COMPUTED_VALUE"""),"P0179#P0309")</f>
        <v>P0179#P0309</v>
      </c>
      <c r="CI56" t="str">
        <f ca="1">IFERROR(__xludf.DUMMYFUNCTION("""COMPUTED_VALUE"""),"Guigo de Falcona #Martinus Ferrerius")</f>
        <v>Guigo de Falcona #Martinus Ferrerius</v>
      </c>
      <c r="CJ56" t="str">
        <f ca="1">IFERROR(__xludf.DUMMYFUNCTION("""COMPUTED_VALUE"""),"P0276#P0290#P0229")</f>
        <v>P0276#P0290#P0229</v>
      </c>
      <c r="CK56" t="str">
        <f ca="1">IFERROR(__xludf.DUMMYFUNCTION("""COMPUTED_VALUE"""),"Bonetus de Girardo #Aymoneta, filia Marguerite Borssete #Marguerita Borsseta")</f>
        <v>Bonetus de Girardo #Aymoneta, filia Marguerite Borssete #Marguerita Borsseta</v>
      </c>
      <c r="CS56" t="str">
        <f ca="1">IFERROR(__xludf.DUMMYFUNCTION("""COMPUTED_VALUE"""),"#VALUE!")</f>
        <v>#VALUE!</v>
      </c>
      <c r="CU56" t="str">
        <f ca="1">IFERROR(__xludf.DUMMYFUNCTION("""COMPUTED_VALUE"""),"#VALUE!")</f>
        <v>#VALUE!</v>
      </c>
      <c r="CV56" t="str">
        <f ca="1">IFERROR(__xludf.DUMMYFUNCTION("""COMPUTED_VALUE"""),"L0001")</f>
        <v>L0001</v>
      </c>
      <c r="CW56" t="str">
        <f ca="1">IFERROR(__xludf.DUMMYFUNCTION("""COMPUTED_VALUE"""),"Giaveno")</f>
        <v>Giaveno</v>
      </c>
      <c r="CY56" t="str">
        <f ca="1">IFERROR(__xludf.DUMMYFUNCTION("""COMPUTED_VALUE"""),"#VALUE!")</f>
        <v>#VALUE!</v>
      </c>
      <c r="DC56" t="str">
        <f ca="1">IFERROR(__xludf.DUMMYFUNCTION("""COMPUTED_VALUE"""),"#VALUE!")</f>
        <v>#VALUE!</v>
      </c>
      <c r="DE56" t="str">
        <f ca="1">IFERROR(__xludf.DUMMYFUNCTION("""COMPUTED_VALUE"""),"#VALUE!")</f>
        <v>#VALUE!</v>
      </c>
      <c r="DF56" t="str">
        <f ca="1">IFERROR(__xludf.DUMMYFUNCTION("""COMPUTED_VALUE"""),"y")</f>
        <v>y</v>
      </c>
      <c r="DG56" t="str">
        <f ca="1">IFERROR(__xludf.DUMMYFUNCTION("""COMPUTED_VALUE"""),"174-175, 192-193")</f>
        <v>174-175, 192-193</v>
      </c>
      <c r="DH56" t="str">
        <f ca="1">IFERROR(__xludf.DUMMYFUNCTION("""COMPUTED_VALUE"""),"L0065#L0068#L0032#L0080#L0104#L0122#L0132#L0097")</f>
        <v>L0065#L0068#L0032#L0080#L0104#L0122#L0132#L0097</v>
      </c>
      <c r="DI56" t="str">
        <f ca="1">IFERROR(__xludf.DUMMYFUNCTION("""COMPUTED_VALUE"""),"domus Iohannis de Castagno de Giaveno #domus Vieti de Mondino #domus Villelmi de Oddo #domus Petrii Burgi #domus Beatricis de Oddo #domus Margerite Planche #domus Aleysine Burgi #domus Iohannis Borrellati")</f>
        <v>domus Iohannis de Castagno de Giaveno #domus Vieti de Mondino #domus Villelmi de Oddo #domus Petrii Burgi #domus Beatricis de Oddo #domus Margerite Planche #domus Aleysine Burgi #domus Iohannis Borrellati</v>
      </c>
      <c r="DJ56" t="str">
        <f ca="1">IFERROR(__xludf.DUMMYFUNCTION("""COMPUTED_VALUE"""),"domus #domus #domus #domus #domus #domus #domus #domus")</f>
        <v>domus #domus #domus #domus #domus #domus #domus #domus</v>
      </c>
      <c r="DL56" t="str">
        <f ca="1">IFERROR(__xludf.DUMMYFUNCTION("""COMPUTED_VALUE"""),"Davor Salihović")</f>
        <v>Davor Salihović</v>
      </c>
    </row>
    <row r="57" spans="1:116" ht="13.2" x14ac:dyDescent="0.25">
      <c r="A57" t="str">
        <f ca="1">IFERROR(__xludf.DUMMYFUNCTION("""COMPUTED_VALUE"""),"P0056")</f>
        <v>P0056</v>
      </c>
      <c r="B57" t="str">
        <f ca="1">IFERROR(__xludf.DUMMYFUNCTION("""COMPUTED_VALUE"""),"soror Petri Rupphini")</f>
        <v>soror Petri Rupphini</v>
      </c>
      <c r="D57" t="str">
        <f ca="1">IFERROR(__xludf.DUMMYFUNCTION("""COMPUTED_VALUE"""),"#VALUE!")</f>
        <v>#VALUE!</v>
      </c>
      <c r="E57" t="str">
        <f ca="1">IFERROR(__xludf.DUMMYFUNCTION("""COMPUTED_VALUE"""),"soror Petri Rupphini")</f>
        <v>soror Petri Rupphini</v>
      </c>
      <c r="K57" t="str">
        <f ca="1">IFERROR(__xludf.DUMMYFUNCTION("""COMPUTED_VALUE"""),"Rupphini")</f>
        <v>Rupphini</v>
      </c>
      <c r="L57" t="str">
        <f ca="1">IFERROR(__xludf.DUMMYFUNCTION("""COMPUTED_VALUE"""),"Rupphini")</f>
        <v>Rupphini</v>
      </c>
      <c r="S57" t="str">
        <f ca="1">IFERROR(__xludf.DUMMYFUNCTION("""COMPUTED_VALUE"""),"Latin")</f>
        <v>Latin</v>
      </c>
      <c r="T57" t="str">
        <f ca="1">IFERROR(__xludf.DUMMYFUNCTION("""COMPUTED_VALUE"""),"indefinite")</f>
        <v>indefinite</v>
      </c>
      <c r="U57" t="str">
        <f ca="1">IFERROR(__xludf.DUMMYFUNCTION("""COMPUTED_VALUE"""),"C2552")</f>
        <v>C2552</v>
      </c>
      <c r="V57" t="str">
        <f ca="1">IFERROR(__xludf.DUMMYFUNCTION("""COMPUTED_VALUE"""),"female")</f>
        <v>female</v>
      </c>
      <c r="Z57" t="str">
        <f ca="1">IFERROR(__xludf.DUMMYFUNCTION("""COMPUTED_VALUE"""),"164")</f>
        <v>164</v>
      </c>
      <c r="AA57" t="str">
        <f ca="1">IFERROR(__xludf.DUMMYFUNCTION("""COMPUTED_VALUE"""),"d")</f>
        <v>d</v>
      </c>
      <c r="AB57" t="str">
        <f ca="1">IFERROR(__xludf.DUMMYFUNCTION("""COMPUTED_VALUE"""),"suspect")</f>
        <v>suspect</v>
      </c>
      <c r="AE57" t="str">
        <f ca="1">IFERROR(__xludf.DUMMYFUNCTION("""COMPUTED_VALUE"""),"#VALUE!")</f>
        <v>#VALUE!</v>
      </c>
      <c r="AF57" t="str">
        <f ca="1">IFERROR(__xludf.DUMMYFUNCTION("""COMPUTED_VALUE"""),"#N/A")</f>
        <v>#N/A</v>
      </c>
      <c r="AG57" t="str">
        <f ca="1">IFERROR(__xludf.DUMMYFUNCTION("""COMPUTED_VALUE"""),"#N/A")</f>
        <v>#N/A</v>
      </c>
      <c r="AI57" t="str">
        <f ca="1">IFERROR(__xludf.DUMMYFUNCTION("""COMPUTED_VALUE"""),"#VALUE!")</f>
        <v>#VALUE!</v>
      </c>
      <c r="AK57" t="str">
        <f ca="1">IFERROR(__xludf.DUMMYFUNCTION("""COMPUTED_VALUE"""),"#VALUE!")</f>
        <v>#VALUE!</v>
      </c>
      <c r="AM57" t="str">
        <f ca="1">IFERROR(__xludf.DUMMYFUNCTION("""COMPUTED_VALUE"""),"#VALUE!")</f>
        <v>#VALUE!</v>
      </c>
      <c r="AO57" t="str">
        <f ca="1">IFERROR(__xludf.DUMMYFUNCTION("""COMPUTED_VALUE"""),"#VALUE!")</f>
        <v>#VALUE!</v>
      </c>
      <c r="AQ57" t="str">
        <f ca="1">IFERROR(__xludf.DUMMYFUNCTION("""COMPUTED_VALUE"""),"#VALUE!")</f>
        <v>#VALUE!</v>
      </c>
      <c r="AS57" t="str">
        <f ca="1">IFERROR(__xludf.DUMMYFUNCTION("""COMPUTED_VALUE"""),"#VALUE!")</f>
        <v>#VALUE!</v>
      </c>
      <c r="AU57" t="str">
        <f ca="1">IFERROR(__xludf.DUMMYFUNCTION("""COMPUTED_VALUE"""),"#VALUE!")</f>
        <v>#VALUE!</v>
      </c>
      <c r="AW57" t="str">
        <f ca="1">IFERROR(__xludf.DUMMYFUNCTION("""COMPUTED_VALUE"""),"#VALUE!")</f>
        <v>#VALUE!</v>
      </c>
      <c r="AY57" t="str">
        <f ca="1">IFERROR(__xludf.DUMMYFUNCTION("""COMPUTED_VALUE"""),"#VALUE!")</f>
        <v>#VALUE!</v>
      </c>
      <c r="BA57" t="str">
        <f ca="1">IFERROR(__xludf.DUMMYFUNCTION("""COMPUTED_VALUE"""),"#VALUE!")</f>
        <v>#VALUE!</v>
      </c>
      <c r="BC57" t="str">
        <f ca="1">IFERROR(__xludf.DUMMYFUNCTION("""COMPUTED_VALUE"""),"#VALUE!")</f>
        <v>#VALUE!</v>
      </c>
      <c r="BE57" t="str">
        <f ca="1">IFERROR(__xludf.DUMMYFUNCTION("""COMPUTED_VALUE"""),"#VALUE!")</f>
        <v>#VALUE!</v>
      </c>
      <c r="BG57" t="str">
        <f ca="1">IFERROR(__xludf.DUMMYFUNCTION("""COMPUTED_VALUE"""),"#VALUE!")</f>
        <v>#VALUE!</v>
      </c>
      <c r="BI57" t="str">
        <f ca="1">IFERROR(__xludf.DUMMYFUNCTION("""COMPUTED_VALUE"""),"#VALUE!")</f>
        <v>#VALUE!</v>
      </c>
      <c r="BK57" t="str">
        <f ca="1">IFERROR(__xludf.DUMMYFUNCTION("""COMPUTED_VALUE"""),"#VALUE!")</f>
        <v>#VALUE!</v>
      </c>
      <c r="BM57" t="str">
        <f ca="1">IFERROR(__xludf.DUMMYFUNCTION("""COMPUTED_VALUE"""),"#VALUE!")</f>
        <v>#VALUE!</v>
      </c>
      <c r="BO57" t="str">
        <f ca="1">IFERROR(__xludf.DUMMYFUNCTION("""COMPUTED_VALUE"""),"#VALUE!")</f>
        <v>#VALUE!</v>
      </c>
      <c r="BQ57" t="str">
        <f ca="1">IFERROR(__xludf.DUMMYFUNCTION("""COMPUTED_VALUE"""),"#VALUE!")</f>
        <v>#VALUE!</v>
      </c>
      <c r="BS57" t="str">
        <f ca="1">IFERROR(__xludf.DUMMYFUNCTION("""COMPUTED_VALUE"""),"#VALUE!")</f>
        <v>#VALUE!</v>
      </c>
      <c r="BU57" t="str">
        <f ca="1">IFERROR(__xludf.DUMMYFUNCTION("""COMPUTED_VALUE"""),"#VALUE!")</f>
        <v>#VALUE!</v>
      </c>
      <c r="BW57" t="str">
        <f ca="1">IFERROR(__xludf.DUMMYFUNCTION("""COMPUTED_VALUE"""),"#VALUE!")</f>
        <v>#VALUE!</v>
      </c>
      <c r="BY57" t="str">
        <f ca="1">IFERROR(__xludf.DUMMYFUNCTION("""COMPUTED_VALUE"""),"#VALUE!")</f>
        <v>#VALUE!</v>
      </c>
      <c r="CA57" t="str">
        <f ca="1">IFERROR(__xludf.DUMMYFUNCTION("""COMPUTED_VALUE"""),"#VALUE!")</f>
        <v>#VALUE!</v>
      </c>
      <c r="CC57" t="str">
        <f ca="1">IFERROR(__xludf.DUMMYFUNCTION("""COMPUTED_VALUE"""),"#VALUE!")</f>
        <v>#VALUE!</v>
      </c>
      <c r="CE57" t="str">
        <f ca="1">IFERROR(__xludf.DUMMYFUNCTION("""COMPUTED_VALUE"""),"#VALUE!")</f>
        <v>#VALUE!</v>
      </c>
      <c r="CG57" t="str">
        <f ca="1">IFERROR(__xludf.DUMMYFUNCTION("""COMPUTED_VALUE"""),"#VALUE!")</f>
        <v>#VALUE!</v>
      </c>
      <c r="CI57" t="str">
        <f ca="1">IFERROR(__xludf.DUMMYFUNCTION("""COMPUTED_VALUE"""),"#VALUE!")</f>
        <v>#VALUE!</v>
      </c>
      <c r="CK57" t="str">
        <f ca="1">IFERROR(__xludf.DUMMYFUNCTION("""COMPUTED_VALUE"""),"#VALUE!")</f>
        <v>#VALUE!</v>
      </c>
      <c r="CS57" t="str">
        <f ca="1">IFERROR(__xludf.DUMMYFUNCTION("""COMPUTED_VALUE"""),"#VALUE!")</f>
        <v>#VALUE!</v>
      </c>
      <c r="CU57" t="str">
        <f ca="1">IFERROR(__xludf.DUMMYFUNCTION("""COMPUTED_VALUE"""),"#VALUE!")</f>
        <v>#VALUE!</v>
      </c>
      <c r="CV57" t="str">
        <f ca="1">IFERROR(__xludf.DUMMYFUNCTION("""COMPUTED_VALUE"""),"L0001")</f>
        <v>L0001</v>
      </c>
      <c r="CW57" t="str">
        <f ca="1">IFERROR(__xludf.DUMMYFUNCTION("""COMPUTED_VALUE"""),"Giaveno")</f>
        <v>Giaveno</v>
      </c>
      <c r="CY57" t="str">
        <f ca="1">IFERROR(__xludf.DUMMYFUNCTION("""COMPUTED_VALUE"""),"#VALUE!")</f>
        <v>#VALUE!</v>
      </c>
      <c r="DC57" t="str">
        <f ca="1">IFERROR(__xludf.DUMMYFUNCTION("""COMPUTED_VALUE"""),"#VALUE!")</f>
        <v>#VALUE!</v>
      </c>
      <c r="DE57" t="str">
        <f ca="1">IFERROR(__xludf.DUMMYFUNCTION("""COMPUTED_VALUE"""),"#VALUE!")</f>
        <v>#VALUE!</v>
      </c>
      <c r="DI57" t="str">
        <f ca="1">IFERROR(__xludf.DUMMYFUNCTION("""COMPUTED_VALUE"""),"#VALUE!")</f>
        <v>#VALUE!</v>
      </c>
      <c r="DJ57" t="str">
        <f ca="1">IFERROR(__xludf.DUMMYFUNCTION("""COMPUTED_VALUE"""),"#VALUE!")</f>
        <v>#VALUE!</v>
      </c>
      <c r="DL57" t="str">
        <f ca="1">IFERROR(__xludf.DUMMYFUNCTION("""COMPUTED_VALUE"""),"Davor Salihović")</f>
        <v>Davor Salihović</v>
      </c>
    </row>
    <row r="58" spans="1:116" ht="13.2" x14ac:dyDescent="0.25">
      <c r="A58" t="str">
        <f ca="1">IFERROR(__xludf.DUMMYFUNCTION("""COMPUTED_VALUE"""),"P0057")</f>
        <v>P0057</v>
      </c>
      <c r="B58" t="str">
        <f ca="1">IFERROR(__xludf.DUMMYFUNCTION("""COMPUTED_VALUE"""),"Petrus Truchy")</f>
        <v>Petrus Truchy</v>
      </c>
      <c r="D58" t="str">
        <f ca="1">IFERROR(__xludf.DUMMYFUNCTION("""COMPUTED_VALUE"""),"#VALUE!")</f>
        <v>#VALUE!</v>
      </c>
      <c r="E58" t="str">
        <f ca="1">IFERROR(__xludf.DUMMYFUNCTION("""COMPUTED_VALUE"""),"Petrus")</f>
        <v>Petrus</v>
      </c>
      <c r="K58" t="str">
        <f ca="1">IFERROR(__xludf.DUMMYFUNCTION("""COMPUTED_VALUE"""),"Truchy")</f>
        <v>Truchy</v>
      </c>
      <c r="L58" t="str">
        <f ca="1">IFERROR(__xludf.DUMMYFUNCTION("""COMPUTED_VALUE"""),"Truchy")</f>
        <v>Truchy</v>
      </c>
      <c r="S58" t="str">
        <f ca="1">IFERROR(__xludf.DUMMYFUNCTION("""COMPUTED_VALUE"""),"Latin")</f>
        <v>Latin</v>
      </c>
      <c r="T58" t="str">
        <f ca="1">IFERROR(__xludf.DUMMYFUNCTION("""COMPUTED_VALUE"""),"definite")</f>
        <v>definite</v>
      </c>
      <c r="U58" t="str">
        <f ca="1">IFERROR(__xludf.DUMMYFUNCTION("""COMPUTED_VALUE"""),"C2553")</f>
        <v>C2553</v>
      </c>
      <c r="V58" t="str">
        <f ca="1">IFERROR(__xludf.DUMMYFUNCTION("""COMPUTED_VALUE"""),"male")</f>
        <v>male</v>
      </c>
      <c r="Z58" t="str">
        <f ca="1">IFERROR(__xludf.DUMMYFUNCTION("""COMPUTED_VALUE"""),"165")</f>
        <v>165</v>
      </c>
      <c r="AA58" t="str">
        <f ca="1">IFERROR(__xludf.DUMMYFUNCTION("""COMPUTED_VALUE"""),"d")</f>
        <v>d</v>
      </c>
      <c r="AB58" t="str">
        <f ca="1">IFERROR(__xludf.DUMMYFUNCTION("""COMPUTED_VALUE"""),"deponent")</f>
        <v>deponent</v>
      </c>
      <c r="AD58" t="str">
        <f ca="1">IFERROR(__xludf.DUMMYFUNCTION("""COMPUTED_VALUE"""),"C3287")</f>
        <v>C3287</v>
      </c>
      <c r="AE58" t="str">
        <f ca="1">IFERROR(__xludf.DUMMYFUNCTION("""COMPUTED_VALUE"""),"alive")</f>
        <v>alive</v>
      </c>
      <c r="AF58" t="str">
        <f ca="1">IFERROR(__xludf.DUMMYFUNCTION("""COMPUTED_VALUE"""),"C1753")</f>
        <v>C1753</v>
      </c>
      <c r="AG58" t="str">
        <f ca="1">IFERROR(__xludf.DUMMYFUNCTION("""COMPUTED_VALUE"""),"1335-01-20")</f>
        <v>1335-01-20</v>
      </c>
      <c r="AI58" t="str">
        <f ca="1">IFERROR(__xludf.DUMMYFUNCTION("""COMPUTED_VALUE"""),"#VALUE!")</f>
        <v>#VALUE!</v>
      </c>
      <c r="AK58" t="str">
        <f ca="1">IFERROR(__xludf.DUMMYFUNCTION("""COMPUTED_VALUE"""),"#VALUE!")</f>
        <v>#VALUE!</v>
      </c>
      <c r="AM58" t="str">
        <f ca="1">IFERROR(__xludf.DUMMYFUNCTION("""COMPUTED_VALUE"""),"#VALUE!")</f>
        <v>#VALUE!</v>
      </c>
      <c r="AO58" t="str">
        <f ca="1">IFERROR(__xludf.DUMMYFUNCTION("""COMPUTED_VALUE"""),"#VALUE!")</f>
        <v>#VALUE!</v>
      </c>
      <c r="AQ58" t="str">
        <f ca="1">IFERROR(__xludf.DUMMYFUNCTION("""COMPUTED_VALUE"""),"#VALUE!")</f>
        <v>#VALUE!</v>
      </c>
      <c r="AS58" t="str">
        <f ca="1">IFERROR(__xludf.DUMMYFUNCTION("""COMPUTED_VALUE"""),"#VALUE!")</f>
        <v>#VALUE!</v>
      </c>
      <c r="AU58" t="str">
        <f ca="1">IFERROR(__xludf.DUMMYFUNCTION("""COMPUTED_VALUE"""),"#VALUE!")</f>
        <v>#VALUE!</v>
      </c>
      <c r="AW58" t="str">
        <f ca="1">IFERROR(__xludf.DUMMYFUNCTION("""COMPUTED_VALUE"""),"#VALUE!")</f>
        <v>#VALUE!</v>
      </c>
      <c r="AY58" t="str">
        <f ca="1">IFERROR(__xludf.DUMMYFUNCTION("""COMPUTED_VALUE"""),"#VALUE!")</f>
        <v>#VALUE!</v>
      </c>
      <c r="BA58" t="str">
        <f ca="1">IFERROR(__xludf.DUMMYFUNCTION("""COMPUTED_VALUE"""),"#VALUE!")</f>
        <v>#VALUE!</v>
      </c>
      <c r="BC58" t="str">
        <f ca="1">IFERROR(__xludf.DUMMYFUNCTION("""COMPUTED_VALUE"""),"#VALUE!")</f>
        <v>#VALUE!</v>
      </c>
      <c r="BE58" t="str">
        <f ca="1">IFERROR(__xludf.DUMMYFUNCTION("""COMPUTED_VALUE"""),"#VALUE!")</f>
        <v>#VALUE!</v>
      </c>
      <c r="BG58" t="str">
        <f ca="1">IFERROR(__xludf.DUMMYFUNCTION("""COMPUTED_VALUE"""),"#VALUE!")</f>
        <v>#VALUE!</v>
      </c>
      <c r="BI58" t="str">
        <f ca="1">IFERROR(__xludf.DUMMYFUNCTION("""COMPUTED_VALUE"""),"#VALUE!")</f>
        <v>#VALUE!</v>
      </c>
      <c r="BK58" t="str">
        <f ca="1">IFERROR(__xludf.DUMMYFUNCTION("""COMPUTED_VALUE"""),"#VALUE!")</f>
        <v>#VALUE!</v>
      </c>
      <c r="BM58" t="str">
        <f ca="1">IFERROR(__xludf.DUMMYFUNCTION("""COMPUTED_VALUE"""),"#VALUE!")</f>
        <v>#VALUE!</v>
      </c>
      <c r="BO58" t="str">
        <f ca="1">IFERROR(__xludf.DUMMYFUNCTION("""COMPUTED_VALUE"""),"#VALUE!")</f>
        <v>#VALUE!</v>
      </c>
      <c r="BQ58" t="str">
        <f ca="1">IFERROR(__xludf.DUMMYFUNCTION("""COMPUTED_VALUE"""),"#VALUE!")</f>
        <v>#VALUE!</v>
      </c>
      <c r="BS58" t="str">
        <f ca="1">IFERROR(__xludf.DUMMYFUNCTION("""COMPUTED_VALUE"""),"#VALUE!")</f>
        <v>#VALUE!</v>
      </c>
      <c r="BU58" t="str">
        <f ca="1">IFERROR(__xludf.DUMMYFUNCTION("""COMPUTED_VALUE"""),"#VALUE!")</f>
        <v>#VALUE!</v>
      </c>
      <c r="BW58" t="str">
        <f ca="1">IFERROR(__xludf.DUMMYFUNCTION("""COMPUTED_VALUE"""),"#VALUE!")</f>
        <v>#VALUE!</v>
      </c>
      <c r="BY58" t="str">
        <f ca="1">IFERROR(__xludf.DUMMYFUNCTION("""COMPUTED_VALUE"""),"#VALUE!")</f>
        <v>#VALUE!</v>
      </c>
      <c r="CA58" t="str">
        <f ca="1">IFERROR(__xludf.DUMMYFUNCTION("""COMPUTED_VALUE"""),"#VALUE!")</f>
        <v>#VALUE!</v>
      </c>
      <c r="CC58" t="str">
        <f ca="1">IFERROR(__xludf.DUMMYFUNCTION("""COMPUTED_VALUE"""),"#VALUE!")</f>
        <v>#VALUE!</v>
      </c>
      <c r="CE58" t="str">
        <f ca="1">IFERROR(__xludf.DUMMYFUNCTION("""COMPUTED_VALUE"""),"#VALUE!")</f>
        <v>#VALUE!</v>
      </c>
      <c r="CG58" t="str">
        <f ca="1">IFERROR(__xludf.DUMMYFUNCTION("""COMPUTED_VALUE"""),"#VALUE!")</f>
        <v>#VALUE!</v>
      </c>
      <c r="CI58" t="str">
        <f ca="1">IFERROR(__xludf.DUMMYFUNCTION("""COMPUTED_VALUE"""),"#VALUE!")</f>
        <v>#VALUE!</v>
      </c>
      <c r="CK58" t="str">
        <f ca="1">IFERROR(__xludf.DUMMYFUNCTION("""COMPUTED_VALUE"""),"#VALUE!")</f>
        <v>#VALUE!</v>
      </c>
      <c r="CR58" t="str">
        <f ca="1">IFERROR(__xludf.DUMMYFUNCTION("""COMPUTED_VALUE"""),"L0013")</f>
        <v>L0013</v>
      </c>
      <c r="CS58" t="str">
        <f ca="1">IFERROR(__xludf.DUMMYFUNCTION("""COMPUTED_VALUE"""),"Folatone")</f>
        <v>Folatone</v>
      </c>
      <c r="CU58" t="str">
        <f ca="1">IFERROR(__xludf.DUMMYFUNCTION("""COMPUTED_VALUE"""),"#VALUE!")</f>
        <v>#VALUE!</v>
      </c>
      <c r="CW58" t="str">
        <f ca="1">IFERROR(__xludf.DUMMYFUNCTION("""COMPUTED_VALUE"""),"#VALUE!")</f>
        <v>#VALUE!</v>
      </c>
      <c r="CY58" t="str">
        <f ca="1">IFERROR(__xludf.DUMMYFUNCTION("""COMPUTED_VALUE"""),"#VALUE!")</f>
        <v>#VALUE!</v>
      </c>
      <c r="DC58" t="str">
        <f ca="1">IFERROR(__xludf.DUMMYFUNCTION("""COMPUTED_VALUE"""),"#VALUE!")</f>
        <v>#VALUE!</v>
      </c>
      <c r="DE58" t="str">
        <f ca="1">IFERROR(__xludf.DUMMYFUNCTION("""COMPUTED_VALUE"""),"#VALUE!")</f>
        <v>#VALUE!</v>
      </c>
      <c r="DI58" t="str">
        <f ca="1">IFERROR(__xludf.DUMMYFUNCTION("""COMPUTED_VALUE"""),"#VALUE!")</f>
        <v>#VALUE!</v>
      </c>
      <c r="DJ58" t="str">
        <f ca="1">IFERROR(__xludf.DUMMYFUNCTION("""COMPUTED_VALUE"""),"#VALUE!")</f>
        <v>#VALUE!</v>
      </c>
      <c r="DL58" t="str">
        <f ca="1">IFERROR(__xludf.DUMMYFUNCTION("""COMPUTED_VALUE"""),"Davor Salihović")</f>
        <v>Davor Salihović</v>
      </c>
    </row>
    <row r="59" spans="1:116" ht="13.2" x14ac:dyDescent="0.25">
      <c r="A59" t="str">
        <f ca="1">IFERROR(__xludf.DUMMYFUNCTION("""COMPUTED_VALUE"""),"P0058")</f>
        <v>P0058</v>
      </c>
      <c r="B59" t="str">
        <f ca="1">IFERROR(__xludf.DUMMYFUNCTION("""COMPUTED_VALUE"""),"Bellona, uxor Iacobi Mocheti")</f>
        <v>Bellona, uxor Iacobi Mocheti</v>
      </c>
      <c r="D59" t="str">
        <f ca="1">IFERROR(__xludf.DUMMYFUNCTION("""COMPUTED_VALUE"""),"#VALUE!")</f>
        <v>#VALUE!</v>
      </c>
      <c r="E59" t="str">
        <f ca="1">IFERROR(__xludf.DUMMYFUNCTION("""COMPUTED_VALUE"""),"Bellona")</f>
        <v>Bellona</v>
      </c>
      <c r="Q59" t="str">
        <f ca="1">IFERROR(__xludf.DUMMYFUNCTION("""COMPUTED_VALUE"""),"uxor Iacobi filii Petri Mocheti")</f>
        <v>uxor Iacobi filii Petri Mocheti</v>
      </c>
      <c r="S59" t="str">
        <f ca="1">IFERROR(__xludf.DUMMYFUNCTION("""COMPUTED_VALUE"""),"Latin")</f>
        <v>Latin</v>
      </c>
      <c r="T59" t="str">
        <f ca="1">IFERROR(__xludf.DUMMYFUNCTION("""COMPUTED_VALUE"""),"definite")</f>
        <v>definite</v>
      </c>
      <c r="U59" t="str">
        <f ca="1">IFERROR(__xludf.DUMMYFUNCTION("""COMPUTED_VALUE"""),"C2552")</f>
        <v>C2552</v>
      </c>
      <c r="V59" t="str">
        <f ca="1">IFERROR(__xludf.DUMMYFUNCTION("""COMPUTED_VALUE"""),"female")</f>
        <v>female</v>
      </c>
      <c r="Z59" t="str">
        <f ca="1">IFERROR(__xludf.DUMMYFUNCTION("""COMPUTED_VALUE"""),"165")</f>
        <v>165</v>
      </c>
      <c r="AA59" t="str">
        <f ca="1">IFERROR(__xludf.DUMMYFUNCTION("""COMPUTED_VALUE"""),"d")</f>
        <v>d</v>
      </c>
      <c r="AB59" t="str">
        <f ca="1">IFERROR(__xludf.DUMMYFUNCTION("""COMPUTED_VALUE"""),"suspect")</f>
        <v>suspect</v>
      </c>
      <c r="AE59" t="str">
        <f ca="1">IFERROR(__xludf.DUMMYFUNCTION("""COMPUTED_VALUE"""),"#VALUE!")</f>
        <v>#VALUE!</v>
      </c>
      <c r="AF59" t="str">
        <f ca="1">IFERROR(__xludf.DUMMYFUNCTION("""COMPUTED_VALUE"""),"#N/A")</f>
        <v>#N/A</v>
      </c>
      <c r="AG59" t="str">
        <f ca="1">IFERROR(__xludf.DUMMYFUNCTION("""COMPUTED_VALUE"""),"#N/A")</f>
        <v>#N/A</v>
      </c>
      <c r="AH59" t="str">
        <f ca="1">IFERROR(__xludf.DUMMYFUNCTION("""COMPUTED_VALUE"""),"C2347")</f>
        <v>C2347</v>
      </c>
      <c r="AI59" t="str">
        <f ca="1">IFERROR(__xludf.DUMMYFUNCTION("""COMPUTED_VALUE"""),"sister")</f>
        <v>sister</v>
      </c>
      <c r="AJ59" t="str">
        <f ca="1">IFERROR(__xludf.DUMMYFUNCTION("""COMPUTED_VALUE"""),"P0072")</f>
        <v>P0072</v>
      </c>
      <c r="AK59" t="str">
        <f ca="1">IFERROR(__xludf.DUMMYFUNCTION("""COMPUTED_VALUE"""),"Iacometa, uxor Iohannis Rogerii")</f>
        <v>Iacometa, uxor Iohannis Rogerii</v>
      </c>
      <c r="AM59" t="str">
        <f ca="1">IFERROR(__xludf.DUMMYFUNCTION("""COMPUTED_VALUE"""),"#VALUE!")</f>
        <v>#VALUE!</v>
      </c>
      <c r="AO59" t="str">
        <f ca="1">IFERROR(__xludf.DUMMYFUNCTION("""COMPUTED_VALUE"""),"#VALUE!")</f>
        <v>#VALUE!</v>
      </c>
      <c r="AQ59" t="str">
        <f ca="1">IFERROR(__xludf.DUMMYFUNCTION("""COMPUTED_VALUE"""),"#VALUE!")</f>
        <v>#VALUE!</v>
      </c>
      <c r="AS59" t="str">
        <f ca="1">IFERROR(__xludf.DUMMYFUNCTION("""COMPUTED_VALUE"""),"#VALUE!")</f>
        <v>#VALUE!</v>
      </c>
      <c r="AU59" t="str">
        <f ca="1">IFERROR(__xludf.DUMMYFUNCTION("""COMPUTED_VALUE"""),"#VALUE!")</f>
        <v>#VALUE!</v>
      </c>
      <c r="AW59" t="str">
        <f ca="1">IFERROR(__xludf.DUMMYFUNCTION("""COMPUTED_VALUE"""),"#VALUE!")</f>
        <v>#VALUE!</v>
      </c>
      <c r="AY59" t="str">
        <f ca="1">IFERROR(__xludf.DUMMYFUNCTION("""COMPUTED_VALUE"""),"#VALUE!")</f>
        <v>#VALUE!</v>
      </c>
      <c r="BA59" t="str">
        <f ca="1">IFERROR(__xludf.DUMMYFUNCTION("""COMPUTED_VALUE"""),"#VALUE!")</f>
        <v>#VALUE!</v>
      </c>
      <c r="BC59" t="str">
        <f ca="1">IFERROR(__xludf.DUMMYFUNCTION("""COMPUTED_VALUE"""),"#VALUE!")</f>
        <v>#VALUE!</v>
      </c>
      <c r="BE59" t="str">
        <f ca="1">IFERROR(__xludf.DUMMYFUNCTION("""COMPUTED_VALUE"""),"#VALUE!")</f>
        <v>#VALUE!</v>
      </c>
      <c r="BG59" t="str">
        <f ca="1">IFERROR(__xludf.DUMMYFUNCTION("""COMPUTED_VALUE"""),"#VALUE!")</f>
        <v>#VALUE!</v>
      </c>
      <c r="BI59" t="str">
        <f ca="1">IFERROR(__xludf.DUMMYFUNCTION("""COMPUTED_VALUE"""),"#VALUE!")</f>
        <v>#VALUE!</v>
      </c>
      <c r="BK59" t="str">
        <f ca="1">IFERROR(__xludf.DUMMYFUNCTION("""COMPUTED_VALUE"""),"#VALUE!")</f>
        <v>#VALUE!</v>
      </c>
      <c r="BM59" t="str">
        <f ca="1">IFERROR(__xludf.DUMMYFUNCTION("""COMPUTED_VALUE"""),"#VALUE!")</f>
        <v>#VALUE!</v>
      </c>
      <c r="BO59" t="str">
        <f ca="1">IFERROR(__xludf.DUMMYFUNCTION("""COMPUTED_VALUE"""),"#VALUE!")</f>
        <v>#VALUE!</v>
      </c>
      <c r="BQ59" t="str">
        <f ca="1">IFERROR(__xludf.DUMMYFUNCTION("""COMPUTED_VALUE"""),"#VALUE!")</f>
        <v>#VALUE!</v>
      </c>
      <c r="BS59" t="str">
        <f ca="1">IFERROR(__xludf.DUMMYFUNCTION("""COMPUTED_VALUE"""),"#VALUE!")</f>
        <v>#VALUE!</v>
      </c>
      <c r="BU59" t="str">
        <f ca="1">IFERROR(__xludf.DUMMYFUNCTION("""COMPUTED_VALUE"""),"#VALUE!")</f>
        <v>#VALUE!</v>
      </c>
      <c r="BW59" t="str">
        <f ca="1">IFERROR(__xludf.DUMMYFUNCTION("""COMPUTED_VALUE"""),"#VALUE!")</f>
        <v>#VALUE!</v>
      </c>
      <c r="BY59" t="str">
        <f ca="1">IFERROR(__xludf.DUMMYFUNCTION("""COMPUTED_VALUE"""),"#VALUE!")</f>
        <v>#VALUE!</v>
      </c>
      <c r="CA59" t="str">
        <f ca="1">IFERROR(__xludf.DUMMYFUNCTION("""COMPUTED_VALUE"""),"#VALUE!")</f>
        <v>#VALUE!</v>
      </c>
      <c r="CC59" t="str">
        <f ca="1">IFERROR(__xludf.DUMMYFUNCTION("""COMPUTED_VALUE"""),"#VALUE!")</f>
        <v>#VALUE!</v>
      </c>
      <c r="CD59" t="str">
        <f ca="1">IFERROR(__xludf.DUMMYFUNCTION("""COMPUTED_VALUE"""),"C3598")</f>
        <v>C3598</v>
      </c>
      <c r="CE59" t="str">
        <f ca="1">IFERROR(__xludf.DUMMYFUNCTION("""COMPUTED_VALUE"""),"location of congregation")</f>
        <v>location of congregation</v>
      </c>
      <c r="CF59" t="str">
        <f ca="1">IFERROR(__xludf.DUMMYFUNCTION("""COMPUTED_VALUE"""),"L0014#L0016")</f>
        <v>L0014#L0016</v>
      </c>
      <c r="CG59" t="str">
        <f ca="1">IFERROR(__xludf.DUMMYFUNCTION("""COMPUTED_VALUE"""),"grangia Anselmi de Perrino #domus Petri Perrini")</f>
        <v>grangia Anselmi de Perrino #domus Petri Perrini</v>
      </c>
      <c r="CI59" t="str">
        <f ca="1">IFERROR(__xludf.DUMMYFUNCTION("""COMPUTED_VALUE"""),"#VALUE!")</f>
        <v>#VALUE!</v>
      </c>
      <c r="CK59" t="str">
        <f ca="1">IFERROR(__xludf.DUMMYFUNCTION("""COMPUTED_VALUE"""),"#VALUE!")</f>
        <v>#VALUE!</v>
      </c>
      <c r="CR59" t="str">
        <f ca="1">IFERROR(__xludf.DUMMYFUNCTION("""COMPUTED_VALUE"""),"L0002")</f>
        <v>L0002</v>
      </c>
      <c r="CS59" t="str">
        <f ca="1">IFERROR(__xludf.DUMMYFUNCTION("""COMPUTED_VALUE"""),"Coazze")</f>
        <v>Coazze</v>
      </c>
      <c r="CU59" t="str">
        <f ca="1">IFERROR(__xludf.DUMMYFUNCTION("""COMPUTED_VALUE"""),"#VALUE!")</f>
        <v>#VALUE!</v>
      </c>
      <c r="CV59" t="str">
        <f ca="1">IFERROR(__xludf.DUMMYFUNCTION("""COMPUTED_VALUE"""),"L0002")</f>
        <v>L0002</v>
      </c>
      <c r="CW59" t="str">
        <f ca="1">IFERROR(__xludf.DUMMYFUNCTION("""COMPUTED_VALUE"""),"Coazze")</f>
        <v>Coazze</v>
      </c>
      <c r="CY59" t="str">
        <f ca="1">IFERROR(__xludf.DUMMYFUNCTION("""COMPUTED_VALUE"""),"#VALUE!")</f>
        <v>#VALUE!</v>
      </c>
      <c r="DC59" t="str">
        <f ca="1">IFERROR(__xludf.DUMMYFUNCTION("""COMPUTED_VALUE"""),"#VALUE!")</f>
        <v>#VALUE!</v>
      </c>
      <c r="DE59" t="str">
        <f ca="1">IFERROR(__xludf.DUMMYFUNCTION("""COMPUTED_VALUE"""),"#VALUE!")</f>
        <v>#VALUE!</v>
      </c>
      <c r="DH59" t="str">
        <f ca="1">IFERROR(__xludf.DUMMYFUNCTION("""COMPUTED_VALUE"""),"L0014#L0016")</f>
        <v>L0014#L0016</v>
      </c>
      <c r="DI59" t="str">
        <f ca="1">IFERROR(__xludf.DUMMYFUNCTION("""COMPUTED_VALUE"""),"grangia Anselmi de Perrino #domus Petri Perrini")</f>
        <v>grangia Anselmi de Perrino #domus Petri Perrini</v>
      </c>
      <c r="DJ59" t="str">
        <f ca="1">IFERROR(__xludf.DUMMYFUNCTION("""COMPUTED_VALUE"""),"grangia #domus")</f>
        <v>grangia #domus</v>
      </c>
      <c r="DL59" t="str">
        <f ca="1">IFERROR(__xludf.DUMMYFUNCTION("""COMPUTED_VALUE"""),"Davor Salihović")</f>
        <v>Davor Salihović</v>
      </c>
    </row>
    <row r="60" spans="1:116" ht="13.2" x14ac:dyDescent="0.25">
      <c r="A60" t="str">
        <f ca="1">IFERROR(__xludf.DUMMYFUNCTION("""COMPUTED_VALUE"""),"P0059")</f>
        <v>P0059</v>
      </c>
      <c r="B60" t="str">
        <f ca="1">IFERROR(__xludf.DUMMYFUNCTION("""COMPUTED_VALUE"""),"Iacobus Mocheti")</f>
        <v>Iacobus Mocheti</v>
      </c>
      <c r="D60" t="str">
        <f ca="1">IFERROR(__xludf.DUMMYFUNCTION("""COMPUTED_VALUE"""),"#VALUE!")</f>
        <v>#VALUE!</v>
      </c>
      <c r="E60" t="str">
        <f ca="1">IFERROR(__xludf.DUMMYFUNCTION("""COMPUTED_VALUE"""),"Iacobus")</f>
        <v>Iacobus</v>
      </c>
      <c r="K60" t="str">
        <f ca="1">IFERROR(__xludf.DUMMYFUNCTION("""COMPUTED_VALUE"""),"Mocheti")</f>
        <v>Mocheti</v>
      </c>
      <c r="L60" t="str">
        <f ca="1">IFERROR(__xludf.DUMMYFUNCTION("""COMPUTED_VALUE"""),"Mocheti")</f>
        <v>Mocheti</v>
      </c>
      <c r="Q60" t="str">
        <f ca="1">IFERROR(__xludf.DUMMYFUNCTION("""COMPUTED_VALUE"""),"filius Petri Mocheti")</f>
        <v>filius Petri Mocheti</v>
      </c>
      <c r="S60" t="str">
        <f ca="1">IFERROR(__xludf.DUMMYFUNCTION("""COMPUTED_VALUE"""),"Latin")</f>
        <v>Latin</v>
      </c>
      <c r="T60" t="str">
        <f ca="1">IFERROR(__xludf.DUMMYFUNCTION("""COMPUTED_VALUE"""),"definite")</f>
        <v>definite</v>
      </c>
      <c r="U60" t="str">
        <f ca="1">IFERROR(__xludf.DUMMYFUNCTION("""COMPUTED_VALUE"""),"C2553")</f>
        <v>C2553</v>
      </c>
      <c r="V60" t="str">
        <f ca="1">IFERROR(__xludf.DUMMYFUNCTION("""COMPUTED_VALUE"""),"male")</f>
        <v>male</v>
      </c>
      <c r="Z60" t="str">
        <f ca="1">IFERROR(__xludf.DUMMYFUNCTION("""COMPUTED_VALUE"""),"165")</f>
        <v>165</v>
      </c>
      <c r="AA60" t="str">
        <f ca="1">IFERROR(__xludf.DUMMYFUNCTION("""COMPUTED_VALUE"""),"o")</f>
        <v>o</v>
      </c>
      <c r="AB60" t="str">
        <f ca="1">IFERROR(__xludf.DUMMYFUNCTION("""COMPUTED_VALUE"""),"NA")</f>
        <v>NA</v>
      </c>
      <c r="AE60" t="str">
        <f ca="1">IFERROR(__xludf.DUMMYFUNCTION("""COMPUTED_VALUE"""),"#VALUE!")</f>
        <v>#VALUE!</v>
      </c>
      <c r="AF60" t="str">
        <f ca="1">IFERROR(__xludf.DUMMYFUNCTION("""COMPUTED_VALUE"""),"#N/A")</f>
        <v>#N/A</v>
      </c>
      <c r="AG60" t="str">
        <f ca="1">IFERROR(__xludf.DUMMYFUNCTION("""COMPUTED_VALUE"""),"#N/A")</f>
        <v>#N/A</v>
      </c>
      <c r="AH60" t="str">
        <f ca="1">IFERROR(__xludf.DUMMYFUNCTION("""COMPUTED_VALUE"""),"C2348")</f>
        <v>C2348</v>
      </c>
      <c r="AI60" t="str">
        <f ca="1">IFERROR(__xludf.DUMMYFUNCTION("""COMPUTED_VALUE"""),"wife")</f>
        <v>wife</v>
      </c>
      <c r="AJ60" t="str">
        <f ca="1">IFERROR(__xludf.DUMMYFUNCTION("""COMPUTED_VALUE"""),"P0058")</f>
        <v>P0058</v>
      </c>
      <c r="AK60" t="str">
        <f ca="1">IFERROR(__xludf.DUMMYFUNCTION("""COMPUTED_VALUE"""),"Bellona, uxor Iacobi Mocheti")</f>
        <v>Bellona, uxor Iacobi Mocheti</v>
      </c>
      <c r="AM60" t="str">
        <f ca="1">IFERROR(__xludf.DUMMYFUNCTION("""COMPUTED_VALUE"""),"#VALUE!")</f>
        <v>#VALUE!</v>
      </c>
      <c r="AO60" t="str">
        <f ca="1">IFERROR(__xludf.DUMMYFUNCTION("""COMPUTED_VALUE"""),"#VALUE!")</f>
        <v>#VALUE!</v>
      </c>
      <c r="AQ60" t="str">
        <f ca="1">IFERROR(__xludf.DUMMYFUNCTION("""COMPUTED_VALUE"""),"#VALUE!")</f>
        <v>#VALUE!</v>
      </c>
      <c r="AS60" t="str">
        <f ca="1">IFERROR(__xludf.DUMMYFUNCTION("""COMPUTED_VALUE"""),"#VALUE!")</f>
        <v>#VALUE!</v>
      </c>
      <c r="AU60" t="str">
        <f ca="1">IFERROR(__xludf.DUMMYFUNCTION("""COMPUTED_VALUE"""),"#VALUE!")</f>
        <v>#VALUE!</v>
      </c>
      <c r="AW60" t="str">
        <f ca="1">IFERROR(__xludf.DUMMYFUNCTION("""COMPUTED_VALUE"""),"#VALUE!")</f>
        <v>#VALUE!</v>
      </c>
      <c r="AY60" t="str">
        <f ca="1">IFERROR(__xludf.DUMMYFUNCTION("""COMPUTED_VALUE"""),"#VALUE!")</f>
        <v>#VALUE!</v>
      </c>
      <c r="BA60" t="str">
        <f ca="1">IFERROR(__xludf.DUMMYFUNCTION("""COMPUTED_VALUE"""),"#VALUE!")</f>
        <v>#VALUE!</v>
      </c>
      <c r="BC60" t="str">
        <f ca="1">IFERROR(__xludf.DUMMYFUNCTION("""COMPUTED_VALUE"""),"#VALUE!")</f>
        <v>#VALUE!</v>
      </c>
      <c r="BE60" t="str">
        <f ca="1">IFERROR(__xludf.DUMMYFUNCTION("""COMPUTED_VALUE"""),"#VALUE!")</f>
        <v>#VALUE!</v>
      </c>
      <c r="BG60" t="str">
        <f ca="1">IFERROR(__xludf.DUMMYFUNCTION("""COMPUTED_VALUE"""),"#VALUE!")</f>
        <v>#VALUE!</v>
      </c>
      <c r="BI60" t="str">
        <f ca="1">IFERROR(__xludf.DUMMYFUNCTION("""COMPUTED_VALUE"""),"#VALUE!")</f>
        <v>#VALUE!</v>
      </c>
      <c r="BK60" t="str">
        <f ca="1">IFERROR(__xludf.DUMMYFUNCTION("""COMPUTED_VALUE"""),"#VALUE!")</f>
        <v>#VALUE!</v>
      </c>
      <c r="BM60" t="str">
        <f ca="1">IFERROR(__xludf.DUMMYFUNCTION("""COMPUTED_VALUE"""),"#VALUE!")</f>
        <v>#VALUE!</v>
      </c>
      <c r="BO60" t="str">
        <f ca="1">IFERROR(__xludf.DUMMYFUNCTION("""COMPUTED_VALUE"""),"#VALUE!")</f>
        <v>#VALUE!</v>
      </c>
      <c r="BQ60" t="str">
        <f ca="1">IFERROR(__xludf.DUMMYFUNCTION("""COMPUTED_VALUE"""),"#VALUE!")</f>
        <v>#VALUE!</v>
      </c>
      <c r="BS60" t="str">
        <f ca="1">IFERROR(__xludf.DUMMYFUNCTION("""COMPUTED_VALUE"""),"#VALUE!")</f>
        <v>#VALUE!</v>
      </c>
      <c r="BU60" t="str">
        <f ca="1">IFERROR(__xludf.DUMMYFUNCTION("""COMPUTED_VALUE"""),"#VALUE!")</f>
        <v>#VALUE!</v>
      </c>
      <c r="BW60" t="str">
        <f ca="1">IFERROR(__xludf.DUMMYFUNCTION("""COMPUTED_VALUE"""),"#VALUE!")</f>
        <v>#VALUE!</v>
      </c>
      <c r="BY60" t="str">
        <f ca="1">IFERROR(__xludf.DUMMYFUNCTION("""COMPUTED_VALUE"""),"#VALUE!")</f>
        <v>#VALUE!</v>
      </c>
      <c r="CA60" t="str">
        <f ca="1">IFERROR(__xludf.DUMMYFUNCTION("""COMPUTED_VALUE"""),"#VALUE!")</f>
        <v>#VALUE!</v>
      </c>
      <c r="CC60" t="str">
        <f ca="1">IFERROR(__xludf.DUMMYFUNCTION("""COMPUTED_VALUE"""),"#VALUE!")</f>
        <v>#VALUE!</v>
      </c>
      <c r="CE60" t="str">
        <f ca="1">IFERROR(__xludf.DUMMYFUNCTION("""COMPUTED_VALUE"""),"#VALUE!")</f>
        <v>#VALUE!</v>
      </c>
      <c r="CG60" t="str">
        <f ca="1">IFERROR(__xludf.DUMMYFUNCTION("""COMPUTED_VALUE"""),"#VALUE!")</f>
        <v>#VALUE!</v>
      </c>
      <c r="CI60" t="str">
        <f ca="1">IFERROR(__xludf.DUMMYFUNCTION("""COMPUTED_VALUE"""),"#VALUE!")</f>
        <v>#VALUE!</v>
      </c>
      <c r="CK60" t="str">
        <f ca="1">IFERROR(__xludf.DUMMYFUNCTION("""COMPUTED_VALUE"""),"#VALUE!")</f>
        <v>#VALUE!</v>
      </c>
      <c r="CR60" t="str">
        <f ca="1">IFERROR(__xludf.DUMMYFUNCTION("""COMPUTED_VALUE"""),"L0002")</f>
        <v>L0002</v>
      </c>
      <c r="CS60" t="str">
        <f ca="1">IFERROR(__xludf.DUMMYFUNCTION("""COMPUTED_VALUE"""),"Coazze")</f>
        <v>Coazze</v>
      </c>
      <c r="CU60" t="str">
        <f ca="1">IFERROR(__xludf.DUMMYFUNCTION("""COMPUTED_VALUE"""),"#VALUE!")</f>
        <v>#VALUE!</v>
      </c>
      <c r="CW60" t="str">
        <f ca="1">IFERROR(__xludf.DUMMYFUNCTION("""COMPUTED_VALUE"""),"#VALUE!")</f>
        <v>#VALUE!</v>
      </c>
      <c r="CY60" t="str">
        <f ca="1">IFERROR(__xludf.DUMMYFUNCTION("""COMPUTED_VALUE"""),"#VALUE!")</f>
        <v>#VALUE!</v>
      </c>
      <c r="DC60" t="str">
        <f ca="1">IFERROR(__xludf.DUMMYFUNCTION("""COMPUTED_VALUE"""),"#VALUE!")</f>
        <v>#VALUE!</v>
      </c>
      <c r="DE60" t="str">
        <f ca="1">IFERROR(__xludf.DUMMYFUNCTION("""COMPUTED_VALUE"""),"#VALUE!")</f>
        <v>#VALUE!</v>
      </c>
      <c r="DI60" t="str">
        <f ca="1">IFERROR(__xludf.DUMMYFUNCTION("""COMPUTED_VALUE"""),"#VALUE!")</f>
        <v>#VALUE!</v>
      </c>
      <c r="DJ60" t="str">
        <f ca="1">IFERROR(__xludf.DUMMYFUNCTION("""COMPUTED_VALUE"""),"#VALUE!")</f>
        <v>#VALUE!</v>
      </c>
      <c r="DL60" t="str">
        <f ca="1">IFERROR(__xludf.DUMMYFUNCTION("""COMPUTED_VALUE"""),"Davor Salihović")</f>
        <v>Davor Salihović</v>
      </c>
    </row>
    <row r="61" spans="1:116" ht="13.2" x14ac:dyDescent="0.25">
      <c r="A61" t="str">
        <f ca="1">IFERROR(__xludf.DUMMYFUNCTION("""COMPUTED_VALUE"""),"P0060")</f>
        <v>P0060</v>
      </c>
      <c r="B61" t="str">
        <f ca="1">IFERROR(__xludf.DUMMYFUNCTION("""COMPUTED_VALUE"""),"Petrus Mocheti")</f>
        <v>Petrus Mocheti</v>
      </c>
      <c r="D61" t="str">
        <f ca="1">IFERROR(__xludf.DUMMYFUNCTION("""COMPUTED_VALUE"""),"#VALUE!")</f>
        <v>#VALUE!</v>
      </c>
      <c r="E61" t="str">
        <f ca="1">IFERROR(__xludf.DUMMYFUNCTION("""COMPUTED_VALUE"""),"Petrus")</f>
        <v>Petrus</v>
      </c>
      <c r="K61" t="str">
        <f ca="1">IFERROR(__xludf.DUMMYFUNCTION("""COMPUTED_VALUE"""),"Mocheti")</f>
        <v>Mocheti</v>
      </c>
      <c r="L61" t="str">
        <f ca="1">IFERROR(__xludf.DUMMYFUNCTION("""COMPUTED_VALUE"""),"Mocheti")</f>
        <v>Mocheti</v>
      </c>
      <c r="S61" t="str">
        <f ca="1">IFERROR(__xludf.DUMMYFUNCTION("""COMPUTED_VALUE"""),"Latin")</f>
        <v>Latin</v>
      </c>
      <c r="T61" t="str">
        <f ca="1">IFERROR(__xludf.DUMMYFUNCTION("""COMPUTED_VALUE"""),"definite")</f>
        <v>definite</v>
      </c>
      <c r="U61" t="str">
        <f ca="1">IFERROR(__xludf.DUMMYFUNCTION("""COMPUTED_VALUE"""),"C2553")</f>
        <v>C2553</v>
      </c>
      <c r="V61" t="str">
        <f ca="1">IFERROR(__xludf.DUMMYFUNCTION("""COMPUTED_VALUE"""),"male")</f>
        <v>male</v>
      </c>
      <c r="Z61" t="str">
        <f ca="1">IFERROR(__xludf.DUMMYFUNCTION("""COMPUTED_VALUE"""),"165")</f>
        <v>165</v>
      </c>
      <c r="AA61" t="str">
        <f ca="1">IFERROR(__xludf.DUMMYFUNCTION("""COMPUTED_VALUE"""),"o")</f>
        <v>o</v>
      </c>
      <c r="AB61" t="str">
        <f ca="1">IFERROR(__xludf.DUMMYFUNCTION("""COMPUTED_VALUE"""),"NA")</f>
        <v>NA</v>
      </c>
      <c r="AE61" t="str">
        <f ca="1">IFERROR(__xludf.DUMMYFUNCTION("""COMPUTED_VALUE"""),"#VALUE!")</f>
        <v>#VALUE!</v>
      </c>
      <c r="AF61" t="str">
        <f ca="1">IFERROR(__xludf.DUMMYFUNCTION("""COMPUTED_VALUE"""),"#N/A")</f>
        <v>#N/A</v>
      </c>
      <c r="AG61" t="str">
        <f ca="1">IFERROR(__xludf.DUMMYFUNCTION("""COMPUTED_VALUE"""),"#N/A")</f>
        <v>#N/A</v>
      </c>
      <c r="AH61" t="str">
        <f ca="1">IFERROR(__xludf.DUMMYFUNCTION("""COMPUTED_VALUE"""),"C2336")</f>
        <v>C2336</v>
      </c>
      <c r="AI61" t="str">
        <f ca="1">IFERROR(__xludf.DUMMYFUNCTION("""COMPUTED_VALUE"""),"son")</f>
        <v>son</v>
      </c>
      <c r="AJ61" t="str">
        <f ca="1">IFERROR(__xludf.DUMMYFUNCTION("""COMPUTED_VALUE"""),"P0059")</f>
        <v>P0059</v>
      </c>
      <c r="AK61" t="str">
        <f ca="1">IFERROR(__xludf.DUMMYFUNCTION("""COMPUTED_VALUE"""),"Iacobus Mocheti")</f>
        <v>Iacobus Mocheti</v>
      </c>
      <c r="AL61" t="str">
        <f ca="1">IFERROR(__xludf.DUMMYFUNCTION("""COMPUTED_VALUE"""),"C2336")</f>
        <v>C2336</v>
      </c>
      <c r="AM61" t="str">
        <f ca="1">IFERROR(__xludf.DUMMYFUNCTION("""COMPUTED_VALUE"""),"son")</f>
        <v>son</v>
      </c>
      <c r="AN61" t="str">
        <f ca="1">IFERROR(__xludf.DUMMYFUNCTION("""COMPUTED_VALUE"""),"P0066")</f>
        <v>P0066</v>
      </c>
      <c r="AO61" t="str">
        <f ca="1">IFERROR(__xludf.DUMMYFUNCTION("""COMPUTED_VALUE"""),"Peronetus Mocheti")</f>
        <v>Peronetus Mocheti</v>
      </c>
      <c r="AQ61" t="str">
        <f ca="1">IFERROR(__xludf.DUMMYFUNCTION("""COMPUTED_VALUE"""),"#VALUE!")</f>
        <v>#VALUE!</v>
      </c>
      <c r="AS61" t="str">
        <f ca="1">IFERROR(__xludf.DUMMYFUNCTION("""COMPUTED_VALUE"""),"#VALUE!")</f>
        <v>#VALUE!</v>
      </c>
      <c r="AU61" t="str">
        <f ca="1">IFERROR(__xludf.DUMMYFUNCTION("""COMPUTED_VALUE"""),"#VALUE!")</f>
        <v>#VALUE!</v>
      </c>
      <c r="AW61" t="str">
        <f ca="1">IFERROR(__xludf.DUMMYFUNCTION("""COMPUTED_VALUE"""),"#VALUE!")</f>
        <v>#VALUE!</v>
      </c>
      <c r="AY61" t="str">
        <f ca="1">IFERROR(__xludf.DUMMYFUNCTION("""COMPUTED_VALUE"""),"#VALUE!")</f>
        <v>#VALUE!</v>
      </c>
      <c r="BA61" t="str">
        <f ca="1">IFERROR(__xludf.DUMMYFUNCTION("""COMPUTED_VALUE"""),"#VALUE!")</f>
        <v>#VALUE!</v>
      </c>
      <c r="BC61" t="str">
        <f ca="1">IFERROR(__xludf.DUMMYFUNCTION("""COMPUTED_VALUE"""),"#VALUE!")</f>
        <v>#VALUE!</v>
      </c>
      <c r="BE61" t="str">
        <f ca="1">IFERROR(__xludf.DUMMYFUNCTION("""COMPUTED_VALUE"""),"#VALUE!")</f>
        <v>#VALUE!</v>
      </c>
      <c r="BG61" t="str">
        <f ca="1">IFERROR(__xludf.DUMMYFUNCTION("""COMPUTED_VALUE"""),"#VALUE!")</f>
        <v>#VALUE!</v>
      </c>
      <c r="BI61" t="str">
        <f ca="1">IFERROR(__xludf.DUMMYFUNCTION("""COMPUTED_VALUE"""),"#VALUE!")</f>
        <v>#VALUE!</v>
      </c>
      <c r="BK61" t="str">
        <f ca="1">IFERROR(__xludf.DUMMYFUNCTION("""COMPUTED_VALUE"""),"#VALUE!")</f>
        <v>#VALUE!</v>
      </c>
      <c r="BM61" t="str">
        <f ca="1">IFERROR(__xludf.DUMMYFUNCTION("""COMPUTED_VALUE"""),"#VALUE!")</f>
        <v>#VALUE!</v>
      </c>
      <c r="BO61" t="str">
        <f ca="1">IFERROR(__xludf.DUMMYFUNCTION("""COMPUTED_VALUE"""),"#VALUE!")</f>
        <v>#VALUE!</v>
      </c>
      <c r="BQ61" t="str">
        <f ca="1">IFERROR(__xludf.DUMMYFUNCTION("""COMPUTED_VALUE"""),"#VALUE!")</f>
        <v>#VALUE!</v>
      </c>
      <c r="BS61" t="str">
        <f ca="1">IFERROR(__xludf.DUMMYFUNCTION("""COMPUTED_VALUE"""),"#VALUE!")</f>
        <v>#VALUE!</v>
      </c>
      <c r="BU61" t="str">
        <f ca="1">IFERROR(__xludf.DUMMYFUNCTION("""COMPUTED_VALUE"""),"#VALUE!")</f>
        <v>#VALUE!</v>
      </c>
      <c r="BW61" t="str">
        <f ca="1">IFERROR(__xludf.DUMMYFUNCTION("""COMPUTED_VALUE"""),"#VALUE!")</f>
        <v>#VALUE!</v>
      </c>
      <c r="BY61" t="str">
        <f ca="1">IFERROR(__xludf.DUMMYFUNCTION("""COMPUTED_VALUE"""),"#VALUE!")</f>
        <v>#VALUE!</v>
      </c>
      <c r="CA61" t="str">
        <f ca="1">IFERROR(__xludf.DUMMYFUNCTION("""COMPUTED_VALUE"""),"#VALUE!")</f>
        <v>#VALUE!</v>
      </c>
      <c r="CC61" t="str">
        <f ca="1">IFERROR(__xludf.DUMMYFUNCTION("""COMPUTED_VALUE"""),"#VALUE!")</f>
        <v>#VALUE!</v>
      </c>
      <c r="CE61" t="str">
        <f ca="1">IFERROR(__xludf.DUMMYFUNCTION("""COMPUTED_VALUE"""),"#VALUE!")</f>
        <v>#VALUE!</v>
      </c>
      <c r="CG61" t="str">
        <f ca="1">IFERROR(__xludf.DUMMYFUNCTION("""COMPUTED_VALUE"""),"#VALUE!")</f>
        <v>#VALUE!</v>
      </c>
      <c r="CI61" t="str">
        <f ca="1">IFERROR(__xludf.DUMMYFUNCTION("""COMPUTED_VALUE"""),"#VALUE!")</f>
        <v>#VALUE!</v>
      </c>
      <c r="CK61" t="str">
        <f ca="1">IFERROR(__xludf.DUMMYFUNCTION("""COMPUTED_VALUE"""),"#VALUE!")</f>
        <v>#VALUE!</v>
      </c>
      <c r="CR61" t="str">
        <f ca="1">IFERROR(__xludf.DUMMYFUNCTION("""COMPUTED_VALUE"""),"L0002")</f>
        <v>L0002</v>
      </c>
      <c r="CS61" t="str">
        <f ca="1">IFERROR(__xludf.DUMMYFUNCTION("""COMPUTED_VALUE"""),"Coazze")</f>
        <v>Coazze</v>
      </c>
      <c r="CU61" t="str">
        <f ca="1">IFERROR(__xludf.DUMMYFUNCTION("""COMPUTED_VALUE"""),"#VALUE!")</f>
        <v>#VALUE!</v>
      </c>
      <c r="CW61" t="str">
        <f ca="1">IFERROR(__xludf.DUMMYFUNCTION("""COMPUTED_VALUE"""),"#VALUE!")</f>
        <v>#VALUE!</v>
      </c>
      <c r="CY61" t="str">
        <f ca="1">IFERROR(__xludf.DUMMYFUNCTION("""COMPUTED_VALUE"""),"#VALUE!")</f>
        <v>#VALUE!</v>
      </c>
      <c r="DC61" t="str">
        <f ca="1">IFERROR(__xludf.DUMMYFUNCTION("""COMPUTED_VALUE"""),"#VALUE!")</f>
        <v>#VALUE!</v>
      </c>
      <c r="DE61" t="str">
        <f ca="1">IFERROR(__xludf.DUMMYFUNCTION("""COMPUTED_VALUE"""),"#VALUE!")</f>
        <v>#VALUE!</v>
      </c>
      <c r="DI61" t="str">
        <f ca="1">IFERROR(__xludf.DUMMYFUNCTION("""COMPUTED_VALUE"""),"#VALUE!")</f>
        <v>#VALUE!</v>
      </c>
      <c r="DJ61" t="str">
        <f ca="1">IFERROR(__xludf.DUMMYFUNCTION("""COMPUTED_VALUE"""),"#VALUE!")</f>
        <v>#VALUE!</v>
      </c>
      <c r="DL61" t="str">
        <f ca="1">IFERROR(__xludf.DUMMYFUNCTION("""COMPUTED_VALUE"""),"Davor Salihović")</f>
        <v>Davor Salihović</v>
      </c>
    </row>
    <row r="62" spans="1:116" ht="13.2" x14ac:dyDescent="0.25">
      <c r="A62" t="str">
        <f ca="1">IFERROR(__xludf.DUMMYFUNCTION("""COMPUTED_VALUE"""),"P0061")</f>
        <v>P0061</v>
      </c>
      <c r="B62" t="str">
        <f ca="1">IFERROR(__xludf.DUMMYFUNCTION("""COMPUTED_VALUE"""),"Matheuda, uxor Hugonis de Simeyneto")</f>
        <v>Matheuda, uxor Hugonis de Simeyneto</v>
      </c>
      <c r="D62" t="str">
        <f ca="1">IFERROR(__xludf.DUMMYFUNCTION("""COMPUTED_VALUE"""),"#VALUE!")</f>
        <v>#VALUE!</v>
      </c>
      <c r="E62" t="str">
        <f ca="1">IFERROR(__xludf.DUMMYFUNCTION("""COMPUTED_VALUE"""),"Matheuda")</f>
        <v>Matheuda</v>
      </c>
      <c r="Q62" t="str">
        <f ca="1">IFERROR(__xludf.DUMMYFUNCTION("""COMPUTED_VALUE"""),"uxor Hugonis de Simeyneto")</f>
        <v>uxor Hugonis de Simeyneto</v>
      </c>
      <c r="S62" t="str">
        <f ca="1">IFERROR(__xludf.DUMMYFUNCTION("""COMPUTED_VALUE"""),"Latin")</f>
        <v>Latin</v>
      </c>
      <c r="T62" t="str">
        <f ca="1">IFERROR(__xludf.DUMMYFUNCTION("""COMPUTED_VALUE"""),"definite")</f>
        <v>definite</v>
      </c>
      <c r="U62" t="str">
        <f ca="1">IFERROR(__xludf.DUMMYFUNCTION("""COMPUTED_VALUE"""),"C2552")</f>
        <v>C2552</v>
      </c>
      <c r="V62" t="str">
        <f ca="1">IFERROR(__xludf.DUMMYFUNCTION("""COMPUTED_VALUE"""),"female")</f>
        <v>female</v>
      </c>
      <c r="Z62" t="str">
        <f ca="1">IFERROR(__xludf.DUMMYFUNCTION("""COMPUTED_VALUE"""),"165")</f>
        <v>165</v>
      </c>
      <c r="AA62" t="str">
        <f ca="1">IFERROR(__xludf.DUMMYFUNCTION("""COMPUTED_VALUE"""),"d")</f>
        <v>d</v>
      </c>
      <c r="AB62" t="str">
        <f ca="1">IFERROR(__xludf.DUMMYFUNCTION("""COMPUTED_VALUE"""),"suspect")</f>
        <v>suspect</v>
      </c>
      <c r="AE62" t="str">
        <f ca="1">IFERROR(__xludf.DUMMYFUNCTION("""COMPUTED_VALUE"""),"#VALUE!")</f>
        <v>#VALUE!</v>
      </c>
      <c r="AF62" t="str">
        <f ca="1">IFERROR(__xludf.DUMMYFUNCTION("""COMPUTED_VALUE"""),"#N/A")</f>
        <v>#N/A</v>
      </c>
      <c r="AG62" t="str">
        <f ca="1">IFERROR(__xludf.DUMMYFUNCTION("""COMPUTED_VALUE"""),"#N/A")</f>
        <v>#N/A</v>
      </c>
      <c r="AI62" t="str">
        <f ca="1">IFERROR(__xludf.DUMMYFUNCTION("""COMPUTED_VALUE"""),"#VALUE!")</f>
        <v>#VALUE!</v>
      </c>
      <c r="AK62" t="str">
        <f ca="1">IFERROR(__xludf.DUMMYFUNCTION("""COMPUTED_VALUE"""),"#VALUE!")</f>
        <v>#VALUE!</v>
      </c>
      <c r="AM62" t="str">
        <f ca="1">IFERROR(__xludf.DUMMYFUNCTION("""COMPUTED_VALUE"""),"#VALUE!")</f>
        <v>#VALUE!</v>
      </c>
      <c r="AO62" t="str">
        <f ca="1">IFERROR(__xludf.DUMMYFUNCTION("""COMPUTED_VALUE"""),"#VALUE!")</f>
        <v>#VALUE!</v>
      </c>
      <c r="AQ62" t="str">
        <f ca="1">IFERROR(__xludf.DUMMYFUNCTION("""COMPUTED_VALUE"""),"#VALUE!")</f>
        <v>#VALUE!</v>
      </c>
      <c r="AS62" t="str">
        <f ca="1">IFERROR(__xludf.DUMMYFUNCTION("""COMPUTED_VALUE"""),"#VALUE!")</f>
        <v>#VALUE!</v>
      </c>
      <c r="AU62" t="str">
        <f ca="1">IFERROR(__xludf.DUMMYFUNCTION("""COMPUTED_VALUE"""),"#VALUE!")</f>
        <v>#VALUE!</v>
      </c>
      <c r="AW62" t="str">
        <f ca="1">IFERROR(__xludf.DUMMYFUNCTION("""COMPUTED_VALUE"""),"#VALUE!")</f>
        <v>#VALUE!</v>
      </c>
      <c r="AY62" t="str">
        <f ca="1">IFERROR(__xludf.DUMMYFUNCTION("""COMPUTED_VALUE"""),"#VALUE!")</f>
        <v>#VALUE!</v>
      </c>
      <c r="BA62" t="str">
        <f ca="1">IFERROR(__xludf.DUMMYFUNCTION("""COMPUTED_VALUE"""),"#VALUE!")</f>
        <v>#VALUE!</v>
      </c>
      <c r="BC62" t="str">
        <f ca="1">IFERROR(__xludf.DUMMYFUNCTION("""COMPUTED_VALUE"""),"#VALUE!")</f>
        <v>#VALUE!</v>
      </c>
      <c r="BE62" t="str">
        <f ca="1">IFERROR(__xludf.DUMMYFUNCTION("""COMPUTED_VALUE"""),"#VALUE!")</f>
        <v>#VALUE!</v>
      </c>
      <c r="BG62" t="str">
        <f ca="1">IFERROR(__xludf.DUMMYFUNCTION("""COMPUTED_VALUE"""),"#VALUE!")</f>
        <v>#VALUE!</v>
      </c>
      <c r="BI62" t="str">
        <f ca="1">IFERROR(__xludf.DUMMYFUNCTION("""COMPUTED_VALUE"""),"#VALUE!")</f>
        <v>#VALUE!</v>
      </c>
      <c r="BK62" t="str">
        <f ca="1">IFERROR(__xludf.DUMMYFUNCTION("""COMPUTED_VALUE"""),"#VALUE!")</f>
        <v>#VALUE!</v>
      </c>
      <c r="BM62" t="str">
        <f ca="1">IFERROR(__xludf.DUMMYFUNCTION("""COMPUTED_VALUE"""),"#VALUE!")</f>
        <v>#VALUE!</v>
      </c>
      <c r="BO62" t="str">
        <f ca="1">IFERROR(__xludf.DUMMYFUNCTION("""COMPUTED_VALUE"""),"#VALUE!")</f>
        <v>#VALUE!</v>
      </c>
      <c r="BQ62" t="str">
        <f ca="1">IFERROR(__xludf.DUMMYFUNCTION("""COMPUTED_VALUE"""),"#VALUE!")</f>
        <v>#VALUE!</v>
      </c>
      <c r="BS62" t="str">
        <f ca="1">IFERROR(__xludf.DUMMYFUNCTION("""COMPUTED_VALUE"""),"#VALUE!")</f>
        <v>#VALUE!</v>
      </c>
      <c r="BU62" t="str">
        <f ca="1">IFERROR(__xludf.DUMMYFUNCTION("""COMPUTED_VALUE"""),"#VALUE!")</f>
        <v>#VALUE!</v>
      </c>
      <c r="BW62" t="str">
        <f ca="1">IFERROR(__xludf.DUMMYFUNCTION("""COMPUTED_VALUE"""),"#VALUE!")</f>
        <v>#VALUE!</v>
      </c>
      <c r="BY62" t="str">
        <f ca="1">IFERROR(__xludf.DUMMYFUNCTION("""COMPUTED_VALUE"""),"#VALUE!")</f>
        <v>#VALUE!</v>
      </c>
      <c r="CA62" t="str">
        <f ca="1">IFERROR(__xludf.DUMMYFUNCTION("""COMPUTED_VALUE"""),"#VALUE!")</f>
        <v>#VALUE!</v>
      </c>
      <c r="CC62" t="str">
        <f ca="1">IFERROR(__xludf.DUMMYFUNCTION("""COMPUTED_VALUE"""),"#VALUE!")</f>
        <v>#VALUE!</v>
      </c>
      <c r="CD62" t="str">
        <f ca="1">IFERROR(__xludf.DUMMYFUNCTION("""COMPUTED_VALUE"""),"C3598")</f>
        <v>C3598</v>
      </c>
      <c r="CE62" t="str">
        <f ca="1">IFERROR(__xludf.DUMMYFUNCTION("""COMPUTED_VALUE"""),"location of congregation")</f>
        <v>location of congregation</v>
      </c>
      <c r="CF62" t="str">
        <f ca="1">IFERROR(__xludf.DUMMYFUNCTION("""COMPUTED_VALUE"""),"L0014#L0016")</f>
        <v>L0014#L0016</v>
      </c>
      <c r="CG62" t="str">
        <f ca="1">IFERROR(__xludf.DUMMYFUNCTION("""COMPUTED_VALUE"""),"grangia Anselmi de Perrino #domus Petri Perrini")</f>
        <v>grangia Anselmi de Perrino #domus Petri Perrini</v>
      </c>
      <c r="CI62" t="str">
        <f ca="1">IFERROR(__xludf.DUMMYFUNCTION("""COMPUTED_VALUE"""),"#VALUE!")</f>
        <v>#VALUE!</v>
      </c>
      <c r="CK62" t="str">
        <f ca="1">IFERROR(__xludf.DUMMYFUNCTION("""COMPUTED_VALUE"""),"#VALUE!")</f>
        <v>#VALUE!</v>
      </c>
      <c r="CR62" t="str">
        <f ca="1">IFERROR(__xludf.DUMMYFUNCTION("""COMPUTED_VALUE"""),"L0002")</f>
        <v>L0002</v>
      </c>
      <c r="CS62" t="str">
        <f ca="1">IFERROR(__xludf.DUMMYFUNCTION("""COMPUTED_VALUE"""),"Coazze")</f>
        <v>Coazze</v>
      </c>
      <c r="CU62" t="str">
        <f ca="1">IFERROR(__xludf.DUMMYFUNCTION("""COMPUTED_VALUE"""),"#VALUE!")</f>
        <v>#VALUE!</v>
      </c>
      <c r="CV62" t="str">
        <f ca="1">IFERROR(__xludf.DUMMYFUNCTION("""COMPUTED_VALUE"""),"L0002")</f>
        <v>L0002</v>
      </c>
      <c r="CW62" t="str">
        <f ca="1">IFERROR(__xludf.DUMMYFUNCTION("""COMPUTED_VALUE"""),"Coazze")</f>
        <v>Coazze</v>
      </c>
      <c r="CY62" t="str">
        <f ca="1">IFERROR(__xludf.DUMMYFUNCTION("""COMPUTED_VALUE"""),"#VALUE!")</f>
        <v>#VALUE!</v>
      </c>
      <c r="DC62" t="str">
        <f ca="1">IFERROR(__xludf.DUMMYFUNCTION("""COMPUTED_VALUE"""),"#VALUE!")</f>
        <v>#VALUE!</v>
      </c>
      <c r="DE62" t="str">
        <f ca="1">IFERROR(__xludf.DUMMYFUNCTION("""COMPUTED_VALUE"""),"#VALUE!")</f>
        <v>#VALUE!</v>
      </c>
      <c r="DH62" t="str">
        <f ca="1">IFERROR(__xludf.DUMMYFUNCTION("""COMPUTED_VALUE"""),"L0014#L0016")</f>
        <v>L0014#L0016</v>
      </c>
      <c r="DI62" t="str">
        <f ca="1">IFERROR(__xludf.DUMMYFUNCTION("""COMPUTED_VALUE"""),"grangia Anselmi de Perrino #domus Petri Perrini")</f>
        <v>grangia Anselmi de Perrino #domus Petri Perrini</v>
      </c>
      <c r="DJ62" t="str">
        <f ca="1">IFERROR(__xludf.DUMMYFUNCTION("""COMPUTED_VALUE"""),"grangia #domus")</f>
        <v>grangia #domus</v>
      </c>
      <c r="DL62" t="str">
        <f ca="1">IFERROR(__xludf.DUMMYFUNCTION("""COMPUTED_VALUE"""),"Davor Salihović")</f>
        <v>Davor Salihović</v>
      </c>
    </row>
    <row r="63" spans="1:116" ht="13.2" x14ac:dyDescent="0.25">
      <c r="A63" t="str">
        <f ca="1">IFERROR(__xludf.DUMMYFUNCTION("""COMPUTED_VALUE"""),"P0062")</f>
        <v>P0062</v>
      </c>
      <c r="B63" t="str">
        <f ca="1">IFERROR(__xludf.DUMMYFUNCTION("""COMPUTED_VALUE"""),"Hugo de Coazze")</f>
        <v>Hugo de Coazze</v>
      </c>
      <c r="D63" t="str">
        <f ca="1">IFERROR(__xludf.DUMMYFUNCTION("""COMPUTED_VALUE"""),"#VALUE!")</f>
        <v>#VALUE!</v>
      </c>
      <c r="E63" t="str">
        <f ca="1">IFERROR(__xludf.DUMMYFUNCTION("""COMPUTED_VALUE"""),"Hugo")</f>
        <v>Hugo</v>
      </c>
      <c r="J63" t="str">
        <f ca="1">IFERROR(__xludf.DUMMYFUNCTION("""COMPUTED_VALUE"""),"de")</f>
        <v>de</v>
      </c>
      <c r="K63" t="str">
        <f ca="1">IFERROR(__xludf.DUMMYFUNCTION("""COMPUTED_VALUE"""),"Coazze")</f>
        <v>Coazze</v>
      </c>
      <c r="L63" t="str">
        <f ca="1">IFERROR(__xludf.DUMMYFUNCTION("""COMPUTED_VALUE"""),"de Coazze")</f>
        <v>de Coazze</v>
      </c>
      <c r="M63" t="str">
        <f ca="1">IFERROR(__xludf.DUMMYFUNCTION("""COMPUTED_VALUE"""),"de")</f>
        <v>de</v>
      </c>
      <c r="N63" t="str">
        <f ca="1">IFERROR(__xludf.DUMMYFUNCTION("""COMPUTED_VALUE"""),"Simeyneto")</f>
        <v>Simeyneto</v>
      </c>
      <c r="O63" t="str">
        <f ca="1">IFERROR(__xludf.DUMMYFUNCTION("""COMPUTED_VALUE"""),"de Simeyneto")</f>
        <v>de Simeyneto</v>
      </c>
      <c r="S63" t="str">
        <f ca="1">IFERROR(__xludf.DUMMYFUNCTION("""COMPUTED_VALUE"""),"Latin")</f>
        <v>Latin</v>
      </c>
      <c r="T63" t="str">
        <f ca="1">IFERROR(__xludf.DUMMYFUNCTION("""COMPUTED_VALUE"""),"definite")</f>
        <v>definite</v>
      </c>
      <c r="U63" t="str">
        <f ca="1">IFERROR(__xludf.DUMMYFUNCTION("""COMPUTED_VALUE"""),"C2553")</f>
        <v>C2553</v>
      </c>
      <c r="V63" t="str">
        <f ca="1">IFERROR(__xludf.DUMMYFUNCTION("""COMPUTED_VALUE"""),"male")</f>
        <v>male</v>
      </c>
      <c r="Z63" t="str">
        <f ca="1">IFERROR(__xludf.DUMMYFUNCTION("""COMPUTED_VALUE"""),"165")</f>
        <v>165</v>
      </c>
      <c r="AA63" t="str">
        <f ca="1">IFERROR(__xludf.DUMMYFUNCTION("""COMPUTED_VALUE"""),"d")</f>
        <v>d</v>
      </c>
      <c r="AB63" t="str">
        <f ca="1">IFERROR(__xludf.DUMMYFUNCTION("""COMPUTED_VALUE"""),"NA")</f>
        <v>NA</v>
      </c>
      <c r="AC63" t="str">
        <f ca="1">IFERROR(__xludf.DUMMYFUNCTION("""COMPUTED_VALUE"""),"y")</f>
        <v>y</v>
      </c>
      <c r="AD63" t="str">
        <f ca="1">IFERROR(__xludf.DUMMYFUNCTION("""COMPUTED_VALUE"""),"C3288")</f>
        <v>C3288</v>
      </c>
      <c r="AE63" t="str">
        <f ca="1">IFERROR(__xludf.DUMMYFUNCTION("""COMPUTED_VALUE"""),"dead")</f>
        <v>dead</v>
      </c>
      <c r="AF63" t="str">
        <f ca="1">IFERROR(__xludf.DUMMYFUNCTION("""COMPUTED_VALUE"""),"C1749")</f>
        <v>C1749</v>
      </c>
      <c r="AG63" t="str">
        <f ca="1">IFERROR(__xludf.DUMMYFUNCTION("""COMPUTED_VALUE"""),"1335-01-20")</f>
        <v>1335-01-20</v>
      </c>
      <c r="AH63" t="str">
        <f ca="1">IFERROR(__xludf.DUMMYFUNCTION("""COMPUTED_VALUE"""),"C2348")</f>
        <v>C2348</v>
      </c>
      <c r="AI63" t="str">
        <f ca="1">IFERROR(__xludf.DUMMYFUNCTION("""COMPUTED_VALUE"""),"wife")</f>
        <v>wife</v>
      </c>
      <c r="AJ63" t="str">
        <f ca="1">IFERROR(__xludf.DUMMYFUNCTION("""COMPUTED_VALUE"""),"P0061")</f>
        <v>P0061</v>
      </c>
      <c r="AK63" t="str">
        <f ca="1">IFERROR(__xludf.DUMMYFUNCTION("""COMPUTED_VALUE"""),"Matheuda, uxor Hugonis de Simeyneto")</f>
        <v>Matheuda, uxor Hugonis de Simeyneto</v>
      </c>
      <c r="AM63" t="str">
        <f ca="1">IFERROR(__xludf.DUMMYFUNCTION("""COMPUTED_VALUE"""),"#VALUE!")</f>
        <v>#VALUE!</v>
      </c>
      <c r="AO63" t="str">
        <f ca="1">IFERROR(__xludf.DUMMYFUNCTION("""COMPUTED_VALUE"""),"#VALUE!")</f>
        <v>#VALUE!</v>
      </c>
      <c r="AQ63" t="str">
        <f ca="1">IFERROR(__xludf.DUMMYFUNCTION("""COMPUTED_VALUE"""),"#VALUE!")</f>
        <v>#VALUE!</v>
      </c>
      <c r="AS63" t="str">
        <f ca="1">IFERROR(__xludf.DUMMYFUNCTION("""COMPUTED_VALUE"""),"#VALUE!")</f>
        <v>#VALUE!</v>
      </c>
      <c r="AU63" t="str">
        <f ca="1">IFERROR(__xludf.DUMMYFUNCTION("""COMPUTED_VALUE"""),"#VALUE!")</f>
        <v>#VALUE!</v>
      </c>
      <c r="AW63" t="str">
        <f ca="1">IFERROR(__xludf.DUMMYFUNCTION("""COMPUTED_VALUE"""),"#VALUE!")</f>
        <v>#VALUE!</v>
      </c>
      <c r="AY63" t="str">
        <f ca="1">IFERROR(__xludf.DUMMYFUNCTION("""COMPUTED_VALUE"""),"#VALUE!")</f>
        <v>#VALUE!</v>
      </c>
      <c r="BA63" t="str">
        <f ca="1">IFERROR(__xludf.DUMMYFUNCTION("""COMPUTED_VALUE"""),"#VALUE!")</f>
        <v>#VALUE!</v>
      </c>
      <c r="BC63" t="str">
        <f ca="1">IFERROR(__xludf.DUMMYFUNCTION("""COMPUTED_VALUE"""),"#VALUE!")</f>
        <v>#VALUE!</v>
      </c>
      <c r="BE63" t="str">
        <f ca="1">IFERROR(__xludf.DUMMYFUNCTION("""COMPUTED_VALUE"""),"#VALUE!")</f>
        <v>#VALUE!</v>
      </c>
      <c r="BG63" t="str">
        <f ca="1">IFERROR(__xludf.DUMMYFUNCTION("""COMPUTED_VALUE"""),"#VALUE!")</f>
        <v>#VALUE!</v>
      </c>
      <c r="BI63" t="str">
        <f ca="1">IFERROR(__xludf.DUMMYFUNCTION("""COMPUTED_VALUE"""),"#VALUE!")</f>
        <v>#VALUE!</v>
      </c>
      <c r="BK63" t="str">
        <f ca="1">IFERROR(__xludf.DUMMYFUNCTION("""COMPUTED_VALUE"""),"#VALUE!")</f>
        <v>#VALUE!</v>
      </c>
      <c r="BM63" t="str">
        <f ca="1">IFERROR(__xludf.DUMMYFUNCTION("""COMPUTED_VALUE"""),"#VALUE!")</f>
        <v>#VALUE!</v>
      </c>
      <c r="BO63" t="str">
        <f ca="1">IFERROR(__xludf.DUMMYFUNCTION("""COMPUTED_VALUE"""),"#VALUE!")</f>
        <v>#VALUE!</v>
      </c>
      <c r="BQ63" t="str">
        <f ca="1">IFERROR(__xludf.DUMMYFUNCTION("""COMPUTED_VALUE"""),"#VALUE!")</f>
        <v>#VALUE!</v>
      </c>
      <c r="BS63" t="str">
        <f ca="1">IFERROR(__xludf.DUMMYFUNCTION("""COMPUTED_VALUE"""),"#VALUE!")</f>
        <v>#VALUE!</v>
      </c>
      <c r="BU63" t="str">
        <f ca="1">IFERROR(__xludf.DUMMYFUNCTION("""COMPUTED_VALUE"""),"#VALUE!")</f>
        <v>#VALUE!</v>
      </c>
      <c r="BW63" t="str">
        <f ca="1">IFERROR(__xludf.DUMMYFUNCTION("""COMPUTED_VALUE"""),"#VALUE!")</f>
        <v>#VALUE!</v>
      </c>
      <c r="BY63" t="str">
        <f ca="1">IFERROR(__xludf.DUMMYFUNCTION("""COMPUTED_VALUE"""),"#VALUE!")</f>
        <v>#VALUE!</v>
      </c>
      <c r="CA63" t="str">
        <f ca="1">IFERROR(__xludf.DUMMYFUNCTION("""COMPUTED_VALUE"""),"#VALUE!")</f>
        <v>#VALUE!</v>
      </c>
      <c r="CC63" t="str">
        <f ca="1">IFERROR(__xludf.DUMMYFUNCTION("""COMPUTED_VALUE"""),"#VALUE!")</f>
        <v>#VALUE!</v>
      </c>
      <c r="CE63" t="str">
        <f ca="1">IFERROR(__xludf.DUMMYFUNCTION("""COMPUTED_VALUE"""),"#VALUE!")</f>
        <v>#VALUE!</v>
      </c>
      <c r="CG63" t="str">
        <f ca="1">IFERROR(__xludf.DUMMYFUNCTION("""COMPUTED_VALUE"""),"#VALUE!")</f>
        <v>#VALUE!</v>
      </c>
      <c r="CI63" t="str">
        <f ca="1">IFERROR(__xludf.DUMMYFUNCTION("""COMPUTED_VALUE"""),"#VALUE!")</f>
        <v>#VALUE!</v>
      </c>
      <c r="CK63" t="str">
        <f ca="1">IFERROR(__xludf.DUMMYFUNCTION("""COMPUTED_VALUE"""),"#VALUE!")</f>
        <v>#VALUE!</v>
      </c>
      <c r="CR63" t="str">
        <f ca="1">IFERROR(__xludf.DUMMYFUNCTION("""COMPUTED_VALUE"""),"L0002")</f>
        <v>L0002</v>
      </c>
      <c r="CS63" t="str">
        <f ca="1">IFERROR(__xludf.DUMMYFUNCTION("""COMPUTED_VALUE"""),"Coazze")</f>
        <v>Coazze</v>
      </c>
      <c r="CU63" t="str">
        <f ca="1">IFERROR(__xludf.DUMMYFUNCTION("""COMPUTED_VALUE"""),"#VALUE!")</f>
        <v>#VALUE!</v>
      </c>
      <c r="CW63" t="str">
        <f ca="1">IFERROR(__xludf.DUMMYFUNCTION("""COMPUTED_VALUE"""),"#VALUE!")</f>
        <v>#VALUE!</v>
      </c>
      <c r="CY63" t="str">
        <f ca="1">IFERROR(__xludf.DUMMYFUNCTION("""COMPUTED_VALUE"""),"#VALUE!")</f>
        <v>#VALUE!</v>
      </c>
      <c r="DC63" t="str">
        <f ca="1">IFERROR(__xludf.DUMMYFUNCTION("""COMPUTED_VALUE"""),"#VALUE!")</f>
        <v>#VALUE!</v>
      </c>
      <c r="DE63" t="str">
        <f ca="1">IFERROR(__xludf.DUMMYFUNCTION("""COMPUTED_VALUE"""),"#VALUE!")</f>
        <v>#VALUE!</v>
      </c>
      <c r="DI63" t="str">
        <f ca="1">IFERROR(__xludf.DUMMYFUNCTION("""COMPUTED_VALUE"""),"#VALUE!")</f>
        <v>#VALUE!</v>
      </c>
      <c r="DJ63" t="str">
        <f ca="1">IFERROR(__xludf.DUMMYFUNCTION("""COMPUTED_VALUE"""),"#VALUE!")</f>
        <v>#VALUE!</v>
      </c>
      <c r="DL63" t="str">
        <f ca="1">IFERROR(__xludf.DUMMYFUNCTION("""COMPUTED_VALUE"""),"Davor Salihović")</f>
        <v>Davor Salihović</v>
      </c>
    </row>
    <row r="64" spans="1:116" ht="13.2" x14ac:dyDescent="0.25">
      <c r="A64" t="str">
        <f ca="1">IFERROR(__xludf.DUMMYFUNCTION("""COMPUTED_VALUE"""),"P0063")</f>
        <v>P0063</v>
      </c>
      <c r="B64" t="str">
        <f ca="1">IFERROR(__xludf.DUMMYFUNCTION("""COMPUTED_VALUE"""),"homo ductus ad Follatonum")</f>
        <v>homo ductus ad Follatonum</v>
      </c>
      <c r="D64" t="str">
        <f ca="1">IFERROR(__xludf.DUMMYFUNCTION("""COMPUTED_VALUE"""),"#VALUE!")</f>
        <v>#VALUE!</v>
      </c>
      <c r="E64" t="str">
        <f ca="1">IFERROR(__xludf.DUMMYFUNCTION("""COMPUTED_VALUE"""),"homo ductus ad Follatonum")</f>
        <v>homo ductus ad Follatonum</v>
      </c>
      <c r="S64" t="str">
        <f ca="1">IFERROR(__xludf.DUMMYFUNCTION("""COMPUTED_VALUE"""),"Latin")</f>
        <v>Latin</v>
      </c>
      <c r="T64" t="str">
        <f ca="1">IFERROR(__xludf.DUMMYFUNCTION("""COMPUTED_VALUE"""),"indefinite")</f>
        <v>indefinite</v>
      </c>
      <c r="U64" t="str">
        <f ca="1">IFERROR(__xludf.DUMMYFUNCTION("""COMPUTED_VALUE"""),"C2553")</f>
        <v>C2553</v>
      </c>
      <c r="V64" t="str">
        <f ca="1">IFERROR(__xludf.DUMMYFUNCTION("""COMPUTED_VALUE"""),"male")</f>
        <v>male</v>
      </c>
      <c r="Z64" t="str">
        <f ca="1">IFERROR(__xludf.DUMMYFUNCTION("""COMPUTED_VALUE"""),"165, 183")</f>
        <v>165, 183</v>
      </c>
      <c r="AA64" t="str">
        <f ca="1">IFERROR(__xludf.DUMMYFUNCTION("""COMPUTED_VALUE"""),"d")</f>
        <v>d</v>
      </c>
      <c r="AB64" t="str">
        <f ca="1">IFERROR(__xludf.DUMMYFUNCTION("""COMPUTED_VALUE"""),"NA")</f>
        <v>NA</v>
      </c>
      <c r="AE64" t="str">
        <f ca="1">IFERROR(__xludf.DUMMYFUNCTION("""COMPUTED_VALUE"""),"#VALUE!")</f>
        <v>#VALUE!</v>
      </c>
      <c r="AF64" t="str">
        <f ca="1">IFERROR(__xludf.DUMMYFUNCTION("""COMPUTED_VALUE"""),"#N/A")</f>
        <v>#N/A</v>
      </c>
      <c r="AG64" t="str">
        <f ca="1">IFERROR(__xludf.DUMMYFUNCTION("""COMPUTED_VALUE"""),"#N/A")</f>
        <v>#N/A</v>
      </c>
      <c r="AI64" t="str">
        <f ca="1">IFERROR(__xludf.DUMMYFUNCTION("""COMPUTED_VALUE"""),"#VALUE!")</f>
        <v>#VALUE!</v>
      </c>
      <c r="AK64" t="str">
        <f ca="1">IFERROR(__xludf.DUMMYFUNCTION("""COMPUTED_VALUE"""),"#VALUE!")</f>
        <v>#VALUE!</v>
      </c>
      <c r="AM64" t="str">
        <f ca="1">IFERROR(__xludf.DUMMYFUNCTION("""COMPUTED_VALUE"""),"#VALUE!")</f>
        <v>#VALUE!</v>
      </c>
      <c r="AO64" t="str">
        <f ca="1">IFERROR(__xludf.DUMMYFUNCTION("""COMPUTED_VALUE"""),"#VALUE!")</f>
        <v>#VALUE!</v>
      </c>
      <c r="AQ64" t="str">
        <f ca="1">IFERROR(__xludf.DUMMYFUNCTION("""COMPUTED_VALUE"""),"#VALUE!")</f>
        <v>#VALUE!</v>
      </c>
      <c r="AS64" t="str">
        <f ca="1">IFERROR(__xludf.DUMMYFUNCTION("""COMPUTED_VALUE"""),"#VALUE!")</f>
        <v>#VALUE!</v>
      </c>
      <c r="AU64" t="str">
        <f ca="1">IFERROR(__xludf.DUMMYFUNCTION("""COMPUTED_VALUE"""),"#VALUE!")</f>
        <v>#VALUE!</v>
      </c>
      <c r="AW64" t="str">
        <f ca="1">IFERROR(__xludf.DUMMYFUNCTION("""COMPUTED_VALUE"""),"#VALUE!")</f>
        <v>#VALUE!</v>
      </c>
      <c r="AY64" t="str">
        <f ca="1">IFERROR(__xludf.DUMMYFUNCTION("""COMPUTED_VALUE"""),"#VALUE!")</f>
        <v>#VALUE!</v>
      </c>
      <c r="BA64" t="str">
        <f ca="1">IFERROR(__xludf.DUMMYFUNCTION("""COMPUTED_VALUE"""),"#VALUE!")</f>
        <v>#VALUE!</v>
      </c>
      <c r="BC64" t="str">
        <f ca="1">IFERROR(__xludf.DUMMYFUNCTION("""COMPUTED_VALUE"""),"#VALUE!")</f>
        <v>#VALUE!</v>
      </c>
      <c r="BE64" t="str">
        <f ca="1">IFERROR(__xludf.DUMMYFUNCTION("""COMPUTED_VALUE"""),"#VALUE!")</f>
        <v>#VALUE!</v>
      </c>
      <c r="BG64" t="str">
        <f ca="1">IFERROR(__xludf.DUMMYFUNCTION("""COMPUTED_VALUE"""),"#VALUE!")</f>
        <v>#VALUE!</v>
      </c>
      <c r="BI64" t="str">
        <f ca="1">IFERROR(__xludf.DUMMYFUNCTION("""COMPUTED_VALUE"""),"#VALUE!")</f>
        <v>#VALUE!</v>
      </c>
      <c r="BK64" t="str">
        <f ca="1">IFERROR(__xludf.DUMMYFUNCTION("""COMPUTED_VALUE"""),"#VALUE!")</f>
        <v>#VALUE!</v>
      </c>
      <c r="BM64" t="str">
        <f ca="1">IFERROR(__xludf.DUMMYFUNCTION("""COMPUTED_VALUE"""),"#VALUE!")</f>
        <v>#VALUE!</v>
      </c>
      <c r="BO64" t="str">
        <f ca="1">IFERROR(__xludf.DUMMYFUNCTION("""COMPUTED_VALUE"""),"#VALUE!")</f>
        <v>#VALUE!</v>
      </c>
      <c r="BQ64" t="str">
        <f ca="1">IFERROR(__xludf.DUMMYFUNCTION("""COMPUTED_VALUE"""),"#VALUE!")</f>
        <v>#VALUE!</v>
      </c>
      <c r="BS64" t="str">
        <f ca="1">IFERROR(__xludf.DUMMYFUNCTION("""COMPUTED_VALUE"""),"#VALUE!")</f>
        <v>#VALUE!</v>
      </c>
      <c r="BU64" t="str">
        <f ca="1">IFERROR(__xludf.DUMMYFUNCTION("""COMPUTED_VALUE"""),"#VALUE!")</f>
        <v>#VALUE!</v>
      </c>
      <c r="BW64" t="str">
        <f ca="1">IFERROR(__xludf.DUMMYFUNCTION("""COMPUTED_VALUE"""),"#VALUE!")</f>
        <v>#VALUE!</v>
      </c>
      <c r="BY64" t="str">
        <f ca="1">IFERROR(__xludf.DUMMYFUNCTION("""COMPUTED_VALUE"""),"#VALUE!")</f>
        <v>#VALUE!</v>
      </c>
      <c r="CA64" t="str">
        <f ca="1">IFERROR(__xludf.DUMMYFUNCTION("""COMPUTED_VALUE"""),"#VALUE!")</f>
        <v>#VALUE!</v>
      </c>
      <c r="CC64" t="str">
        <f ca="1">IFERROR(__xludf.DUMMYFUNCTION("""COMPUTED_VALUE"""),"#VALUE!")</f>
        <v>#VALUE!</v>
      </c>
      <c r="CD64" t="str">
        <f ca="1">IFERROR(__xludf.DUMMYFUNCTION("""COMPUTED_VALUE"""),"C3598")</f>
        <v>C3598</v>
      </c>
      <c r="CE64" t="str">
        <f ca="1">IFERROR(__xludf.DUMMYFUNCTION("""COMPUTED_VALUE"""),"location of congregation")</f>
        <v>location of congregation</v>
      </c>
      <c r="CF64" t="str">
        <f ca="1">IFERROR(__xludf.DUMMYFUNCTION("""COMPUTED_VALUE"""),"L0014#L0016")</f>
        <v>L0014#L0016</v>
      </c>
      <c r="CG64" t="str">
        <f ca="1">IFERROR(__xludf.DUMMYFUNCTION("""COMPUTED_VALUE"""),"grangia Anselmi de Perrino #domus Petri Perrini")</f>
        <v>grangia Anselmi de Perrino #domus Petri Perrini</v>
      </c>
      <c r="CI64" t="str">
        <f ca="1">IFERROR(__xludf.DUMMYFUNCTION("""COMPUTED_VALUE"""),"#VALUE!")</f>
        <v>#VALUE!</v>
      </c>
      <c r="CK64" t="str">
        <f ca="1">IFERROR(__xludf.DUMMYFUNCTION("""COMPUTED_VALUE"""),"#VALUE!")</f>
        <v>#VALUE!</v>
      </c>
      <c r="CS64" t="str">
        <f ca="1">IFERROR(__xludf.DUMMYFUNCTION("""COMPUTED_VALUE"""),"#VALUE!")</f>
        <v>#VALUE!</v>
      </c>
      <c r="CU64" t="str">
        <f ca="1">IFERROR(__xludf.DUMMYFUNCTION("""COMPUTED_VALUE"""),"#VALUE!")</f>
        <v>#VALUE!</v>
      </c>
      <c r="CW64" t="str">
        <f ca="1">IFERROR(__xludf.DUMMYFUNCTION("""COMPUTED_VALUE"""),"#VALUE!")</f>
        <v>#VALUE!</v>
      </c>
      <c r="CY64" t="str">
        <f ca="1">IFERROR(__xludf.DUMMYFUNCTION("""COMPUTED_VALUE"""),"#VALUE!")</f>
        <v>#VALUE!</v>
      </c>
      <c r="DC64" t="str">
        <f ca="1">IFERROR(__xludf.DUMMYFUNCTION("""COMPUTED_VALUE"""),"#VALUE!")</f>
        <v>#VALUE!</v>
      </c>
      <c r="DE64" t="str">
        <f ca="1">IFERROR(__xludf.DUMMYFUNCTION("""COMPUTED_VALUE"""),"#VALUE!")</f>
        <v>#VALUE!</v>
      </c>
      <c r="DH64" t="str">
        <f ca="1">IFERROR(__xludf.DUMMYFUNCTION("""COMPUTED_VALUE"""),"L0014#L0016")</f>
        <v>L0014#L0016</v>
      </c>
      <c r="DI64" t="str">
        <f ca="1">IFERROR(__xludf.DUMMYFUNCTION("""COMPUTED_VALUE"""),"grangia Anselmi de Perrino #domus Petri Perrini")</f>
        <v>grangia Anselmi de Perrino #domus Petri Perrini</v>
      </c>
      <c r="DJ64" t="str">
        <f ca="1">IFERROR(__xludf.DUMMYFUNCTION("""COMPUTED_VALUE"""),"grangia #domus")</f>
        <v>grangia #domus</v>
      </c>
      <c r="DL64" t="str">
        <f ca="1">IFERROR(__xludf.DUMMYFUNCTION("""COMPUTED_VALUE"""),"Davor Salihović")</f>
        <v>Davor Salihović</v>
      </c>
    </row>
    <row r="65" spans="1:116" ht="13.2" x14ac:dyDescent="0.25">
      <c r="A65" t="str">
        <f ca="1">IFERROR(__xludf.DUMMYFUNCTION("""COMPUTED_VALUE"""),"P0064")</f>
        <v>P0064</v>
      </c>
      <c r="B65" t="str">
        <f ca="1">IFERROR(__xludf.DUMMYFUNCTION("""COMPUTED_VALUE"""),"homo ductus ad Follatonum")</f>
        <v>homo ductus ad Follatonum</v>
      </c>
      <c r="D65" t="str">
        <f ca="1">IFERROR(__xludf.DUMMYFUNCTION("""COMPUTED_VALUE"""),"#VALUE!")</f>
        <v>#VALUE!</v>
      </c>
      <c r="E65" t="str">
        <f ca="1">IFERROR(__xludf.DUMMYFUNCTION("""COMPUTED_VALUE"""),"homo ductus ad Follatonum")</f>
        <v>homo ductus ad Follatonum</v>
      </c>
      <c r="S65" t="str">
        <f ca="1">IFERROR(__xludf.DUMMYFUNCTION("""COMPUTED_VALUE"""),"Latin")</f>
        <v>Latin</v>
      </c>
      <c r="T65" t="str">
        <f ca="1">IFERROR(__xludf.DUMMYFUNCTION("""COMPUTED_VALUE"""),"indefinite")</f>
        <v>indefinite</v>
      </c>
      <c r="U65" t="str">
        <f ca="1">IFERROR(__xludf.DUMMYFUNCTION("""COMPUTED_VALUE"""),"C2553")</f>
        <v>C2553</v>
      </c>
      <c r="V65" t="str">
        <f ca="1">IFERROR(__xludf.DUMMYFUNCTION("""COMPUTED_VALUE"""),"male")</f>
        <v>male</v>
      </c>
      <c r="Z65" t="str">
        <f ca="1">IFERROR(__xludf.DUMMYFUNCTION("""COMPUTED_VALUE"""),"165, 183")</f>
        <v>165, 183</v>
      </c>
      <c r="AA65" t="str">
        <f ca="1">IFERROR(__xludf.DUMMYFUNCTION("""COMPUTED_VALUE"""),"d")</f>
        <v>d</v>
      </c>
      <c r="AB65" t="str">
        <f ca="1">IFERROR(__xludf.DUMMYFUNCTION("""COMPUTED_VALUE"""),"NA")</f>
        <v>NA</v>
      </c>
      <c r="AE65" t="str">
        <f ca="1">IFERROR(__xludf.DUMMYFUNCTION("""COMPUTED_VALUE"""),"#VALUE!")</f>
        <v>#VALUE!</v>
      </c>
      <c r="AF65" t="str">
        <f ca="1">IFERROR(__xludf.DUMMYFUNCTION("""COMPUTED_VALUE"""),"#N/A")</f>
        <v>#N/A</v>
      </c>
      <c r="AG65" t="str">
        <f ca="1">IFERROR(__xludf.DUMMYFUNCTION("""COMPUTED_VALUE"""),"#N/A")</f>
        <v>#N/A</v>
      </c>
      <c r="AI65" t="str">
        <f ca="1">IFERROR(__xludf.DUMMYFUNCTION("""COMPUTED_VALUE"""),"#VALUE!")</f>
        <v>#VALUE!</v>
      </c>
      <c r="AK65" t="str">
        <f ca="1">IFERROR(__xludf.DUMMYFUNCTION("""COMPUTED_VALUE"""),"#VALUE!")</f>
        <v>#VALUE!</v>
      </c>
      <c r="AM65" t="str">
        <f ca="1">IFERROR(__xludf.DUMMYFUNCTION("""COMPUTED_VALUE"""),"#VALUE!")</f>
        <v>#VALUE!</v>
      </c>
      <c r="AO65" t="str">
        <f ca="1">IFERROR(__xludf.DUMMYFUNCTION("""COMPUTED_VALUE"""),"#VALUE!")</f>
        <v>#VALUE!</v>
      </c>
      <c r="AQ65" t="str">
        <f ca="1">IFERROR(__xludf.DUMMYFUNCTION("""COMPUTED_VALUE"""),"#VALUE!")</f>
        <v>#VALUE!</v>
      </c>
      <c r="AS65" t="str">
        <f ca="1">IFERROR(__xludf.DUMMYFUNCTION("""COMPUTED_VALUE"""),"#VALUE!")</f>
        <v>#VALUE!</v>
      </c>
      <c r="AU65" t="str">
        <f ca="1">IFERROR(__xludf.DUMMYFUNCTION("""COMPUTED_VALUE"""),"#VALUE!")</f>
        <v>#VALUE!</v>
      </c>
      <c r="AW65" t="str">
        <f ca="1">IFERROR(__xludf.DUMMYFUNCTION("""COMPUTED_VALUE"""),"#VALUE!")</f>
        <v>#VALUE!</v>
      </c>
      <c r="AY65" t="str">
        <f ca="1">IFERROR(__xludf.DUMMYFUNCTION("""COMPUTED_VALUE"""),"#VALUE!")</f>
        <v>#VALUE!</v>
      </c>
      <c r="BA65" t="str">
        <f ca="1">IFERROR(__xludf.DUMMYFUNCTION("""COMPUTED_VALUE"""),"#VALUE!")</f>
        <v>#VALUE!</v>
      </c>
      <c r="BC65" t="str">
        <f ca="1">IFERROR(__xludf.DUMMYFUNCTION("""COMPUTED_VALUE"""),"#VALUE!")</f>
        <v>#VALUE!</v>
      </c>
      <c r="BE65" t="str">
        <f ca="1">IFERROR(__xludf.DUMMYFUNCTION("""COMPUTED_VALUE"""),"#VALUE!")</f>
        <v>#VALUE!</v>
      </c>
      <c r="BG65" t="str">
        <f ca="1">IFERROR(__xludf.DUMMYFUNCTION("""COMPUTED_VALUE"""),"#VALUE!")</f>
        <v>#VALUE!</v>
      </c>
      <c r="BI65" t="str">
        <f ca="1">IFERROR(__xludf.DUMMYFUNCTION("""COMPUTED_VALUE"""),"#VALUE!")</f>
        <v>#VALUE!</v>
      </c>
      <c r="BK65" t="str">
        <f ca="1">IFERROR(__xludf.DUMMYFUNCTION("""COMPUTED_VALUE"""),"#VALUE!")</f>
        <v>#VALUE!</v>
      </c>
      <c r="BM65" t="str">
        <f ca="1">IFERROR(__xludf.DUMMYFUNCTION("""COMPUTED_VALUE"""),"#VALUE!")</f>
        <v>#VALUE!</v>
      </c>
      <c r="BO65" t="str">
        <f ca="1">IFERROR(__xludf.DUMMYFUNCTION("""COMPUTED_VALUE"""),"#VALUE!")</f>
        <v>#VALUE!</v>
      </c>
      <c r="BQ65" t="str">
        <f ca="1">IFERROR(__xludf.DUMMYFUNCTION("""COMPUTED_VALUE"""),"#VALUE!")</f>
        <v>#VALUE!</v>
      </c>
      <c r="BS65" t="str">
        <f ca="1">IFERROR(__xludf.DUMMYFUNCTION("""COMPUTED_VALUE"""),"#VALUE!")</f>
        <v>#VALUE!</v>
      </c>
      <c r="BU65" t="str">
        <f ca="1">IFERROR(__xludf.DUMMYFUNCTION("""COMPUTED_VALUE"""),"#VALUE!")</f>
        <v>#VALUE!</v>
      </c>
      <c r="BW65" t="str">
        <f ca="1">IFERROR(__xludf.DUMMYFUNCTION("""COMPUTED_VALUE"""),"#VALUE!")</f>
        <v>#VALUE!</v>
      </c>
      <c r="BY65" t="str">
        <f ca="1">IFERROR(__xludf.DUMMYFUNCTION("""COMPUTED_VALUE"""),"#VALUE!")</f>
        <v>#VALUE!</v>
      </c>
      <c r="CA65" t="str">
        <f ca="1">IFERROR(__xludf.DUMMYFUNCTION("""COMPUTED_VALUE"""),"#VALUE!")</f>
        <v>#VALUE!</v>
      </c>
      <c r="CC65" t="str">
        <f ca="1">IFERROR(__xludf.DUMMYFUNCTION("""COMPUTED_VALUE"""),"#VALUE!")</f>
        <v>#VALUE!</v>
      </c>
      <c r="CD65" t="str">
        <f ca="1">IFERROR(__xludf.DUMMYFUNCTION("""COMPUTED_VALUE"""),"C3598")</f>
        <v>C3598</v>
      </c>
      <c r="CE65" t="str">
        <f ca="1">IFERROR(__xludf.DUMMYFUNCTION("""COMPUTED_VALUE"""),"location of congregation")</f>
        <v>location of congregation</v>
      </c>
      <c r="CF65" t="str">
        <f ca="1">IFERROR(__xludf.DUMMYFUNCTION("""COMPUTED_VALUE"""),"L0014#L0016")</f>
        <v>L0014#L0016</v>
      </c>
      <c r="CG65" t="str">
        <f ca="1">IFERROR(__xludf.DUMMYFUNCTION("""COMPUTED_VALUE"""),"grangia Anselmi de Perrino #domus Petri Perrini")</f>
        <v>grangia Anselmi de Perrino #domus Petri Perrini</v>
      </c>
      <c r="CI65" t="str">
        <f ca="1">IFERROR(__xludf.DUMMYFUNCTION("""COMPUTED_VALUE"""),"#VALUE!")</f>
        <v>#VALUE!</v>
      </c>
      <c r="CK65" t="str">
        <f ca="1">IFERROR(__xludf.DUMMYFUNCTION("""COMPUTED_VALUE"""),"#VALUE!")</f>
        <v>#VALUE!</v>
      </c>
      <c r="CS65" t="str">
        <f ca="1">IFERROR(__xludf.DUMMYFUNCTION("""COMPUTED_VALUE"""),"#VALUE!")</f>
        <v>#VALUE!</v>
      </c>
      <c r="CU65" t="str">
        <f ca="1">IFERROR(__xludf.DUMMYFUNCTION("""COMPUTED_VALUE"""),"#VALUE!")</f>
        <v>#VALUE!</v>
      </c>
      <c r="CW65" t="str">
        <f ca="1">IFERROR(__xludf.DUMMYFUNCTION("""COMPUTED_VALUE"""),"#VALUE!")</f>
        <v>#VALUE!</v>
      </c>
      <c r="CY65" t="str">
        <f ca="1">IFERROR(__xludf.DUMMYFUNCTION("""COMPUTED_VALUE"""),"#VALUE!")</f>
        <v>#VALUE!</v>
      </c>
      <c r="DC65" t="str">
        <f ca="1">IFERROR(__xludf.DUMMYFUNCTION("""COMPUTED_VALUE"""),"#VALUE!")</f>
        <v>#VALUE!</v>
      </c>
      <c r="DE65" t="str">
        <f ca="1">IFERROR(__xludf.DUMMYFUNCTION("""COMPUTED_VALUE"""),"#VALUE!")</f>
        <v>#VALUE!</v>
      </c>
      <c r="DH65" t="str">
        <f ca="1">IFERROR(__xludf.DUMMYFUNCTION("""COMPUTED_VALUE"""),"L0014#L0016")</f>
        <v>L0014#L0016</v>
      </c>
      <c r="DI65" t="str">
        <f ca="1">IFERROR(__xludf.DUMMYFUNCTION("""COMPUTED_VALUE"""),"grangia Anselmi de Perrino #domus Petri Perrini")</f>
        <v>grangia Anselmi de Perrino #domus Petri Perrini</v>
      </c>
      <c r="DJ65" t="str">
        <f ca="1">IFERROR(__xludf.DUMMYFUNCTION("""COMPUTED_VALUE"""),"grangia #domus")</f>
        <v>grangia #domus</v>
      </c>
      <c r="DL65" t="str">
        <f ca="1">IFERROR(__xludf.DUMMYFUNCTION("""COMPUTED_VALUE"""),"Davor Salihović")</f>
        <v>Davor Salihović</v>
      </c>
    </row>
    <row r="66" spans="1:116" ht="13.2" x14ac:dyDescent="0.25">
      <c r="A66" t="str">
        <f ca="1">IFERROR(__xludf.DUMMYFUNCTION("""COMPUTED_VALUE"""),"P0065")</f>
        <v>P0065</v>
      </c>
      <c r="B66" t="str">
        <f ca="1">IFERROR(__xludf.DUMMYFUNCTION("""COMPUTED_VALUE"""),"Anselmus de Perrino")</f>
        <v>Anselmus de Perrino</v>
      </c>
      <c r="D66" t="str">
        <f ca="1">IFERROR(__xludf.DUMMYFUNCTION("""COMPUTED_VALUE"""),"#VALUE!")</f>
        <v>#VALUE!</v>
      </c>
      <c r="E66" t="str">
        <f ca="1">IFERROR(__xludf.DUMMYFUNCTION("""COMPUTED_VALUE"""),"Anselmus")</f>
        <v>Anselmus</v>
      </c>
      <c r="J66" t="str">
        <f ca="1">IFERROR(__xludf.DUMMYFUNCTION("""COMPUTED_VALUE"""),"de")</f>
        <v>de</v>
      </c>
      <c r="K66" t="str">
        <f ca="1">IFERROR(__xludf.DUMMYFUNCTION("""COMPUTED_VALUE"""),"Perrino")</f>
        <v>Perrino</v>
      </c>
      <c r="L66" t="str">
        <f ca="1">IFERROR(__xludf.DUMMYFUNCTION("""COMPUTED_VALUE"""),"de Perrino")</f>
        <v>de Perrino</v>
      </c>
      <c r="S66" t="str">
        <f ca="1">IFERROR(__xludf.DUMMYFUNCTION("""COMPUTED_VALUE"""),"Latin")</f>
        <v>Latin</v>
      </c>
      <c r="T66" t="str">
        <f ca="1">IFERROR(__xludf.DUMMYFUNCTION("""COMPUTED_VALUE"""),"definite")</f>
        <v>definite</v>
      </c>
      <c r="U66" t="str">
        <f ca="1">IFERROR(__xludf.DUMMYFUNCTION("""COMPUTED_VALUE"""),"C2553")</f>
        <v>C2553</v>
      </c>
      <c r="V66" t="str">
        <f ca="1">IFERROR(__xludf.DUMMYFUNCTION("""COMPUTED_VALUE"""),"male")</f>
        <v>male</v>
      </c>
      <c r="Z66" t="str">
        <f ca="1">IFERROR(__xludf.DUMMYFUNCTION("""COMPUTED_VALUE"""),"165, 183")</f>
        <v>165, 183</v>
      </c>
      <c r="AA66" t="str">
        <f ca="1">IFERROR(__xludf.DUMMYFUNCTION("""COMPUTED_VALUE"""),"d")</f>
        <v>d</v>
      </c>
      <c r="AB66" t="str">
        <f ca="1">IFERROR(__xludf.DUMMYFUNCTION("""COMPUTED_VALUE"""),"suspect")</f>
        <v>suspect</v>
      </c>
      <c r="AD66" t="str">
        <f ca="1">IFERROR(__xludf.DUMMYFUNCTION("""COMPUTED_VALUE"""),"C3287")</f>
        <v>C3287</v>
      </c>
      <c r="AE66" t="str">
        <f ca="1">IFERROR(__xludf.DUMMYFUNCTION("""COMPUTED_VALUE"""),"alive")</f>
        <v>alive</v>
      </c>
      <c r="AF66" t="str">
        <f ca="1">IFERROR(__xludf.DUMMYFUNCTION("""COMPUTED_VALUE"""),"C1753")</f>
        <v>C1753</v>
      </c>
      <c r="AG66" t="str">
        <f ca="1">IFERROR(__xludf.DUMMYFUNCTION("""COMPUTED_VALUE"""),"1335-01-20")</f>
        <v>1335-01-20</v>
      </c>
      <c r="AH66" t="str">
        <f ca="1">IFERROR(__xludf.DUMMYFUNCTION("""COMPUTED_VALUE"""),"C2386")</f>
        <v>C2386</v>
      </c>
      <c r="AI66" t="str">
        <f ca="1">IFERROR(__xludf.DUMMYFUNCTION("""COMPUTED_VALUE"""),"daughter-in-law")</f>
        <v>daughter-in-law</v>
      </c>
      <c r="AJ66" t="str">
        <f ca="1">IFERROR(__xludf.DUMMYFUNCTION("""COMPUTED_VALUE"""),"P0069")</f>
        <v>P0069</v>
      </c>
      <c r="AK66" t="str">
        <f ca="1">IFERROR(__xludf.DUMMYFUNCTION("""COMPUTED_VALUE"""),"Marguerita, nurus Anselmi de Perrino")</f>
        <v>Marguerita, nurus Anselmi de Perrino</v>
      </c>
      <c r="AM66" t="str">
        <f ca="1">IFERROR(__xludf.DUMMYFUNCTION("""COMPUTED_VALUE"""),"#VALUE!")</f>
        <v>#VALUE!</v>
      </c>
      <c r="AO66" t="str">
        <f ca="1">IFERROR(__xludf.DUMMYFUNCTION("""COMPUTED_VALUE"""),"#VALUE!")</f>
        <v>#VALUE!</v>
      </c>
      <c r="AQ66" t="str">
        <f ca="1">IFERROR(__xludf.DUMMYFUNCTION("""COMPUTED_VALUE"""),"#VALUE!")</f>
        <v>#VALUE!</v>
      </c>
      <c r="AS66" t="str">
        <f ca="1">IFERROR(__xludf.DUMMYFUNCTION("""COMPUTED_VALUE"""),"#VALUE!")</f>
        <v>#VALUE!</v>
      </c>
      <c r="AU66" t="str">
        <f ca="1">IFERROR(__xludf.DUMMYFUNCTION("""COMPUTED_VALUE"""),"#VALUE!")</f>
        <v>#VALUE!</v>
      </c>
      <c r="AW66" t="str">
        <f ca="1">IFERROR(__xludf.DUMMYFUNCTION("""COMPUTED_VALUE"""),"#VALUE!")</f>
        <v>#VALUE!</v>
      </c>
      <c r="AY66" t="str">
        <f ca="1">IFERROR(__xludf.DUMMYFUNCTION("""COMPUTED_VALUE"""),"#VALUE!")</f>
        <v>#VALUE!</v>
      </c>
      <c r="BA66" t="str">
        <f ca="1">IFERROR(__xludf.DUMMYFUNCTION("""COMPUTED_VALUE"""),"#VALUE!")</f>
        <v>#VALUE!</v>
      </c>
      <c r="BC66" t="str">
        <f ca="1">IFERROR(__xludf.DUMMYFUNCTION("""COMPUTED_VALUE"""),"#VALUE!")</f>
        <v>#VALUE!</v>
      </c>
      <c r="BE66" t="str">
        <f ca="1">IFERROR(__xludf.DUMMYFUNCTION("""COMPUTED_VALUE"""),"#VALUE!")</f>
        <v>#VALUE!</v>
      </c>
      <c r="BG66" t="str">
        <f ca="1">IFERROR(__xludf.DUMMYFUNCTION("""COMPUTED_VALUE"""),"#VALUE!")</f>
        <v>#VALUE!</v>
      </c>
      <c r="BI66" t="str">
        <f ca="1">IFERROR(__xludf.DUMMYFUNCTION("""COMPUTED_VALUE"""),"#VALUE!")</f>
        <v>#VALUE!</v>
      </c>
      <c r="BK66" t="str">
        <f ca="1">IFERROR(__xludf.DUMMYFUNCTION("""COMPUTED_VALUE"""),"#VALUE!")</f>
        <v>#VALUE!</v>
      </c>
      <c r="BM66" t="str">
        <f ca="1">IFERROR(__xludf.DUMMYFUNCTION("""COMPUTED_VALUE"""),"#VALUE!")</f>
        <v>#VALUE!</v>
      </c>
      <c r="BO66" t="str">
        <f ca="1">IFERROR(__xludf.DUMMYFUNCTION("""COMPUTED_VALUE"""),"#VALUE!")</f>
        <v>#VALUE!</v>
      </c>
      <c r="BQ66" t="str">
        <f ca="1">IFERROR(__xludf.DUMMYFUNCTION("""COMPUTED_VALUE"""),"#VALUE!")</f>
        <v>#VALUE!</v>
      </c>
      <c r="BS66" t="str">
        <f ca="1">IFERROR(__xludf.DUMMYFUNCTION("""COMPUTED_VALUE"""),"#VALUE!")</f>
        <v>#VALUE!</v>
      </c>
      <c r="BU66" t="str">
        <f ca="1">IFERROR(__xludf.DUMMYFUNCTION("""COMPUTED_VALUE"""),"#VALUE!")</f>
        <v>#VALUE!</v>
      </c>
      <c r="BW66" t="str">
        <f ca="1">IFERROR(__xludf.DUMMYFUNCTION("""COMPUTED_VALUE"""),"#VALUE!")</f>
        <v>#VALUE!</v>
      </c>
      <c r="BY66" t="str">
        <f ca="1">IFERROR(__xludf.DUMMYFUNCTION("""COMPUTED_VALUE"""),"#VALUE!")</f>
        <v>#VALUE!</v>
      </c>
      <c r="CA66" t="str">
        <f ca="1">IFERROR(__xludf.DUMMYFUNCTION("""COMPUTED_VALUE"""),"#VALUE!")</f>
        <v>#VALUE!</v>
      </c>
      <c r="CC66" t="str">
        <f ca="1">IFERROR(__xludf.DUMMYFUNCTION("""COMPUTED_VALUE"""),"#VALUE!")</f>
        <v>#VALUE!</v>
      </c>
      <c r="CD66" t="str">
        <f ca="1">IFERROR(__xludf.DUMMYFUNCTION("""COMPUTED_VALUE"""),"C3598")</f>
        <v>C3598</v>
      </c>
      <c r="CE66" t="str">
        <f ca="1">IFERROR(__xludf.DUMMYFUNCTION("""COMPUTED_VALUE"""),"location of congregation")</f>
        <v>location of congregation</v>
      </c>
      <c r="CF66" t="str">
        <f ca="1">IFERROR(__xludf.DUMMYFUNCTION("""COMPUTED_VALUE"""),"L0014")</f>
        <v>L0014</v>
      </c>
      <c r="CG66" t="str">
        <f ca="1">IFERROR(__xludf.DUMMYFUNCTION("""COMPUTED_VALUE"""),"grangia Anselmi de Perrino")</f>
        <v>grangia Anselmi de Perrino</v>
      </c>
      <c r="CI66" t="str">
        <f ca="1">IFERROR(__xludf.DUMMYFUNCTION("""COMPUTED_VALUE"""),"#VALUE!")</f>
        <v>#VALUE!</v>
      </c>
      <c r="CK66" t="str">
        <f ca="1">IFERROR(__xludf.DUMMYFUNCTION("""COMPUTED_VALUE"""),"#VALUE!")</f>
        <v>#VALUE!</v>
      </c>
      <c r="CS66" t="str">
        <f ca="1">IFERROR(__xludf.DUMMYFUNCTION("""COMPUTED_VALUE"""),"#VALUE!")</f>
        <v>#VALUE!</v>
      </c>
      <c r="CU66" t="str">
        <f ca="1">IFERROR(__xludf.DUMMYFUNCTION("""COMPUTED_VALUE"""),"#VALUE!")</f>
        <v>#VALUE!</v>
      </c>
      <c r="CV66" t="str">
        <f ca="1">IFERROR(__xludf.DUMMYFUNCTION("""COMPUTED_VALUE"""),"L0013")</f>
        <v>L0013</v>
      </c>
      <c r="CW66" t="str">
        <f ca="1">IFERROR(__xludf.DUMMYFUNCTION("""COMPUTED_VALUE"""),"Folatone")</f>
        <v>Folatone</v>
      </c>
      <c r="CY66" t="str">
        <f ca="1">IFERROR(__xludf.DUMMYFUNCTION("""COMPUTED_VALUE"""),"#VALUE!")</f>
        <v>#VALUE!</v>
      </c>
      <c r="DC66" t="str">
        <f ca="1">IFERROR(__xludf.DUMMYFUNCTION("""COMPUTED_VALUE"""),"#VALUE!")</f>
        <v>#VALUE!</v>
      </c>
      <c r="DE66" t="str">
        <f ca="1">IFERROR(__xludf.DUMMYFUNCTION("""COMPUTED_VALUE"""),"#VALUE!")</f>
        <v>#VALUE!</v>
      </c>
      <c r="DF66" t="str">
        <f ca="1">IFERROR(__xludf.DUMMYFUNCTION("""COMPUTED_VALUE"""),"y")</f>
        <v>y</v>
      </c>
      <c r="DG66" t="str">
        <f ca="1">IFERROR(__xludf.DUMMYFUNCTION("""COMPUTED_VALUE"""),"183")</f>
        <v>183</v>
      </c>
      <c r="DH66" t="str">
        <f ca="1">IFERROR(__xludf.DUMMYFUNCTION("""COMPUTED_VALUE"""),"L0014")</f>
        <v>L0014</v>
      </c>
      <c r="DI66" t="str">
        <f ca="1">IFERROR(__xludf.DUMMYFUNCTION("""COMPUTED_VALUE"""),"grangia Anselmi de Perrino")</f>
        <v>grangia Anselmi de Perrino</v>
      </c>
      <c r="DJ66" t="str">
        <f ca="1">IFERROR(__xludf.DUMMYFUNCTION("""COMPUTED_VALUE"""),"grangia")</f>
        <v>grangia</v>
      </c>
      <c r="DL66" t="str">
        <f ca="1">IFERROR(__xludf.DUMMYFUNCTION("""COMPUTED_VALUE"""),"Davor Salihović")</f>
        <v>Davor Salihović</v>
      </c>
    </row>
    <row r="67" spans="1:116" ht="13.2" x14ac:dyDescent="0.25">
      <c r="A67" t="str">
        <f ca="1">IFERROR(__xludf.DUMMYFUNCTION("""COMPUTED_VALUE"""),"P0066")</f>
        <v>P0066</v>
      </c>
      <c r="B67" t="str">
        <f ca="1">IFERROR(__xludf.DUMMYFUNCTION("""COMPUTED_VALUE"""),"Peronetus Mocheti")</f>
        <v>Peronetus Mocheti</v>
      </c>
      <c r="D67" t="str">
        <f ca="1">IFERROR(__xludf.DUMMYFUNCTION("""COMPUTED_VALUE"""),"#VALUE!")</f>
        <v>#VALUE!</v>
      </c>
      <c r="E67" t="str">
        <f ca="1">IFERROR(__xludf.DUMMYFUNCTION("""COMPUTED_VALUE"""),"Peronetus")</f>
        <v>Peronetus</v>
      </c>
      <c r="K67" t="str">
        <f ca="1">IFERROR(__xludf.DUMMYFUNCTION("""COMPUTED_VALUE"""),"Mocheti")</f>
        <v>Mocheti</v>
      </c>
      <c r="L67" t="str">
        <f ca="1">IFERROR(__xludf.DUMMYFUNCTION("""COMPUTED_VALUE"""),"Mocheti")</f>
        <v>Mocheti</v>
      </c>
      <c r="Q67" t="str">
        <f ca="1">IFERROR(__xludf.DUMMYFUNCTION("""COMPUTED_VALUE"""),"filius Petri Mocheti")</f>
        <v>filius Petri Mocheti</v>
      </c>
      <c r="S67" t="str">
        <f ca="1">IFERROR(__xludf.DUMMYFUNCTION("""COMPUTED_VALUE"""),"Latin")</f>
        <v>Latin</v>
      </c>
      <c r="T67" t="str">
        <f ca="1">IFERROR(__xludf.DUMMYFUNCTION("""COMPUTED_VALUE"""),"definite")</f>
        <v>definite</v>
      </c>
      <c r="U67" t="str">
        <f ca="1">IFERROR(__xludf.DUMMYFUNCTION("""COMPUTED_VALUE"""),"C2553")</f>
        <v>C2553</v>
      </c>
      <c r="V67" t="str">
        <f ca="1">IFERROR(__xludf.DUMMYFUNCTION("""COMPUTED_VALUE"""),"male")</f>
        <v>male</v>
      </c>
      <c r="Z67" t="str">
        <f ca="1">IFERROR(__xludf.DUMMYFUNCTION("""COMPUTED_VALUE"""),"165")</f>
        <v>165</v>
      </c>
      <c r="AA67" t="str">
        <f ca="1">IFERROR(__xludf.DUMMYFUNCTION("""COMPUTED_VALUE"""),"d")</f>
        <v>d</v>
      </c>
      <c r="AB67" t="str">
        <f ca="1">IFERROR(__xludf.DUMMYFUNCTION("""COMPUTED_VALUE"""),"suspect")</f>
        <v>suspect</v>
      </c>
      <c r="AE67" t="str">
        <f ca="1">IFERROR(__xludf.DUMMYFUNCTION("""COMPUTED_VALUE"""),"#VALUE!")</f>
        <v>#VALUE!</v>
      </c>
      <c r="AF67" t="str">
        <f ca="1">IFERROR(__xludf.DUMMYFUNCTION("""COMPUTED_VALUE"""),"#N/A")</f>
        <v>#N/A</v>
      </c>
      <c r="AG67" t="str">
        <f ca="1">IFERROR(__xludf.DUMMYFUNCTION("""COMPUTED_VALUE"""),"#N/A")</f>
        <v>#N/A</v>
      </c>
      <c r="AI67" t="str">
        <f ca="1">IFERROR(__xludf.DUMMYFUNCTION("""COMPUTED_VALUE"""),"#VALUE!")</f>
        <v>#VALUE!</v>
      </c>
      <c r="AK67" t="str">
        <f ca="1">IFERROR(__xludf.DUMMYFUNCTION("""COMPUTED_VALUE"""),"#VALUE!")</f>
        <v>#VALUE!</v>
      </c>
      <c r="AM67" t="str">
        <f ca="1">IFERROR(__xludf.DUMMYFUNCTION("""COMPUTED_VALUE"""),"#VALUE!")</f>
        <v>#VALUE!</v>
      </c>
      <c r="AO67" t="str">
        <f ca="1">IFERROR(__xludf.DUMMYFUNCTION("""COMPUTED_VALUE"""),"#VALUE!")</f>
        <v>#VALUE!</v>
      </c>
      <c r="AQ67" t="str">
        <f ca="1">IFERROR(__xludf.DUMMYFUNCTION("""COMPUTED_VALUE"""),"#VALUE!")</f>
        <v>#VALUE!</v>
      </c>
      <c r="AS67" t="str">
        <f ca="1">IFERROR(__xludf.DUMMYFUNCTION("""COMPUTED_VALUE"""),"#VALUE!")</f>
        <v>#VALUE!</v>
      </c>
      <c r="AU67" t="str">
        <f ca="1">IFERROR(__xludf.DUMMYFUNCTION("""COMPUTED_VALUE"""),"#VALUE!")</f>
        <v>#VALUE!</v>
      </c>
      <c r="AW67" t="str">
        <f ca="1">IFERROR(__xludf.DUMMYFUNCTION("""COMPUTED_VALUE"""),"#VALUE!")</f>
        <v>#VALUE!</v>
      </c>
      <c r="AY67" t="str">
        <f ca="1">IFERROR(__xludf.DUMMYFUNCTION("""COMPUTED_VALUE"""),"#VALUE!")</f>
        <v>#VALUE!</v>
      </c>
      <c r="BA67" t="str">
        <f ca="1">IFERROR(__xludf.DUMMYFUNCTION("""COMPUTED_VALUE"""),"#VALUE!")</f>
        <v>#VALUE!</v>
      </c>
      <c r="BC67" t="str">
        <f ca="1">IFERROR(__xludf.DUMMYFUNCTION("""COMPUTED_VALUE"""),"#VALUE!")</f>
        <v>#VALUE!</v>
      </c>
      <c r="BE67" t="str">
        <f ca="1">IFERROR(__xludf.DUMMYFUNCTION("""COMPUTED_VALUE"""),"#VALUE!")</f>
        <v>#VALUE!</v>
      </c>
      <c r="BG67" t="str">
        <f ca="1">IFERROR(__xludf.DUMMYFUNCTION("""COMPUTED_VALUE"""),"#VALUE!")</f>
        <v>#VALUE!</v>
      </c>
      <c r="BI67" t="str">
        <f ca="1">IFERROR(__xludf.DUMMYFUNCTION("""COMPUTED_VALUE"""),"#VALUE!")</f>
        <v>#VALUE!</v>
      </c>
      <c r="BK67" t="str">
        <f ca="1">IFERROR(__xludf.DUMMYFUNCTION("""COMPUTED_VALUE"""),"#VALUE!")</f>
        <v>#VALUE!</v>
      </c>
      <c r="BM67" t="str">
        <f ca="1">IFERROR(__xludf.DUMMYFUNCTION("""COMPUTED_VALUE"""),"#VALUE!")</f>
        <v>#VALUE!</v>
      </c>
      <c r="BO67" t="str">
        <f ca="1">IFERROR(__xludf.DUMMYFUNCTION("""COMPUTED_VALUE"""),"#VALUE!")</f>
        <v>#VALUE!</v>
      </c>
      <c r="BQ67" t="str">
        <f ca="1">IFERROR(__xludf.DUMMYFUNCTION("""COMPUTED_VALUE"""),"#VALUE!")</f>
        <v>#VALUE!</v>
      </c>
      <c r="BS67" t="str">
        <f ca="1">IFERROR(__xludf.DUMMYFUNCTION("""COMPUTED_VALUE"""),"#VALUE!")</f>
        <v>#VALUE!</v>
      </c>
      <c r="BU67" t="str">
        <f ca="1">IFERROR(__xludf.DUMMYFUNCTION("""COMPUTED_VALUE"""),"#VALUE!")</f>
        <v>#VALUE!</v>
      </c>
      <c r="BW67" t="str">
        <f ca="1">IFERROR(__xludf.DUMMYFUNCTION("""COMPUTED_VALUE"""),"#VALUE!")</f>
        <v>#VALUE!</v>
      </c>
      <c r="BY67" t="str">
        <f ca="1">IFERROR(__xludf.DUMMYFUNCTION("""COMPUTED_VALUE"""),"#VALUE!")</f>
        <v>#VALUE!</v>
      </c>
      <c r="CA67" t="str">
        <f ca="1">IFERROR(__xludf.DUMMYFUNCTION("""COMPUTED_VALUE"""),"#VALUE!")</f>
        <v>#VALUE!</v>
      </c>
      <c r="CC67" t="str">
        <f ca="1">IFERROR(__xludf.DUMMYFUNCTION("""COMPUTED_VALUE"""),"#VALUE!")</f>
        <v>#VALUE!</v>
      </c>
      <c r="CD67" t="str">
        <f ca="1">IFERROR(__xludf.DUMMYFUNCTION("""COMPUTED_VALUE"""),"C3598")</f>
        <v>C3598</v>
      </c>
      <c r="CE67" t="str">
        <f ca="1">IFERROR(__xludf.DUMMYFUNCTION("""COMPUTED_VALUE"""),"location of congregation")</f>
        <v>location of congregation</v>
      </c>
      <c r="CF67" t="str">
        <f ca="1">IFERROR(__xludf.DUMMYFUNCTION("""COMPUTED_VALUE"""),"L0014#L0016")</f>
        <v>L0014#L0016</v>
      </c>
      <c r="CG67" t="str">
        <f ca="1">IFERROR(__xludf.DUMMYFUNCTION("""COMPUTED_VALUE"""),"grangia Anselmi de Perrino #domus Petri Perrini")</f>
        <v>grangia Anselmi de Perrino #domus Petri Perrini</v>
      </c>
      <c r="CI67" t="str">
        <f ca="1">IFERROR(__xludf.DUMMYFUNCTION("""COMPUTED_VALUE"""),"#VALUE!")</f>
        <v>#VALUE!</v>
      </c>
      <c r="CK67" t="str">
        <f ca="1">IFERROR(__xludf.DUMMYFUNCTION("""COMPUTED_VALUE"""),"#VALUE!")</f>
        <v>#VALUE!</v>
      </c>
      <c r="CS67" t="str">
        <f ca="1">IFERROR(__xludf.DUMMYFUNCTION("""COMPUTED_VALUE"""),"#VALUE!")</f>
        <v>#VALUE!</v>
      </c>
      <c r="CU67" t="str">
        <f ca="1">IFERROR(__xludf.DUMMYFUNCTION("""COMPUTED_VALUE"""),"#VALUE!")</f>
        <v>#VALUE!</v>
      </c>
      <c r="CV67" t="str">
        <f ca="1">IFERROR(__xludf.DUMMYFUNCTION("""COMPUTED_VALUE"""),"L0002")</f>
        <v>L0002</v>
      </c>
      <c r="CW67" t="str">
        <f ca="1">IFERROR(__xludf.DUMMYFUNCTION("""COMPUTED_VALUE"""),"Coazze")</f>
        <v>Coazze</v>
      </c>
      <c r="CY67" t="str">
        <f ca="1">IFERROR(__xludf.DUMMYFUNCTION("""COMPUTED_VALUE"""),"#VALUE!")</f>
        <v>#VALUE!</v>
      </c>
      <c r="DC67" t="str">
        <f ca="1">IFERROR(__xludf.DUMMYFUNCTION("""COMPUTED_VALUE"""),"#VALUE!")</f>
        <v>#VALUE!</v>
      </c>
      <c r="DE67" t="str">
        <f ca="1">IFERROR(__xludf.DUMMYFUNCTION("""COMPUTED_VALUE"""),"#VALUE!")</f>
        <v>#VALUE!</v>
      </c>
      <c r="DH67" t="str">
        <f ca="1">IFERROR(__xludf.DUMMYFUNCTION("""COMPUTED_VALUE"""),"L0014#L0016")</f>
        <v>L0014#L0016</v>
      </c>
      <c r="DI67" t="str">
        <f ca="1">IFERROR(__xludf.DUMMYFUNCTION("""COMPUTED_VALUE"""),"grangia Anselmi de Perrino #domus Petri Perrini")</f>
        <v>grangia Anselmi de Perrino #domus Petri Perrini</v>
      </c>
      <c r="DJ67" t="str">
        <f ca="1">IFERROR(__xludf.DUMMYFUNCTION("""COMPUTED_VALUE"""),"grangia #domus")</f>
        <v>grangia #domus</v>
      </c>
      <c r="DL67" t="str">
        <f ca="1">IFERROR(__xludf.DUMMYFUNCTION("""COMPUTED_VALUE"""),"Davor Salihović")</f>
        <v>Davor Salihović</v>
      </c>
    </row>
    <row r="68" spans="1:116" ht="13.2" x14ac:dyDescent="0.25">
      <c r="A68" t="str">
        <f ca="1">IFERROR(__xludf.DUMMYFUNCTION("""COMPUTED_VALUE"""),"P0067")</f>
        <v>P0067</v>
      </c>
      <c r="B68" t="str">
        <f ca="1">IFERROR(__xludf.DUMMYFUNCTION("""COMPUTED_VALUE"""),"Boxius Moscheti")</f>
        <v>Boxius Moscheti</v>
      </c>
      <c r="D68" t="str">
        <f ca="1">IFERROR(__xludf.DUMMYFUNCTION("""COMPUTED_VALUE"""),"#VALUE!")</f>
        <v>#VALUE!</v>
      </c>
      <c r="E68" t="str">
        <f ca="1">IFERROR(__xludf.DUMMYFUNCTION("""COMPUTED_VALUE"""),"Boxius")</f>
        <v>Boxius</v>
      </c>
      <c r="K68" t="str">
        <f ca="1">IFERROR(__xludf.DUMMYFUNCTION("""COMPUTED_VALUE"""),"Moscheti")</f>
        <v>Moscheti</v>
      </c>
      <c r="L68" t="str">
        <f ca="1">IFERROR(__xludf.DUMMYFUNCTION("""COMPUTED_VALUE"""),"Moscheti")</f>
        <v>Moscheti</v>
      </c>
      <c r="Q68" t="str">
        <f ca="1">IFERROR(__xludf.DUMMYFUNCTION("""COMPUTED_VALUE"""),"filius Aymoneti Moscheti")</f>
        <v>filius Aymoneti Moscheti</v>
      </c>
      <c r="S68" t="str">
        <f ca="1">IFERROR(__xludf.DUMMYFUNCTION("""COMPUTED_VALUE"""),"Latin")</f>
        <v>Latin</v>
      </c>
      <c r="T68" t="str">
        <f ca="1">IFERROR(__xludf.DUMMYFUNCTION("""COMPUTED_VALUE"""),"definite")</f>
        <v>definite</v>
      </c>
      <c r="U68" t="str">
        <f ca="1">IFERROR(__xludf.DUMMYFUNCTION("""COMPUTED_VALUE"""),"C2553")</f>
        <v>C2553</v>
      </c>
      <c r="V68" t="str">
        <f ca="1">IFERROR(__xludf.DUMMYFUNCTION("""COMPUTED_VALUE"""),"male")</f>
        <v>male</v>
      </c>
      <c r="Z68" t="str">
        <f ca="1">IFERROR(__xludf.DUMMYFUNCTION("""COMPUTED_VALUE"""),"165")</f>
        <v>165</v>
      </c>
      <c r="AA68" t="str">
        <f ca="1">IFERROR(__xludf.DUMMYFUNCTION("""COMPUTED_VALUE"""),"d")</f>
        <v>d</v>
      </c>
      <c r="AB68" t="str">
        <f ca="1">IFERROR(__xludf.DUMMYFUNCTION("""COMPUTED_VALUE"""),"suspect")</f>
        <v>suspect</v>
      </c>
      <c r="AE68" t="str">
        <f ca="1">IFERROR(__xludf.DUMMYFUNCTION("""COMPUTED_VALUE"""),"#VALUE!")</f>
        <v>#VALUE!</v>
      </c>
      <c r="AF68" t="str">
        <f ca="1">IFERROR(__xludf.DUMMYFUNCTION("""COMPUTED_VALUE"""),"#N/A")</f>
        <v>#N/A</v>
      </c>
      <c r="AG68" t="str">
        <f ca="1">IFERROR(__xludf.DUMMYFUNCTION("""COMPUTED_VALUE"""),"#N/A")</f>
        <v>#N/A</v>
      </c>
      <c r="AI68" t="str">
        <f ca="1">IFERROR(__xludf.DUMMYFUNCTION("""COMPUTED_VALUE"""),"#VALUE!")</f>
        <v>#VALUE!</v>
      </c>
      <c r="AK68" t="str">
        <f ca="1">IFERROR(__xludf.DUMMYFUNCTION("""COMPUTED_VALUE"""),"#VALUE!")</f>
        <v>#VALUE!</v>
      </c>
      <c r="AM68" t="str">
        <f ca="1">IFERROR(__xludf.DUMMYFUNCTION("""COMPUTED_VALUE"""),"#VALUE!")</f>
        <v>#VALUE!</v>
      </c>
      <c r="AO68" t="str">
        <f ca="1">IFERROR(__xludf.DUMMYFUNCTION("""COMPUTED_VALUE"""),"#VALUE!")</f>
        <v>#VALUE!</v>
      </c>
      <c r="AQ68" t="str">
        <f ca="1">IFERROR(__xludf.DUMMYFUNCTION("""COMPUTED_VALUE"""),"#VALUE!")</f>
        <v>#VALUE!</v>
      </c>
      <c r="AS68" t="str">
        <f ca="1">IFERROR(__xludf.DUMMYFUNCTION("""COMPUTED_VALUE"""),"#VALUE!")</f>
        <v>#VALUE!</v>
      </c>
      <c r="AU68" t="str">
        <f ca="1">IFERROR(__xludf.DUMMYFUNCTION("""COMPUTED_VALUE"""),"#VALUE!")</f>
        <v>#VALUE!</v>
      </c>
      <c r="AW68" t="str">
        <f ca="1">IFERROR(__xludf.DUMMYFUNCTION("""COMPUTED_VALUE"""),"#VALUE!")</f>
        <v>#VALUE!</v>
      </c>
      <c r="AY68" t="str">
        <f ca="1">IFERROR(__xludf.DUMMYFUNCTION("""COMPUTED_VALUE"""),"#VALUE!")</f>
        <v>#VALUE!</v>
      </c>
      <c r="BA68" t="str">
        <f ca="1">IFERROR(__xludf.DUMMYFUNCTION("""COMPUTED_VALUE"""),"#VALUE!")</f>
        <v>#VALUE!</v>
      </c>
      <c r="BC68" t="str">
        <f ca="1">IFERROR(__xludf.DUMMYFUNCTION("""COMPUTED_VALUE"""),"#VALUE!")</f>
        <v>#VALUE!</v>
      </c>
      <c r="BE68" t="str">
        <f ca="1">IFERROR(__xludf.DUMMYFUNCTION("""COMPUTED_VALUE"""),"#VALUE!")</f>
        <v>#VALUE!</v>
      </c>
      <c r="BG68" t="str">
        <f ca="1">IFERROR(__xludf.DUMMYFUNCTION("""COMPUTED_VALUE"""),"#VALUE!")</f>
        <v>#VALUE!</v>
      </c>
      <c r="BI68" t="str">
        <f ca="1">IFERROR(__xludf.DUMMYFUNCTION("""COMPUTED_VALUE"""),"#VALUE!")</f>
        <v>#VALUE!</v>
      </c>
      <c r="BK68" t="str">
        <f ca="1">IFERROR(__xludf.DUMMYFUNCTION("""COMPUTED_VALUE"""),"#VALUE!")</f>
        <v>#VALUE!</v>
      </c>
      <c r="BM68" t="str">
        <f ca="1">IFERROR(__xludf.DUMMYFUNCTION("""COMPUTED_VALUE"""),"#VALUE!")</f>
        <v>#VALUE!</v>
      </c>
      <c r="BO68" t="str">
        <f ca="1">IFERROR(__xludf.DUMMYFUNCTION("""COMPUTED_VALUE"""),"#VALUE!")</f>
        <v>#VALUE!</v>
      </c>
      <c r="BQ68" t="str">
        <f ca="1">IFERROR(__xludf.DUMMYFUNCTION("""COMPUTED_VALUE"""),"#VALUE!")</f>
        <v>#VALUE!</v>
      </c>
      <c r="BS68" t="str">
        <f ca="1">IFERROR(__xludf.DUMMYFUNCTION("""COMPUTED_VALUE"""),"#VALUE!")</f>
        <v>#VALUE!</v>
      </c>
      <c r="BU68" t="str">
        <f ca="1">IFERROR(__xludf.DUMMYFUNCTION("""COMPUTED_VALUE"""),"#VALUE!")</f>
        <v>#VALUE!</v>
      </c>
      <c r="BW68" t="str">
        <f ca="1">IFERROR(__xludf.DUMMYFUNCTION("""COMPUTED_VALUE"""),"#VALUE!")</f>
        <v>#VALUE!</v>
      </c>
      <c r="BY68" t="str">
        <f ca="1">IFERROR(__xludf.DUMMYFUNCTION("""COMPUTED_VALUE"""),"#VALUE!")</f>
        <v>#VALUE!</v>
      </c>
      <c r="CA68" t="str">
        <f ca="1">IFERROR(__xludf.DUMMYFUNCTION("""COMPUTED_VALUE"""),"#VALUE!")</f>
        <v>#VALUE!</v>
      </c>
      <c r="CC68" t="str">
        <f ca="1">IFERROR(__xludf.DUMMYFUNCTION("""COMPUTED_VALUE"""),"#VALUE!")</f>
        <v>#VALUE!</v>
      </c>
      <c r="CD68" t="str">
        <f ca="1">IFERROR(__xludf.DUMMYFUNCTION("""COMPUTED_VALUE"""),"C3598")</f>
        <v>C3598</v>
      </c>
      <c r="CE68" t="str">
        <f ca="1">IFERROR(__xludf.DUMMYFUNCTION("""COMPUTED_VALUE"""),"location of congregation")</f>
        <v>location of congregation</v>
      </c>
      <c r="CF68" t="str">
        <f ca="1">IFERROR(__xludf.DUMMYFUNCTION("""COMPUTED_VALUE"""),"L0014")</f>
        <v>L0014</v>
      </c>
      <c r="CG68" t="str">
        <f ca="1">IFERROR(__xludf.DUMMYFUNCTION("""COMPUTED_VALUE"""),"grangia Anselmi de Perrino")</f>
        <v>grangia Anselmi de Perrino</v>
      </c>
      <c r="CI68" t="str">
        <f ca="1">IFERROR(__xludf.DUMMYFUNCTION("""COMPUTED_VALUE"""),"#VALUE!")</f>
        <v>#VALUE!</v>
      </c>
      <c r="CK68" t="str">
        <f ca="1">IFERROR(__xludf.DUMMYFUNCTION("""COMPUTED_VALUE"""),"#VALUE!")</f>
        <v>#VALUE!</v>
      </c>
      <c r="CS68" t="str">
        <f ca="1">IFERROR(__xludf.DUMMYFUNCTION("""COMPUTED_VALUE"""),"#VALUE!")</f>
        <v>#VALUE!</v>
      </c>
      <c r="CU68" t="str">
        <f ca="1">IFERROR(__xludf.DUMMYFUNCTION("""COMPUTED_VALUE"""),"#VALUE!")</f>
        <v>#VALUE!</v>
      </c>
      <c r="CV68" t="str">
        <f ca="1">IFERROR(__xludf.DUMMYFUNCTION("""COMPUTED_VALUE"""),"L0002")</f>
        <v>L0002</v>
      </c>
      <c r="CW68" t="str">
        <f ca="1">IFERROR(__xludf.DUMMYFUNCTION("""COMPUTED_VALUE"""),"Coazze")</f>
        <v>Coazze</v>
      </c>
      <c r="CY68" t="str">
        <f ca="1">IFERROR(__xludf.DUMMYFUNCTION("""COMPUTED_VALUE"""),"#VALUE!")</f>
        <v>#VALUE!</v>
      </c>
      <c r="DC68" t="str">
        <f ca="1">IFERROR(__xludf.DUMMYFUNCTION("""COMPUTED_VALUE"""),"#VALUE!")</f>
        <v>#VALUE!</v>
      </c>
      <c r="DE68" t="str">
        <f ca="1">IFERROR(__xludf.DUMMYFUNCTION("""COMPUTED_VALUE"""),"#VALUE!")</f>
        <v>#VALUE!</v>
      </c>
      <c r="DH68" t="str">
        <f ca="1">IFERROR(__xludf.DUMMYFUNCTION("""COMPUTED_VALUE"""),"L0014")</f>
        <v>L0014</v>
      </c>
      <c r="DI68" t="str">
        <f ca="1">IFERROR(__xludf.DUMMYFUNCTION("""COMPUTED_VALUE"""),"grangia Anselmi de Perrino")</f>
        <v>grangia Anselmi de Perrino</v>
      </c>
      <c r="DJ68" t="str">
        <f ca="1">IFERROR(__xludf.DUMMYFUNCTION("""COMPUTED_VALUE"""),"grangia")</f>
        <v>grangia</v>
      </c>
      <c r="DL68" t="str">
        <f ca="1">IFERROR(__xludf.DUMMYFUNCTION("""COMPUTED_VALUE"""),"Davor Salihović")</f>
        <v>Davor Salihović</v>
      </c>
    </row>
    <row r="69" spans="1:116" ht="13.2" x14ac:dyDescent="0.25">
      <c r="A69" t="str">
        <f ca="1">IFERROR(__xludf.DUMMYFUNCTION("""COMPUTED_VALUE"""),"P0068")</f>
        <v>P0068</v>
      </c>
      <c r="B69" t="str">
        <f ca="1">IFERROR(__xludf.DUMMYFUNCTION("""COMPUTED_VALUE"""),"Aymonetus Moscheti")</f>
        <v>Aymonetus Moscheti</v>
      </c>
      <c r="D69" t="str">
        <f ca="1">IFERROR(__xludf.DUMMYFUNCTION("""COMPUTED_VALUE"""),"#VALUE!")</f>
        <v>#VALUE!</v>
      </c>
      <c r="E69" t="str">
        <f ca="1">IFERROR(__xludf.DUMMYFUNCTION("""COMPUTED_VALUE"""),"Aymonetus")</f>
        <v>Aymonetus</v>
      </c>
      <c r="K69" t="str">
        <f ca="1">IFERROR(__xludf.DUMMYFUNCTION("""COMPUTED_VALUE"""),"Moscheti")</f>
        <v>Moscheti</v>
      </c>
      <c r="L69" t="str">
        <f ca="1">IFERROR(__xludf.DUMMYFUNCTION("""COMPUTED_VALUE"""),"Moscheti")</f>
        <v>Moscheti</v>
      </c>
      <c r="P69" t="str">
        <f ca="1">IFERROR(__xludf.DUMMYFUNCTION("""COMPUTED_VALUE"""),"Mocheti")</f>
        <v>Mocheti</v>
      </c>
      <c r="S69" t="str">
        <f ca="1">IFERROR(__xludf.DUMMYFUNCTION("""COMPUTED_VALUE"""),"Latin")</f>
        <v>Latin</v>
      </c>
      <c r="T69" t="str">
        <f ca="1">IFERROR(__xludf.DUMMYFUNCTION("""COMPUTED_VALUE"""),"definite")</f>
        <v>definite</v>
      </c>
      <c r="U69" t="str">
        <f ca="1">IFERROR(__xludf.DUMMYFUNCTION("""COMPUTED_VALUE"""),"C2553")</f>
        <v>C2553</v>
      </c>
      <c r="V69" t="str">
        <f ca="1">IFERROR(__xludf.DUMMYFUNCTION("""COMPUTED_VALUE"""),"male")</f>
        <v>male</v>
      </c>
      <c r="Z69" t="str">
        <f ca="1">IFERROR(__xludf.DUMMYFUNCTION("""COMPUTED_VALUE"""),"165, 224")</f>
        <v>165, 224</v>
      </c>
      <c r="AA69" t="str">
        <f ca="1">IFERROR(__xludf.DUMMYFUNCTION("""COMPUTED_VALUE"""),"d")</f>
        <v>d</v>
      </c>
      <c r="AB69" t="str">
        <f ca="1">IFERROR(__xludf.DUMMYFUNCTION("""COMPUTED_VALUE"""),"NA")</f>
        <v>NA</v>
      </c>
      <c r="AE69" t="str">
        <f ca="1">IFERROR(__xludf.DUMMYFUNCTION("""COMPUTED_VALUE"""),"#VALUE!")</f>
        <v>#VALUE!</v>
      </c>
      <c r="AF69" t="str">
        <f ca="1">IFERROR(__xludf.DUMMYFUNCTION("""COMPUTED_VALUE"""),"#N/A")</f>
        <v>#N/A</v>
      </c>
      <c r="AG69" t="str">
        <f ca="1">IFERROR(__xludf.DUMMYFUNCTION("""COMPUTED_VALUE"""),"#N/A")</f>
        <v>#N/A</v>
      </c>
      <c r="AH69" t="str">
        <f ca="1">IFERROR(__xludf.DUMMYFUNCTION("""COMPUTED_VALUE"""),"C2336")</f>
        <v>C2336</v>
      </c>
      <c r="AI69" t="str">
        <f ca="1">IFERROR(__xludf.DUMMYFUNCTION("""COMPUTED_VALUE"""),"son")</f>
        <v>son</v>
      </c>
      <c r="AJ69" t="str">
        <f ca="1">IFERROR(__xludf.DUMMYFUNCTION("""COMPUTED_VALUE"""),"P0067")</f>
        <v>P0067</v>
      </c>
      <c r="AK69" t="str">
        <f ca="1">IFERROR(__xludf.DUMMYFUNCTION("""COMPUTED_VALUE"""),"Boxius Moscheti")</f>
        <v>Boxius Moscheti</v>
      </c>
      <c r="AM69" t="str">
        <f ca="1">IFERROR(__xludf.DUMMYFUNCTION("""COMPUTED_VALUE"""),"#VALUE!")</f>
        <v>#VALUE!</v>
      </c>
      <c r="AO69" t="str">
        <f ca="1">IFERROR(__xludf.DUMMYFUNCTION("""COMPUTED_VALUE"""),"#VALUE!")</f>
        <v>#VALUE!</v>
      </c>
      <c r="AQ69" t="str">
        <f ca="1">IFERROR(__xludf.DUMMYFUNCTION("""COMPUTED_VALUE"""),"#VALUE!")</f>
        <v>#VALUE!</v>
      </c>
      <c r="AS69" t="str">
        <f ca="1">IFERROR(__xludf.DUMMYFUNCTION("""COMPUTED_VALUE"""),"#VALUE!")</f>
        <v>#VALUE!</v>
      </c>
      <c r="AU69" t="str">
        <f ca="1">IFERROR(__xludf.DUMMYFUNCTION("""COMPUTED_VALUE"""),"#VALUE!")</f>
        <v>#VALUE!</v>
      </c>
      <c r="AW69" t="str">
        <f ca="1">IFERROR(__xludf.DUMMYFUNCTION("""COMPUTED_VALUE"""),"#VALUE!")</f>
        <v>#VALUE!</v>
      </c>
      <c r="AY69" t="str">
        <f ca="1">IFERROR(__xludf.DUMMYFUNCTION("""COMPUTED_VALUE"""),"#VALUE!")</f>
        <v>#VALUE!</v>
      </c>
      <c r="BA69" t="str">
        <f ca="1">IFERROR(__xludf.DUMMYFUNCTION("""COMPUTED_VALUE"""),"#VALUE!")</f>
        <v>#VALUE!</v>
      </c>
      <c r="BC69" t="str">
        <f ca="1">IFERROR(__xludf.DUMMYFUNCTION("""COMPUTED_VALUE"""),"#VALUE!")</f>
        <v>#VALUE!</v>
      </c>
      <c r="BE69" t="str">
        <f ca="1">IFERROR(__xludf.DUMMYFUNCTION("""COMPUTED_VALUE"""),"#VALUE!")</f>
        <v>#VALUE!</v>
      </c>
      <c r="BG69" t="str">
        <f ca="1">IFERROR(__xludf.DUMMYFUNCTION("""COMPUTED_VALUE"""),"#VALUE!")</f>
        <v>#VALUE!</v>
      </c>
      <c r="BI69" t="str">
        <f ca="1">IFERROR(__xludf.DUMMYFUNCTION("""COMPUTED_VALUE"""),"#VALUE!")</f>
        <v>#VALUE!</v>
      </c>
      <c r="BK69" t="str">
        <f ca="1">IFERROR(__xludf.DUMMYFUNCTION("""COMPUTED_VALUE"""),"#VALUE!")</f>
        <v>#VALUE!</v>
      </c>
      <c r="BM69" t="str">
        <f ca="1">IFERROR(__xludf.DUMMYFUNCTION("""COMPUTED_VALUE"""),"#VALUE!")</f>
        <v>#VALUE!</v>
      </c>
      <c r="BO69" t="str">
        <f ca="1">IFERROR(__xludf.DUMMYFUNCTION("""COMPUTED_VALUE"""),"#VALUE!")</f>
        <v>#VALUE!</v>
      </c>
      <c r="BQ69" t="str">
        <f ca="1">IFERROR(__xludf.DUMMYFUNCTION("""COMPUTED_VALUE"""),"#VALUE!")</f>
        <v>#VALUE!</v>
      </c>
      <c r="BS69" t="str">
        <f ca="1">IFERROR(__xludf.DUMMYFUNCTION("""COMPUTED_VALUE"""),"#VALUE!")</f>
        <v>#VALUE!</v>
      </c>
      <c r="BU69" t="str">
        <f ca="1">IFERROR(__xludf.DUMMYFUNCTION("""COMPUTED_VALUE"""),"#VALUE!")</f>
        <v>#VALUE!</v>
      </c>
      <c r="BW69" t="str">
        <f ca="1">IFERROR(__xludf.DUMMYFUNCTION("""COMPUTED_VALUE"""),"#VALUE!")</f>
        <v>#VALUE!</v>
      </c>
      <c r="BY69" t="str">
        <f ca="1">IFERROR(__xludf.DUMMYFUNCTION("""COMPUTED_VALUE"""),"#VALUE!")</f>
        <v>#VALUE!</v>
      </c>
      <c r="CA69" t="str">
        <f ca="1">IFERROR(__xludf.DUMMYFUNCTION("""COMPUTED_VALUE"""),"#VALUE!")</f>
        <v>#VALUE!</v>
      </c>
      <c r="CC69" t="str">
        <f ca="1">IFERROR(__xludf.DUMMYFUNCTION("""COMPUTED_VALUE"""),"#VALUE!")</f>
        <v>#VALUE!</v>
      </c>
      <c r="CE69" t="str">
        <f ca="1">IFERROR(__xludf.DUMMYFUNCTION("""COMPUTED_VALUE"""),"#VALUE!")</f>
        <v>#VALUE!</v>
      </c>
      <c r="CG69" t="str">
        <f ca="1">IFERROR(__xludf.DUMMYFUNCTION("""COMPUTED_VALUE"""),"#VALUE!")</f>
        <v>#VALUE!</v>
      </c>
      <c r="CI69" t="str">
        <f ca="1">IFERROR(__xludf.DUMMYFUNCTION("""COMPUTED_VALUE"""),"#VALUE!")</f>
        <v>#VALUE!</v>
      </c>
      <c r="CK69" t="str">
        <f ca="1">IFERROR(__xludf.DUMMYFUNCTION("""COMPUTED_VALUE"""),"#VALUE!")</f>
        <v>#VALUE!</v>
      </c>
      <c r="CO69" t="str">
        <f ca="1">IFERROR(__xludf.DUMMYFUNCTION("""COMPUTED_VALUE"""),"Mocheti")</f>
        <v>Mocheti</v>
      </c>
      <c r="CR69" t="str">
        <f ca="1">IFERROR(__xludf.DUMMYFUNCTION("""COMPUTED_VALUE"""),"L0002")</f>
        <v>L0002</v>
      </c>
      <c r="CS69" t="str">
        <f ca="1">IFERROR(__xludf.DUMMYFUNCTION("""COMPUTED_VALUE"""),"Coazze")</f>
        <v>Coazze</v>
      </c>
      <c r="CU69" t="str">
        <f ca="1">IFERROR(__xludf.DUMMYFUNCTION("""COMPUTED_VALUE"""),"#VALUE!")</f>
        <v>#VALUE!</v>
      </c>
      <c r="CW69" t="str">
        <f ca="1">IFERROR(__xludf.DUMMYFUNCTION("""COMPUTED_VALUE"""),"#VALUE!")</f>
        <v>#VALUE!</v>
      </c>
      <c r="CY69" t="str">
        <f ca="1">IFERROR(__xludf.DUMMYFUNCTION("""COMPUTED_VALUE"""),"#VALUE!")</f>
        <v>#VALUE!</v>
      </c>
      <c r="DC69" t="str">
        <f ca="1">IFERROR(__xludf.DUMMYFUNCTION("""COMPUTED_VALUE"""),"#VALUE!")</f>
        <v>#VALUE!</v>
      </c>
      <c r="DE69" t="str">
        <f ca="1">IFERROR(__xludf.DUMMYFUNCTION("""COMPUTED_VALUE"""),"#VALUE!")</f>
        <v>#VALUE!</v>
      </c>
      <c r="DI69" t="str">
        <f ca="1">IFERROR(__xludf.DUMMYFUNCTION("""COMPUTED_VALUE"""),"#VALUE!")</f>
        <v>#VALUE!</v>
      </c>
      <c r="DJ69" t="str">
        <f ca="1">IFERROR(__xludf.DUMMYFUNCTION("""COMPUTED_VALUE"""),"#VALUE!")</f>
        <v>#VALUE!</v>
      </c>
      <c r="DL69" t="str">
        <f ca="1">IFERROR(__xludf.DUMMYFUNCTION("""COMPUTED_VALUE"""),"Davor Salihović")</f>
        <v>Davor Salihović</v>
      </c>
    </row>
    <row r="70" spans="1:116" ht="13.2" x14ac:dyDescent="0.25">
      <c r="A70" t="str">
        <f ca="1">IFERROR(__xludf.DUMMYFUNCTION("""COMPUTED_VALUE"""),"P0069")</f>
        <v>P0069</v>
      </c>
      <c r="B70" t="str">
        <f ca="1">IFERROR(__xludf.DUMMYFUNCTION("""COMPUTED_VALUE"""),"Marguerita, nurus Anselmi de Perrino")</f>
        <v>Marguerita, nurus Anselmi de Perrino</v>
      </c>
      <c r="D70" t="str">
        <f ca="1">IFERROR(__xludf.DUMMYFUNCTION("""COMPUTED_VALUE"""),"#VALUE!")</f>
        <v>#VALUE!</v>
      </c>
      <c r="E70" t="str">
        <f ca="1">IFERROR(__xludf.DUMMYFUNCTION("""COMPUTED_VALUE"""),"Marguerita")</f>
        <v>Marguerita</v>
      </c>
      <c r="Q70" t="str">
        <f ca="1">IFERROR(__xludf.DUMMYFUNCTION("""COMPUTED_VALUE"""),"nurus Anselmi de Perrino")</f>
        <v>nurus Anselmi de Perrino</v>
      </c>
      <c r="S70" t="str">
        <f ca="1">IFERROR(__xludf.DUMMYFUNCTION("""COMPUTED_VALUE"""),"Latin")</f>
        <v>Latin</v>
      </c>
      <c r="T70" t="str">
        <f ca="1">IFERROR(__xludf.DUMMYFUNCTION("""COMPUTED_VALUE"""),"definite")</f>
        <v>definite</v>
      </c>
      <c r="U70" t="str">
        <f ca="1">IFERROR(__xludf.DUMMYFUNCTION("""COMPUTED_VALUE"""),"C2552")</f>
        <v>C2552</v>
      </c>
      <c r="V70" t="str">
        <f ca="1">IFERROR(__xludf.DUMMYFUNCTION("""COMPUTED_VALUE"""),"female")</f>
        <v>female</v>
      </c>
      <c r="Z70" t="str">
        <f ca="1">IFERROR(__xludf.DUMMYFUNCTION("""COMPUTED_VALUE"""),"165")</f>
        <v>165</v>
      </c>
      <c r="AA70" t="str">
        <f ca="1">IFERROR(__xludf.DUMMYFUNCTION("""COMPUTED_VALUE"""),"d")</f>
        <v>d</v>
      </c>
      <c r="AB70" t="str">
        <f ca="1">IFERROR(__xludf.DUMMYFUNCTION("""COMPUTED_VALUE"""),"suspect")</f>
        <v>suspect</v>
      </c>
      <c r="AE70" t="str">
        <f ca="1">IFERROR(__xludf.DUMMYFUNCTION("""COMPUTED_VALUE"""),"#VALUE!")</f>
        <v>#VALUE!</v>
      </c>
      <c r="AF70" t="str">
        <f ca="1">IFERROR(__xludf.DUMMYFUNCTION("""COMPUTED_VALUE"""),"#N/A")</f>
        <v>#N/A</v>
      </c>
      <c r="AG70" t="str">
        <f ca="1">IFERROR(__xludf.DUMMYFUNCTION("""COMPUTED_VALUE"""),"#N/A")</f>
        <v>#N/A</v>
      </c>
      <c r="AI70" t="str">
        <f ca="1">IFERROR(__xludf.DUMMYFUNCTION("""COMPUTED_VALUE"""),"#VALUE!")</f>
        <v>#VALUE!</v>
      </c>
      <c r="AK70" t="str">
        <f ca="1">IFERROR(__xludf.DUMMYFUNCTION("""COMPUTED_VALUE"""),"#VALUE!")</f>
        <v>#VALUE!</v>
      </c>
      <c r="AM70" t="str">
        <f ca="1">IFERROR(__xludf.DUMMYFUNCTION("""COMPUTED_VALUE"""),"#VALUE!")</f>
        <v>#VALUE!</v>
      </c>
      <c r="AO70" t="str">
        <f ca="1">IFERROR(__xludf.DUMMYFUNCTION("""COMPUTED_VALUE"""),"#VALUE!")</f>
        <v>#VALUE!</v>
      </c>
      <c r="AQ70" t="str">
        <f ca="1">IFERROR(__xludf.DUMMYFUNCTION("""COMPUTED_VALUE"""),"#VALUE!")</f>
        <v>#VALUE!</v>
      </c>
      <c r="AS70" t="str">
        <f ca="1">IFERROR(__xludf.DUMMYFUNCTION("""COMPUTED_VALUE"""),"#VALUE!")</f>
        <v>#VALUE!</v>
      </c>
      <c r="AU70" t="str">
        <f ca="1">IFERROR(__xludf.DUMMYFUNCTION("""COMPUTED_VALUE"""),"#VALUE!")</f>
        <v>#VALUE!</v>
      </c>
      <c r="AW70" t="str">
        <f ca="1">IFERROR(__xludf.DUMMYFUNCTION("""COMPUTED_VALUE"""),"#VALUE!")</f>
        <v>#VALUE!</v>
      </c>
      <c r="AY70" t="str">
        <f ca="1">IFERROR(__xludf.DUMMYFUNCTION("""COMPUTED_VALUE"""),"#VALUE!")</f>
        <v>#VALUE!</v>
      </c>
      <c r="BA70" t="str">
        <f ca="1">IFERROR(__xludf.DUMMYFUNCTION("""COMPUTED_VALUE"""),"#VALUE!")</f>
        <v>#VALUE!</v>
      </c>
      <c r="BC70" t="str">
        <f ca="1">IFERROR(__xludf.DUMMYFUNCTION("""COMPUTED_VALUE"""),"#VALUE!")</f>
        <v>#VALUE!</v>
      </c>
      <c r="BE70" t="str">
        <f ca="1">IFERROR(__xludf.DUMMYFUNCTION("""COMPUTED_VALUE"""),"#VALUE!")</f>
        <v>#VALUE!</v>
      </c>
      <c r="BG70" t="str">
        <f ca="1">IFERROR(__xludf.DUMMYFUNCTION("""COMPUTED_VALUE"""),"#VALUE!")</f>
        <v>#VALUE!</v>
      </c>
      <c r="BI70" t="str">
        <f ca="1">IFERROR(__xludf.DUMMYFUNCTION("""COMPUTED_VALUE"""),"#VALUE!")</f>
        <v>#VALUE!</v>
      </c>
      <c r="BK70" t="str">
        <f ca="1">IFERROR(__xludf.DUMMYFUNCTION("""COMPUTED_VALUE"""),"#VALUE!")</f>
        <v>#VALUE!</v>
      </c>
      <c r="BM70" t="str">
        <f ca="1">IFERROR(__xludf.DUMMYFUNCTION("""COMPUTED_VALUE"""),"#VALUE!")</f>
        <v>#VALUE!</v>
      </c>
      <c r="BO70" t="str">
        <f ca="1">IFERROR(__xludf.DUMMYFUNCTION("""COMPUTED_VALUE"""),"#VALUE!")</f>
        <v>#VALUE!</v>
      </c>
      <c r="BQ70" t="str">
        <f ca="1">IFERROR(__xludf.DUMMYFUNCTION("""COMPUTED_VALUE"""),"#VALUE!")</f>
        <v>#VALUE!</v>
      </c>
      <c r="BS70" t="str">
        <f ca="1">IFERROR(__xludf.DUMMYFUNCTION("""COMPUTED_VALUE"""),"#VALUE!")</f>
        <v>#VALUE!</v>
      </c>
      <c r="BU70" t="str">
        <f ca="1">IFERROR(__xludf.DUMMYFUNCTION("""COMPUTED_VALUE"""),"#VALUE!")</f>
        <v>#VALUE!</v>
      </c>
      <c r="BW70" t="str">
        <f ca="1">IFERROR(__xludf.DUMMYFUNCTION("""COMPUTED_VALUE"""),"#VALUE!")</f>
        <v>#VALUE!</v>
      </c>
      <c r="BY70" t="str">
        <f ca="1">IFERROR(__xludf.DUMMYFUNCTION("""COMPUTED_VALUE"""),"#VALUE!")</f>
        <v>#VALUE!</v>
      </c>
      <c r="CA70" t="str">
        <f ca="1">IFERROR(__xludf.DUMMYFUNCTION("""COMPUTED_VALUE"""),"#VALUE!")</f>
        <v>#VALUE!</v>
      </c>
      <c r="CC70" t="str">
        <f ca="1">IFERROR(__xludf.DUMMYFUNCTION("""COMPUTED_VALUE"""),"#VALUE!")</f>
        <v>#VALUE!</v>
      </c>
      <c r="CD70" t="str">
        <f ca="1">IFERROR(__xludf.DUMMYFUNCTION("""COMPUTED_VALUE"""),"C3598")</f>
        <v>C3598</v>
      </c>
      <c r="CE70" t="str">
        <f ca="1">IFERROR(__xludf.DUMMYFUNCTION("""COMPUTED_VALUE"""),"location of congregation")</f>
        <v>location of congregation</v>
      </c>
      <c r="CF70" t="str">
        <f ca="1">IFERROR(__xludf.DUMMYFUNCTION("""COMPUTED_VALUE"""),"L0014")</f>
        <v>L0014</v>
      </c>
      <c r="CG70" t="str">
        <f ca="1">IFERROR(__xludf.DUMMYFUNCTION("""COMPUTED_VALUE"""),"grangia Anselmi de Perrino")</f>
        <v>grangia Anselmi de Perrino</v>
      </c>
      <c r="CI70" t="str">
        <f ca="1">IFERROR(__xludf.DUMMYFUNCTION("""COMPUTED_VALUE"""),"#VALUE!")</f>
        <v>#VALUE!</v>
      </c>
      <c r="CK70" t="str">
        <f ca="1">IFERROR(__xludf.DUMMYFUNCTION("""COMPUTED_VALUE"""),"#VALUE!")</f>
        <v>#VALUE!</v>
      </c>
      <c r="CS70" t="str">
        <f ca="1">IFERROR(__xludf.DUMMYFUNCTION("""COMPUTED_VALUE"""),"#VALUE!")</f>
        <v>#VALUE!</v>
      </c>
      <c r="CU70" t="str">
        <f ca="1">IFERROR(__xludf.DUMMYFUNCTION("""COMPUTED_VALUE"""),"#VALUE!")</f>
        <v>#VALUE!</v>
      </c>
      <c r="CV70" t="str">
        <f ca="1">IFERROR(__xludf.DUMMYFUNCTION("""COMPUTED_VALUE"""),"L0013")</f>
        <v>L0013</v>
      </c>
      <c r="CW70" t="str">
        <f ca="1">IFERROR(__xludf.DUMMYFUNCTION("""COMPUTED_VALUE"""),"Folatone")</f>
        <v>Folatone</v>
      </c>
      <c r="CY70" t="str">
        <f ca="1">IFERROR(__xludf.DUMMYFUNCTION("""COMPUTED_VALUE"""),"#VALUE!")</f>
        <v>#VALUE!</v>
      </c>
      <c r="DC70" t="str">
        <f ca="1">IFERROR(__xludf.DUMMYFUNCTION("""COMPUTED_VALUE"""),"#VALUE!")</f>
        <v>#VALUE!</v>
      </c>
      <c r="DE70" t="str">
        <f ca="1">IFERROR(__xludf.DUMMYFUNCTION("""COMPUTED_VALUE"""),"#VALUE!")</f>
        <v>#VALUE!</v>
      </c>
      <c r="DH70" t="str">
        <f ca="1">IFERROR(__xludf.DUMMYFUNCTION("""COMPUTED_VALUE"""),"L0014")</f>
        <v>L0014</v>
      </c>
      <c r="DI70" t="str">
        <f ca="1">IFERROR(__xludf.DUMMYFUNCTION("""COMPUTED_VALUE"""),"grangia Anselmi de Perrino")</f>
        <v>grangia Anselmi de Perrino</v>
      </c>
      <c r="DJ70" t="str">
        <f ca="1">IFERROR(__xludf.DUMMYFUNCTION("""COMPUTED_VALUE"""),"grangia")</f>
        <v>grangia</v>
      </c>
      <c r="DL70" t="str">
        <f ca="1">IFERROR(__xludf.DUMMYFUNCTION("""COMPUTED_VALUE"""),"Davor Salihović")</f>
        <v>Davor Salihović</v>
      </c>
    </row>
    <row r="71" spans="1:116" ht="13.2" x14ac:dyDescent="0.25">
      <c r="A71" t="str">
        <f ca="1">IFERROR(__xludf.DUMMYFUNCTION("""COMPUTED_VALUE"""),"P0070")</f>
        <v>P0070</v>
      </c>
      <c r="B71" t="str">
        <f ca="1">IFERROR(__xludf.DUMMYFUNCTION("""COMPUTED_VALUE"""),"Iuliana, uxor Petri Perrini")</f>
        <v>Iuliana, uxor Petri Perrini</v>
      </c>
      <c r="D71" t="str">
        <f ca="1">IFERROR(__xludf.DUMMYFUNCTION("""COMPUTED_VALUE"""),"#VALUE!")</f>
        <v>#VALUE!</v>
      </c>
      <c r="E71" t="str">
        <f ca="1">IFERROR(__xludf.DUMMYFUNCTION("""COMPUTED_VALUE"""),"Iuliana")</f>
        <v>Iuliana</v>
      </c>
      <c r="Q71" t="str">
        <f ca="1">IFERROR(__xludf.DUMMYFUNCTION("""COMPUTED_VALUE"""),"uxor Petri Perrini")</f>
        <v>uxor Petri Perrini</v>
      </c>
      <c r="S71" t="str">
        <f ca="1">IFERROR(__xludf.DUMMYFUNCTION("""COMPUTED_VALUE"""),"Latin")</f>
        <v>Latin</v>
      </c>
      <c r="T71" t="str">
        <f ca="1">IFERROR(__xludf.DUMMYFUNCTION("""COMPUTED_VALUE"""),"definite")</f>
        <v>definite</v>
      </c>
      <c r="U71" t="str">
        <f ca="1">IFERROR(__xludf.DUMMYFUNCTION("""COMPUTED_VALUE"""),"C2552")</f>
        <v>C2552</v>
      </c>
      <c r="V71" t="str">
        <f ca="1">IFERROR(__xludf.DUMMYFUNCTION("""COMPUTED_VALUE"""),"female")</f>
        <v>female</v>
      </c>
      <c r="Z71" t="str">
        <f ca="1">IFERROR(__xludf.DUMMYFUNCTION("""COMPUTED_VALUE"""),"165")</f>
        <v>165</v>
      </c>
      <c r="AA71" t="str">
        <f ca="1">IFERROR(__xludf.DUMMYFUNCTION("""COMPUTED_VALUE"""),"d")</f>
        <v>d</v>
      </c>
      <c r="AB71" t="str">
        <f ca="1">IFERROR(__xludf.DUMMYFUNCTION("""COMPUTED_VALUE"""),"suspect")</f>
        <v>suspect</v>
      </c>
      <c r="AE71" t="str">
        <f ca="1">IFERROR(__xludf.DUMMYFUNCTION("""COMPUTED_VALUE"""),"#VALUE!")</f>
        <v>#VALUE!</v>
      </c>
      <c r="AF71" t="str">
        <f ca="1">IFERROR(__xludf.DUMMYFUNCTION("""COMPUTED_VALUE"""),"#N/A")</f>
        <v>#N/A</v>
      </c>
      <c r="AG71" t="str">
        <f ca="1">IFERROR(__xludf.DUMMYFUNCTION("""COMPUTED_VALUE"""),"#N/A")</f>
        <v>#N/A</v>
      </c>
      <c r="AI71" t="str">
        <f ca="1">IFERROR(__xludf.DUMMYFUNCTION("""COMPUTED_VALUE"""),"#VALUE!")</f>
        <v>#VALUE!</v>
      </c>
      <c r="AK71" t="str">
        <f ca="1">IFERROR(__xludf.DUMMYFUNCTION("""COMPUTED_VALUE"""),"#VALUE!")</f>
        <v>#VALUE!</v>
      </c>
      <c r="AM71" t="str">
        <f ca="1">IFERROR(__xludf.DUMMYFUNCTION("""COMPUTED_VALUE"""),"#VALUE!")</f>
        <v>#VALUE!</v>
      </c>
      <c r="AO71" t="str">
        <f ca="1">IFERROR(__xludf.DUMMYFUNCTION("""COMPUTED_VALUE"""),"#VALUE!")</f>
        <v>#VALUE!</v>
      </c>
      <c r="AQ71" t="str">
        <f ca="1">IFERROR(__xludf.DUMMYFUNCTION("""COMPUTED_VALUE"""),"#VALUE!")</f>
        <v>#VALUE!</v>
      </c>
      <c r="AS71" t="str">
        <f ca="1">IFERROR(__xludf.DUMMYFUNCTION("""COMPUTED_VALUE"""),"#VALUE!")</f>
        <v>#VALUE!</v>
      </c>
      <c r="AU71" t="str">
        <f ca="1">IFERROR(__xludf.DUMMYFUNCTION("""COMPUTED_VALUE"""),"#VALUE!")</f>
        <v>#VALUE!</v>
      </c>
      <c r="AW71" t="str">
        <f ca="1">IFERROR(__xludf.DUMMYFUNCTION("""COMPUTED_VALUE"""),"#VALUE!")</f>
        <v>#VALUE!</v>
      </c>
      <c r="AY71" t="str">
        <f ca="1">IFERROR(__xludf.DUMMYFUNCTION("""COMPUTED_VALUE"""),"#VALUE!")</f>
        <v>#VALUE!</v>
      </c>
      <c r="BA71" t="str">
        <f ca="1">IFERROR(__xludf.DUMMYFUNCTION("""COMPUTED_VALUE"""),"#VALUE!")</f>
        <v>#VALUE!</v>
      </c>
      <c r="BC71" t="str">
        <f ca="1">IFERROR(__xludf.DUMMYFUNCTION("""COMPUTED_VALUE"""),"#VALUE!")</f>
        <v>#VALUE!</v>
      </c>
      <c r="BE71" t="str">
        <f ca="1">IFERROR(__xludf.DUMMYFUNCTION("""COMPUTED_VALUE"""),"#VALUE!")</f>
        <v>#VALUE!</v>
      </c>
      <c r="BG71" t="str">
        <f ca="1">IFERROR(__xludf.DUMMYFUNCTION("""COMPUTED_VALUE"""),"#VALUE!")</f>
        <v>#VALUE!</v>
      </c>
      <c r="BI71" t="str">
        <f ca="1">IFERROR(__xludf.DUMMYFUNCTION("""COMPUTED_VALUE"""),"#VALUE!")</f>
        <v>#VALUE!</v>
      </c>
      <c r="BK71" t="str">
        <f ca="1">IFERROR(__xludf.DUMMYFUNCTION("""COMPUTED_VALUE"""),"#VALUE!")</f>
        <v>#VALUE!</v>
      </c>
      <c r="BM71" t="str">
        <f ca="1">IFERROR(__xludf.DUMMYFUNCTION("""COMPUTED_VALUE"""),"#VALUE!")</f>
        <v>#VALUE!</v>
      </c>
      <c r="BO71" t="str">
        <f ca="1">IFERROR(__xludf.DUMMYFUNCTION("""COMPUTED_VALUE"""),"#VALUE!")</f>
        <v>#VALUE!</v>
      </c>
      <c r="BQ71" t="str">
        <f ca="1">IFERROR(__xludf.DUMMYFUNCTION("""COMPUTED_VALUE"""),"#VALUE!")</f>
        <v>#VALUE!</v>
      </c>
      <c r="BS71" t="str">
        <f ca="1">IFERROR(__xludf.DUMMYFUNCTION("""COMPUTED_VALUE"""),"#VALUE!")</f>
        <v>#VALUE!</v>
      </c>
      <c r="BU71" t="str">
        <f ca="1">IFERROR(__xludf.DUMMYFUNCTION("""COMPUTED_VALUE"""),"#VALUE!")</f>
        <v>#VALUE!</v>
      </c>
      <c r="BW71" t="str">
        <f ca="1">IFERROR(__xludf.DUMMYFUNCTION("""COMPUTED_VALUE"""),"#VALUE!")</f>
        <v>#VALUE!</v>
      </c>
      <c r="BY71" t="str">
        <f ca="1">IFERROR(__xludf.DUMMYFUNCTION("""COMPUTED_VALUE"""),"#VALUE!")</f>
        <v>#VALUE!</v>
      </c>
      <c r="CA71" t="str">
        <f ca="1">IFERROR(__xludf.DUMMYFUNCTION("""COMPUTED_VALUE"""),"#VALUE!")</f>
        <v>#VALUE!</v>
      </c>
      <c r="CC71" t="str">
        <f ca="1">IFERROR(__xludf.DUMMYFUNCTION("""COMPUTED_VALUE"""),"#VALUE!")</f>
        <v>#VALUE!</v>
      </c>
      <c r="CD71" t="str">
        <f ca="1">IFERROR(__xludf.DUMMYFUNCTION("""COMPUTED_VALUE"""),"C3598")</f>
        <v>C3598</v>
      </c>
      <c r="CE71" t="str">
        <f ca="1">IFERROR(__xludf.DUMMYFUNCTION("""COMPUTED_VALUE"""),"location of congregation")</f>
        <v>location of congregation</v>
      </c>
      <c r="CF71" t="str">
        <f ca="1">IFERROR(__xludf.DUMMYFUNCTION("""COMPUTED_VALUE"""),"L0014#L0016")</f>
        <v>L0014#L0016</v>
      </c>
      <c r="CG71" t="str">
        <f ca="1">IFERROR(__xludf.DUMMYFUNCTION("""COMPUTED_VALUE"""),"grangia Anselmi de Perrino #domus Petri Perrini")</f>
        <v>grangia Anselmi de Perrino #domus Petri Perrini</v>
      </c>
      <c r="CI71" t="str">
        <f ca="1">IFERROR(__xludf.DUMMYFUNCTION("""COMPUTED_VALUE"""),"#VALUE!")</f>
        <v>#VALUE!</v>
      </c>
      <c r="CK71" t="str">
        <f ca="1">IFERROR(__xludf.DUMMYFUNCTION("""COMPUTED_VALUE"""),"#VALUE!")</f>
        <v>#VALUE!</v>
      </c>
      <c r="CS71" t="str">
        <f ca="1">IFERROR(__xludf.DUMMYFUNCTION("""COMPUTED_VALUE"""),"#VALUE!")</f>
        <v>#VALUE!</v>
      </c>
      <c r="CU71" t="str">
        <f ca="1">IFERROR(__xludf.DUMMYFUNCTION("""COMPUTED_VALUE"""),"#VALUE!")</f>
        <v>#VALUE!</v>
      </c>
      <c r="CV71" t="str">
        <f ca="1">IFERROR(__xludf.DUMMYFUNCTION("""COMPUTED_VALUE"""),"L0013")</f>
        <v>L0013</v>
      </c>
      <c r="CW71" t="str">
        <f ca="1">IFERROR(__xludf.DUMMYFUNCTION("""COMPUTED_VALUE"""),"Folatone")</f>
        <v>Folatone</v>
      </c>
      <c r="CY71" t="str">
        <f ca="1">IFERROR(__xludf.DUMMYFUNCTION("""COMPUTED_VALUE"""),"#VALUE!")</f>
        <v>#VALUE!</v>
      </c>
      <c r="DC71" t="str">
        <f ca="1">IFERROR(__xludf.DUMMYFUNCTION("""COMPUTED_VALUE"""),"#VALUE!")</f>
        <v>#VALUE!</v>
      </c>
      <c r="DE71" t="str">
        <f ca="1">IFERROR(__xludf.DUMMYFUNCTION("""COMPUTED_VALUE"""),"#VALUE!")</f>
        <v>#VALUE!</v>
      </c>
      <c r="DH71" t="str">
        <f ca="1">IFERROR(__xludf.DUMMYFUNCTION("""COMPUTED_VALUE"""),"L0014#L0016")</f>
        <v>L0014#L0016</v>
      </c>
      <c r="DI71" t="str">
        <f ca="1">IFERROR(__xludf.DUMMYFUNCTION("""COMPUTED_VALUE"""),"grangia Anselmi de Perrino #domus Petri Perrini")</f>
        <v>grangia Anselmi de Perrino #domus Petri Perrini</v>
      </c>
      <c r="DJ71" t="str">
        <f ca="1">IFERROR(__xludf.DUMMYFUNCTION("""COMPUTED_VALUE"""),"grangia #domus")</f>
        <v>grangia #domus</v>
      </c>
      <c r="DL71" t="str">
        <f ca="1">IFERROR(__xludf.DUMMYFUNCTION("""COMPUTED_VALUE"""),"Davor Salihović")</f>
        <v>Davor Salihović</v>
      </c>
    </row>
    <row r="72" spans="1:116" ht="13.2" x14ac:dyDescent="0.25">
      <c r="A72" t="str">
        <f ca="1">IFERROR(__xludf.DUMMYFUNCTION("""COMPUTED_VALUE"""),"P0071")</f>
        <v>P0071</v>
      </c>
      <c r="B72" t="str">
        <f ca="1">IFERROR(__xludf.DUMMYFUNCTION("""COMPUTED_VALUE"""),"Petrus Perrino")</f>
        <v>Petrus Perrino</v>
      </c>
      <c r="D72" t="str">
        <f ca="1">IFERROR(__xludf.DUMMYFUNCTION("""COMPUTED_VALUE"""),"#VALUE!")</f>
        <v>#VALUE!</v>
      </c>
      <c r="E72" t="str">
        <f ca="1">IFERROR(__xludf.DUMMYFUNCTION("""COMPUTED_VALUE"""),"Petrus")</f>
        <v>Petrus</v>
      </c>
      <c r="K72" t="str">
        <f ca="1">IFERROR(__xludf.DUMMYFUNCTION("""COMPUTED_VALUE"""),"Perrino")</f>
        <v>Perrino</v>
      </c>
      <c r="L72" t="str">
        <f ca="1">IFERROR(__xludf.DUMMYFUNCTION("""COMPUTED_VALUE"""),"Perrino")</f>
        <v>Perrino</v>
      </c>
      <c r="S72" t="str">
        <f ca="1">IFERROR(__xludf.DUMMYFUNCTION("""COMPUTED_VALUE"""),"Latin")</f>
        <v>Latin</v>
      </c>
      <c r="T72" t="str">
        <f ca="1">IFERROR(__xludf.DUMMYFUNCTION("""COMPUTED_VALUE"""),"definite")</f>
        <v>definite</v>
      </c>
      <c r="U72" t="str">
        <f ca="1">IFERROR(__xludf.DUMMYFUNCTION("""COMPUTED_VALUE"""),"C2553")</f>
        <v>C2553</v>
      </c>
      <c r="V72" t="str">
        <f ca="1">IFERROR(__xludf.DUMMYFUNCTION("""COMPUTED_VALUE"""),"male")</f>
        <v>male</v>
      </c>
      <c r="Z72" t="str">
        <f ca="1">IFERROR(__xludf.DUMMYFUNCTION("""COMPUTED_VALUE"""),"165")</f>
        <v>165</v>
      </c>
      <c r="AA72" t="str">
        <f ca="1">IFERROR(__xludf.DUMMYFUNCTION("""COMPUTED_VALUE"""),"d")</f>
        <v>d</v>
      </c>
      <c r="AB72" t="str">
        <f ca="1">IFERROR(__xludf.DUMMYFUNCTION("""COMPUTED_VALUE"""),"NA")</f>
        <v>NA</v>
      </c>
      <c r="AE72" t="str">
        <f ca="1">IFERROR(__xludf.DUMMYFUNCTION("""COMPUTED_VALUE"""),"#VALUE!")</f>
        <v>#VALUE!</v>
      </c>
      <c r="AF72" t="str">
        <f ca="1">IFERROR(__xludf.DUMMYFUNCTION("""COMPUTED_VALUE"""),"#N/A")</f>
        <v>#N/A</v>
      </c>
      <c r="AG72" t="str">
        <f ca="1">IFERROR(__xludf.DUMMYFUNCTION("""COMPUTED_VALUE"""),"#N/A")</f>
        <v>#N/A</v>
      </c>
      <c r="AH72" t="str">
        <f ca="1">IFERROR(__xludf.DUMMYFUNCTION("""COMPUTED_VALUE"""),"C2348")</f>
        <v>C2348</v>
      </c>
      <c r="AI72" t="str">
        <f ca="1">IFERROR(__xludf.DUMMYFUNCTION("""COMPUTED_VALUE"""),"wife")</f>
        <v>wife</v>
      </c>
      <c r="AJ72" t="str">
        <f ca="1">IFERROR(__xludf.DUMMYFUNCTION("""COMPUTED_VALUE"""),"P0070")</f>
        <v>P0070</v>
      </c>
      <c r="AK72" t="str">
        <f ca="1">IFERROR(__xludf.DUMMYFUNCTION("""COMPUTED_VALUE"""),"Iuliana, uxor Petri Perrini")</f>
        <v>Iuliana, uxor Petri Perrini</v>
      </c>
      <c r="AM72" t="str">
        <f ca="1">IFERROR(__xludf.DUMMYFUNCTION("""COMPUTED_VALUE"""),"#VALUE!")</f>
        <v>#VALUE!</v>
      </c>
      <c r="AO72" t="str">
        <f ca="1">IFERROR(__xludf.DUMMYFUNCTION("""COMPUTED_VALUE"""),"#VALUE!")</f>
        <v>#VALUE!</v>
      </c>
      <c r="AQ72" t="str">
        <f ca="1">IFERROR(__xludf.DUMMYFUNCTION("""COMPUTED_VALUE"""),"#VALUE!")</f>
        <v>#VALUE!</v>
      </c>
      <c r="AS72" t="str">
        <f ca="1">IFERROR(__xludf.DUMMYFUNCTION("""COMPUTED_VALUE"""),"#VALUE!")</f>
        <v>#VALUE!</v>
      </c>
      <c r="AU72" t="str">
        <f ca="1">IFERROR(__xludf.DUMMYFUNCTION("""COMPUTED_VALUE"""),"#VALUE!")</f>
        <v>#VALUE!</v>
      </c>
      <c r="AW72" t="str">
        <f ca="1">IFERROR(__xludf.DUMMYFUNCTION("""COMPUTED_VALUE"""),"#VALUE!")</f>
        <v>#VALUE!</v>
      </c>
      <c r="AY72" t="str">
        <f ca="1">IFERROR(__xludf.DUMMYFUNCTION("""COMPUTED_VALUE"""),"#VALUE!")</f>
        <v>#VALUE!</v>
      </c>
      <c r="BA72" t="str">
        <f ca="1">IFERROR(__xludf.DUMMYFUNCTION("""COMPUTED_VALUE"""),"#VALUE!")</f>
        <v>#VALUE!</v>
      </c>
      <c r="BC72" t="str">
        <f ca="1">IFERROR(__xludf.DUMMYFUNCTION("""COMPUTED_VALUE"""),"#VALUE!")</f>
        <v>#VALUE!</v>
      </c>
      <c r="BE72" t="str">
        <f ca="1">IFERROR(__xludf.DUMMYFUNCTION("""COMPUTED_VALUE"""),"#VALUE!")</f>
        <v>#VALUE!</v>
      </c>
      <c r="BG72" t="str">
        <f ca="1">IFERROR(__xludf.DUMMYFUNCTION("""COMPUTED_VALUE"""),"#VALUE!")</f>
        <v>#VALUE!</v>
      </c>
      <c r="BI72" t="str">
        <f ca="1">IFERROR(__xludf.DUMMYFUNCTION("""COMPUTED_VALUE"""),"#VALUE!")</f>
        <v>#VALUE!</v>
      </c>
      <c r="BK72" t="str">
        <f ca="1">IFERROR(__xludf.DUMMYFUNCTION("""COMPUTED_VALUE"""),"#VALUE!")</f>
        <v>#VALUE!</v>
      </c>
      <c r="BM72" t="str">
        <f ca="1">IFERROR(__xludf.DUMMYFUNCTION("""COMPUTED_VALUE"""),"#VALUE!")</f>
        <v>#VALUE!</v>
      </c>
      <c r="BO72" t="str">
        <f ca="1">IFERROR(__xludf.DUMMYFUNCTION("""COMPUTED_VALUE"""),"#VALUE!")</f>
        <v>#VALUE!</v>
      </c>
      <c r="BQ72" t="str">
        <f ca="1">IFERROR(__xludf.DUMMYFUNCTION("""COMPUTED_VALUE"""),"#VALUE!")</f>
        <v>#VALUE!</v>
      </c>
      <c r="BS72" t="str">
        <f ca="1">IFERROR(__xludf.DUMMYFUNCTION("""COMPUTED_VALUE"""),"#VALUE!")</f>
        <v>#VALUE!</v>
      </c>
      <c r="BU72" t="str">
        <f ca="1">IFERROR(__xludf.DUMMYFUNCTION("""COMPUTED_VALUE"""),"#VALUE!")</f>
        <v>#VALUE!</v>
      </c>
      <c r="BW72" t="str">
        <f ca="1">IFERROR(__xludf.DUMMYFUNCTION("""COMPUTED_VALUE"""),"#VALUE!")</f>
        <v>#VALUE!</v>
      </c>
      <c r="BY72" t="str">
        <f ca="1">IFERROR(__xludf.DUMMYFUNCTION("""COMPUTED_VALUE"""),"#VALUE!")</f>
        <v>#VALUE!</v>
      </c>
      <c r="CA72" t="str">
        <f ca="1">IFERROR(__xludf.DUMMYFUNCTION("""COMPUTED_VALUE"""),"#VALUE!")</f>
        <v>#VALUE!</v>
      </c>
      <c r="CC72" t="str">
        <f ca="1">IFERROR(__xludf.DUMMYFUNCTION("""COMPUTED_VALUE"""),"#VALUE!")</f>
        <v>#VALUE!</v>
      </c>
      <c r="CD72" t="str">
        <f ca="1">IFERROR(__xludf.DUMMYFUNCTION("""COMPUTED_VALUE"""),"C3598")</f>
        <v>C3598</v>
      </c>
      <c r="CE72" t="str">
        <f ca="1">IFERROR(__xludf.DUMMYFUNCTION("""COMPUTED_VALUE"""),"location of congregation")</f>
        <v>location of congregation</v>
      </c>
      <c r="CF72" t="str">
        <f ca="1">IFERROR(__xludf.DUMMYFUNCTION("""COMPUTED_VALUE"""),"L0016")</f>
        <v>L0016</v>
      </c>
      <c r="CG72" t="str">
        <f ca="1">IFERROR(__xludf.DUMMYFUNCTION("""COMPUTED_VALUE"""),"domus Petri Perrini")</f>
        <v>domus Petri Perrini</v>
      </c>
      <c r="CI72" t="str">
        <f ca="1">IFERROR(__xludf.DUMMYFUNCTION("""COMPUTED_VALUE"""),"#VALUE!")</f>
        <v>#VALUE!</v>
      </c>
      <c r="CK72" t="str">
        <f ca="1">IFERROR(__xludf.DUMMYFUNCTION("""COMPUTED_VALUE"""),"#VALUE!")</f>
        <v>#VALUE!</v>
      </c>
      <c r="CS72" t="str">
        <f ca="1">IFERROR(__xludf.DUMMYFUNCTION("""COMPUTED_VALUE"""),"#VALUE!")</f>
        <v>#VALUE!</v>
      </c>
      <c r="CU72" t="str">
        <f ca="1">IFERROR(__xludf.DUMMYFUNCTION("""COMPUTED_VALUE"""),"#VALUE!")</f>
        <v>#VALUE!</v>
      </c>
      <c r="CW72" t="str">
        <f ca="1">IFERROR(__xludf.DUMMYFUNCTION("""COMPUTED_VALUE"""),"#VALUE!")</f>
        <v>#VALUE!</v>
      </c>
      <c r="CY72" t="str">
        <f ca="1">IFERROR(__xludf.DUMMYFUNCTION("""COMPUTED_VALUE"""),"#VALUE!")</f>
        <v>#VALUE!</v>
      </c>
      <c r="DC72" t="str">
        <f ca="1">IFERROR(__xludf.DUMMYFUNCTION("""COMPUTED_VALUE"""),"#VALUE!")</f>
        <v>#VALUE!</v>
      </c>
      <c r="DE72" t="str">
        <f ca="1">IFERROR(__xludf.DUMMYFUNCTION("""COMPUTED_VALUE"""),"#VALUE!")</f>
        <v>#VALUE!</v>
      </c>
      <c r="DH72" t="str">
        <f ca="1">IFERROR(__xludf.DUMMYFUNCTION("""COMPUTED_VALUE"""),"L0016")</f>
        <v>L0016</v>
      </c>
      <c r="DI72" t="str">
        <f ca="1">IFERROR(__xludf.DUMMYFUNCTION("""COMPUTED_VALUE"""),"domus Petri Perrini")</f>
        <v>domus Petri Perrini</v>
      </c>
      <c r="DJ72" t="str">
        <f ca="1">IFERROR(__xludf.DUMMYFUNCTION("""COMPUTED_VALUE"""),"domus")</f>
        <v>domus</v>
      </c>
      <c r="DL72" t="str">
        <f ca="1">IFERROR(__xludf.DUMMYFUNCTION("""COMPUTED_VALUE"""),"Davor Salihović")</f>
        <v>Davor Salihović</v>
      </c>
    </row>
    <row r="73" spans="1:116" ht="13.2" x14ac:dyDescent="0.25">
      <c r="A73" t="str">
        <f ca="1">IFERROR(__xludf.DUMMYFUNCTION("""COMPUTED_VALUE"""),"P0072")</f>
        <v>P0072</v>
      </c>
      <c r="B73" t="str">
        <f ca="1">IFERROR(__xludf.DUMMYFUNCTION("""COMPUTED_VALUE"""),"Iacometa, uxor Iohannis Rogerii")</f>
        <v>Iacometa, uxor Iohannis Rogerii</v>
      </c>
      <c r="D73" t="str">
        <f ca="1">IFERROR(__xludf.DUMMYFUNCTION("""COMPUTED_VALUE"""),"#VALUE!")</f>
        <v>#VALUE!</v>
      </c>
      <c r="E73" t="str">
        <f ca="1">IFERROR(__xludf.DUMMYFUNCTION("""COMPUTED_VALUE"""),"Iacometa")</f>
        <v>Iacometa</v>
      </c>
      <c r="Q73" t="str">
        <f ca="1">IFERROR(__xludf.DUMMYFUNCTION("""COMPUTED_VALUE"""),"uxor Iohannis Rogerii")</f>
        <v>uxor Iohannis Rogerii</v>
      </c>
      <c r="S73" t="str">
        <f ca="1">IFERROR(__xludf.DUMMYFUNCTION("""COMPUTED_VALUE"""),"Latin")</f>
        <v>Latin</v>
      </c>
      <c r="T73" t="str">
        <f ca="1">IFERROR(__xludf.DUMMYFUNCTION("""COMPUTED_VALUE"""),"definite")</f>
        <v>definite</v>
      </c>
      <c r="U73" t="str">
        <f ca="1">IFERROR(__xludf.DUMMYFUNCTION("""COMPUTED_VALUE"""),"C2552")</f>
        <v>C2552</v>
      </c>
      <c r="V73" t="str">
        <f ca="1">IFERROR(__xludf.DUMMYFUNCTION("""COMPUTED_VALUE"""),"female")</f>
        <v>female</v>
      </c>
      <c r="Z73" t="str">
        <f ca="1">IFERROR(__xludf.DUMMYFUNCTION("""COMPUTED_VALUE"""),"165")</f>
        <v>165</v>
      </c>
      <c r="AA73" t="str">
        <f ca="1">IFERROR(__xludf.DUMMYFUNCTION("""COMPUTED_VALUE"""),"d")</f>
        <v>d</v>
      </c>
      <c r="AB73" t="str">
        <f ca="1">IFERROR(__xludf.DUMMYFUNCTION("""COMPUTED_VALUE"""),"suspect")</f>
        <v>suspect</v>
      </c>
      <c r="AD73" t="str">
        <f ca="1">IFERROR(__xludf.DUMMYFUNCTION("""COMPUTED_VALUE"""),"C3287")</f>
        <v>C3287</v>
      </c>
      <c r="AE73" t="str">
        <f ca="1">IFERROR(__xludf.DUMMYFUNCTION("""COMPUTED_VALUE"""),"alive")</f>
        <v>alive</v>
      </c>
      <c r="AF73" t="str">
        <f ca="1">IFERROR(__xludf.DUMMYFUNCTION("""COMPUTED_VALUE"""),"C1753")</f>
        <v>C1753</v>
      </c>
      <c r="AG73" t="str">
        <f ca="1">IFERROR(__xludf.DUMMYFUNCTION("""COMPUTED_VALUE"""),"1335-01-20")</f>
        <v>1335-01-20</v>
      </c>
      <c r="AI73" t="str">
        <f ca="1">IFERROR(__xludf.DUMMYFUNCTION("""COMPUTED_VALUE"""),"#VALUE!")</f>
        <v>#VALUE!</v>
      </c>
      <c r="AK73" t="str">
        <f ca="1">IFERROR(__xludf.DUMMYFUNCTION("""COMPUTED_VALUE"""),"#VALUE!")</f>
        <v>#VALUE!</v>
      </c>
      <c r="AM73" t="str">
        <f ca="1">IFERROR(__xludf.DUMMYFUNCTION("""COMPUTED_VALUE"""),"#VALUE!")</f>
        <v>#VALUE!</v>
      </c>
      <c r="AO73" t="str">
        <f ca="1">IFERROR(__xludf.DUMMYFUNCTION("""COMPUTED_VALUE"""),"#VALUE!")</f>
        <v>#VALUE!</v>
      </c>
      <c r="AQ73" t="str">
        <f ca="1">IFERROR(__xludf.DUMMYFUNCTION("""COMPUTED_VALUE"""),"#VALUE!")</f>
        <v>#VALUE!</v>
      </c>
      <c r="AS73" t="str">
        <f ca="1">IFERROR(__xludf.DUMMYFUNCTION("""COMPUTED_VALUE"""),"#VALUE!")</f>
        <v>#VALUE!</v>
      </c>
      <c r="AU73" t="str">
        <f ca="1">IFERROR(__xludf.DUMMYFUNCTION("""COMPUTED_VALUE"""),"#VALUE!")</f>
        <v>#VALUE!</v>
      </c>
      <c r="AW73" t="str">
        <f ca="1">IFERROR(__xludf.DUMMYFUNCTION("""COMPUTED_VALUE"""),"#VALUE!")</f>
        <v>#VALUE!</v>
      </c>
      <c r="AY73" t="str">
        <f ca="1">IFERROR(__xludf.DUMMYFUNCTION("""COMPUTED_VALUE"""),"#VALUE!")</f>
        <v>#VALUE!</v>
      </c>
      <c r="BA73" t="str">
        <f ca="1">IFERROR(__xludf.DUMMYFUNCTION("""COMPUTED_VALUE"""),"#VALUE!")</f>
        <v>#VALUE!</v>
      </c>
      <c r="BC73" t="str">
        <f ca="1">IFERROR(__xludf.DUMMYFUNCTION("""COMPUTED_VALUE"""),"#VALUE!")</f>
        <v>#VALUE!</v>
      </c>
      <c r="BE73" t="str">
        <f ca="1">IFERROR(__xludf.DUMMYFUNCTION("""COMPUTED_VALUE"""),"#VALUE!")</f>
        <v>#VALUE!</v>
      </c>
      <c r="BG73" t="str">
        <f ca="1">IFERROR(__xludf.DUMMYFUNCTION("""COMPUTED_VALUE"""),"#VALUE!")</f>
        <v>#VALUE!</v>
      </c>
      <c r="BI73" t="str">
        <f ca="1">IFERROR(__xludf.DUMMYFUNCTION("""COMPUTED_VALUE"""),"#VALUE!")</f>
        <v>#VALUE!</v>
      </c>
      <c r="BK73" t="str">
        <f ca="1">IFERROR(__xludf.DUMMYFUNCTION("""COMPUTED_VALUE"""),"#VALUE!")</f>
        <v>#VALUE!</v>
      </c>
      <c r="BM73" t="str">
        <f ca="1">IFERROR(__xludf.DUMMYFUNCTION("""COMPUTED_VALUE"""),"#VALUE!")</f>
        <v>#VALUE!</v>
      </c>
      <c r="BO73" t="str">
        <f ca="1">IFERROR(__xludf.DUMMYFUNCTION("""COMPUTED_VALUE"""),"#VALUE!")</f>
        <v>#VALUE!</v>
      </c>
      <c r="BQ73" t="str">
        <f ca="1">IFERROR(__xludf.DUMMYFUNCTION("""COMPUTED_VALUE"""),"#VALUE!")</f>
        <v>#VALUE!</v>
      </c>
      <c r="BS73" t="str">
        <f ca="1">IFERROR(__xludf.DUMMYFUNCTION("""COMPUTED_VALUE"""),"#VALUE!")</f>
        <v>#VALUE!</v>
      </c>
      <c r="BU73" t="str">
        <f ca="1">IFERROR(__xludf.DUMMYFUNCTION("""COMPUTED_VALUE"""),"#VALUE!")</f>
        <v>#VALUE!</v>
      </c>
      <c r="BW73" t="str">
        <f ca="1">IFERROR(__xludf.DUMMYFUNCTION("""COMPUTED_VALUE"""),"#VALUE!")</f>
        <v>#VALUE!</v>
      </c>
      <c r="BY73" t="str">
        <f ca="1">IFERROR(__xludf.DUMMYFUNCTION("""COMPUTED_VALUE"""),"#VALUE!")</f>
        <v>#VALUE!</v>
      </c>
      <c r="CA73" t="str">
        <f ca="1">IFERROR(__xludf.DUMMYFUNCTION("""COMPUTED_VALUE"""),"#VALUE!")</f>
        <v>#VALUE!</v>
      </c>
      <c r="CC73" t="str">
        <f ca="1">IFERROR(__xludf.DUMMYFUNCTION("""COMPUTED_VALUE"""),"#VALUE!")</f>
        <v>#VALUE!</v>
      </c>
      <c r="CD73" t="str">
        <f ca="1">IFERROR(__xludf.DUMMYFUNCTION("""COMPUTED_VALUE"""),"C3598")</f>
        <v>C3598</v>
      </c>
      <c r="CE73" t="str">
        <f ca="1">IFERROR(__xludf.DUMMYFUNCTION("""COMPUTED_VALUE"""),"location of congregation")</f>
        <v>location of congregation</v>
      </c>
      <c r="CF73" t="str">
        <f ca="1">IFERROR(__xludf.DUMMYFUNCTION("""COMPUTED_VALUE"""),"L0014")</f>
        <v>L0014</v>
      </c>
      <c r="CG73" t="str">
        <f ca="1">IFERROR(__xludf.DUMMYFUNCTION("""COMPUTED_VALUE"""),"grangia Anselmi de Perrino")</f>
        <v>grangia Anselmi de Perrino</v>
      </c>
      <c r="CI73" t="str">
        <f ca="1">IFERROR(__xludf.DUMMYFUNCTION("""COMPUTED_VALUE"""),"#VALUE!")</f>
        <v>#VALUE!</v>
      </c>
      <c r="CK73" t="str">
        <f ca="1">IFERROR(__xludf.DUMMYFUNCTION("""COMPUTED_VALUE"""),"#VALUE!")</f>
        <v>#VALUE!</v>
      </c>
      <c r="CS73" t="str">
        <f ca="1">IFERROR(__xludf.DUMMYFUNCTION("""COMPUTED_VALUE"""),"#VALUE!")</f>
        <v>#VALUE!</v>
      </c>
      <c r="CU73" t="str">
        <f ca="1">IFERROR(__xludf.DUMMYFUNCTION("""COMPUTED_VALUE"""),"#VALUE!")</f>
        <v>#VALUE!</v>
      </c>
      <c r="CV73" t="str">
        <f ca="1">IFERROR(__xludf.DUMMYFUNCTION("""COMPUTED_VALUE"""),"L0013")</f>
        <v>L0013</v>
      </c>
      <c r="CW73" t="str">
        <f ca="1">IFERROR(__xludf.DUMMYFUNCTION("""COMPUTED_VALUE"""),"Folatone")</f>
        <v>Folatone</v>
      </c>
      <c r="CY73" t="str">
        <f ca="1">IFERROR(__xludf.DUMMYFUNCTION("""COMPUTED_VALUE"""),"#VALUE!")</f>
        <v>#VALUE!</v>
      </c>
      <c r="DC73" t="str">
        <f ca="1">IFERROR(__xludf.DUMMYFUNCTION("""COMPUTED_VALUE"""),"#VALUE!")</f>
        <v>#VALUE!</v>
      </c>
      <c r="DE73" t="str">
        <f ca="1">IFERROR(__xludf.DUMMYFUNCTION("""COMPUTED_VALUE"""),"#VALUE!")</f>
        <v>#VALUE!</v>
      </c>
      <c r="DF73" t="str">
        <f ca="1">IFERROR(__xludf.DUMMYFUNCTION("""COMPUTED_VALUE"""),"y")</f>
        <v>y</v>
      </c>
      <c r="DG73" t="str">
        <f ca="1">IFERROR(__xludf.DUMMYFUNCTION("""COMPUTED_VALUE"""),"165-166")</f>
        <v>165-166</v>
      </c>
      <c r="DH73" t="str">
        <f ca="1">IFERROR(__xludf.DUMMYFUNCTION("""COMPUTED_VALUE"""),"L0014")</f>
        <v>L0014</v>
      </c>
      <c r="DI73" t="str">
        <f ca="1">IFERROR(__xludf.DUMMYFUNCTION("""COMPUTED_VALUE"""),"grangia Anselmi de Perrino")</f>
        <v>grangia Anselmi de Perrino</v>
      </c>
      <c r="DJ73" t="str">
        <f ca="1">IFERROR(__xludf.DUMMYFUNCTION("""COMPUTED_VALUE"""),"grangia")</f>
        <v>grangia</v>
      </c>
      <c r="DL73" t="str">
        <f ca="1">IFERROR(__xludf.DUMMYFUNCTION("""COMPUTED_VALUE"""),"Davor Salihović")</f>
        <v>Davor Salihović</v>
      </c>
    </row>
    <row r="74" spans="1:116" ht="13.2" x14ac:dyDescent="0.25">
      <c r="A74" t="str">
        <f ca="1">IFERROR(__xludf.DUMMYFUNCTION("""COMPUTED_VALUE"""),"P0073")</f>
        <v>P0073</v>
      </c>
      <c r="B74" t="str">
        <f ca="1">IFERROR(__xludf.DUMMYFUNCTION("""COMPUTED_VALUE"""),"Iohannes Rogerii")</f>
        <v>Iohannes Rogerii</v>
      </c>
      <c r="D74" t="str">
        <f ca="1">IFERROR(__xludf.DUMMYFUNCTION("""COMPUTED_VALUE"""),"#VALUE!")</f>
        <v>#VALUE!</v>
      </c>
      <c r="E74" t="str">
        <f ca="1">IFERROR(__xludf.DUMMYFUNCTION("""COMPUTED_VALUE"""),"Iohannes")</f>
        <v>Iohannes</v>
      </c>
      <c r="K74" t="str">
        <f ca="1">IFERROR(__xludf.DUMMYFUNCTION("""COMPUTED_VALUE"""),"Rogerii")</f>
        <v>Rogerii</v>
      </c>
      <c r="L74" t="str">
        <f ca="1">IFERROR(__xludf.DUMMYFUNCTION("""COMPUTED_VALUE"""),"Rogerii")</f>
        <v>Rogerii</v>
      </c>
      <c r="S74" t="str">
        <f ca="1">IFERROR(__xludf.DUMMYFUNCTION("""COMPUTED_VALUE"""),"Latin")</f>
        <v>Latin</v>
      </c>
      <c r="T74" t="str">
        <f ca="1">IFERROR(__xludf.DUMMYFUNCTION("""COMPUTED_VALUE"""),"definite")</f>
        <v>definite</v>
      </c>
      <c r="U74" t="str">
        <f ca="1">IFERROR(__xludf.DUMMYFUNCTION("""COMPUTED_VALUE"""),"C2553")</f>
        <v>C2553</v>
      </c>
      <c r="V74" t="str">
        <f ca="1">IFERROR(__xludf.DUMMYFUNCTION("""COMPUTED_VALUE"""),"male")</f>
        <v>male</v>
      </c>
      <c r="Z74" t="str">
        <f ca="1">IFERROR(__xludf.DUMMYFUNCTION("""COMPUTED_VALUE"""),"165")</f>
        <v>165</v>
      </c>
      <c r="AA74" t="str">
        <f ca="1">IFERROR(__xludf.DUMMYFUNCTION("""COMPUTED_VALUE"""),"d")</f>
        <v>d</v>
      </c>
      <c r="AB74" t="str">
        <f ca="1">IFERROR(__xludf.DUMMYFUNCTION("""COMPUTED_VALUE"""),"NA")</f>
        <v>NA</v>
      </c>
      <c r="AE74" t="str">
        <f ca="1">IFERROR(__xludf.DUMMYFUNCTION("""COMPUTED_VALUE"""),"#VALUE!")</f>
        <v>#VALUE!</v>
      </c>
      <c r="AF74" t="str">
        <f ca="1">IFERROR(__xludf.DUMMYFUNCTION("""COMPUTED_VALUE"""),"#N/A")</f>
        <v>#N/A</v>
      </c>
      <c r="AG74" t="str">
        <f ca="1">IFERROR(__xludf.DUMMYFUNCTION("""COMPUTED_VALUE"""),"#N/A")</f>
        <v>#N/A</v>
      </c>
      <c r="AH74" t="str">
        <f ca="1">IFERROR(__xludf.DUMMYFUNCTION("""COMPUTED_VALUE"""),"C2348")</f>
        <v>C2348</v>
      </c>
      <c r="AI74" t="str">
        <f ca="1">IFERROR(__xludf.DUMMYFUNCTION("""COMPUTED_VALUE"""),"wife")</f>
        <v>wife</v>
      </c>
      <c r="AJ74" t="str">
        <f ca="1">IFERROR(__xludf.DUMMYFUNCTION("""COMPUTED_VALUE"""),"P0072")</f>
        <v>P0072</v>
      </c>
      <c r="AK74" t="str">
        <f ca="1">IFERROR(__xludf.DUMMYFUNCTION("""COMPUTED_VALUE"""),"Iacometa, uxor Iohannis Rogerii")</f>
        <v>Iacometa, uxor Iohannis Rogerii</v>
      </c>
      <c r="AM74" t="str">
        <f ca="1">IFERROR(__xludf.DUMMYFUNCTION("""COMPUTED_VALUE"""),"#VALUE!")</f>
        <v>#VALUE!</v>
      </c>
      <c r="AO74" t="str">
        <f ca="1">IFERROR(__xludf.DUMMYFUNCTION("""COMPUTED_VALUE"""),"#VALUE!")</f>
        <v>#VALUE!</v>
      </c>
      <c r="AQ74" t="str">
        <f ca="1">IFERROR(__xludf.DUMMYFUNCTION("""COMPUTED_VALUE"""),"#VALUE!")</f>
        <v>#VALUE!</v>
      </c>
      <c r="AS74" t="str">
        <f ca="1">IFERROR(__xludf.DUMMYFUNCTION("""COMPUTED_VALUE"""),"#VALUE!")</f>
        <v>#VALUE!</v>
      </c>
      <c r="AU74" t="str">
        <f ca="1">IFERROR(__xludf.DUMMYFUNCTION("""COMPUTED_VALUE"""),"#VALUE!")</f>
        <v>#VALUE!</v>
      </c>
      <c r="AW74" t="str">
        <f ca="1">IFERROR(__xludf.DUMMYFUNCTION("""COMPUTED_VALUE"""),"#VALUE!")</f>
        <v>#VALUE!</v>
      </c>
      <c r="AY74" t="str">
        <f ca="1">IFERROR(__xludf.DUMMYFUNCTION("""COMPUTED_VALUE"""),"#VALUE!")</f>
        <v>#VALUE!</v>
      </c>
      <c r="BA74" t="str">
        <f ca="1">IFERROR(__xludf.DUMMYFUNCTION("""COMPUTED_VALUE"""),"#VALUE!")</f>
        <v>#VALUE!</v>
      </c>
      <c r="BC74" t="str">
        <f ca="1">IFERROR(__xludf.DUMMYFUNCTION("""COMPUTED_VALUE"""),"#VALUE!")</f>
        <v>#VALUE!</v>
      </c>
      <c r="BE74" t="str">
        <f ca="1">IFERROR(__xludf.DUMMYFUNCTION("""COMPUTED_VALUE"""),"#VALUE!")</f>
        <v>#VALUE!</v>
      </c>
      <c r="BG74" t="str">
        <f ca="1">IFERROR(__xludf.DUMMYFUNCTION("""COMPUTED_VALUE"""),"#VALUE!")</f>
        <v>#VALUE!</v>
      </c>
      <c r="BI74" t="str">
        <f ca="1">IFERROR(__xludf.DUMMYFUNCTION("""COMPUTED_VALUE"""),"#VALUE!")</f>
        <v>#VALUE!</v>
      </c>
      <c r="BK74" t="str">
        <f ca="1">IFERROR(__xludf.DUMMYFUNCTION("""COMPUTED_VALUE"""),"#VALUE!")</f>
        <v>#VALUE!</v>
      </c>
      <c r="BM74" t="str">
        <f ca="1">IFERROR(__xludf.DUMMYFUNCTION("""COMPUTED_VALUE"""),"#VALUE!")</f>
        <v>#VALUE!</v>
      </c>
      <c r="BO74" t="str">
        <f ca="1">IFERROR(__xludf.DUMMYFUNCTION("""COMPUTED_VALUE"""),"#VALUE!")</f>
        <v>#VALUE!</v>
      </c>
      <c r="BQ74" t="str">
        <f ca="1">IFERROR(__xludf.DUMMYFUNCTION("""COMPUTED_VALUE"""),"#VALUE!")</f>
        <v>#VALUE!</v>
      </c>
      <c r="BS74" t="str">
        <f ca="1">IFERROR(__xludf.DUMMYFUNCTION("""COMPUTED_VALUE"""),"#VALUE!")</f>
        <v>#VALUE!</v>
      </c>
      <c r="BU74" t="str">
        <f ca="1">IFERROR(__xludf.DUMMYFUNCTION("""COMPUTED_VALUE"""),"#VALUE!")</f>
        <v>#VALUE!</v>
      </c>
      <c r="BW74" t="str">
        <f ca="1">IFERROR(__xludf.DUMMYFUNCTION("""COMPUTED_VALUE"""),"#VALUE!")</f>
        <v>#VALUE!</v>
      </c>
      <c r="BY74" t="str">
        <f ca="1">IFERROR(__xludf.DUMMYFUNCTION("""COMPUTED_VALUE"""),"#VALUE!")</f>
        <v>#VALUE!</v>
      </c>
      <c r="CA74" t="str">
        <f ca="1">IFERROR(__xludf.DUMMYFUNCTION("""COMPUTED_VALUE"""),"#VALUE!")</f>
        <v>#VALUE!</v>
      </c>
      <c r="CC74" t="str">
        <f ca="1">IFERROR(__xludf.DUMMYFUNCTION("""COMPUTED_VALUE"""),"#VALUE!")</f>
        <v>#VALUE!</v>
      </c>
      <c r="CE74" t="str">
        <f ca="1">IFERROR(__xludf.DUMMYFUNCTION("""COMPUTED_VALUE"""),"#VALUE!")</f>
        <v>#VALUE!</v>
      </c>
      <c r="CG74" t="str">
        <f ca="1">IFERROR(__xludf.DUMMYFUNCTION("""COMPUTED_VALUE"""),"#VALUE!")</f>
        <v>#VALUE!</v>
      </c>
      <c r="CI74" t="str">
        <f ca="1">IFERROR(__xludf.DUMMYFUNCTION("""COMPUTED_VALUE"""),"#VALUE!")</f>
        <v>#VALUE!</v>
      </c>
      <c r="CK74" t="str">
        <f ca="1">IFERROR(__xludf.DUMMYFUNCTION("""COMPUTED_VALUE"""),"#VALUE!")</f>
        <v>#VALUE!</v>
      </c>
      <c r="CS74" t="str">
        <f ca="1">IFERROR(__xludf.DUMMYFUNCTION("""COMPUTED_VALUE"""),"#VALUE!")</f>
        <v>#VALUE!</v>
      </c>
      <c r="CU74" t="str">
        <f ca="1">IFERROR(__xludf.DUMMYFUNCTION("""COMPUTED_VALUE"""),"#VALUE!")</f>
        <v>#VALUE!</v>
      </c>
      <c r="CW74" t="str">
        <f ca="1">IFERROR(__xludf.DUMMYFUNCTION("""COMPUTED_VALUE"""),"#VALUE!")</f>
        <v>#VALUE!</v>
      </c>
      <c r="CY74" t="str">
        <f ca="1">IFERROR(__xludf.DUMMYFUNCTION("""COMPUTED_VALUE"""),"#VALUE!")</f>
        <v>#VALUE!</v>
      </c>
      <c r="DC74" t="str">
        <f ca="1">IFERROR(__xludf.DUMMYFUNCTION("""COMPUTED_VALUE"""),"#VALUE!")</f>
        <v>#VALUE!</v>
      </c>
      <c r="DE74" t="str">
        <f ca="1">IFERROR(__xludf.DUMMYFUNCTION("""COMPUTED_VALUE"""),"#VALUE!")</f>
        <v>#VALUE!</v>
      </c>
      <c r="DI74" t="str">
        <f ca="1">IFERROR(__xludf.DUMMYFUNCTION("""COMPUTED_VALUE"""),"#VALUE!")</f>
        <v>#VALUE!</v>
      </c>
      <c r="DJ74" t="str">
        <f ca="1">IFERROR(__xludf.DUMMYFUNCTION("""COMPUTED_VALUE"""),"#VALUE!")</f>
        <v>#VALUE!</v>
      </c>
      <c r="DL74" t="str">
        <f ca="1">IFERROR(__xludf.DUMMYFUNCTION("""COMPUTED_VALUE"""),"Davor Salihović")</f>
        <v>Davor Salihović</v>
      </c>
    </row>
    <row r="75" spans="1:116" ht="13.2" x14ac:dyDescent="0.25">
      <c r="A75" t="str">
        <f ca="1">IFERROR(__xludf.DUMMYFUNCTION("""COMPUTED_VALUE"""),"P0074")</f>
        <v>P0074</v>
      </c>
      <c r="B75" t="str">
        <f ca="1">IFERROR(__xludf.DUMMYFUNCTION("""COMPUTED_VALUE"""),"Rudolphus")</f>
        <v>Rudolphus</v>
      </c>
      <c r="C75" t="str">
        <f ca="1">IFERROR(__xludf.DUMMYFUNCTION("""COMPUTED_VALUE"""),"C3252")</f>
        <v>C3252</v>
      </c>
      <c r="D75" t="str">
        <f ca="1">IFERROR(__xludf.DUMMYFUNCTION("""COMPUTED_VALUE"""),"dominus")</f>
        <v>dominus</v>
      </c>
      <c r="E75" t="str">
        <f ca="1">IFERROR(__xludf.DUMMYFUNCTION("""COMPUTED_VALUE"""),"Rudolphus")</f>
        <v>Rudolphus</v>
      </c>
      <c r="Q75" t="str">
        <f ca="1">IFERROR(__xludf.DUMMYFUNCTION("""COMPUTED_VALUE"""),"monachus, rector ecclesie Beate Marie de Vadiis")</f>
        <v>monachus, rector ecclesie Beate Marie de Vadiis</v>
      </c>
      <c r="S75" t="str">
        <f ca="1">IFERROR(__xludf.DUMMYFUNCTION("""COMPUTED_VALUE"""),"Latin")</f>
        <v>Latin</v>
      </c>
      <c r="T75" t="str">
        <f ca="1">IFERROR(__xludf.DUMMYFUNCTION("""COMPUTED_VALUE"""),"definite")</f>
        <v>definite</v>
      </c>
      <c r="U75" t="str">
        <f ca="1">IFERROR(__xludf.DUMMYFUNCTION("""COMPUTED_VALUE"""),"C2553")</f>
        <v>C2553</v>
      </c>
      <c r="V75" t="str">
        <f ca="1">IFERROR(__xludf.DUMMYFUNCTION("""COMPUTED_VALUE"""),"male")</f>
        <v>male</v>
      </c>
      <c r="Z75" t="str">
        <f ca="1">IFERROR(__xludf.DUMMYFUNCTION("""COMPUTED_VALUE"""),"165")</f>
        <v>165</v>
      </c>
      <c r="AA75" t="str">
        <f ca="1">IFERROR(__xludf.DUMMYFUNCTION("""COMPUTED_VALUE"""),"i")</f>
        <v>i</v>
      </c>
      <c r="AB75" t="str">
        <f ca="1">IFERROR(__xludf.DUMMYFUNCTION("""COMPUTED_VALUE"""),"assessor")</f>
        <v>assessor</v>
      </c>
      <c r="AD75" t="str">
        <f ca="1">IFERROR(__xludf.DUMMYFUNCTION("""COMPUTED_VALUE"""),"C3287")</f>
        <v>C3287</v>
      </c>
      <c r="AE75" t="str">
        <f ca="1">IFERROR(__xludf.DUMMYFUNCTION("""COMPUTED_VALUE"""),"alive")</f>
        <v>alive</v>
      </c>
      <c r="AF75" t="str">
        <f ca="1">IFERROR(__xludf.DUMMYFUNCTION("""COMPUTED_VALUE"""),"C1753")</f>
        <v>C1753</v>
      </c>
      <c r="AG75" t="str">
        <f ca="1">IFERROR(__xludf.DUMMYFUNCTION("""COMPUTED_VALUE"""),"1335-01-20")</f>
        <v>1335-01-20</v>
      </c>
      <c r="AI75" t="str">
        <f ca="1">IFERROR(__xludf.DUMMYFUNCTION("""COMPUTED_VALUE"""),"#VALUE!")</f>
        <v>#VALUE!</v>
      </c>
      <c r="AK75" t="str">
        <f ca="1">IFERROR(__xludf.DUMMYFUNCTION("""COMPUTED_VALUE"""),"#VALUE!")</f>
        <v>#VALUE!</v>
      </c>
      <c r="AM75" t="str">
        <f ca="1">IFERROR(__xludf.DUMMYFUNCTION("""COMPUTED_VALUE"""),"#VALUE!")</f>
        <v>#VALUE!</v>
      </c>
      <c r="AO75" t="str">
        <f ca="1">IFERROR(__xludf.DUMMYFUNCTION("""COMPUTED_VALUE"""),"#VALUE!")</f>
        <v>#VALUE!</v>
      </c>
      <c r="AQ75" t="str">
        <f ca="1">IFERROR(__xludf.DUMMYFUNCTION("""COMPUTED_VALUE"""),"#VALUE!")</f>
        <v>#VALUE!</v>
      </c>
      <c r="AS75" t="str">
        <f ca="1">IFERROR(__xludf.DUMMYFUNCTION("""COMPUTED_VALUE"""),"#VALUE!")</f>
        <v>#VALUE!</v>
      </c>
      <c r="AU75" t="str">
        <f ca="1">IFERROR(__xludf.DUMMYFUNCTION("""COMPUTED_VALUE"""),"#VALUE!")</f>
        <v>#VALUE!</v>
      </c>
      <c r="AW75" t="str">
        <f ca="1">IFERROR(__xludf.DUMMYFUNCTION("""COMPUTED_VALUE"""),"#VALUE!")</f>
        <v>#VALUE!</v>
      </c>
      <c r="AY75" t="str">
        <f ca="1">IFERROR(__xludf.DUMMYFUNCTION("""COMPUTED_VALUE"""),"#VALUE!")</f>
        <v>#VALUE!</v>
      </c>
      <c r="BA75" t="str">
        <f ca="1">IFERROR(__xludf.DUMMYFUNCTION("""COMPUTED_VALUE"""),"#VALUE!")</f>
        <v>#VALUE!</v>
      </c>
      <c r="BC75" t="str">
        <f ca="1">IFERROR(__xludf.DUMMYFUNCTION("""COMPUTED_VALUE"""),"#VALUE!")</f>
        <v>#VALUE!</v>
      </c>
      <c r="BE75" t="str">
        <f ca="1">IFERROR(__xludf.DUMMYFUNCTION("""COMPUTED_VALUE"""),"#VALUE!")</f>
        <v>#VALUE!</v>
      </c>
      <c r="BG75" t="str">
        <f ca="1">IFERROR(__xludf.DUMMYFUNCTION("""COMPUTED_VALUE"""),"#VALUE!")</f>
        <v>#VALUE!</v>
      </c>
      <c r="BI75" t="str">
        <f ca="1">IFERROR(__xludf.DUMMYFUNCTION("""COMPUTED_VALUE"""),"#VALUE!")</f>
        <v>#VALUE!</v>
      </c>
      <c r="BK75" t="str">
        <f ca="1">IFERROR(__xludf.DUMMYFUNCTION("""COMPUTED_VALUE"""),"#VALUE!")</f>
        <v>#VALUE!</v>
      </c>
      <c r="BM75" t="str">
        <f ca="1">IFERROR(__xludf.DUMMYFUNCTION("""COMPUTED_VALUE"""),"#VALUE!")</f>
        <v>#VALUE!</v>
      </c>
      <c r="BO75" t="str">
        <f ca="1">IFERROR(__xludf.DUMMYFUNCTION("""COMPUTED_VALUE"""),"#VALUE!")</f>
        <v>#VALUE!</v>
      </c>
      <c r="BQ75" t="str">
        <f ca="1">IFERROR(__xludf.DUMMYFUNCTION("""COMPUTED_VALUE"""),"#VALUE!")</f>
        <v>#VALUE!</v>
      </c>
      <c r="BS75" t="str">
        <f ca="1">IFERROR(__xludf.DUMMYFUNCTION("""COMPUTED_VALUE"""),"#VALUE!")</f>
        <v>#VALUE!</v>
      </c>
      <c r="BU75" t="str">
        <f ca="1">IFERROR(__xludf.DUMMYFUNCTION("""COMPUTED_VALUE"""),"#VALUE!")</f>
        <v>#VALUE!</v>
      </c>
      <c r="BW75" t="str">
        <f ca="1">IFERROR(__xludf.DUMMYFUNCTION("""COMPUTED_VALUE"""),"#VALUE!")</f>
        <v>#VALUE!</v>
      </c>
      <c r="BY75" t="str">
        <f ca="1">IFERROR(__xludf.DUMMYFUNCTION("""COMPUTED_VALUE"""),"#VALUE!")</f>
        <v>#VALUE!</v>
      </c>
      <c r="CA75" t="str">
        <f ca="1">IFERROR(__xludf.DUMMYFUNCTION("""COMPUTED_VALUE"""),"#VALUE!")</f>
        <v>#VALUE!</v>
      </c>
      <c r="CC75" t="str">
        <f ca="1">IFERROR(__xludf.DUMMYFUNCTION("""COMPUTED_VALUE"""),"#VALUE!")</f>
        <v>#VALUE!</v>
      </c>
      <c r="CE75" t="str">
        <f ca="1">IFERROR(__xludf.DUMMYFUNCTION("""COMPUTED_VALUE"""),"#VALUE!")</f>
        <v>#VALUE!</v>
      </c>
      <c r="CG75" t="str">
        <f ca="1">IFERROR(__xludf.DUMMYFUNCTION("""COMPUTED_VALUE"""),"#VALUE!")</f>
        <v>#VALUE!</v>
      </c>
      <c r="CI75" t="str">
        <f ca="1">IFERROR(__xludf.DUMMYFUNCTION("""COMPUTED_VALUE"""),"#VALUE!")</f>
        <v>#VALUE!</v>
      </c>
      <c r="CK75" t="str">
        <f ca="1">IFERROR(__xludf.DUMMYFUNCTION("""COMPUTED_VALUE"""),"#VALUE!")</f>
        <v>#VALUE!</v>
      </c>
      <c r="CS75" t="str">
        <f ca="1">IFERROR(__xludf.DUMMYFUNCTION("""COMPUTED_VALUE"""),"#VALUE!")</f>
        <v>#VALUE!</v>
      </c>
      <c r="CU75" t="str">
        <f ca="1">IFERROR(__xludf.DUMMYFUNCTION("""COMPUTED_VALUE"""),"#VALUE!")</f>
        <v>#VALUE!</v>
      </c>
      <c r="CW75" t="str">
        <f ca="1">IFERROR(__xludf.DUMMYFUNCTION("""COMPUTED_VALUE"""),"#VALUE!")</f>
        <v>#VALUE!</v>
      </c>
      <c r="CX75" t="str">
        <f ca="1">IFERROR(__xludf.DUMMYFUNCTION("""COMPUTED_VALUE"""),"C3191")</f>
        <v>C3191</v>
      </c>
      <c r="CY75" t="str">
        <f ca="1">IFERROR(__xludf.DUMMYFUNCTION("""COMPUTED_VALUE"""),"rector")</f>
        <v>rector</v>
      </c>
      <c r="DA75" t="str">
        <f ca="1">IFERROR(__xludf.DUMMYFUNCTION("""COMPUTED_VALUE"""),"churchperson")</f>
        <v>churchperson</v>
      </c>
      <c r="DB75" t="str">
        <f ca="1">IFERROR(__xludf.DUMMYFUNCTION("""COMPUTED_VALUE"""),"C0194")</f>
        <v>C0194</v>
      </c>
      <c r="DC75" t="str">
        <f ca="1">IFERROR(__xludf.DUMMYFUNCTION("""COMPUTED_VALUE"""),"sacerdos")</f>
        <v>sacerdos</v>
      </c>
      <c r="DD75" t="str">
        <f ca="1">IFERROR(__xludf.DUMMYFUNCTION("""COMPUTED_VALUE"""),"C3191")</f>
        <v>C3191</v>
      </c>
      <c r="DE75" t="str">
        <f ca="1">IFERROR(__xludf.DUMMYFUNCTION("""COMPUTED_VALUE"""),"rector")</f>
        <v>rector</v>
      </c>
      <c r="DI75" t="str">
        <f ca="1">IFERROR(__xludf.DUMMYFUNCTION("""COMPUTED_VALUE"""),"#VALUE!")</f>
        <v>#VALUE!</v>
      </c>
      <c r="DJ75" t="str">
        <f ca="1">IFERROR(__xludf.DUMMYFUNCTION("""COMPUTED_VALUE"""),"#VALUE!")</f>
        <v>#VALUE!</v>
      </c>
      <c r="DL75" t="str">
        <f ca="1">IFERROR(__xludf.DUMMYFUNCTION("""COMPUTED_VALUE"""),"Davor Salihović")</f>
        <v>Davor Salihović</v>
      </c>
    </row>
    <row r="76" spans="1:116" ht="13.2" x14ac:dyDescent="0.25">
      <c r="A76" t="str">
        <f ca="1">IFERROR(__xludf.DUMMYFUNCTION("""COMPUTED_VALUE"""),"P0075")</f>
        <v>P0075</v>
      </c>
      <c r="B76" t="str">
        <f ca="1">IFERROR(__xludf.DUMMYFUNCTION("""COMPUTED_VALUE"""),"Iohannes Mathei")</f>
        <v>Iohannes Mathei</v>
      </c>
      <c r="D76" t="str">
        <f ca="1">IFERROR(__xludf.DUMMYFUNCTION("""COMPUTED_VALUE"""),"#VALUE!")</f>
        <v>#VALUE!</v>
      </c>
      <c r="E76" t="str">
        <f ca="1">IFERROR(__xludf.DUMMYFUNCTION("""COMPUTED_VALUE"""),"Iohannes")</f>
        <v>Iohannes</v>
      </c>
      <c r="K76" t="str">
        <f ca="1">IFERROR(__xludf.DUMMYFUNCTION("""COMPUTED_VALUE"""),"Mathei")</f>
        <v>Mathei</v>
      </c>
      <c r="L76" t="str">
        <f ca="1">IFERROR(__xludf.DUMMYFUNCTION("""COMPUTED_VALUE"""),"Mathei")</f>
        <v>Mathei</v>
      </c>
      <c r="S76" t="str">
        <f ca="1">IFERROR(__xludf.DUMMYFUNCTION("""COMPUTED_VALUE"""),"Latin")</f>
        <v>Latin</v>
      </c>
      <c r="T76" t="str">
        <f ca="1">IFERROR(__xludf.DUMMYFUNCTION("""COMPUTED_VALUE"""),"definite")</f>
        <v>definite</v>
      </c>
      <c r="U76" t="str">
        <f ca="1">IFERROR(__xludf.DUMMYFUNCTION("""COMPUTED_VALUE"""),"C2553")</f>
        <v>C2553</v>
      </c>
      <c r="V76" t="str">
        <f ca="1">IFERROR(__xludf.DUMMYFUNCTION("""COMPUTED_VALUE"""),"male")</f>
        <v>male</v>
      </c>
      <c r="Z76" t="str">
        <f ca="1">IFERROR(__xludf.DUMMYFUNCTION("""COMPUTED_VALUE"""),"166")</f>
        <v>166</v>
      </c>
      <c r="AA76" t="str">
        <f ca="1">IFERROR(__xludf.DUMMYFUNCTION("""COMPUTED_VALUE"""),"d")</f>
        <v>d</v>
      </c>
      <c r="AB76" t="str">
        <f ca="1">IFERROR(__xludf.DUMMYFUNCTION("""COMPUTED_VALUE"""),"informer")</f>
        <v>informer</v>
      </c>
      <c r="AD76" t="str">
        <f ca="1">IFERROR(__xludf.DUMMYFUNCTION("""COMPUTED_VALUE"""),"C3287")</f>
        <v>C3287</v>
      </c>
      <c r="AE76" t="str">
        <f ca="1">IFERROR(__xludf.DUMMYFUNCTION("""COMPUTED_VALUE"""),"alive")</f>
        <v>alive</v>
      </c>
      <c r="AF76" t="str">
        <f ca="1">IFERROR(__xludf.DUMMYFUNCTION("""COMPUTED_VALUE"""),"C1753")</f>
        <v>C1753</v>
      </c>
      <c r="AG76" t="str">
        <f ca="1">IFERROR(__xludf.DUMMYFUNCTION("""COMPUTED_VALUE"""),"1335-01-20")</f>
        <v>1335-01-20</v>
      </c>
      <c r="AI76" t="str">
        <f ca="1">IFERROR(__xludf.DUMMYFUNCTION("""COMPUTED_VALUE"""),"#VALUE!")</f>
        <v>#VALUE!</v>
      </c>
      <c r="AK76" t="str">
        <f ca="1">IFERROR(__xludf.DUMMYFUNCTION("""COMPUTED_VALUE"""),"#VALUE!")</f>
        <v>#VALUE!</v>
      </c>
      <c r="AM76" t="str">
        <f ca="1">IFERROR(__xludf.DUMMYFUNCTION("""COMPUTED_VALUE"""),"#VALUE!")</f>
        <v>#VALUE!</v>
      </c>
      <c r="AO76" t="str">
        <f ca="1">IFERROR(__xludf.DUMMYFUNCTION("""COMPUTED_VALUE"""),"#VALUE!")</f>
        <v>#VALUE!</v>
      </c>
      <c r="AQ76" t="str">
        <f ca="1">IFERROR(__xludf.DUMMYFUNCTION("""COMPUTED_VALUE"""),"#VALUE!")</f>
        <v>#VALUE!</v>
      </c>
      <c r="AS76" t="str">
        <f ca="1">IFERROR(__xludf.DUMMYFUNCTION("""COMPUTED_VALUE"""),"#VALUE!")</f>
        <v>#VALUE!</v>
      </c>
      <c r="AU76" t="str">
        <f ca="1">IFERROR(__xludf.DUMMYFUNCTION("""COMPUTED_VALUE"""),"#VALUE!")</f>
        <v>#VALUE!</v>
      </c>
      <c r="AW76" t="str">
        <f ca="1">IFERROR(__xludf.DUMMYFUNCTION("""COMPUTED_VALUE"""),"#VALUE!")</f>
        <v>#VALUE!</v>
      </c>
      <c r="AY76" t="str">
        <f ca="1">IFERROR(__xludf.DUMMYFUNCTION("""COMPUTED_VALUE"""),"#VALUE!")</f>
        <v>#VALUE!</v>
      </c>
      <c r="BA76" t="str">
        <f ca="1">IFERROR(__xludf.DUMMYFUNCTION("""COMPUTED_VALUE"""),"#VALUE!")</f>
        <v>#VALUE!</v>
      </c>
      <c r="BC76" t="str">
        <f ca="1">IFERROR(__xludf.DUMMYFUNCTION("""COMPUTED_VALUE"""),"#VALUE!")</f>
        <v>#VALUE!</v>
      </c>
      <c r="BE76" t="str">
        <f ca="1">IFERROR(__xludf.DUMMYFUNCTION("""COMPUTED_VALUE"""),"#VALUE!")</f>
        <v>#VALUE!</v>
      </c>
      <c r="BG76" t="str">
        <f ca="1">IFERROR(__xludf.DUMMYFUNCTION("""COMPUTED_VALUE"""),"#VALUE!")</f>
        <v>#VALUE!</v>
      </c>
      <c r="BI76" t="str">
        <f ca="1">IFERROR(__xludf.DUMMYFUNCTION("""COMPUTED_VALUE"""),"#VALUE!")</f>
        <v>#VALUE!</v>
      </c>
      <c r="BK76" t="str">
        <f ca="1">IFERROR(__xludf.DUMMYFUNCTION("""COMPUTED_VALUE"""),"#VALUE!")</f>
        <v>#VALUE!</v>
      </c>
      <c r="BM76" t="str">
        <f ca="1">IFERROR(__xludf.DUMMYFUNCTION("""COMPUTED_VALUE"""),"#VALUE!")</f>
        <v>#VALUE!</v>
      </c>
      <c r="BO76" t="str">
        <f ca="1">IFERROR(__xludf.DUMMYFUNCTION("""COMPUTED_VALUE"""),"#VALUE!")</f>
        <v>#VALUE!</v>
      </c>
      <c r="BQ76" t="str">
        <f ca="1">IFERROR(__xludf.DUMMYFUNCTION("""COMPUTED_VALUE"""),"#VALUE!")</f>
        <v>#VALUE!</v>
      </c>
      <c r="BS76" t="str">
        <f ca="1">IFERROR(__xludf.DUMMYFUNCTION("""COMPUTED_VALUE"""),"#VALUE!")</f>
        <v>#VALUE!</v>
      </c>
      <c r="BU76" t="str">
        <f ca="1">IFERROR(__xludf.DUMMYFUNCTION("""COMPUTED_VALUE"""),"#VALUE!")</f>
        <v>#VALUE!</v>
      </c>
      <c r="BW76" t="str">
        <f ca="1">IFERROR(__xludf.DUMMYFUNCTION("""COMPUTED_VALUE"""),"#VALUE!")</f>
        <v>#VALUE!</v>
      </c>
      <c r="BY76" t="str">
        <f ca="1">IFERROR(__xludf.DUMMYFUNCTION("""COMPUTED_VALUE"""),"#VALUE!")</f>
        <v>#VALUE!</v>
      </c>
      <c r="CA76" t="str">
        <f ca="1">IFERROR(__xludf.DUMMYFUNCTION("""COMPUTED_VALUE"""),"#VALUE!")</f>
        <v>#VALUE!</v>
      </c>
      <c r="CC76" t="str">
        <f ca="1">IFERROR(__xludf.DUMMYFUNCTION("""COMPUTED_VALUE"""),"#VALUE!")</f>
        <v>#VALUE!</v>
      </c>
      <c r="CE76" t="str">
        <f ca="1">IFERROR(__xludf.DUMMYFUNCTION("""COMPUTED_VALUE"""),"#VALUE!")</f>
        <v>#VALUE!</v>
      </c>
      <c r="CG76" t="str">
        <f ca="1">IFERROR(__xludf.DUMMYFUNCTION("""COMPUTED_VALUE"""),"#VALUE!")</f>
        <v>#VALUE!</v>
      </c>
      <c r="CI76" t="str">
        <f ca="1">IFERROR(__xludf.DUMMYFUNCTION("""COMPUTED_VALUE"""),"#VALUE!")</f>
        <v>#VALUE!</v>
      </c>
      <c r="CK76" t="str">
        <f ca="1">IFERROR(__xludf.DUMMYFUNCTION("""COMPUTED_VALUE"""),"#VALUE!")</f>
        <v>#VALUE!</v>
      </c>
      <c r="CS76" t="str">
        <f ca="1">IFERROR(__xludf.DUMMYFUNCTION("""COMPUTED_VALUE"""),"#VALUE!")</f>
        <v>#VALUE!</v>
      </c>
      <c r="CU76" t="str">
        <f ca="1">IFERROR(__xludf.DUMMYFUNCTION("""COMPUTED_VALUE"""),"#VALUE!")</f>
        <v>#VALUE!</v>
      </c>
      <c r="CV76" t="str">
        <f ca="1">IFERROR(__xludf.DUMMYFUNCTION("""COMPUTED_VALUE"""),"L0001")</f>
        <v>L0001</v>
      </c>
      <c r="CW76" t="str">
        <f ca="1">IFERROR(__xludf.DUMMYFUNCTION("""COMPUTED_VALUE"""),"Giaveno")</f>
        <v>Giaveno</v>
      </c>
      <c r="CY76" t="str">
        <f ca="1">IFERROR(__xludf.DUMMYFUNCTION("""COMPUTED_VALUE"""),"#VALUE!")</f>
        <v>#VALUE!</v>
      </c>
      <c r="DC76" t="str">
        <f ca="1">IFERROR(__xludf.DUMMYFUNCTION("""COMPUTED_VALUE"""),"#VALUE!")</f>
        <v>#VALUE!</v>
      </c>
      <c r="DE76" t="str">
        <f ca="1">IFERROR(__xludf.DUMMYFUNCTION("""COMPUTED_VALUE"""),"#VALUE!")</f>
        <v>#VALUE!</v>
      </c>
      <c r="DI76" t="str">
        <f ca="1">IFERROR(__xludf.DUMMYFUNCTION("""COMPUTED_VALUE"""),"#VALUE!")</f>
        <v>#VALUE!</v>
      </c>
      <c r="DJ76" t="str">
        <f ca="1">IFERROR(__xludf.DUMMYFUNCTION("""COMPUTED_VALUE"""),"#VALUE!")</f>
        <v>#VALUE!</v>
      </c>
      <c r="DL76" t="str">
        <f ca="1">IFERROR(__xludf.DUMMYFUNCTION("""COMPUTED_VALUE"""),"Davor Salihović")</f>
        <v>Davor Salihović</v>
      </c>
    </row>
    <row r="77" spans="1:116" ht="13.2" x14ac:dyDescent="0.25">
      <c r="A77" t="str">
        <f ca="1">IFERROR(__xludf.DUMMYFUNCTION("""COMPUTED_VALUE"""),"P0076")</f>
        <v>P0076</v>
      </c>
      <c r="B77" t="str">
        <f ca="1">IFERROR(__xludf.DUMMYFUNCTION("""COMPUTED_VALUE"""),"Martinus Ysabellanus")</f>
        <v>Martinus Ysabellanus</v>
      </c>
      <c r="D77" t="str">
        <f ca="1">IFERROR(__xludf.DUMMYFUNCTION("""COMPUTED_VALUE"""),"#VALUE!")</f>
        <v>#VALUE!</v>
      </c>
      <c r="E77" t="str">
        <f ca="1">IFERROR(__xludf.DUMMYFUNCTION("""COMPUTED_VALUE"""),"Martinus")</f>
        <v>Martinus</v>
      </c>
      <c r="K77" t="str">
        <f ca="1">IFERROR(__xludf.DUMMYFUNCTION("""COMPUTED_VALUE"""),"Ysabellanus")</f>
        <v>Ysabellanus</v>
      </c>
      <c r="L77" t="str">
        <f ca="1">IFERROR(__xludf.DUMMYFUNCTION("""COMPUTED_VALUE"""),"Ysabellanus")</f>
        <v>Ysabellanus</v>
      </c>
      <c r="P77" t="str">
        <f ca="1">IFERROR(__xludf.DUMMYFUNCTION("""COMPUTED_VALUE"""),"Ysabellani")</f>
        <v>Ysabellani</v>
      </c>
      <c r="S77" t="str">
        <f ca="1">IFERROR(__xludf.DUMMYFUNCTION("""COMPUTED_VALUE"""),"Latin")</f>
        <v>Latin</v>
      </c>
      <c r="T77" t="str">
        <f ca="1">IFERROR(__xludf.DUMMYFUNCTION("""COMPUTED_VALUE"""),"definite")</f>
        <v>definite</v>
      </c>
      <c r="U77" t="str">
        <f ca="1">IFERROR(__xludf.DUMMYFUNCTION("""COMPUTED_VALUE"""),"C2553")</f>
        <v>C2553</v>
      </c>
      <c r="V77" t="str">
        <f ca="1">IFERROR(__xludf.DUMMYFUNCTION("""COMPUTED_VALUE"""),"male")</f>
        <v>male</v>
      </c>
      <c r="Z77" t="str">
        <f ca="1">IFERROR(__xludf.DUMMYFUNCTION("""COMPUTED_VALUE"""),"166, 170, 171, 182")</f>
        <v>166, 170, 171, 182</v>
      </c>
      <c r="AA77" t="str">
        <f ca="1">IFERROR(__xludf.DUMMYFUNCTION("""COMPUTED_VALUE"""),"d")</f>
        <v>d</v>
      </c>
      <c r="AB77" t="str">
        <f ca="1">IFERROR(__xludf.DUMMYFUNCTION("""COMPUTED_VALUE"""),"informer and suspect")</f>
        <v>informer and suspect</v>
      </c>
      <c r="AD77" t="str">
        <f ca="1">IFERROR(__xludf.DUMMYFUNCTION("""COMPUTED_VALUE"""),"C3287")</f>
        <v>C3287</v>
      </c>
      <c r="AE77" t="str">
        <f ca="1">IFERROR(__xludf.DUMMYFUNCTION("""COMPUTED_VALUE"""),"alive")</f>
        <v>alive</v>
      </c>
      <c r="AF77" t="str">
        <f ca="1">IFERROR(__xludf.DUMMYFUNCTION("""COMPUTED_VALUE"""),"C1753")</f>
        <v>C1753</v>
      </c>
      <c r="AG77" t="str">
        <f ca="1">IFERROR(__xludf.DUMMYFUNCTION("""COMPUTED_VALUE"""),"1335-01-20")</f>
        <v>1335-01-20</v>
      </c>
      <c r="AI77" t="str">
        <f ca="1">IFERROR(__xludf.DUMMYFUNCTION("""COMPUTED_VALUE"""),"#VALUE!")</f>
        <v>#VALUE!</v>
      </c>
      <c r="AK77" t="str">
        <f ca="1">IFERROR(__xludf.DUMMYFUNCTION("""COMPUTED_VALUE"""),"#VALUE!")</f>
        <v>#VALUE!</v>
      </c>
      <c r="AM77" t="str">
        <f ca="1">IFERROR(__xludf.DUMMYFUNCTION("""COMPUTED_VALUE"""),"#VALUE!")</f>
        <v>#VALUE!</v>
      </c>
      <c r="AO77" t="str">
        <f ca="1">IFERROR(__xludf.DUMMYFUNCTION("""COMPUTED_VALUE"""),"#VALUE!")</f>
        <v>#VALUE!</v>
      </c>
      <c r="AQ77" t="str">
        <f ca="1">IFERROR(__xludf.DUMMYFUNCTION("""COMPUTED_VALUE"""),"#VALUE!")</f>
        <v>#VALUE!</v>
      </c>
      <c r="AS77" t="str">
        <f ca="1">IFERROR(__xludf.DUMMYFUNCTION("""COMPUTED_VALUE"""),"#VALUE!")</f>
        <v>#VALUE!</v>
      </c>
      <c r="AU77" t="str">
        <f ca="1">IFERROR(__xludf.DUMMYFUNCTION("""COMPUTED_VALUE"""),"#VALUE!")</f>
        <v>#VALUE!</v>
      </c>
      <c r="AW77" t="str">
        <f ca="1">IFERROR(__xludf.DUMMYFUNCTION("""COMPUTED_VALUE"""),"#VALUE!")</f>
        <v>#VALUE!</v>
      </c>
      <c r="AY77" t="str">
        <f ca="1">IFERROR(__xludf.DUMMYFUNCTION("""COMPUTED_VALUE"""),"#VALUE!")</f>
        <v>#VALUE!</v>
      </c>
      <c r="BA77" t="str">
        <f ca="1">IFERROR(__xludf.DUMMYFUNCTION("""COMPUTED_VALUE"""),"#VALUE!")</f>
        <v>#VALUE!</v>
      </c>
      <c r="BC77" t="str">
        <f ca="1">IFERROR(__xludf.DUMMYFUNCTION("""COMPUTED_VALUE"""),"#VALUE!")</f>
        <v>#VALUE!</v>
      </c>
      <c r="BE77" t="str">
        <f ca="1">IFERROR(__xludf.DUMMYFUNCTION("""COMPUTED_VALUE"""),"#VALUE!")</f>
        <v>#VALUE!</v>
      </c>
      <c r="BG77" t="str">
        <f ca="1">IFERROR(__xludf.DUMMYFUNCTION("""COMPUTED_VALUE"""),"#VALUE!")</f>
        <v>#VALUE!</v>
      </c>
      <c r="BI77" t="str">
        <f ca="1">IFERROR(__xludf.DUMMYFUNCTION("""COMPUTED_VALUE"""),"#VALUE!")</f>
        <v>#VALUE!</v>
      </c>
      <c r="BK77" t="str">
        <f ca="1">IFERROR(__xludf.DUMMYFUNCTION("""COMPUTED_VALUE"""),"#VALUE!")</f>
        <v>#VALUE!</v>
      </c>
      <c r="BM77" t="str">
        <f ca="1">IFERROR(__xludf.DUMMYFUNCTION("""COMPUTED_VALUE"""),"#VALUE!")</f>
        <v>#VALUE!</v>
      </c>
      <c r="BO77" t="str">
        <f ca="1">IFERROR(__xludf.DUMMYFUNCTION("""COMPUTED_VALUE"""),"#VALUE!")</f>
        <v>#VALUE!</v>
      </c>
      <c r="BQ77" t="str">
        <f ca="1">IFERROR(__xludf.DUMMYFUNCTION("""COMPUTED_VALUE"""),"#VALUE!")</f>
        <v>#VALUE!</v>
      </c>
      <c r="BS77" t="str">
        <f ca="1">IFERROR(__xludf.DUMMYFUNCTION("""COMPUTED_VALUE"""),"#VALUE!")</f>
        <v>#VALUE!</v>
      </c>
      <c r="BU77" t="str">
        <f ca="1">IFERROR(__xludf.DUMMYFUNCTION("""COMPUTED_VALUE"""),"#VALUE!")</f>
        <v>#VALUE!</v>
      </c>
      <c r="BW77" t="str">
        <f ca="1">IFERROR(__xludf.DUMMYFUNCTION("""COMPUTED_VALUE"""),"#VALUE!")</f>
        <v>#VALUE!</v>
      </c>
      <c r="BY77" t="str">
        <f ca="1">IFERROR(__xludf.DUMMYFUNCTION("""COMPUTED_VALUE"""),"#VALUE!")</f>
        <v>#VALUE!</v>
      </c>
      <c r="CA77" t="str">
        <f ca="1">IFERROR(__xludf.DUMMYFUNCTION("""COMPUTED_VALUE"""),"#VALUE!")</f>
        <v>#VALUE!</v>
      </c>
      <c r="CC77" t="str">
        <f ca="1">IFERROR(__xludf.DUMMYFUNCTION("""COMPUTED_VALUE"""),"#VALUE!")</f>
        <v>#VALUE!</v>
      </c>
      <c r="CE77" t="str">
        <f ca="1">IFERROR(__xludf.DUMMYFUNCTION("""COMPUTED_VALUE"""),"#VALUE!")</f>
        <v>#VALUE!</v>
      </c>
      <c r="CG77" t="str">
        <f ca="1">IFERROR(__xludf.DUMMYFUNCTION("""COMPUTED_VALUE"""),"#VALUE!")</f>
        <v>#VALUE!</v>
      </c>
      <c r="CI77" t="str">
        <f ca="1">IFERROR(__xludf.DUMMYFUNCTION("""COMPUTED_VALUE"""),"#VALUE!")</f>
        <v>#VALUE!</v>
      </c>
      <c r="CK77" t="str">
        <f ca="1">IFERROR(__xludf.DUMMYFUNCTION("""COMPUTED_VALUE"""),"#VALUE!")</f>
        <v>#VALUE!</v>
      </c>
      <c r="CO77" t="str">
        <f ca="1">IFERROR(__xludf.DUMMYFUNCTION("""COMPUTED_VALUE"""),"Ysabellani")</f>
        <v>Ysabellani</v>
      </c>
      <c r="CS77" t="str">
        <f ca="1">IFERROR(__xludf.DUMMYFUNCTION("""COMPUTED_VALUE"""),"#VALUE!")</f>
        <v>#VALUE!</v>
      </c>
      <c r="CU77" t="str">
        <f ca="1">IFERROR(__xludf.DUMMYFUNCTION("""COMPUTED_VALUE"""),"#VALUE!")</f>
        <v>#VALUE!</v>
      </c>
      <c r="CW77" t="str">
        <f ca="1">IFERROR(__xludf.DUMMYFUNCTION("""COMPUTED_VALUE"""),"#VALUE!")</f>
        <v>#VALUE!</v>
      </c>
      <c r="CY77" t="str">
        <f ca="1">IFERROR(__xludf.DUMMYFUNCTION("""COMPUTED_VALUE"""),"#VALUE!")</f>
        <v>#VALUE!</v>
      </c>
      <c r="DC77" t="str">
        <f ca="1">IFERROR(__xludf.DUMMYFUNCTION("""COMPUTED_VALUE"""),"#VALUE!")</f>
        <v>#VALUE!</v>
      </c>
      <c r="DE77" t="str">
        <f ca="1">IFERROR(__xludf.DUMMYFUNCTION("""COMPUTED_VALUE"""),"#VALUE!")</f>
        <v>#VALUE!</v>
      </c>
      <c r="DF77" t="str">
        <f ca="1">IFERROR(__xludf.DUMMYFUNCTION("""COMPUTED_VALUE"""),"y")</f>
        <v>y</v>
      </c>
      <c r="DG77" t="str">
        <f ca="1">IFERROR(__xludf.DUMMYFUNCTION("""COMPUTED_VALUE"""),"166, 170, 171")</f>
        <v>166, 170, 171</v>
      </c>
      <c r="DI77" t="str">
        <f ca="1">IFERROR(__xludf.DUMMYFUNCTION("""COMPUTED_VALUE"""),"#VALUE!")</f>
        <v>#VALUE!</v>
      </c>
      <c r="DJ77" t="str">
        <f ca="1">IFERROR(__xludf.DUMMYFUNCTION("""COMPUTED_VALUE"""),"#VALUE!")</f>
        <v>#VALUE!</v>
      </c>
      <c r="DL77" t="str">
        <f ca="1">IFERROR(__xludf.DUMMYFUNCTION("""COMPUTED_VALUE"""),"Davor Salihović")</f>
        <v>Davor Salihović</v>
      </c>
    </row>
    <row r="78" spans="1:116" ht="13.2" x14ac:dyDescent="0.25">
      <c r="A78" t="str">
        <f ca="1">IFERROR(__xludf.DUMMYFUNCTION("""COMPUTED_VALUE"""),"P0077")</f>
        <v>P0077</v>
      </c>
      <c r="B78" t="str">
        <f ca="1">IFERROR(__xludf.DUMMYFUNCTION("""COMPUTED_VALUE"""),"Villelmus Gisilbertus")</f>
        <v>Villelmus Gisilbertus</v>
      </c>
      <c r="D78" t="str">
        <f ca="1">IFERROR(__xludf.DUMMYFUNCTION("""COMPUTED_VALUE"""),"#VALUE!")</f>
        <v>#VALUE!</v>
      </c>
      <c r="E78" t="str">
        <f ca="1">IFERROR(__xludf.DUMMYFUNCTION("""COMPUTED_VALUE"""),"Villelmus")</f>
        <v>Villelmus</v>
      </c>
      <c r="K78" t="str">
        <f ca="1">IFERROR(__xludf.DUMMYFUNCTION("""COMPUTED_VALUE"""),"Gisilbertus")</f>
        <v>Gisilbertus</v>
      </c>
      <c r="L78" t="str">
        <f ca="1">IFERROR(__xludf.DUMMYFUNCTION("""COMPUTED_VALUE"""),"Gisilbertus")</f>
        <v>Gisilbertus</v>
      </c>
      <c r="P78" t="str">
        <f ca="1">IFERROR(__xludf.DUMMYFUNCTION("""COMPUTED_VALUE"""),"Gisilberti")</f>
        <v>Gisilberti</v>
      </c>
      <c r="S78" t="str">
        <f ca="1">IFERROR(__xludf.DUMMYFUNCTION("""COMPUTED_VALUE"""),"Latin")</f>
        <v>Latin</v>
      </c>
      <c r="T78" t="str">
        <f ca="1">IFERROR(__xludf.DUMMYFUNCTION("""COMPUTED_VALUE"""),"definite")</f>
        <v>definite</v>
      </c>
      <c r="U78" t="str">
        <f ca="1">IFERROR(__xludf.DUMMYFUNCTION("""COMPUTED_VALUE"""),"C2553")</f>
        <v>C2553</v>
      </c>
      <c r="V78" t="str">
        <f ca="1">IFERROR(__xludf.DUMMYFUNCTION("""COMPUTED_VALUE"""),"male")</f>
        <v>male</v>
      </c>
      <c r="Z78" t="str">
        <f ca="1">IFERROR(__xludf.DUMMYFUNCTION("""COMPUTED_VALUE"""),"166, 169, 171")</f>
        <v>166, 169, 171</v>
      </c>
      <c r="AA78" t="str">
        <f ca="1">IFERROR(__xludf.DUMMYFUNCTION("""COMPUTED_VALUE"""),"d")</f>
        <v>d</v>
      </c>
      <c r="AB78" t="str">
        <f ca="1">IFERROR(__xludf.DUMMYFUNCTION("""COMPUTED_VALUE"""),"informer")</f>
        <v>informer</v>
      </c>
      <c r="AD78" t="str">
        <f ca="1">IFERROR(__xludf.DUMMYFUNCTION("""COMPUTED_VALUE"""),"C3287")</f>
        <v>C3287</v>
      </c>
      <c r="AE78" t="str">
        <f ca="1">IFERROR(__xludf.DUMMYFUNCTION("""COMPUTED_VALUE"""),"alive")</f>
        <v>alive</v>
      </c>
      <c r="AF78" t="str">
        <f ca="1">IFERROR(__xludf.DUMMYFUNCTION("""COMPUTED_VALUE"""),"C1753")</f>
        <v>C1753</v>
      </c>
      <c r="AG78" t="str">
        <f ca="1">IFERROR(__xludf.DUMMYFUNCTION("""COMPUTED_VALUE"""),"1335-01-20")</f>
        <v>1335-01-20</v>
      </c>
      <c r="AI78" t="str">
        <f ca="1">IFERROR(__xludf.DUMMYFUNCTION("""COMPUTED_VALUE"""),"#VALUE!")</f>
        <v>#VALUE!</v>
      </c>
      <c r="AK78" t="str">
        <f ca="1">IFERROR(__xludf.DUMMYFUNCTION("""COMPUTED_VALUE"""),"#VALUE!")</f>
        <v>#VALUE!</v>
      </c>
      <c r="AM78" t="str">
        <f ca="1">IFERROR(__xludf.DUMMYFUNCTION("""COMPUTED_VALUE"""),"#VALUE!")</f>
        <v>#VALUE!</v>
      </c>
      <c r="AO78" t="str">
        <f ca="1">IFERROR(__xludf.DUMMYFUNCTION("""COMPUTED_VALUE"""),"#VALUE!")</f>
        <v>#VALUE!</v>
      </c>
      <c r="AQ78" t="str">
        <f ca="1">IFERROR(__xludf.DUMMYFUNCTION("""COMPUTED_VALUE"""),"#VALUE!")</f>
        <v>#VALUE!</v>
      </c>
      <c r="AS78" t="str">
        <f ca="1">IFERROR(__xludf.DUMMYFUNCTION("""COMPUTED_VALUE"""),"#VALUE!")</f>
        <v>#VALUE!</v>
      </c>
      <c r="AU78" t="str">
        <f ca="1">IFERROR(__xludf.DUMMYFUNCTION("""COMPUTED_VALUE"""),"#VALUE!")</f>
        <v>#VALUE!</v>
      </c>
      <c r="AW78" t="str">
        <f ca="1">IFERROR(__xludf.DUMMYFUNCTION("""COMPUTED_VALUE"""),"#VALUE!")</f>
        <v>#VALUE!</v>
      </c>
      <c r="AY78" t="str">
        <f ca="1">IFERROR(__xludf.DUMMYFUNCTION("""COMPUTED_VALUE"""),"#VALUE!")</f>
        <v>#VALUE!</v>
      </c>
      <c r="BA78" t="str">
        <f ca="1">IFERROR(__xludf.DUMMYFUNCTION("""COMPUTED_VALUE"""),"#VALUE!")</f>
        <v>#VALUE!</v>
      </c>
      <c r="BC78" t="str">
        <f ca="1">IFERROR(__xludf.DUMMYFUNCTION("""COMPUTED_VALUE"""),"#VALUE!")</f>
        <v>#VALUE!</v>
      </c>
      <c r="BE78" t="str">
        <f ca="1">IFERROR(__xludf.DUMMYFUNCTION("""COMPUTED_VALUE"""),"#VALUE!")</f>
        <v>#VALUE!</v>
      </c>
      <c r="BG78" t="str">
        <f ca="1">IFERROR(__xludf.DUMMYFUNCTION("""COMPUTED_VALUE"""),"#VALUE!")</f>
        <v>#VALUE!</v>
      </c>
      <c r="BI78" t="str">
        <f ca="1">IFERROR(__xludf.DUMMYFUNCTION("""COMPUTED_VALUE"""),"#VALUE!")</f>
        <v>#VALUE!</v>
      </c>
      <c r="BK78" t="str">
        <f ca="1">IFERROR(__xludf.DUMMYFUNCTION("""COMPUTED_VALUE"""),"#VALUE!")</f>
        <v>#VALUE!</v>
      </c>
      <c r="BM78" t="str">
        <f ca="1">IFERROR(__xludf.DUMMYFUNCTION("""COMPUTED_VALUE"""),"#VALUE!")</f>
        <v>#VALUE!</v>
      </c>
      <c r="BO78" t="str">
        <f ca="1">IFERROR(__xludf.DUMMYFUNCTION("""COMPUTED_VALUE"""),"#VALUE!")</f>
        <v>#VALUE!</v>
      </c>
      <c r="BQ78" t="str">
        <f ca="1">IFERROR(__xludf.DUMMYFUNCTION("""COMPUTED_VALUE"""),"#VALUE!")</f>
        <v>#VALUE!</v>
      </c>
      <c r="BS78" t="str">
        <f ca="1">IFERROR(__xludf.DUMMYFUNCTION("""COMPUTED_VALUE"""),"#VALUE!")</f>
        <v>#VALUE!</v>
      </c>
      <c r="BU78" t="str">
        <f ca="1">IFERROR(__xludf.DUMMYFUNCTION("""COMPUTED_VALUE"""),"#VALUE!")</f>
        <v>#VALUE!</v>
      </c>
      <c r="BW78" t="str">
        <f ca="1">IFERROR(__xludf.DUMMYFUNCTION("""COMPUTED_VALUE"""),"#VALUE!")</f>
        <v>#VALUE!</v>
      </c>
      <c r="BY78" t="str">
        <f ca="1">IFERROR(__xludf.DUMMYFUNCTION("""COMPUTED_VALUE"""),"#VALUE!")</f>
        <v>#VALUE!</v>
      </c>
      <c r="CA78" t="str">
        <f ca="1">IFERROR(__xludf.DUMMYFUNCTION("""COMPUTED_VALUE"""),"#VALUE!")</f>
        <v>#VALUE!</v>
      </c>
      <c r="CC78" t="str">
        <f ca="1">IFERROR(__xludf.DUMMYFUNCTION("""COMPUTED_VALUE"""),"#VALUE!")</f>
        <v>#VALUE!</v>
      </c>
      <c r="CE78" t="str">
        <f ca="1">IFERROR(__xludf.DUMMYFUNCTION("""COMPUTED_VALUE"""),"#VALUE!")</f>
        <v>#VALUE!</v>
      </c>
      <c r="CG78" t="str">
        <f ca="1">IFERROR(__xludf.DUMMYFUNCTION("""COMPUTED_VALUE"""),"#VALUE!")</f>
        <v>#VALUE!</v>
      </c>
      <c r="CI78" t="str">
        <f ca="1">IFERROR(__xludf.DUMMYFUNCTION("""COMPUTED_VALUE"""),"#VALUE!")</f>
        <v>#VALUE!</v>
      </c>
      <c r="CK78" t="str">
        <f ca="1">IFERROR(__xludf.DUMMYFUNCTION("""COMPUTED_VALUE"""),"#VALUE!")</f>
        <v>#VALUE!</v>
      </c>
      <c r="CO78" t="str">
        <f ca="1">IFERROR(__xludf.DUMMYFUNCTION("""COMPUTED_VALUE"""),"Gisilberti")</f>
        <v>Gisilberti</v>
      </c>
      <c r="CS78" t="str">
        <f ca="1">IFERROR(__xludf.DUMMYFUNCTION("""COMPUTED_VALUE"""),"#VALUE!")</f>
        <v>#VALUE!</v>
      </c>
      <c r="CU78" t="str">
        <f ca="1">IFERROR(__xludf.DUMMYFUNCTION("""COMPUTED_VALUE"""),"#VALUE!")</f>
        <v>#VALUE!</v>
      </c>
      <c r="CW78" t="str">
        <f ca="1">IFERROR(__xludf.DUMMYFUNCTION("""COMPUTED_VALUE"""),"#VALUE!")</f>
        <v>#VALUE!</v>
      </c>
      <c r="CY78" t="str">
        <f ca="1">IFERROR(__xludf.DUMMYFUNCTION("""COMPUTED_VALUE"""),"#VALUE!")</f>
        <v>#VALUE!</v>
      </c>
      <c r="DC78" t="str">
        <f ca="1">IFERROR(__xludf.DUMMYFUNCTION("""COMPUTED_VALUE"""),"#VALUE!")</f>
        <v>#VALUE!</v>
      </c>
      <c r="DE78" t="str">
        <f ca="1">IFERROR(__xludf.DUMMYFUNCTION("""COMPUTED_VALUE"""),"#VALUE!")</f>
        <v>#VALUE!</v>
      </c>
      <c r="DI78" t="str">
        <f ca="1">IFERROR(__xludf.DUMMYFUNCTION("""COMPUTED_VALUE"""),"#VALUE!")</f>
        <v>#VALUE!</v>
      </c>
      <c r="DJ78" t="str">
        <f ca="1">IFERROR(__xludf.DUMMYFUNCTION("""COMPUTED_VALUE"""),"#VALUE!")</f>
        <v>#VALUE!</v>
      </c>
      <c r="DL78" t="str">
        <f ca="1">IFERROR(__xludf.DUMMYFUNCTION("""COMPUTED_VALUE"""),"Davor Salihović")</f>
        <v>Davor Salihović</v>
      </c>
    </row>
    <row r="79" spans="1:116" ht="13.2" x14ac:dyDescent="0.25">
      <c r="A79" t="str">
        <f ca="1">IFERROR(__xludf.DUMMYFUNCTION("""COMPUTED_VALUE"""),"P0078")</f>
        <v>P0078</v>
      </c>
      <c r="B79" t="str">
        <f ca="1">IFERROR(__xludf.DUMMYFUNCTION("""COMPUTED_VALUE"""),"Melquyotus Vauterii")</f>
        <v>Melquyotus Vauterii</v>
      </c>
      <c r="D79" t="str">
        <f ca="1">IFERROR(__xludf.DUMMYFUNCTION("""COMPUTED_VALUE"""),"#VALUE!")</f>
        <v>#VALUE!</v>
      </c>
      <c r="E79" t="str">
        <f ca="1">IFERROR(__xludf.DUMMYFUNCTION("""COMPUTED_VALUE"""),"Melquyotus")</f>
        <v>Melquyotus</v>
      </c>
      <c r="K79" t="str">
        <f ca="1">IFERROR(__xludf.DUMMYFUNCTION("""COMPUTED_VALUE"""),"Vauterii")</f>
        <v>Vauterii</v>
      </c>
      <c r="L79" t="str">
        <f ca="1">IFERROR(__xludf.DUMMYFUNCTION("""COMPUTED_VALUE"""),"Vauterii")</f>
        <v>Vauterii</v>
      </c>
      <c r="S79" t="str">
        <f ca="1">IFERROR(__xludf.DUMMYFUNCTION("""COMPUTED_VALUE"""),"Latin")</f>
        <v>Latin</v>
      </c>
      <c r="T79" t="str">
        <f ca="1">IFERROR(__xludf.DUMMYFUNCTION("""COMPUTED_VALUE"""),"definite")</f>
        <v>definite</v>
      </c>
      <c r="U79" t="str">
        <f ca="1">IFERROR(__xludf.DUMMYFUNCTION("""COMPUTED_VALUE"""),"C2553")</f>
        <v>C2553</v>
      </c>
      <c r="V79" t="str">
        <f ca="1">IFERROR(__xludf.DUMMYFUNCTION("""COMPUTED_VALUE"""),"male")</f>
        <v>male</v>
      </c>
      <c r="Z79" t="str">
        <f ca="1">IFERROR(__xludf.DUMMYFUNCTION("""COMPUTED_VALUE"""),"166")</f>
        <v>166</v>
      </c>
      <c r="AA79" t="str">
        <f ca="1">IFERROR(__xludf.DUMMYFUNCTION("""COMPUTED_VALUE"""),"d")</f>
        <v>d</v>
      </c>
      <c r="AB79" t="str">
        <f ca="1">IFERROR(__xludf.DUMMYFUNCTION("""COMPUTED_VALUE"""),"NA")</f>
        <v>NA</v>
      </c>
      <c r="AE79" t="str">
        <f ca="1">IFERROR(__xludf.DUMMYFUNCTION("""COMPUTED_VALUE"""),"#VALUE!")</f>
        <v>#VALUE!</v>
      </c>
      <c r="AF79" t="str">
        <f ca="1">IFERROR(__xludf.DUMMYFUNCTION("""COMPUTED_VALUE"""),"#N/A")</f>
        <v>#N/A</v>
      </c>
      <c r="AG79" t="str">
        <f ca="1">IFERROR(__xludf.DUMMYFUNCTION("""COMPUTED_VALUE"""),"#N/A")</f>
        <v>#N/A</v>
      </c>
      <c r="AI79" t="str">
        <f ca="1">IFERROR(__xludf.DUMMYFUNCTION("""COMPUTED_VALUE"""),"#VALUE!")</f>
        <v>#VALUE!</v>
      </c>
      <c r="AK79" t="str">
        <f ca="1">IFERROR(__xludf.DUMMYFUNCTION("""COMPUTED_VALUE"""),"#VALUE!")</f>
        <v>#VALUE!</v>
      </c>
      <c r="AM79" t="str">
        <f ca="1">IFERROR(__xludf.DUMMYFUNCTION("""COMPUTED_VALUE"""),"#VALUE!")</f>
        <v>#VALUE!</v>
      </c>
      <c r="AO79" t="str">
        <f ca="1">IFERROR(__xludf.DUMMYFUNCTION("""COMPUTED_VALUE"""),"#VALUE!")</f>
        <v>#VALUE!</v>
      </c>
      <c r="AQ79" t="str">
        <f ca="1">IFERROR(__xludf.DUMMYFUNCTION("""COMPUTED_VALUE"""),"#VALUE!")</f>
        <v>#VALUE!</v>
      </c>
      <c r="AS79" t="str">
        <f ca="1">IFERROR(__xludf.DUMMYFUNCTION("""COMPUTED_VALUE"""),"#VALUE!")</f>
        <v>#VALUE!</v>
      </c>
      <c r="AU79" t="str">
        <f ca="1">IFERROR(__xludf.DUMMYFUNCTION("""COMPUTED_VALUE"""),"#VALUE!")</f>
        <v>#VALUE!</v>
      </c>
      <c r="AW79" t="str">
        <f ca="1">IFERROR(__xludf.DUMMYFUNCTION("""COMPUTED_VALUE"""),"#VALUE!")</f>
        <v>#VALUE!</v>
      </c>
      <c r="AY79" t="str">
        <f ca="1">IFERROR(__xludf.DUMMYFUNCTION("""COMPUTED_VALUE"""),"#VALUE!")</f>
        <v>#VALUE!</v>
      </c>
      <c r="BA79" t="str">
        <f ca="1">IFERROR(__xludf.DUMMYFUNCTION("""COMPUTED_VALUE"""),"#VALUE!")</f>
        <v>#VALUE!</v>
      </c>
      <c r="BC79" t="str">
        <f ca="1">IFERROR(__xludf.DUMMYFUNCTION("""COMPUTED_VALUE"""),"#VALUE!")</f>
        <v>#VALUE!</v>
      </c>
      <c r="BE79" t="str">
        <f ca="1">IFERROR(__xludf.DUMMYFUNCTION("""COMPUTED_VALUE"""),"#VALUE!")</f>
        <v>#VALUE!</v>
      </c>
      <c r="BG79" t="str">
        <f ca="1">IFERROR(__xludf.DUMMYFUNCTION("""COMPUTED_VALUE"""),"#VALUE!")</f>
        <v>#VALUE!</v>
      </c>
      <c r="BI79" t="str">
        <f ca="1">IFERROR(__xludf.DUMMYFUNCTION("""COMPUTED_VALUE"""),"#VALUE!")</f>
        <v>#VALUE!</v>
      </c>
      <c r="BK79" t="str">
        <f ca="1">IFERROR(__xludf.DUMMYFUNCTION("""COMPUTED_VALUE"""),"#VALUE!")</f>
        <v>#VALUE!</v>
      </c>
      <c r="BM79" t="str">
        <f ca="1">IFERROR(__xludf.DUMMYFUNCTION("""COMPUTED_VALUE"""),"#VALUE!")</f>
        <v>#VALUE!</v>
      </c>
      <c r="BO79" t="str">
        <f ca="1">IFERROR(__xludf.DUMMYFUNCTION("""COMPUTED_VALUE"""),"#VALUE!")</f>
        <v>#VALUE!</v>
      </c>
      <c r="BQ79" t="str">
        <f ca="1">IFERROR(__xludf.DUMMYFUNCTION("""COMPUTED_VALUE"""),"#VALUE!")</f>
        <v>#VALUE!</v>
      </c>
      <c r="BS79" t="str">
        <f ca="1">IFERROR(__xludf.DUMMYFUNCTION("""COMPUTED_VALUE"""),"#VALUE!")</f>
        <v>#VALUE!</v>
      </c>
      <c r="BU79" t="str">
        <f ca="1">IFERROR(__xludf.DUMMYFUNCTION("""COMPUTED_VALUE"""),"#VALUE!")</f>
        <v>#VALUE!</v>
      </c>
      <c r="BW79" t="str">
        <f ca="1">IFERROR(__xludf.DUMMYFUNCTION("""COMPUTED_VALUE"""),"#VALUE!")</f>
        <v>#VALUE!</v>
      </c>
      <c r="BY79" t="str">
        <f ca="1">IFERROR(__xludf.DUMMYFUNCTION("""COMPUTED_VALUE"""),"#VALUE!")</f>
        <v>#VALUE!</v>
      </c>
      <c r="CA79" t="str">
        <f ca="1">IFERROR(__xludf.DUMMYFUNCTION("""COMPUTED_VALUE"""),"#VALUE!")</f>
        <v>#VALUE!</v>
      </c>
      <c r="CC79" t="str">
        <f ca="1">IFERROR(__xludf.DUMMYFUNCTION("""COMPUTED_VALUE"""),"#VALUE!")</f>
        <v>#VALUE!</v>
      </c>
      <c r="CE79" t="str">
        <f ca="1">IFERROR(__xludf.DUMMYFUNCTION("""COMPUTED_VALUE"""),"#VALUE!")</f>
        <v>#VALUE!</v>
      </c>
      <c r="CG79" t="str">
        <f ca="1">IFERROR(__xludf.DUMMYFUNCTION("""COMPUTED_VALUE"""),"#VALUE!")</f>
        <v>#VALUE!</v>
      </c>
      <c r="CI79" t="str">
        <f ca="1">IFERROR(__xludf.DUMMYFUNCTION("""COMPUTED_VALUE"""),"#VALUE!")</f>
        <v>#VALUE!</v>
      </c>
      <c r="CK79" t="str">
        <f ca="1">IFERROR(__xludf.DUMMYFUNCTION("""COMPUTED_VALUE"""),"#VALUE!")</f>
        <v>#VALUE!</v>
      </c>
      <c r="CS79" t="str">
        <f ca="1">IFERROR(__xludf.DUMMYFUNCTION("""COMPUTED_VALUE"""),"#VALUE!")</f>
        <v>#VALUE!</v>
      </c>
      <c r="CU79" t="str">
        <f ca="1">IFERROR(__xludf.DUMMYFUNCTION("""COMPUTED_VALUE"""),"#VALUE!")</f>
        <v>#VALUE!</v>
      </c>
      <c r="CW79" t="str">
        <f ca="1">IFERROR(__xludf.DUMMYFUNCTION("""COMPUTED_VALUE"""),"#VALUE!")</f>
        <v>#VALUE!</v>
      </c>
      <c r="CY79" t="str">
        <f ca="1">IFERROR(__xludf.DUMMYFUNCTION("""COMPUTED_VALUE"""),"#VALUE!")</f>
        <v>#VALUE!</v>
      </c>
      <c r="DC79" t="str">
        <f ca="1">IFERROR(__xludf.DUMMYFUNCTION("""COMPUTED_VALUE"""),"#VALUE!")</f>
        <v>#VALUE!</v>
      </c>
      <c r="DE79" t="str">
        <f ca="1">IFERROR(__xludf.DUMMYFUNCTION("""COMPUTED_VALUE"""),"#VALUE!")</f>
        <v>#VALUE!</v>
      </c>
      <c r="DI79" t="str">
        <f ca="1">IFERROR(__xludf.DUMMYFUNCTION("""COMPUTED_VALUE"""),"#VALUE!")</f>
        <v>#VALUE!</v>
      </c>
      <c r="DJ79" t="str">
        <f ca="1">IFERROR(__xludf.DUMMYFUNCTION("""COMPUTED_VALUE"""),"#VALUE!")</f>
        <v>#VALUE!</v>
      </c>
      <c r="DL79" t="str">
        <f ca="1">IFERROR(__xludf.DUMMYFUNCTION("""COMPUTED_VALUE"""),"Davor Salihović")</f>
        <v>Davor Salihović</v>
      </c>
    </row>
    <row r="80" spans="1:116" ht="13.2" x14ac:dyDescent="0.25">
      <c r="A80" t="str">
        <f ca="1">IFERROR(__xludf.DUMMYFUNCTION("""COMPUTED_VALUE"""),"P0079")</f>
        <v>P0079</v>
      </c>
      <c r="B80" t="str">
        <f ca="1">IFERROR(__xludf.DUMMYFUNCTION("""COMPUTED_VALUE"""),"Petrus Chichibaudi")</f>
        <v>Petrus Chichibaudi</v>
      </c>
      <c r="D80" t="str">
        <f ca="1">IFERROR(__xludf.DUMMYFUNCTION("""COMPUTED_VALUE"""),"#VALUE!")</f>
        <v>#VALUE!</v>
      </c>
      <c r="E80" t="str">
        <f ca="1">IFERROR(__xludf.DUMMYFUNCTION("""COMPUTED_VALUE"""),"Petrus")</f>
        <v>Petrus</v>
      </c>
      <c r="K80" t="str">
        <f ca="1">IFERROR(__xludf.DUMMYFUNCTION("""COMPUTED_VALUE"""),"Chichibaudi")</f>
        <v>Chichibaudi</v>
      </c>
      <c r="L80" t="str">
        <f ca="1">IFERROR(__xludf.DUMMYFUNCTION("""COMPUTED_VALUE"""),"Chichibaudi")</f>
        <v>Chichibaudi</v>
      </c>
      <c r="S80" t="str">
        <f ca="1">IFERROR(__xludf.DUMMYFUNCTION("""COMPUTED_VALUE"""),"Latin")</f>
        <v>Latin</v>
      </c>
      <c r="T80" t="str">
        <f ca="1">IFERROR(__xludf.DUMMYFUNCTION("""COMPUTED_VALUE"""),"definite")</f>
        <v>definite</v>
      </c>
      <c r="U80" t="str">
        <f ca="1">IFERROR(__xludf.DUMMYFUNCTION("""COMPUTED_VALUE"""),"C2553")</f>
        <v>C2553</v>
      </c>
      <c r="V80" t="str">
        <f ca="1">IFERROR(__xludf.DUMMYFUNCTION("""COMPUTED_VALUE"""),"male")</f>
        <v>male</v>
      </c>
      <c r="Z80" t="str">
        <f ca="1">IFERROR(__xludf.DUMMYFUNCTION("""COMPUTED_VALUE"""),"166, 171")</f>
        <v>166, 171</v>
      </c>
      <c r="AA80" t="str">
        <f ca="1">IFERROR(__xludf.DUMMYFUNCTION("""COMPUTED_VALUE"""),"d")</f>
        <v>d</v>
      </c>
      <c r="AB80" t="str">
        <f ca="1">IFERROR(__xludf.DUMMYFUNCTION("""COMPUTED_VALUE"""),"suspect")</f>
        <v>suspect</v>
      </c>
      <c r="AD80" t="str">
        <f ca="1">IFERROR(__xludf.DUMMYFUNCTION("""COMPUTED_VALUE"""),"C3287")</f>
        <v>C3287</v>
      </c>
      <c r="AE80" t="str">
        <f ca="1">IFERROR(__xludf.DUMMYFUNCTION("""COMPUTED_VALUE"""),"alive")</f>
        <v>alive</v>
      </c>
      <c r="AF80" t="str">
        <f ca="1">IFERROR(__xludf.DUMMYFUNCTION("""COMPUTED_VALUE"""),"C1753")</f>
        <v>C1753</v>
      </c>
      <c r="AG80" t="str">
        <f ca="1">IFERROR(__xludf.DUMMYFUNCTION("""COMPUTED_VALUE"""),"1335-01-20")</f>
        <v>1335-01-20</v>
      </c>
      <c r="AI80" t="str">
        <f ca="1">IFERROR(__xludf.DUMMYFUNCTION("""COMPUTED_VALUE"""),"#VALUE!")</f>
        <v>#VALUE!</v>
      </c>
      <c r="AK80" t="str">
        <f ca="1">IFERROR(__xludf.DUMMYFUNCTION("""COMPUTED_VALUE"""),"#VALUE!")</f>
        <v>#VALUE!</v>
      </c>
      <c r="AM80" t="str">
        <f ca="1">IFERROR(__xludf.DUMMYFUNCTION("""COMPUTED_VALUE"""),"#VALUE!")</f>
        <v>#VALUE!</v>
      </c>
      <c r="AO80" t="str">
        <f ca="1">IFERROR(__xludf.DUMMYFUNCTION("""COMPUTED_VALUE"""),"#VALUE!")</f>
        <v>#VALUE!</v>
      </c>
      <c r="AQ80" t="str">
        <f ca="1">IFERROR(__xludf.DUMMYFUNCTION("""COMPUTED_VALUE"""),"#VALUE!")</f>
        <v>#VALUE!</v>
      </c>
      <c r="AS80" t="str">
        <f ca="1">IFERROR(__xludf.DUMMYFUNCTION("""COMPUTED_VALUE"""),"#VALUE!")</f>
        <v>#VALUE!</v>
      </c>
      <c r="AU80" t="str">
        <f ca="1">IFERROR(__xludf.DUMMYFUNCTION("""COMPUTED_VALUE"""),"#VALUE!")</f>
        <v>#VALUE!</v>
      </c>
      <c r="AW80" t="str">
        <f ca="1">IFERROR(__xludf.DUMMYFUNCTION("""COMPUTED_VALUE"""),"#VALUE!")</f>
        <v>#VALUE!</v>
      </c>
      <c r="AY80" t="str">
        <f ca="1">IFERROR(__xludf.DUMMYFUNCTION("""COMPUTED_VALUE"""),"#VALUE!")</f>
        <v>#VALUE!</v>
      </c>
      <c r="BA80" t="str">
        <f ca="1">IFERROR(__xludf.DUMMYFUNCTION("""COMPUTED_VALUE"""),"#VALUE!")</f>
        <v>#VALUE!</v>
      </c>
      <c r="BC80" t="str">
        <f ca="1">IFERROR(__xludf.DUMMYFUNCTION("""COMPUTED_VALUE"""),"#VALUE!")</f>
        <v>#VALUE!</v>
      </c>
      <c r="BE80" t="str">
        <f ca="1">IFERROR(__xludf.DUMMYFUNCTION("""COMPUTED_VALUE"""),"#VALUE!")</f>
        <v>#VALUE!</v>
      </c>
      <c r="BG80" t="str">
        <f ca="1">IFERROR(__xludf.DUMMYFUNCTION("""COMPUTED_VALUE"""),"#VALUE!")</f>
        <v>#VALUE!</v>
      </c>
      <c r="BI80" t="str">
        <f ca="1">IFERROR(__xludf.DUMMYFUNCTION("""COMPUTED_VALUE"""),"#VALUE!")</f>
        <v>#VALUE!</v>
      </c>
      <c r="BK80" t="str">
        <f ca="1">IFERROR(__xludf.DUMMYFUNCTION("""COMPUTED_VALUE"""),"#VALUE!")</f>
        <v>#VALUE!</v>
      </c>
      <c r="BM80" t="str">
        <f ca="1">IFERROR(__xludf.DUMMYFUNCTION("""COMPUTED_VALUE"""),"#VALUE!")</f>
        <v>#VALUE!</v>
      </c>
      <c r="BO80" t="str">
        <f ca="1">IFERROR(__xludf.DUMMYFUNCTION("""COMPUTED_VALUE"""),"#VALUE!")</f>
        <v>#VALUE!</v>
      </c>
      <c r="BQ80" t="str">
        <f ca="1">IFERROR(__xludf.DUMMYFUNCTION("""COMPUTED_VALUE"""),"#VALUE!")</f>
        <v>#VALUE!</v>
      </c>
      <c r="BS80" t="str">
        <f ca="1">IFERROR(__xludf.DUMMYFUNCTION("""COMPUTED_VALUE"""),"#VALUE!")</f>
        <v>#VALUE!</v>
      </c>
      <c r="BU80" t="str">
        <f ca="1">IFERROR(__xludf.DUMMYFUNCTION("""COMPUTED_VALUE"""),"#VALUE!")</f>
        <v>#VALUE!</v>
      </c>
      <c r="BW80" t="str">
        <f ca="1">IFERROR(__xludf.DUMMYFUNCTION("""COMPUTED_VALUE"""),"#VALUE!")</f>
        <v>#VALUE!</v>
      </c>
      <c r="BY80" t="str">
        <f ca="1">IFERROR(__xludf.DUMMYFUNCTION("""COMPUTED_VALUE"""),"#VALUE!")</f>
        <v>#VALUE!</v>
      </c>
      <c r="CA80" t="str">
        <f ca="1">IFERROR(__xludf.DUMMYFUNCTION("""COMPUTED_VALUE"""),"#VALUE!")</f>
        <v>#VALUE!</v>
      </c>
      <c r="CC80" t="str">
        <f ca="1">IFERROR(__xludf.DUMMYFUNCTION("""COMPUTED_VALUE"""),"#VALUE!")</f>
        <v>#VALUE!</v>
      </c>
      <c r="CE80" t="str">
        <f ca="1">IFERROR(__xludf.DUMMYFUNCTION("""COMPUTED_VALUE"""),"#VALUE!")</f>
        <v>#VALUE!</v>
      </c>
      <c r="CG80" t="str">
        <f ca="1">IFERROR(__xludf.DUMMYFUNCTION("""COMPUTED_VALUE"""),"#VALUE!")</f>
        <v>#VALUE!</v>
      </c>
      <c r="CI80" t="str">
        <f ca="1">IFERROR(__xludf.DUMMYFUNCTION("""COMPUTED_VALUE"""),"#VALUE!")</f>
        <v>#VALUE!</v>
      </c>
      <c r="CK80" t="str">
        <f ca="1">IFERROR(__xludf.DUMMYFUNCTION("""COMPUTED_VALUE"""),"#VALUE!")</f>
        <v>#VALUE!</v>
      </c>
      <c r="CS80" t="str">
        <f ca="1">IFERROR(__xludf.DUMMYFUNCTION("""COMPUTED_VALUE"""),"#VALUE!")</f>
        <v>#VALUE!</v>
      </c>
      <c r="CU80" t="str">
        <f ca="1">IFERROR(__xludf.DUMMYFUNCTION("""COMPUTED_VALUE"""),"#VALUE!")</f>
        <v>#VALUE!</v>
      </c>
      <c r="CV80" t="str">
        <f ca="1">IFERROR(__xludf.DUMMYFUNCTION("""COMPUTED_VALUE"""),"L0001")</f>
        <v>L0001</v>
      </c>
      <c r="CW80" t="str">
        <f ca="1">IFERROR(__xludf.DUMMYFUNCTION("""COMPUTED_VALUE"""),"Giaveno")</f>
        <v>Giaveno</v>
      </c>
      <c r="CY80" t="str">
        <f ca="1">IFERROR(__xludf.DUMMYFUNCTION("""COMPUTED_VALUE"""),"#VALUE!")</f>
        <v>#VALUE!</v>
      </c>
      <c r="DC80" t="str">
        <f ca="1">IFERROR(__xludf.DUMMYFUNCTION("""COMPUTED_VALUE"""),"#VALUE!")</f>
        <v>#VALUE!</v>
      </c>
      <c r="DE80" t="str">
        <f ca="1">IFERROR(__xludf.DUMMYFUNCTION("""COMPUTED_VALUE"""),"#VALUE!")</f>
        <v>#VALUE!</v>
      </c>
      <c r="DF80" t="str">
        <f ca="1">IFERROR(__xludf.DUMMYFUNCTION("""COMPUTED_VALUE"""),"y")</f>
        <v>y</v>
      </c>
      <c r="DG80" t="str">
        <f ca="1">IFERROR(__xludf.DUMMYFUNCTION("""COMPUTED_VALUE"""),"171")</f>
        <v>171</v>
      </c>
      <c r="DI80" t="str">
        <f ca="1">IFERROR(__xludf.DUMMYFUNCTION("""COMPUTED_VALUE"""),"#VALUE!")</f>
        <v>#VALUE!</v>
      </c>
      <c r="DJ80" t="str">
        <f ca="1">IFERROR(__xludf.DUMMYFUNCTION("""COMPUTED_VALUE"""),"#VALUE!")</f>
        <v>#VALUE!</v>
      </c>
      <c r="DL80" t="str">
        <f ca="1">IFERROR(__xludf.DUMMYFUNCTION("""COMPUTED_VALUE"""),"Davor Salihović")</f>
        <v>Davor Salihović</v>
      </c>
    </row>
    <row r="81" spans="1:116" ht="13.2" x14ac:dyDescent="0.25">
      <c r="A81" t="str">
        <f ca="1">IFERROR(__xludf.DUMMYFUNCTION("""COMPUTED_VALUE"""),"P0080")</f>
        <v>P0080</v>
      </c>
      <c r="B81" t="str">
        <f ca="1">IFERROR(__xludf.DUMMYFUNCTION("""COMPUTED_VALUE"""),"Hugonetus de Molario")</f>
        <v>Hugonetus de Molario</v>
      </c>
      <c r="D81" t="str">
        <f ca="1">IFERROR(__xludf.DUMMYFUNCTION("""COMPUTED_VALUE"""),"#VALUE!")</f>
        <v>#VALUE!</v>
      </c>
      <c r="E81" t="str">
        <f ca="1">IFERROR(__xludf.DUMMYFUNCTION("""COMPUTED_VALUE"""),"Hugonetus")</f>
        <v>Hugonetus</v>
      </c>
      <c r="J81" t="str">
        <f ca="1">IFERROR(__xludf.DUMMYFUNCTION("""COMPUTED_VALUE"""),"de")</f>
        <v>de</v>
      </c>
      <c r="K81" t="str">
        <f ca="1">IFERROR(__xludf.DUMMYFUNCTION("""COMPUTED_VALUE"""),"Molario")</f>
        <v>Molario</v>
      </c>
      <c r="L81" t="str">
        <f ca="1">IFERROR(__xludf.DUMMYFUNCTION("""COMPUTED_VALUE"""),"de Molario")</f>
        <v>de Molario</v>
      </c>
      <c r="S81" t="str">
        <f ca="1">IFERROR(__xludf.DUMMYFUNCTION("""COMPUTED_VALUE"""),"Latin")</f>
        <v>Latin</v>
      </c>
      <c r="T81" t="str">
        <f ca="1">IFERROR(__xludf.DUMMYFUNCTION("""COMPUTED_VALUE"""),"definite")</f>
        <v>definite</v>
      </c>
      <c r="U81" t="str">
        <f ca="1">IFERROR(__xludf.DUMMYFUNCTION("""COMPUTED_VALUE"""),"C2553")</f>
        <v>C2553</v>
      </c>
      <c r="V81" t="str">
        <f ca="1">IFERROR(__xludf.DUMMYFUNCTION("""COMPUTED_VALUE"""),"male")</f>
        <v>male</v>
      </c>
      <c r="Z81" t="str">
        <f ca="1">IFERROR(__xludf.DUMMYFUNCTION("""COMPUTED_VALUE"""),"166")</f>
        <v>166</v>
      </c>
      <c r="AA81" t="str">
        <f ca="1">IFERROR(__xludf.DUMMYFUNCTION("""COMPUTED_VALUE"""),"d")</f>
        <v>d</v>
      </c>
      <c r="AB81" t="str">
        <f ca="1">IFERROR(__xludf.DUMMYFUNCTION("""COMPUTED_VALUE"""),"informer")</f>
        <v>informer</v>
      </c>
      <c r="AD81" t="str">
        <f ca="1">IFERROR(__xludf.DUMMYFUNCTION("""COMPUTED_VALUE"""),"C3287")</f>
        <v>C3287</v>
      </c>
      <c r="AE81" t="str">
        <f ca="1">IFERROR(__xludf.DUMMYFUNCTION("""COMPUTED_VALUE"""),"alive")</f>
        <v>alive</v>
      </c>
      <c r="AF81" t="str">
        <f ca="1">IFERROR(__xludf.DUMMYFUNCTION("""COMPUTED_VALUE"""),"C1753")</f>
        <v>C1753</v>
      </c>
      <c r="AG81" t="str">
        <f ca="1">IFERROR(__xludf.DUMMYFUNCTION("""COMPUTED_VALUE"""),"1335-01-20")</f>
        <v>1335-01-20</v>
      </c>
      <c r="AI81" t="str">
        <f ca="1">IFERROR(__xludf.DUMMYFUNCTION("""COMPUTED_VALUE"""),"#VALUE!")</f>
        <v>#VALUE!</v>
      </c>
      <c r="AK81" t="str">
        <f ca="1">IFERROR(__xludf.DUMMYFUNCTION("""COMPUTED_VALUE"""),"#VALUE!")</f>
        <v>#VALUE!</v>
      </c>
      <c r="AM81" t="str">
        <f ca="1">IFERROR(__xludf.DUMMYFUNCTION("""COMPUTED_VALUE"""),"#VALUE!")</f>
        <v>#VALUE!</v>
      </c>
      <c r="AO81" t="str">
        <f ca="1">IFERROR(__xludf.DUMMYFUNCTION("""COMPUTED_VALUE"""),"#VALUE!")</f>
        <v>#VALUE!</v>
      </c>
      <c r="AQ81" t="str">
        <f ca="1">IFERROR(__xludf.DUMMYFUNCTION("""COMPUTED_VALUE"""),"#VALUE!")</f>
        <v>#VALUE!</v>
      </c>
      <c r="AS81" t="str">
        <f ca="1">IFERROR(__xludf.DUMMYFUNCTION("""COMPUTED_VALUE"""),"#VALUE!")</f>
        <v>#VALUE!</v>
      </c>
      <c r="AU81" t="str">
        <f ca="1">IFERROR(__xludf.DUMMYFUNCTION("""COMPUTED_VALUE"""),"#VALUE!")</f>
        <v>#VALUE!</v>
      </c>
      <c r="AW81" t="str">
        <f ca="1">IFERROR(__xludf.DUMMYFUNCTION("""COMPUTED_VALUE"""),"#VALUE!")</f>
        <v>#VALUE!</v>
      </c>
      <c r="AY81" t="str">
        <f ca="1">IFERROR(__xludf.DUMMYFUNCTION("""COMPUTED_VALUE"""),"#VALUE!")</f>
        <v>#VALUE!</v>
      </c>
      <c r="BA81" t="str">
        <f ca="1">IFERROR(__xludf.DUMMYFUNCTION("""COMPUTED_VALUE"""),"#VALUE!")</f>
        <v>#VALUE!</v>
      </c>
      <c r="BC81" t="str">
        <f ca="1">IFERROR(__xludf.DUMMYFUNCTION("""COMPUTED_VALUE"""),"#VALUE!")</f>
        <v>#VALUE!</v>
      </c>
      <c r="BE81" t="str">
        <f ca="1">IFERROR(__xludf.DUMMYFUNCTION("""COMPUTED_VALUE"""),"#VALUE!")</f>
        <v>#VALUE!</v>
      </c>
      <c r="BG81" t="str">
        <f ca="1">IFERROR(__xludf.DUMMYFUNCTION("""COMPUTED_VALUE"""),"#VALUE!")</f>
        <v>#VALUE!</v>
      </c>
      <c r="BI81" t="str">
        <f ca="1">IFERROR(__xludf.DUMMYFUNCTION("""COMPUTED_VALUE"""),"#VALUE!")</f>
        <v>#VALUE!</v>
      </c>
      <c r="BK81" t="str">
        <f ca="1">IFERROR(__xludf.DUMMYFUNCTION("""COMPUTED_VALUE"""),"#VALUE!")</f>
        <v>#VALUE!</v>
      </c>
      <c r="BM81" t="str">
        <f ca="1">IFERROR(__xludf.DUMMYFUNCTION("""COMPUTED_VALUE"""),"#VALUE!")</f>
        <v>#VALUE!</v>
      </c>
      <c r="BO81" t="str">
        <f ca="1">IFERROR(__xludf.DUMMYFUNCTION("""COMPUTED_VALUE"""),"#VALUE!")</f>
        <v>#VALUE!</v>
      </c>
      <c r="BQ81" t="str">
        <f ca="1">IFERROR(__xludf.DUMMYFUNCTION("""COMPUTED_VALUE"""),"#VALUE!")</f>
        <v>#VALUE!</v>
      </c>
      <c r="BS81" t="str">
        <f ca="1">IFERROR(__xludf.DUMMYFUNCTION("""COMPUTED_VALUE"""),"#VALUE!")</f>
        <v>#VALUE!</v>
      </c>
      <c r="BU81" t="str">
        <f ca="1">IFERROR(__xludf.DUMMYFUNCTION("""COMPUTED_VALUE"""),"#VALUE!")</f>
        <v>#VALUE!</v>
      </c>
      <c r="BW81" t="str">
        <f ca="1">IFERROR(__xludf.DUMMYFUNCTION("""COMPUTED_VALUE"""),"#VALUE!")</f>
        <v>#VALUE!</v>
      </c>
      <c r="BY81" t="str">
        <f ca="1">IFERROR(__xludf.DUMMYFUNCTION("""COMPUTED_VALUE"""),"#VALUE!")</f>
        <v>#VALUE!</v>
      </c>
      <c r="CA81" t="str">
        <f ca="1">IFERROR(__xludf.DUMMYFUNCTION("""COMPUTED_VALUE"""),"#VALUE!")</f>
        <v>#VALUE!</v>
      </c>
      <c r="CC81" t="str">
        <f ca="1">IFERROR(__xludf.DUMMYFUNCTION("""COMPUTED_VALUE"""),"#VALUE!")</f>
        <v>#VALUE!</v>
      </c>
      <c r="CE81" t="str">
        <f ca="1">IFERROR(__xludf.DUMMYFUNCTION("""COMPUTED_VALUE"""),"#VALUE!")</f>
        <v>#VALUE!</v>
      </c>
      <c r="CG81" t="str">
        <f ca="1">IFERROR(__xludf.DUMMYFUNCTION("""COMPUTED_VALUE"""),"#VALUE!")</f>
        <v>#VALUE!</v>
      </c>
      <c r="CI81" t="str">
        <f ca="1">IFERROR(__xludf.DUMMYFUNCTION("""COMPUTED_VALUE"""),"#VALUE!")</f>
        <v>#VALUE!</v>
      </c>
      <c r="CK81" t="str">
        <f ca="1">IFERROR(__xludf.DUMMYFUNCTION("""COMPUTED_VALUE"""),"#VALUE!")</f>
        <v>#VALUE!</v>
      </c>
      <c r="CR81" t="str">
        <f ca="1">IFERROR(__xludf.DUMMYFUNCTION("""COMPUTED_VALUE"""),"L0018")</f>
        <v>L0018</v>
      </c>
      <c r="CS81" t="str">
        <f ca="1">IFERROR(__xludf.DUMMYFUNCTION("""COMPUTED_VALUE"""),"Mollar")</f>
        <v>Mollar</v>
      </c>
      <c r="CU81" t="str">
        <f ca="1">IFERROR(__xludf.DUMMYFUNCTION("""COMPUTED_VALUE"""),"#VALUE!")</f>
        <v>#VALUE!</v>
      </c>
      <c r="CW81" t="str">
        <f ca="1">IFERROR(__xludf.DUMMYFUNCTION("""COMPUTED_VALUE"""),"#VALUE!")</f>
        <v>#VALUE!</v>
      </c>
      <c r="CX81" t="str">
        <f ca="1">IFERROR(__xludf.DUMMYFUNCTION("""COMPUTED_VALUE"""),"C0062")</f>
        <v>C0062</v>
      </c>
      <c r="CY81" t="str">
        <f ca="1">IFERROR(__xludf.DUMMYFUNCTION("""COMPUTED_VALUE"""),"notarius")</f>
        <v>notarius</v>
      </c>
      <c r="DA81" t="str">
        <f ca="1">IFERROR(__xludf.DUMMYFUNCTION("""COMPUTED_VALUE"""),"official")</f>
        <v>official</v>
      </c>
      <c r="DB81" t="str">
        <f ca="1">IFERROR(__xludf.DUMMYFUNCTION("""COMPUTED_VALUE"""),"C0062")</f>
        <v>C0062</v>
      </c>
      <c r="DC81" t="str">
        <f ca="1">IFERROR(__xludf.DUMMYFUNCTION("""COMPUTED_VALUE"""),"notarius")</f>
        <v>notarius</v>
      </c>
      <c r="DD81" t="str">
        <f ca="1">IFERROR(__xludf.DUMMYFUNCTION("""COMPUTED_VALUE"""),"C0062")</f>
        <v>C0062</v>
      </c>
      <c r="DE81" t="str">
        <f ca="1">IFERROR(__xludf.DUMMYFUNCTION("""COMPUTED_VALUE"""),"notarius")</f>
        <v>notarius</v>
      </c>
      <c r="DI81" t="str">
        <f ca="1">IFERROR(__xludf.DUMMYFUNCTION("""COMPUTED_VALUE"""),"#VALUE!")</f>
        <v>#VALUE!</v>
      </c>
      <c r="DJ81" t="str">
        <f ca="1">IFERROR(__xludf.DUMMYFUNCTION("""COMPUTED_VALUE"""),"#VALUE!")</f>
        <v>#VALUE!</v>
      </c>
      <c r="DL81" t="str">
        <f ca="1">IFERROR(__xludf.DUMMYFUNCTION("""COMPUTED_VALUE"""),"Davor Salihović")</f>
        <v>Davor Salihović</v>
      </c>
    </row>
    <row r="82" spans="1:116" ht="13.2" x14ac:dyDescent="0.25">
      <c r="A82" t="str">
        <f ca="1">IFERROR(__xludf.DUMMYFUNCTION("""COMPUTED_VALUE"""),"P0081")</f>
        <v>P0081</v>
      </c>
      <c r="B82" t="str">
        <f ca="1">IFERROR(__xludf.DUMMYFUNCTION("""COMPUTED_VALUE"""),"Villelmus Peronello")</f>
        <v>Villelmus Peronello</v>
      </c>
      <c r="D82" t="str">
        <f ca="1">IFERROR(__xludf.DUMMYFUNCTION("""COMPUTED_VALUE"""),"#VALUE!")</f>
        <v>#VALUE!</v>
      </c>
      <c r="E82" t="str">
        <f ca="1">IFERROR(__xludf.DUMMYFUNCTION("""COMPUTED_VALUE"""),"Villelmus")</f>
        <v>Villelmus</v>
      </c>
      <c r="K82" t="str">
        <f ca="1">IFERROR(__xludf.DUMMYFUNCTION("""COMPUTED_VALUE"""),"Peronello")</f>
        <v>Peronello</v>
      </c>
      <c r="L82" t="str">
        <f ca="1">IFERROR(__xludf.DUMMYFUNCTION("""COMPUTED_VALUE"""),"Peronello")</f>
        <v>Peronello</v>
      </c>
      <c r="S82" t="str">
        <f ca="1">IFERROR(__xludf.DUMMYFUNCTION("""COMPUTED_VALUE"""),"Latin")</f>
        <v>Latin</v>
      </c>
      <c r="T82" t="str">
        <f ca="1">IFERROR(__xludf.DUMMYFUNCTION("""COMPUTED_VALUE"""),"definite")</f>
        <v>definite</v>
      </c>
      <c r="U82" t="str">
        <f ca="1">IFERROR(__xludf.DUMMYFUNCTION("""COMPUTED_VALUE"""),"C2553")</f>
        <v>C2553</v>
      </c>
      <c r="V82" t="str">
        <f ca="1">IFERROR(__xludf.DUMMYFUNCTION("""COMPUTED_VALUE"""),"male")</f>
        <v>male</v>
      </c>
      <c r="Z82" t="str">
        <f ca="1">IFERROR(__xludf.DUMMYFUNCTION("""COMPUTED_VALUE"""),"166, 172, 174")</f>
        <v>166, 172, 174</v>
      </c>
      <c r="AA82" t="str">
        <f ca="1">IFERROR(__xludf.DUMMYFUNCTION("""COMPUTED_VALUE"""),"d")</f>
        <v>d</v>
      </c>
      <c r="AB82" t="str">
        <f ca="1">IFERROR(__xludf.DUMMYFUNCTION("""COMPUTED_VALUE"""),"suspect")</f>
        <v>suspect</v>
      </c>
      <c r="AD82" t="str">
        <f ca="1">IFERROR(__xludf.DUMMYFUNCTION("""COMPUTED_VALUE"""),"C3287")</f>
        <v>C3287</v>
      </c>
      <c r="AE82" t="str">
        <f ca="1">IFERROR(__xludf.DUMMYFUNCTION("""COMPUTED_VALUE"""),"alive")</f>
        <v>alive</v>
      </c>
      <c r="AF82" t="str">
        <f ca="1">IFERROR(__xludf.DUMMYFUNCTION("""COMPUTED_VALUE"""),"C1753")</f>
        <v>C1753</v>
      </c>
      <c r="AG82" t="str">
        <f ca="1">IFERROR(__xludf.DUMMYFUNCTION("""COMPUTED_VALUE"""),"1335-01-20")</f>
        <v>1335-01-20</v>
      </c>
      <c r="AH82" t="str">
        <f ca="1">IFERROR(__xludf.DUMMYFUNCTION("""COMPUTED_VALUE"""),"C2337")</f>
        <v>C2337</v>
      </c>
      <c r="AI82" t="str">
        <f ca="1">IFERROR(__xludf.DUMMYFUNCTION("""COMPUTED_VALUE"""),"brother")</f>
        <v>brother</v>
      </c>
      <c r="AJ82" t="str">
        <f ca="1">IFERROR(__xludf.DUMMYFUNCTION("""COMPUTED_VALUE"""),"P0178")</f>
        <v>P0178</v>
      </c>
      <c r="AK82" t="str">
        <f ca="1">IFERROR(__xludf.DUMMYFUNCTION("""COMPUTED_VALUE"""),"Petrus, frater Villelmi Peronelli")</f>
        <v>Petrus, frater Villelmi Peronelli</v>
      </c>
      <c r="AL82" t="str">
        <f ca="1">IFERROR(__xludf.DUMMYFUNCTION("""COMPUTED_VALUE"""),"C0147")</f>
        <v>C0147</v>
      </c>
      <c r="AM82" t="str">
        <f ca="1">IFERROR(__xludf.DUMMYFUNCTION("""COMPUTED_VALUE"""),"warrantor")</f>
        <v>warrantor</v>
      </c>
      <c r="AN82" t="str">
        <f ca="1">IFERROR(__xludf.DUMMYFUNCTION("""COMPUTED_VALUE"""),"P0178")</f>
        <v>P0178</v>
      </c>
      <c r="AO82" t="str">
        <f ca="1">IFERROR(__xludf.DUMMYFUNCTION("""COMPUTED_VALUE"""),"Petrus, frater Villelmi Peronelli")</f>
        <v>Petrus, frater Villelmi Peronelli</v>
      </c>
      <c r="AQ82" t="str">
        <f ca="1">IFERROR(__xludf.DUMMYFUNCTION("""COMPUTED_VALUE"""),"#VALUE!")</f>
        <v>#VALUE!</v>
      </c>
      <c r="AS82" t="str">
        <f ca="1">IFERROR(__xludf.DUMMYFUNCTION("""COMPUTED_VALUE"""),"#VALUE!")</f>
        <v>#VALUE!</v>
      </c>
      <c r="AU82" t="str">
        <f ca="1">IFERROR(__xludf.DUMMYFUNCTION("""COMPUTED_VALUE"""),"#VALUE!")</f>
        <v>#VALUE!</v>
      </c>
      <c r="AW82" t="str">
        <f ca="1">IFERROR(__xludf.DUMMYFUNCTION("""COMPUTED_VALUE"""),"#VALUE!")</f>
        <v>#VALUE!</v>
      </c>
      <c r="AY82" t="str">
        <f ca="1">IFERROR(__xludf.DUMMYFUNCTION("""COMPUTED_VALUE"""),"#VALUE!")</f>
        <v>#VALUE!</v>
      </c>
      <c r="BA82" t="str">
        <f ca="1">IFERROR(__xludf.DUMMYFUNCTION("""COMPUTED_VALUE"""),"#VALUE!")</f>
        <v>#VALUE!</v>
      </c>
      <c r="BC82" t="str">
        <f ca="1">IFERROR(__xludf.DUMMYFUNCTION("""COMPUTED_VALUE"""),"#VALUE!")</f>
        <v>#VALUE!</v>
      </c>
      <c r="BE82" t="str">
        <f ca="1">IFERROR(__xludf.DUMMYFUNCTION("""COMPUTED_VALUE"""),"#VALUE!")</f>
        <v>#VALUE!</v>
      </c>
      <c r="BG82" t="str">
        <f ca="1">IFERROR(__xludf.DUMMYFUNCTION("""COMPUTED_VALUE"""),"#VALUE!")</f>
        <v>#VALUE!</v>
      </c>
      <c r="BI82" t="str">
        <f ca="1">IFERROR(__xludf.DUMMYFUNCTION("""COMPUTED_VALUE"""),"#VALUE!")</f>
        <v>#VALUE!</v>
      </c>
      <c r="BK82" t="str">
        <f ca="1">IFERROR(__xludf.DUMMYFUNCTION("""COMPUTED_VALUE"""),"#VALUE!")</f>
        <v>#VALUE!</v>
      </c>
      <c r="BM82" t="str">
        <f ca="1">IFERROR(__xludf.DUMMYFUNCTION("""COMPUTED_VALUE"""),"#VALUE!")</f>
        <v>#VALUE!</v>
      </c>
      <c r="BO82" t="str">
        <f ca="1">IFERROR(__xludf.DUMMYFUNCTION("""COMPUTED_VALUE"""),"#VALUE!")</f>
        <v>#VALUE!</v>
      </c>
      <c r="BQ82" t="str">
        <f ca="1">IFERROR(__xludf.DUMMYFUNCTION("""COMPUTED_VALUE"""),"#VALUE!")</f>
        <v>#VALUE!</v>
      </c>
      <c r="BS82" t="str">
        <f ca="1">IFERROR(__xludf.DUMMYFUNCTION("""COMPUTED_VALUE"""),"#VALUE!")</f>
        <v>#VALUE!</v>
      </c>
      <c r="BU82" t="str">
        <f ca="1">IFERROR(__xludf.DUMMYFUNCTION("""COMPUTED_VALUE"""),"#VALUE!")</f>
        <v>#VALUE!</v>
      </c>
      <c r="BW82" t="str">
        <f ca="1">IFERROR(__xludf.DUMMYFUNCTION("""COMPUTED_VALUE"""),"#VALUE!")</f>
        <v>#VALUE!</v>
      </c>
      <c r="BY82" t="str">
        <f ca="1">IFERROR(__xludf.DUMMYFUNCTION("""COMPUTED_VALUE"""),"#VALUE!")</f>
        <v>#VALUE!</v>
      </c>
      <c r="CA82" t="str">
        <f ca="1">IFERROR(__xludf.DUMMYFUNCTION("""COMPUTED_VALUE"""),"#VALUE!")</f>
        <v>#VALUE!</v>
      </c>
      <c r="CC82" t="str">
        <f ca="1">IFERROR(__xludf.DUMMYFUNCTION("""COMPUTED_VALUE"""),"#VALUE!")</f>
        <v>#VALUE!</v>
      </c>
      <c r="CE82" t="str">
        <f ca="1">IFERROR(__xludf.DUMMYFUNCTION("""COMPUTED_VALUE"""),"#VALUE!")</f>
        <v>#VALUE!</v>
      </c>
      <c r="CG82" t="str">
        <f ca="1">IFERROR(__xludf.DUMMYFUNCTION("""COMPUTED_VALUE"""),"#VALUE!")</f>
        <v>#VALUE!</v>
      </c>
      <c r="CH82" t="str">
        <f ca="1">IFERROR(__xludf.DUMMYFUNCTION("""COMPUTED_VALUE"""),"P0178")</f>
        <v>P0178</v>
      </c>
      <c r="CI82" t="str">
        <f ca="1">IFERROR(__xludf.DUMMYFUNCTION("""COMPUTED_VALUE"""),"Petrus, frater Villelmi Peronelli")</f>
        <v>Petrus, frater Villelmi Peronelli</v>
      </c>
      <c r="CK82" t="str">
        <f ca="1">IFERROR(__xludf.DUMMYFUNCTION("""COMPUTED_VALUE"""),"#VALUE!")</f>
        <v>#VALUE!</v>
      </c>
      <c r="CS82" t="str">
        <f ca="1">IFERROR(__xludf.DUMMYFUNCTION("""COMPUTED_VALUE"""),"#VALUE!")</f>
        <v>#VALUE!</v>
      </c>
      <c r="CU82" t="str">
        <f ca="1">IFERROR(__xludf.DUMMYFUNCTION("""COMPUTED_VALUE"""),"#VALUE!")</f>
        <v>#VALUE!</v>
      </c>
      <c r="CW82" t="str">
        <f ca="1">IFERROR(__xludf.DUMMYFUNCTION("""COMPUTED_VALUE"""),"#VALUE!")</f>
        <v>#VALUE!</v>
      </c>
      <c r="CY82" t="str">
        <f ca="1">IFERROR(__xludf.DUMMYFUNCTION("""COMPUTED_VALUE"""),"#VALUE!")</f>
        <v>#VALUE!</v>
      </c>
      <c r="DC82" t="str">
        <f ca="1">IFERROR(__xludf.DUMMYFUNCTION("""COMPUTED_VALUE"""),"#VALUE!")</f>
        <v>#VALUE!</v>
      </c>
      <c r="DE82" t="str">
        <f ca="1">IFERROR(__xludf.DUMMYFUNCTION("""COMPUTED_VALUE"""),"#VALUE!")</f>
        <v>#VALUE!</v>
      </c>
      <c r="DF82" t="str">
        <f ca="1">IFERROR(__xludf.DUMMYFUNCTION("""COMPUTED_VALUE"""),"y")</f>
        <v>y</v>
      </c>
      <c r="DG82" t="str">
        <f ca="1">IFERROR(__xludf.DUMMYFUNCTION("""COMPUTED_VALUE"""),"174")</f>
        <v>174</v>
      </c>
      <c r="DI82" t="str">
        <f ca="1">IFERROR(__xludf.DUMMYFUNCTION("""COMPUTED_VALUE"""),"#VALUE!")</f>
        <v>#VALUE!</v>
      </c>
      <c r="DJ82" t="str">
        <f ca="1">IFERROR(__xludf.DUMMYFUNCTION("""COMPUTED_VALUE"""),"#VALUE!")</f>
        <v>#VALUE!</v>
      </c>
      <c r="DL82" t="str">
        <f ca="1">IFERROR(__xludf.DUMMYFUNCTION("""COMPUTED_VALUE"""),"Davor Salihović")</f>
        <v>Davor Salihović</v>
      </c>
    </row>
    <row r="83" spans="1:116" ht="13.2" x14ac:dyDescent="0.25">
      <c r="A83" t="str">
        <f ca="1">IFERROR(__xludf.DUMMYFUNCTION("""COMPUTED_VALUE"""),"P0082")</f>
        <v>P0082</v>
      </c>
      <c r="B83" t="str">
        <f ca="1">IFERROR(__xludf.DUMMYFUNCTION("""COMPUTED_VALUE"""),"Andreas de Monte Meliano")</f>
        <v>Andreas de Monte Meliano</v>
      </c>
      <c r="D83" t="str">
        <f ca="1">IFERROR(__xludf.DUMMYFUNCTION("""COMPUTED_VALUE"""),"#VALUE!")</f>
        <v>#VALUE!</v>
      </c>
      <c r="E83" t="str">
        <f ca="1">IFERROR(__xludf.DUMMYFUNCTION("""COMPUTED_VALUE"""),"Andreas")</f>
        <v>Andreas</v>
      </c>
      <c r="J83" t="str">
        <f ca="1">IFERROR(__xludf.DUMMYFUNCTION("""COMPUTED_VALUE"""),"de")</f>
        <v>de</v>
      </c>
      <c r="K83" t="str">
        <f ca="1">IFERROR(__xludf.DUMMYFUNCTION("""COMPUTED_VALUE"""),"Monte Meliano")</f>
        <v>Monte Meliano</v>
      </c>
      <c r="L83" t="str">
        <f ca="1">IFERROR(__xludf.DUMMYFUNCTION("""COMPUTED_VALUE"""),"de Monte Meliano")</f>
        <v>de Monte Meliano</v>
      </c>
      <c r="S83" t="str">
        <f ca="1">IFERROR(__xludf.DUMMYFUNCTION("""COMPUTED_VALUE"""),"Latin")</f>
        <v>Latin</v>
      </c>
      <c r="T83" t="str">
        <f ca="1">IFERROR(__xludf.DUMMYFUNCTION("""COMPUTED_VALUE"""),"definite")</f>
        <v>definite</v>
      </c>
      <c r="U83" t="str">
        <f ca="1">IFERROR(__xludf.DUMMYFUNCTION("""COMPUTED_VALUE"""),"C2553")</f>
        <v>C2553</v>
      </c>
      <c r="V83" t="str">
        <f ca="1">IFERROR(__xludf.DUMMYFUNCTION("""COMPUTED_VALUE"""),"male")</f>
        <v>male</v>
      </c>
      <c r="Z83" t="str">
        <f ca="1">IFERROR(__xludf.DUMMYFUNCTION("""COMPUTED_VALUE"""),"166")</f>
        <v>166</v>
      </c>
      <c r="AA83" t="str">
        <f ca="1">IFERROR(__xludf.DUMMYFUNCTION("""COMPUTED_VALUE"""),"d")</f>
        <v>d</v>
      </c>
      <c r="AB83" t="str">
        <f ca="1">IFERROR(__xludf.DUMMYFUNCTION("""COMPUTED_VALUE"""),"NA")</f>
        <v>NA</v>
      </c>
      <c r="AE83" t="str">
        <f ca="1">IFERROR(__xludf.DUMMYFUNCTION("""COMPUTED_VALUE"""),"#VALUE!")</f>
        <v>#VALUE!</v>
      </c>
      <c r="AF83" t="str">
        <f ca="1">IFERROR(__xludf.DUMMYFUNCTION("""COMPUTED_VALUE"""),"#N/A")</f>
        <v>#N/A</v>
      </c>
      <c r="AG83" t="str">
        <f ca="1">IFERROR(__xludf.DUMMYFUNCTION("""COMPUTED_VALUE"""),"#N/A")</f>
        <v>#N/A</v>
      </c>
      <c r="AH83" t="str">
        <f ca="1">IFERROR(__xludf.DUMMYFUNCTION("""COMPUTED_VALUE"""),"C2337")</f>
        <v>C2337</v>
      </c>
      <c r="AI83" t="str">
        <f ca="1">IFERROR(__xludf.DUMMYFUNCTION("""COMPUTED_VALUE"""),"brother")</f>
        <v>brother</v>
      </c>
      <c r="AJ83" t="str">
        <f ca="1">IFERROR(__xludf.DUMMYFUNCTION("""COMPUTED_VALUE"""),"P0409")</f>
        <v>P0409</v>
      </c>
      <c r="AK83" t="str">
        <f ca="1">IFERROR(__xludf.DUMMYFUNCTION("""COMPUTED_VALUE"""),"frater Andree de Monte Meliano")</f>
        <v>frater Andree de Monte Meliano</v>
      </c>
      <c r="AM83" t="str">
        <f ca="1">IFERROR(__xludf.DUMMYFUNCTION("""COMPUTED_VALUE"""),"#VALUE!")</f>
        <v>#VALUE!</v>
      </c>
      <c r="AO83" t="str">
        <f ca="1">IFERROR(__xludf.DUMMYFUNCTION("""COMPUTED_VALUE"""),"#VALUE!")</f>
        <v>#VALUE!</v>
      </c>
      <c r="AQ83" t="str">
        <f ca="1">IFERROR(__xludf.DUMMYFUNCTION("""COMPUTED_VALUE"""),"#VALUE!")</f>
        <v>#VALUE!</v>
      </c>
      <c r="AS83" t="str">
        <f ca="1">IFERROR(__xludf.DUMMYFUNCTION("""COMPUTED_VALUE"""),"#VALUE!")</f>
        <v>#VALUE!</v>
      </c>
      <c r="AU83" t="str">
        <f ca="1">IFERROR(__xludf.DUMMYFUNCTION("""COMPUTED_VALUE"""),"#VALUE!")</f>
        <v>#VALUE!</v>
      </c>
      <c r="AW83" t="str">
        <f ca="1">IFERROR(__xludf.DUMMYFUNCTION("""COMPUTED_VALUE"""),"#VALUE!")</f>
        <v>#VALUE!</v>
      </c>
      <c r="AY83" t="str">
        <f ca="1">IFERROR(__xludf.DUMMYFUNCTION("""COMPUTED_VALUE"""),"#VALUE!")</f>
        <v>#VALUE!</v>
      </c>
      <c r="BA83" t="str">
        <f ca="1">IFERROR(__xludf.DUMMYFUNCTION("""COMPUTED_VALUE"""),"#VALUE!")</f>
        <v>#VALUE!</v>
      </c>
      <c r="BC83" t="str">
        <f ca="1">IFERROR(__xludf.DUMMYFUNCTION("""COMPUTED_VALUE"""),"#VALUE!")</f>
        <v>#VALUE!</v>
      </c>
      <c r="BE83" t="str">
        <f ca="1">IFERROR(__xludf.DUMMYFUNCTION("""COMPUTED_VALUE"""),"#VALUE!")</f>
        <v>#VALUE!</v>
      </c>
      <c r="BG83" t="str">
        <f ca="1">IFERROR(__xludf.DUMMYFUNCTION("""COMPUTED_VALUE"""),"#VALUE!")</f>
        <v>#VALUE!</v>
      </c>
      <c r="BI83" t="str">
        <f ca="1">IFERROR(__xludf.DUMMYFUNCTION("""COMPUTED_VALUE"""),"#VALUE!")</f>
        <v>#VALUE!</v>
      </c>
      <c r="BK83" t="str">
        <f ca="1">IFERROR(__xludf.DUMMYFUNCTION("""COMPUTED_VALUE"""),"#VALUE!")</f>
        <v>#VALUE!</v>
      </c>
      <c r="BM83" t="str">
        <f ca="1">IFERROR(__xludf.DUMMYFUNCTION("""COMPUTED_VALUE"""),"#VALUE!")</f>
        <v>#VALUE!</v>
      </c>
      <c r="BO83" t="str">
        <f ca="1">IFERROR(__xludf.DUMMYFUNCTION("""COMPUTED_VALUE"""),"#VALUE!")</f>
        <v>#VALUE!</v>
      </c>
      <c r="BQ83" t="str">
        <f ca="1">IFERROR(__xludf.DUMMYFUNCTION("""COMPUTED_VALUE"""),"#VALUE!")</f>
        <v>#VALUE!</v>
      </c>
      <c r="BS83" t="str">
        <f ca="1">IFERROR(__xludf.DUMMYFUNCTION("""COMPUTED_VALUE"""),"#VALUE!")</f>
        <v>#VALUE!</v>
      </c>
      <c r="BU83" t="str">
        <f ca="1">IFERROR(__xludf.DUMMYFUNCTION("""COMPUTED_VALUE"""),"#VALUE!")</f>
        <v>#VALUE!</v>
      </c>
      <c r="BW83" t="str">
        <f ca="1">IFERROR(__xludf.DUMMYFUNCTION("""COMPUTED_VALUE"""),"#VALUE!")</f>
        <v>#VALUE!</v>
      </c>
      <c r="BY83" t="str">
        <f ca="1">IFERROR(__xludf.DUMMYFUNCTION("""COMPUTED_VALUE"""),"#VALUE!")</f>
        <v>#VALUE!</v>
      </c>
      <c r="CA83" t="str">
        <f ca="1">IFERROR(__xludf.DUMMYFUNCTION("""COMPUTED_VALUE"""),"#VALUE!")</f>
        <v>#VALUE!</v>
      </c>
      <c r="CC83" t="str">
        <f ca="1">IFERROR(__xludf.DUMMYFUNCTION("""COMPUTED_VALUE"""),"#VALUE!")</f>
        <v>#VALUE!</v>
      </c>
      <c r="CE83" t="str">
        <f ca="1">IFERROR(__xludf.DUMMYFUNCTION("""COMPUTED_VALUE"""),"#VALUE!")</f>
        <v>#VALUE!</v>
      </c>
      <c r="CG83" t="str">
        <f ca="1">IFERROR(__xludf.DUMMYFUNCTION("""COMPUTED_VALUE"""),"#VALUE!")</f>
        <v>#VALUE!</v>
      </c>
      <c r="CI83" t="str">
        <f ca="1">IFERROR(__xludf.DUMMYFUNCTION("""COMPUTED_VALUE"""),"#VALUE!")</f>
        <v>#VALUE!</v>
      </c>
      <c r="CK83" t="str">
        <f ca="1">IFERROR(__xludf.DUMMYFUNCTION("""COMPUTED_VALUE"""),"#VALUE!")</f>
        <v>#VALUE!</v>
      </c>
      <c r="CR83" t="str">
        <f ca="1">IFERROR(__xludf.DUMMYFUNCTION("""COMPUTED_VALUE"""),"L0162")</f>
        <v>L0162</v>
      </c>
      <c r="CS83" t="str">
        <f ca="1">IFERROR(__xludf.DUMMYFUNCTION("""COMPUTED_VALUE"""),"Montmélian")</f>
        <v>Montmélian</v>
      </c>
      <c r="CU83" t="str">
        <f ca="1">IFERROR(__xludf.DUMMYFUNCTION("""COMPUTED_VALUE"""),"#VALUE!")</f>
        <v>#VALUE!</v>
      </c>
      <c r="CW83" t="str">
        <f ca="1">IFERROR(__xludf.DUMMYFUNCTION("""COMPUTED_VALUE"""),"#VALUE!")</f>
        <v>#VALUE!</v>
      </c>
      <c r="CY83" t="str">
        <f ca="1">IFERROR(__xludf.DUMMYFUNCTION("""COMPUTED_VALUE"""),"#VALUE!")</f>
        <v>#VALUE!</v>
      </c>
      <c r="DC83" t="str">
        <f ca="1">IFERROR(__xludf.DUMMYFUNCTION("""COMPUTED_VALUE"""),"#VALUE!")</f>
        <v>#VALUE!</v>
      </c>
      <c r="DE83" t="str">
        <f ca="1">IFERROR(__xludf.DUMMYFUNCTION("""COMPUTED_VALUE"""),"#VALUE!")</f>
        <v>#VALUE!</v>
      </c>
      <c r="DI83" t="str">
        <f ca="1">IFERROR(__xludf.DUMMYFUNCTION("""COMPUTED_VALUE"""),"#VALUE!")</f>
        <v>#VALUE!</v>
      </c>
      <c r="DJ83" t="str">
        <f ca="1">IFERROR(__xludf.DUMMYFUNCTION("""COMPUTED_VALUE"""),"#VALUE!")</f>
        <v>#VALUE!</v>
      </c>
      <c r="DL83" t="str">
        <f ca="1">IFERROR(__xludf.DUMMYFUNCTION("""COMPUTED_VALUE"""),"Davor Salihović")</f>
        <v>Davor Salihović</v>
      </c>
    </row>
    <row r="84" spans="1:116" ht="13.2" x14ac:dyDescent="0.25">
      <c r="A84" t="str">
        <f ca="1">IFERROR(__xludf.DUMMYFUNCTION("""COMPUTED_VALUE"""),"P0083")</f>
        <v>P0083</v>
      </c>
      <c r="B84" t="str">
        <f ca="1">IFERROR(__xludf.DUMMYFUNCTION("""COMPUTED_VALUE"""),"Iohannes Dudricis")</f>
        <v>Iohannes Dudricis</v>
      </c>
      <c r="D84" t="str">
        <f ca="1">IFERROR(__xludf.DUMMYFUNCTION("""COMPUTED_VALUE"""),"#VALUE!")</f>
        <v>#VALUE!</v>
      </c>
      <c r="E84" t="str">
        <f ca="1">IFERROR(__xludf.DUMMYFUNCTION("""COMPUTED_VALUE"""),"Iohannes")</f>
        <v>Iohannes</v>
      </c>
      <c r="K84" t="str">
        <f ca="1">IFERROR(__xludf.DUMMYFUNCTION("""COMPUTED_VALUE"""),"Dudricis")</f>
        <v>Dudricis</v>
      </c>
      <c r="L84" t="str">
        <f ca="1">IFERROR(__xludf.DUMMYFUNCTION("""COMPUTED_VALUE"""),"Dudricis")</f>
        <v>Dudricis</v>
      </c>
      <c r="Q84" t="str">
        <f ca="1">IFERROR(__xludf.DUMMYFUNCTION("""COMPUTED_VALUE"""),"filius Hendrieti Dudricis")</f>
        <v>filius Hendrieti Dudricis</v>
      </c>
      <c r="S84" t="str">
        <f ca="1">IFERROR(__xludf.DUMMYFUNCTION("""COMPUTED_VALUE"""),"Latin")</f>
        <v>Latin</v>
      </c>
      <c r="T84" t="str">
        <f ca="1">IFERROR(__xludf.DUMMYFUNCTION("""COMPUTED_VALUE"""),"definite")</f>
        <v>definite</v>
      </c>
      <c r="U84" t="str">
        <f ca="1">IFERROR(__xludf.DUMMYFUNCTION("""COMPUTED_VALUE"""),"C2553")</f>
        <v>C2553</v>
      </c>
      <c r="V84" t="str">
        <f ca="1">IFERROR(__xludf.DUMMYFUNCTION("""COMPUTED_VALUE"""),"male")</f>
        <v>male</v>
      </c>
      <c r="Z84" t="str">
        <f ca="1">IFERROR(__xludf.DUMMYFUNCTION("""COMPUTED_VALUE"""),"166, 172, 173, 175, 226")</f>
        <v>166, 172, 173, 175, 226</v>
      </c>
      <c r="AA84" t="str">
        <f ca="1">IFERROR(__xludf.DUMMYFUNCTION("""COMPUTED_VALUE"""),"d")</f>
        <v>d</v>
      </c>
      <c r="AB84" t="str">
        <f ca="1">IFERROR(__xludf.DUMMYFUNCTION("""COMPUTED_VALUE"""),"suspect")</f>
        <v>suspect</v>
      </c>
      <c r="AD84" t="str">
        <f ca="1">IFERROR(__xludf.DUMMYFUNCTION("""COMPUTED_VALUE"""),"C3287")</f>
        <v>C3287</v>
      </c>
      <c r="AE84" t="str">
        <f ca="1">IFERROR(__xludf.DUMMYFUNCTION("""COMPUTED_VALUE"""),"alive")</f>
        <v>alive</v>
      </c>
      <c r="AF84" t="str">
        <f ca="1">IFERROR(__xludf.DUMMYFUNCTION("""COMPUTED_VALUE"""),"C1753")</f>
        <v>C1753</v>
      </c>
      <c r="AG84" t="str">
        <f ca="1">IFERROR(__xludf.DUMMYFUNCTION("""COMPUTED_VALUE"""),"1335-01-20")</f>
        <v>1335-01-20</v>
      </c>
      <c r="AH84" t="str">
        <f ca="1">IFERROR(__xludf.DUMMYFUNCTION("""COMPUTED_VALUE"""),"C2337")</f>
        <v>C2337</v>
      </c>
      <c r="AI84" t="str">
        <f ca="1">IFERROR(__xludf.DUMMYFUNCTION("""COMPUTED_VALUE"""),"brother")</f>
        <v>brother</v>
      </c>
      <c r="AJ84" t="str">
        <f ca="1">IFERROR(__xludf.DUMMYFUNCTION("""COMPUTED_VALUE"""),"P0174")</f>
        <v>P0174</v>
      </c>
      <c r="AK84" t="str">
        <f ca="1">IFERROR(__xludf.DUMMYFUNCTION("""COMPUTED_VALUE"""),"Loxius, frater Iohannis Dudricis")</f>
        <v>Loxius, frater Iohannis Dudricis</v>
      </c>
      <c r="AL84" t="str">
        <f ca="1">IFERROR(__xludf.DUMMYFUNCTION("""COMPUTED_VALUE"""),"C0147")</f>
        <v>C0147</v>
      </c>
      <c r="AM84" t="str">
        <f ca="1">IFERROR(__xludf.DUMMYFUNCTION("""COMPUTED_VALUE"""),"warrantor")</f>
        <v>warrantor</v>
      </c>
      <c r="AN84" t="str">
        <f ca="1">IFERROR(__xludf.DUMMYFUNCTION("""COMPUTED_VALUE"""),"P0174")</f>
        <v>P0174</v>
      </c>
      <c r="AO84" t="str">
        <f ca="1">IFERROR(__xludf.DUMMYFUNCTION("""COMPUTED_VALUE"""),"Loxius, frater Iohannis Dudricis")</f>
        <v>Loxius, frater Iohannis Dudricis</v>
      </c>
      <c r="AQ84" t="str">
        <f ca="1">IFERROR(__xludf.DUMMYFUNCTION("""COMPUTED_VALUE"""),"#VALUE!")</f>
        <v>#VALUE!</v>
      </c>
      <c r="AS84" t="str">
        <f ca="1">IFERROR(__xludf.DUMMYFUNCTION("""COMPUTED_VALUE"""),"#VALUE!")</f>
        <v>#VALUE!</v>
      </c>
      <c r="AU84" t="str">
        <f ca="1">IFERROR(__xludf.DUMMYFUNCTION("""COMPUTED_VALUE"""),"#VALUE!")</f>
        <v>#VALUE!</v>
      </c>
      <c r="AW84" t="str">
        <f ca="1">IFERROR(__xludf.DUMMYFUNCTION("""COMPUTED_VALUE"""),"#VALUE!")</f>
        <v>#VALUE!</v>
      </c>
      <c r="AY84" t="str">
        <f ca="1">IFERROR(__xludf.DUMMYFUNCTION("""COMPUTED_VALUE"""),"#VALUE!")</f>
        <v>#VALUE!</v>
      </c>
      <c r="BA84" t="str">
        <f ca="1">IFERROR(__xludf.DUMMYFUNCTION("""COMPUTED_VALUE"""),"#VALUE!")</f>
        <v>#VALUE!</v>
      </c>
      <c r="BC84" t="str">
        <f ca="1">IFERROR(__xludf.DUMMYFUNCTION("""COMPUTED_VALUE"""),"#VALUE!")</f>
        <v>#VALUE!</v>
      </c>
      <c r="BE84" t="str">
        <f ca="1">IFERROR(__xludf.DUMMYFUNCTION("""COMPUTED_VALUE"""),"#VALUE!")</f>
        <v>#VALUE!</v>
      </c>
      <c r="BG84" t="str">
        <f ca="1">IFERROR(__xludf.DUMMYFUNCTION("""COMPUTED_VALUE"""),"#VALUE!")</f>
        <v>#VALUE!</v>
      </c>
      <c r="BI84" t="str">
        <f ca="1">IFERROR(__xludf.DUMMYFUNCTION("""COMPUTED_VALUE"""),"#VALUE!")</f>
        <v>#VALUE!</v>
      </c>
      <c r="BK84" t="str">
        <f ca="1">IFERROR(__xludf.DUMMYFUNCTION("""COMPUTED_VALUE"""),"#VALUE!")</f>
        <v>#VALUE!</v>
      </c>
      <c r="BM84" t="str">
        <f ca="1">IFERROR(__xludf.DUMMYFUNCTION("""COMPUTED_VALUE"""),"#VALUE!")</f>
        <v>#VALUE!</v>
      </c>
      <c r="BO84" t="str">
        <f ca="1">IFERROR(__xludf.DUMMYFUNCTION("""COMPUTED_VALUE"""),"#VALUE!")</f>
        <v>#VALUE!</v>
      </c>
      <c r="BQ84" t="str">
        <f ca="1">IFERROR(__xludf.DUMMYFUNCTION("""COMPUTED_VALUE"""),"#VALUE!")</f>
        <v>#VALUE!</v>
      </c>
      <c r="BS84" t="str">
        <f ca="1">IFERROR(__xludf.DUMMYFUNCTION("""COMPUTED_VALUE"""),"#VALUE!")</f>
        <v>#VALUE!</v>
      </c>
      <c r="BU84" t="str">
        <f ca="1">IFERROR(__xludf.DUMMYFUNCTION("""COMPUTED_VALUE"""),"#VALUE!")</f>
        <v>#VALUE!</v>
      </c>
      <c r="BW84" t="str">
        <f ca="1">IFERROR(__xludf.DUMMYFUNCTION("""COMPUTED_VALUE"""),"#VALUE!")</f>
        <v>#VALUE!</v>
      </c>
      <c r="BY84" t="str">
        <f ca="1">IFERROR(__xludf.DUMMYFUNCTION("""COMPUTED_VALUE"""),"#VALUE!")</f>
        <v>#VALUE!</v>
      </c>
      <c r="CA84" t="str">
        <f ca="1">IFERROR(__xludf.DUMMYFUNCTION("""COMPUTED_VALUE"""),"#VALUE!")</f>
        <v>#VALUE!</v>
      </c>
      <c r="CC84" t="str">
        <f ca="1">IFERROR(__xludf.DUMMYFUNCTION("""COMPUTED_VALUE"""),"#VALUE!")</f>
        <v>#VALUE!</v>
      </c>
      <c r="CE84" t="str">
        <f ca="1">IFERROR(__xludf.DUMMYFUNCTION("""COMPUTED_VALUE"""),"#VALUE!")</f>
        <v>#VALUE!</v>
      </c>
      <c r="CG84" t="str">
        <f ca="1">IFERROR(__xludf.DUMMYFUNCTION("""COMPUTED_VALUE"""),"#VALUE!")</f>
        <v>#VALUE!</v>
      </c>
      <c r="CH84" t="str">
        <f ca="1">IFERROR(__xludf.DUMMYFUNCTION("""COMPUTED_VALUE"""),"P0174")</f>
        <v>P0174</v>
      </c>
      <c r="CI84" t="str">
        <f ca="1">IFERROR(__xludf.DUMMYFUNCTION("""COMPUTED_VALUE"""),"Loxius, frater Iohannis Dudricis")</f>
        <v>Loxius, frater Iohannis Dudricis</v>
      </c>
      <c r="CK84" t="str">
        <f ca="1">IFERROR(__xludf.DUMMYFUNCTION("""COMPUTED_VALUE"""),"#VALUE!")</f>
        <v>#VALUE!</v>
      </c>
      <c r="CS84" t="str">
        <f ca="1">IFERROR(__xludf.DUMMYFUNCTION("""COMPUTED_VALUE"""),"#VALUE!")</f>
        <v>#VALUE!</v>
      </c>
      <c r="CU84" t="str">
        <f ca="1">IFERROR(__xludf.DUMMYFUNCTION("""COMPUTED_VALUE"""),"#VALUE!")</f>
        <v>#VALUE!</v>
      </c>
      <c r="CV84" t="str">
        <f ca="1">IFERROR(__xludf.DUMMYFUNCTION("""COMPUTED_VALUE"""),"L0010")</f>
        <v>L0010</v>
      </c>
      <c r="CW84" t="str">
        <f ca="1">IFERROR(__xludf.DUMMYFUNCTION("""COMPUTED_VALUE"""),"Buffa")</f>
        <v>Buffa</v>
      </c>
      <c r="CY84" t="str">
        <f ca="1">IFERROR(__xludf.DUMMYFUNCTION("""COMPUTED_VALUE"""),"#VALUE!")</f>
        <v>#VALUE!</v>
      </c>
      <c r="DC84" t="str">
        <f ca="1">IFERROR(__xludf.DUMMYFUNCTION("""COMPUTED_VALUE"""),"#VALUE!")</f>
        <v>#VALUE!</v>
      </c>
      <c r="DE84" t="str">
        <f ca="1">IFERROR(__xludf.DUMMYFUNCTION("""COMPUTED_VALUE"""),"#VALUE!")</f>
        <v>#VALUE!</v>
      </c>
      <c r="DF84" t="str">
        <f ca="1">IFERROR(__xludf.DUMMYFUNCTION("""COMPUTED_VALUE"""),"y")</f>
        <v>y</v>
      </c>
      <c r="DG84" t="str">
        <f ca="1">IFERROR(__xludf.DUMMYFUNCTION("""COMPUTED_VALUE"""),"173, 226-227")</f>
        <v>173, 226-227</v>
      </c>
      <c r="DI84" t="str">
        <f ca="1">IFERROR(__xludf.DUMMYFUNCTION("""COMPUTED_VALUE"""),"#VALUE!")</f>
        <v>#VALUE!</v>
      </c>
      <c r="DJ84" t="str">
        <f ca="1">IFERROR(__xludf.DUMMYFUNCTION("""COMPUTED_VALUE"""),"#VALUE!")</f>
        <v>#VALUE!</v>
      </c>
      <c r="DL84" t="str">
        <f ca="1">IFERROR(__xludf.DUMMYFUNCTION("""COMPUTED_VALUE"""),"Davor Salihović")</f>
        <v>Davor Salihović</v>
      </c>
    </row>
    <row r="85" spans="1:116" ht="13.2" x14ac:dyDescent="0.25">
      <c r="A85" t="str">
        <f ca="1">IFERROR(__xludf.DUMMYFUNCTION("""COMPUTED_VALUE"""),"P0084")</f>
        <v>P0084</v>
      </c>
      <c r="B85" t="str">
        <f ca="1">IFERROR(__xludf.DUMMYFUNCTION("""COMPUTED_VALUE"""),"Hendrietus Dudricis")</f>
        <v>Hendrietus Dudricis</v>
      </c>
      <c r="D85" t="str">
        <f ca="1">IFERROR(__xludf.DUMMYFUNCTION("""COMPUTED_VALUE"""),"#VALUE!")</f>
        <v>#VALUE!</v>
      </c>
      <c r="E85" t="str">
        <f ca="1">IFERROR(__xludf.DUMMYFUNCTION("""COMPUTED_VALUE"""),"Hendrietus")</f>
        <v>Hendrietus</v>
      </c>
      <c r="K85" t="str">
        <f ca="1">IFERROR(__xludf.DUMMYFUNCTION("""COMPUTED_VALUE"""),"Dudricis")</f>
        <v>Dudricis</v>
      </c>
      <c r="L85" t="str">
        <f ca="1">IFERROR(__xludf.DUMMYFUNCTION("""COMPUTED_VALUE"""),"Dudricis")</f>
        <v>Dudricis</v>
      </c>
      <c r="S85" t="str">
        <f ca="1">IFERROR(__xludf.DUMMYFUNCTION("""COMPUTED_VALUE"""),"Latin")</f>
        <v>Latin</v>
      </c>
      <c r="T85" t="str">
        <f ca="1">IFERROR(__xludf.DUMMYFUNCTION("""COMPUTED_VALUE"""),"definite")</f>
        <v>definite</v>
      </c>
      <c r="U85" t="str">
        <f ca="1">IFERROR(__xludf.DUMMYFUNCTION("""COMPUTED_VALUE"""),"C2553")</f>
        <v>C2553</v>
      </c>
      <c r="V85" t="str">
        <f ca="1">IFERROR(__xludf.DUMMYFUNCTION("""COMPUTED_VALUE"""),"male")</f>
        <v>male</v>
      </c>
      <c r="Z85" t="str">
        <f ca="1">IFERROR(__xludf.DUMMYFUNCTION("""COMPUTED_VALUE"""),"166")</f>
        <v>166</v>
      </c>
      <c r="AA85" t="str">
        <f ca="1">IFERROR(__xludf.DUMMYFUNCTION("""COMPUTED_VALUE"""),"o")</f>
        <v>o</v>
      </c>
      <c r="AB85" t="str">
        <f ca="1">IFERROR(__xludf.DUMMYFUNCTION("""COMPUTED_VALUE"""),"NA")</f>
        <v>NA</v>
      </c>
      <c r="AC85" t="str">
        <f ca="1">IFERROR(__xludf.DUMMYFUNCTION("""COMPUTED_VALUE"""),"y")</f>
        <v>y</v>
      </c>
      <c r="AD85" t="str">
        <f ca="1">IFERROR(__xludf.DUMMYFUNCTION("""COMPUTED_VALUE"""),"C3288")</f>
        <v>C3288</v>
      </c>
      <c r="AE85" t="str">
        <f ca="1">IFERROR(__xludf.DUMMYFUNCTION("""COMPUTED_VALUE"""),"dead")</f>
        <v>dead</v>
      </c>
      <c r="AF85" t="str">
        <f ca="1">IFERROR(__xludf.DUMMYFUNCTION("""COMPUTED_VALUE"""),"C1749")</f>
        <v>C1749</v>
      </c>
      <c r="AG85" t="str">
        <f ca="1">IFERROR(__xludf.DUMMYFUNCTION("""COMPUTED_VALUE"""),"1335-01-20")</f>
        <v>1335-01-20</v>
      </c>
      <c r="AH85" t="str">
        <f ca="1">IFERROR(__xludf.DUMMYFUNCTION("""COMPUTED_VALUE"""),"C2336")</f>
        <v>C2336</v>
      </c>
      <c r="AI85" t="str">
        <f ca="1">IFERROR(__xludf.DUMMYFUNCTION("""COMPUTED_VALUE"""),"son")</f>
        <v>son</v>
      </c>
      <c r="AJ85" t="str">
        <f ca="1">IFERROR(__xludf.DUMMYFUNCTION("""COMPUTED_VALUE"""),"P0083")</f>
        <v>P0083</v>
      </c>
      <c r="AK85" t="str">
        <f ca="1">IFERROR(__xludf.DUMMYFUNCTION("""COMPUTED_VALUE"""),"Iohannes Dudricis")</f>
        <v>Iohannes Dudricis</v>
      </c>
      <c r="AM85" t="str">
        <f ca="1">IFERROR(__xludf.DUMMYFUNCTION("""COMPUTED_VALUE"""),"#VALUE!")</f>
        <v>#VALUE!</v>
      </c>
      <c r="AO85" t="str">
        <f ca="1">IFERROR(__xludf.DUMMYFUNCTION("""COMPUTED_VALUE"""),"#VALUE!")</f>
        <v>#VALUE!</v>
      </c>
      <c r="AQ85" t="str">
        <f ca="1">IFERROR(__xludf.DUMMYFUNCTION("""COMPUTED_VALUE"""),"#VALUE!")</f>
        <v>#VALUE!</v>
      </c>
      <c r="AS85" t="str">
        <f ca="1">IFERROR(__xludf.DUMMYFUNCTION("""COMPUTED_VALUE"""),"#VALUE!")</f>
        <v>#VALUE!</v>
      </c>
      <c r="AU85" t="str">
        <f ca="1">IFERROR(__xludf.DUMMYFUNCTION("""COMPUTED_VALUE"""),"#VALUE!")</f>
        <v>#VALUE!</v>
      </c>
      <c r="AW85" t="str">
        <f ca="1">IFERROR(__xludf.DUMMYFUNCTION("""COMPUTED_VALUE"""),"#VALUE!")</f>
        <v>#VALUE!</v>
      </c>
      <c r="AY85" t="str">
        <f ca="1">IFERROR(__xludf.DUMMYFUNCTION("""COMPUTED_VALUE"""),"#VALUE!")</f>
        <v>#VALUE!</v>
      </c>
      <c r="BA85" t="str">
        <f ca="1">IFERROR(__xludf.DUMMYFUNCTION("""COMPUTED_VALUE"""),"#VALUE!")</f>
        <v>#VALUE!</v>
      </c>
      <c r="BC85" t="str">
        <f ca="1">IFERROR(__xludf.DUMMYFUNCTION("""COMPUTED_VALUE"""),"#VALUE!")</f>
        <v>#VALUE!</v>
      </c>
      <c r="BE85" t="str">
        <f ca="1">IFERROR(__xludf.DUMMYFUNCTION("""COMPUTED_VALUE"""),"#VALUE!")</f>
        <v>#VALUE!</v>
      </c>
      <c r="BG85" t="str">
        <f ca="1">IFERROR(__xludf.DUMMYFUNCTION("""COMPUTED_VALUE"""),"#VALUE!")</f>
        <v>#VALUE!</v>
      </c>
      <c r="BI85" t="str">
        <f ca="1">IFERROR(__xludf.DUMMYFUNCTION("""COMPUTED_VALUE"""),"#VALUE!")</f>
        <v>#VALUE!</v>
      </c>
      <c r="BK85" t="str">
        <f ca="1">IFERROR(__xludf.DUMMYFUNCTION("""COMPUTED_VALUE"""),"#VALUE!")</f>
        <v>#VALUE!</v>
      </c>
      <c r="BM85" t="str">
        <f ca="1">IFERROR(__xludf.DUMMYFUNCTION("""COMPUTED_VALUE"""),"#VALUE!")</f>
        <v>#VALUE!</v>
      </c>
      <c r="BO85" t="str">
        <f ca="1">IFERROR(__xludf.DUMMYFUNCTION("""COMPUTED_VALUE"""),"#VALUE!")</f>
        <v>#VALUE!</v>
      </c>
      <c r="BQ85" t="str">
        <f ca="1">IFERROR(__xludf.DUMMYFUNCTION("""COMPUTED_VALUE"""),"#VALUE!")</f>
        <v>#VALUE!</v>
      </c>
      <c r="BS85" t="str">
        <f ca="1">IFERROR(__xludf.DUMMYFUNCTION("""COMPUTED_VALUE"""),"#VALUE!")</f>
        <v>#VALUE!</v>
      </c>
      <c r="BU85" t="str">
        <f ca="1">IFERROR(__xludf.DUMMYFUNCTION("""COMPUTED_VALUE"""),"#VALUE!")</f>
        <v>#VALUE!</v>
      </c>
      <c r="BW85" t="str">
        <f ca="1">IFERROR(__xludf.DUMMYFUNCTION("""COMPUTED_VALUE"""),"#VALUE!")</f>
        <v>#VALUE!</v>
      </c>
      <c r="BY85" t="str">
        <f ca="1">IFERROR(__xludf.DUMMYFUNCTION("""COMPUTED_VALUE"""),"#VALUE!")</f>
        <v>#VALUE!</v>
      </c>
      <c r="CA85" t="str">
        <f ca="1">IFERROR(__xludf.DUMMYFUNCTION("""COMPUTED_VALUE"""),"#VALUE!")</f>
        <v>#VALUE!</v>
      </c>
      <c r="CC85" t="str">
        <f ca="1">IFERROR(__xludf.DUMMYFUNCTION("""COMPUTED_VALUE"""),"#VALUE!")</f>
        <v>#VALUE!</v>
      </c>
      <c r="CE85" t="str">
        <f ca="1">IFERROR(__xludf.DUMMYFUNCTION("""COMPUTED_VALUE"""),"#VALUE!")</f>
        <v>#VALUE!</v>
      </c>
      <c r="CG85" t="str">
        <f ca="1">IFERROR(__xludf.DUMMYFUNCTION("""COMPUTED_VALUE"""),"#VALUE!")</f>
        <v>#VALUE!</v>
      </c>
      <c r="CI85" t="str">
        <f ca="1">IFERROR(__xludf.DUMMYFUNCTION("""COMPUTED_VALUE"""),"#VALUE!")</f>
        <v>#VALUE!</v>
      </c>
      <c r="CK85" t="str">
        <f ca="1">IFERROR(__xludf.DUMMYFUNCTION("""COMPUTED_VALUE"""),"#VALUE!")</f>
        <v>#VALUE!</v>
      </c>
      <c r="CS85" t="str">
        <f ca="1">IFERROR(__xludf.DUMMYFUNCTION("""COMPUTED_VALUE"""),"#VALUE!")</f>
        <v>#VALUE!</v>
      </c>
      <c r="CU85" t="str">
        <f ca="1">IFERROR(__xludf.DUMMYFUNCTION("""COMPUTED_VALUE"""),"#VALUE!")</f>
        <v>#VALUE!</v>
      </c>
      <c r="CW85" t="str">
        <f ca="1">IFERROR(__xludf.DUMMYFUNCTION("""COMPUTED_VALUE"""),"#VALUE!")</f>
        <v>#VALUE!</v>
      </c>
      <c r="CY85" t="str">
        <f ca="1">IFERROR(__xludf.DUMMYFUNCTION("""COMPUTED_VALUE"""),"#VALUE!")</f>
        <v>#VALUE!</v>
      </c>
      <c r="DC85" t="str">
        <f ca="1">IFERROR(__xludf.DUMMYFUNCTION("""COMPUTED_VALUE"""),"#VALUE!")</f>
        <v>#VALUE!</v>
      </c>
      <c r="DE85" t="str">
        <f ca="1">IFERROR(__xludf.DUMMYFUNCTION("""COMPUTED_VALUE"""),"#VALUE!")</f>
        <v>#VALUE!</v>
      </c>
      <c r="DI85" t="str">
        <f ca="1">IFERROR(__xludf.DUMMYFUNCTION("""COMPUTED_VALUE"""),"#VALUE!")</f>
        <v>#VALUE!</v>
      </c>
      <c r="DJ85" t="str">
        <f ca="1">IFERROR(__xludf.DUMMYFUNCTION("""COMPUTED_VALUE"""),"#VALUE!")</f>
        <v>#VALUE!</v>
      </c>
      <c r="DL85" t="str">
        <f ca="1">IFERROR(__xludf.DUMMYFUNCTION("""COMPUTED_VALUE"""),"Davor Salihović")</f>
        <v>Davor Salihović</v>
      </c>
    </row>
    <row r="86" spans="1:116" ht="13.2" x14ac:dyDescent="0.25">
      <c r="A86" t="str">
        <f ca="1">IFERROR(__xludf.DUMMYFUNCTION("""COMPUTED_VALUE"""),"P0085")</f>
        <v>P0085</v>
      </c>
      <c r="B86" t="str">
        <f ca="1">IFERROR(__xludf.DUMMYFUNCTION("""COMPUTED_VALUE"""),"filius Michaelis Luchete")</f>
        <v>filius Michaelis Luchete</v>
      </c>
      <c r="D86" t="str">
        <f ca="1">IFERROR(__xludf.DUMMYFUNCTION("""COMPUTED_VALUE"""),"#VALUE!")</f>
        <v>#VALUE!</v>
      </c>
      <c r="E86" t="str">
        <f ca="1">IFERROR(__xludf.DUMMYFUNCTION("""COMPUTED_VALUE"""),"filius Michaelis Luchete")</f>
        <v>filius Michaelis Luchete</v>
      </c>
      <c r="Q86" t="str">
        <f ca="1">IFERROR(__xludf.DUMMYFUNCTION("""COMPUTED_VALUE"""),"filius Michaelis Luchete")</f>
        <v>filius Michaelis Luchete</v>
      </c>
      <c r="S86" t="str">
        <f ca="1">IFERROR(__xludf.DUMMYFUNCTION("""COMPUTED_VALUE"""),"Latin")</f>
        <v>Latin</v>
      </c>
      <c r="T86" t="str">
        <f ca="1">IFERROR(__xludf.DUMMYFUNCTION("""COMPUTED_VALUE"""),"indefinite")</f>
        <v>indefinite</v>
      </c>
      <c r="U86" t="str">
        <f ca="1">IFERROR(__xludf.DUMMYFUNCTION("""COMPUTED_VALUE"""),"C2553")</f>
        <v>C2553</v>
      </c>
      <c r="V86" t="str">
        <f ca="1">IFERROR(__xludf.DUMMYFUNCTION("""COMPUTED_VALUE"""),"male")</f>
        <v>male</v>
      </c>
      <c r="Z86" t="str">
        <f ca="1">IFERROR(__xludf.DUMMYFUNCTION("""COMPUTED_VALUE"""),"166")</f>
        <v>166</v>
      </c>
      <c r="AA86" t="str">
        <f ca="1">IFERROR(__xludf.DUMMYFUNCTION("""COMPUTED_VALUE"""),"d")</f>
        <v>d</v>
      </c>
      <c r="AB86" t="str">
        <f ca="1">IFERROR(__xludf.DUMMYFUNCTION("""COMPUTED_VALUE"""),"suspect")</f>
        <v>suspect</v>
      </c>
      <c r="AE86" t="str">
        <f ca="1">IFERROR(__xludf.DUMMYFUNCTION("""COMPUTED_VALUE"""),"#VALUE!")</f>
        <v>#VALUE!</v>
      </c>
      <c r="AF86" t="str">
        <f ca="1">IFERROR(__xludf.DUMMYFUNCTION("""COMPUTED_VALUE"""),"#N/A")</f>
        <v>#N/A</v>
      </c>
      <c r="AG86" t="str">
        <f ca="1">IFERROR(__xludf.DUMMYFUNCTION("""COMPUTED_VALUE"""),"#N/A")</f>
        <v>#N/A</v>
      </c>
      <c r="AI86" t="str">
        <f ca="1">IFERROR(__xludf.DUMMYFUNCTION("""COMPUTED_VALUE"""),"#VALUE!")</f>
        <v>#VALUE!</v>
      </c>
      <c r="AK86" t="str">
        <f ca="1">IFERROR(__xludf.DUMMYFUNCTION("""COMPUTED_VALUE"""),"#VALUE!")</f>
        <v>#VALUE!</v>
      </c>
      <c r="AM86" t="str">
        <f ca="1">IFERROR(__xludf.DUMMYFUNCTION("""COMPUTED_VALUE"""),"#VALUE!")</f>
        <v>#VALUE!</v>
      </c>
      <c r="AO86" t="str">
        <f ca="1">IFERROR(__xludf.DUMMYFUNCTION("""COMPUTED_VALUE"""),"#VALUE!")</f>
        <v>#VALUE!</v>
      </c>
      <c r="AQ86" t="str">
        <f ca="1">IFERROR(__xludf.DUMMYFUNCTION("""COMPUTED_VALUE"""),"#VALUE!")</f>
        <v>#VALUE!</v>
      </c>
      <c r="AS86" t="str">
        <f ca="1">IFERROR(__xludf.DUMMYFUNCTION("""COMPUTED_VALUE"""),"#VALUE!")</f>
        <v>#VALUE!</v>
      </c>
      <c r="AU86" t="str">
        <f ca="1">IFERROR(__xludf.DUMMYFUNCTION("""COMPUTED_VALUE"""),"#VALUE!")</f>
        <v>#VALUE!</v>
      </c>
      <c r="AW86" t="str">
        <f ca="1">IFERROR(__xludf.DUMMYFUNCTION("""COMPUTED_VALUE"""),"#VALUE!")</f>
        <v>#VALUE!</v>
      </c>
      <c r="AY86" t="str">
        <f ca="1">IFERROR(__xludf.DUMMYFUNCTION("""COMPUTED_VALUE"""),"#VALUE!")</f>
        <v>#VALUE!</v>
      </c>
      <c r="BA86" t="str">
        <f ca="1">IFERROR(__xludf.DUMMYFUNCTION("""COMPUTED_VALUE"""),"#VALUE!")</f>
        <v>#VALUE!</v>
      </c>
      <c r="BC86" t="str">
        <f ca="1">IFERROR(__xludf.DUMMYFUNCTION("""COMPUTED_VALUE"""),"#VALUE!")</f>
        <v>#VALUE!</v>
      </c>
      <c r="BE86" t="str">
        <f ca="1">IFERROR(__xludf.DUMMYFUNCTION("""COMPUTED_VALUE"""),"#VALUE!")</f>
        <v>#VALUE!</v>
      </c>
      <c r="BG86" t="str">
        <f ca="1">IFERROR(__xludf.DUMMYFUNCTION("""COMPUTED_VALUE"""),"#VALUE!")</f>
        <v>#VALUE!</v>
      </c>
      <c r="BI86" t="str">
        <f ca="1">IFERROR(__xludf.DUMMYFUNCTION("""COMPUTED_VALUE"""),"#VALUE!")</f>
        <v>#VALUE!</v>
      </c>
      <c r="BK86" t="str">
        <f ca="1">IFERROR(__xludf.DUMMYFUNCTION("""COMPUTED_VALUE"""),"#VALUE!")</f>
        <v>#VALUE!</v>
      </c>
      <c r="BM86" t="str">
        <f ca="1">IFERROR(__xludf.DUMMYFUNCTION("""COMPUTED_VALUE"""),"#VALUE!")</f>
        <v>#VALUE!</v>
      </c>
      <c r="BO86" t="str">
        <f ca="1">IFERROR(__xludf.DUMMYFUNCTION("""COMPUTED_VALUE"""),"#VALUE!")</f>
        <v>#VALUE!</v>
      </c>
      <c r="BQ86" t="str">
        <f ca="1">IFERROR(__xludf.DUMMYFUNCTION("""COMPUTED_VALUE"""),"#VALUE!")</f>
        <v>#VALUE!</v>
      </c>
      <c r="BS86" t="str">
        <f ca="1">IFERROR(__xludf.DUMMYFUNCTION("""COMPUTED_VALUE"""),"#VALUE!")</f>
        <v>#VALUE!</v>
      </c>
      <c r="BU86" t="str">
        <f ca="1">IFERROR(__xludf.DUMMYFUNCTION("""COMPUTED_VALUE"""),"#VALUE!")</f>
        <v>#VALUE!</v>
      </c>
      <c r="BW86" t="str">
        <f ca="1">IFERROR(__xludf.DUMMYFUNCTION("""COMPUTED_VALUE"""),"#VALUE!")</f>
        <v>#VALUE!</v>
      </c>
      <c r="BY86" t="str">
        <f ca="1">IFERROR(__xludf.DUMMYFUNCTION("""COMPUTED_VALUE"""),"#VALUE!")</f>
        <v>#VALUE!</v>
      </c>
      <c r="CA86" t="str">
        <f ca="1">IFERROR(__xludf.DUMMYFUNCTION("""COMPUTED_VALUE"""),"#VALUE!")</f>
        <v>#VALUE!</v>
      </c>
      <c r="CC86" t="str">
        <f ca="1">IFERROR(__xludf.DUMMYFUNCTION("""COMPUTED_VALUE"""),"#VALUE!")</f>
        <v>#VALUE!</v>
      </c>
      <c r="CE86" t="str">
        <f ca="1">IFERROR(__xludf.DUMMYFUNCTION("""COMPUTED_VALUE"""),"#VALUE!")</f>
        <v>#VALUE!</v>
      </c>
      <c r="CG86" t="str">
        <f ca="1">IFERROR(__xludf.DUMMYFUNCTION("""COMPUTED_VALUE"""),"#VALUE!")</f>
        <v>#VALUE!</v>
      </c>
      <c r="CI86" t="str">
        <f ca="1">IFERROR(__xludf.DUMMYFUNCTION("""COMPUTED_VALUE"""),"#VALUE!")</f>
        <v>#VALUE!</v>
      </c>
      <c r="CK86" t="str">
        <f ca="1">IFERROR(__xludf.DUMMYFUNCTION("""COMPUTED_VALUE"""),"#VALUE!")</f>
        <v>#VALUE!</v>
      </c>
      <c r="CS86" t="str">
        <f ca="1">IFERROR(__xludf.DUMMYFUNCTION("""COMPUTED_VALUE"""),"#VALUE!")</f>
        <v>#VALUE!</v>
      </c>
      <c r="CU86" t="str">
        <f ca="1">IFERROR(__xludf.DUMMYFUNCTION("""COMPUTED_VALUE"""),"#VALUE!")</f>
        <v>#VALUE!</v>
      </c>
      <c r="CV86" t="str">
        <f ca="1">IFERROR(__xludf.DUMMYFUNCTION("""COMPUTED_VALUE"""),"L0010")</f>
        <v>L0010</v>
      </c>
      <c r="CW86" t="str">
        <f ca="1">IFERROR(__xludf.DUMMYFUNCTION("""COMPUTED_VALUE"""),"Buffa")</f>
        <v>Buffa</v>
      </c>
      <c r="CY86" t="str">
        <f ca="1">IFERROR(__xludf.DUMMYFUNCTION("""COMPUTED_VALUE"""),"#VALUE!")</f>
        <v>#VALUE!</v>
      </c>
      <c r="DC86" t="str">
        <f ca="1">IFERROR(__xludf.DUMMYFUNCTION("""COMPUTED_VALUE"""),"#VALUE!")</f>
        <v>#VALUE!</v>
      </c>
      <c r="DE86" t="str">
        <f ca="1">IFERROR(__xludf.DUMMYFUNCTION("""COMPUTED_VALUE"""),"#VALUE!")</f>
        <v>#VALUE!</v>
      </c>
      <c r="DI86" t="str">
        <f ca="1">IFERROR(__xludf.DUMMYFUNCTION("""COMPUTED_VALUE"""),"#VALUE!")</f>
        <v>#VALUE!</v>
      </c>
      <c r="DJ86" t="str">
        <f ca="1">IFERROR(__xludf.DUMMYFUNCTION("""COMPUTED_VALUE"""),"#VALUE!")</f>
        <v>#VALUE!</v>
      </c>
      <c r="DL86" t="str">
        <f ca="1">IFERROR(__xludf.DUMMYFUNCTION("""COMPUTED_VALUE"""),"Davor Salihović")</f>
        <v>Davor Salihović</v>
      </c>
    </row>
    <row r="87" spans="1:116" ht="13.2" x14ac:dyDescent="0.25">
      <c r="A87" t="str">
        <f ca="1">IFERROR(__xludf.DUMMYFUNCTION("""COMPUTED_VALUE"""),"P0086")</f>
        <v>P0086</v>
      </c>
      <c r="B87" t="str">
        <f ca="1">IFERROR(__xludf.DUMMYFUNCTION("""COMPUTED_VALUE"""),"Michael Luchete")</f>
        <v>Michael Luchete</v>
      </c>
      <c r="D87" t="str">
        <f ca="1">IFERROR(__xludf.DUMMYFUNCTION("""COMPUTED_VALUE"""),"#VALUE!")</f>
        <v>#VALUE!</v>
      </c>
      <c r="E87" t="str">
        <f ca="1">IFERROR(__xludf.DUMMYFUNCTION("""COMPUTED_VALUE"""),"Michael")</f>
        <v>Michael</v>
      </c>
      <c r="K87" t="str">
        <f ca="1">IFERROR(__xludf.DUMMYFUNCTION("""COMPUTED_VALUE"""),"Luchete")</f>
        <v>Luchete</v>
      </c>
      <c r="L87" t="str">
        <f ca="1">IFERROR(__xludf.DUMMYFUNCTION("""COMPUTED_VALUE"""),"Luchete")</f>
        <v>Luchete</v>
      </c>
      <c r="S87" t="str">
        <f ca="1">IFERROR(__xludf.DUMMYFUNCTION("""COMPUTED_VALUE"""),"Latin")</f>
        <v>Latin</v>
      </c>
      <c r="T87" t="str">
        <f ca="1">IFERROR(__xludf.DUMMYFUNCTION("""COMPUTED_VALUE"""),"definite")</f>
        <v>definite</v>
      </c>
      <c r="U87" t="str">
        <f ca="1">IFERROR(__xludf.DUMMYFUNCTION("""COMPUTED_VALUE"""),"C2553")</f>
        <v>C2553</v>
      </c>
      <c r="V87" t="str">
        <f ca="1">IFERROR(__xludf.DUMMYFUNCTION("""COMPUTED_VALUE"""),"male")</f>
        <v>male</v>
      </c>
      <c r="Z87" t="str">
        <f ca="1">IFERROR(__xludf.DUMMYFUNCTION("""COMPUTED_VALUE"""),"166")</f>
        <v>166</v>
      </c>
      <c r="AA87" t="str">
        <f ca="1">IFERROR(__xludf.DUMMYFUNCTION("""COMPUTED_VALUE"""),"o")</f>
        <v>o</v>
      </c>
      <c r="AB87" t="str">
        <f ca="1">IFERROR(__xludf.DUMMYFUNCTION("""COMPUTED_VALUE"""),"NA")</f>
        <v>NA</v>
      </c>
      <c r="AE87" t="str">
        <f ca="1">IFERROR(__xludf.DUMMYFUNCTION("""COMPUTED_VALUE"""),"#VALUE!")</f>
        <v>#VALUE!</v>
      </c>
      <c r="AF87" t="str">
        <f ca="1">IFERROR(__xludf.DUMMYFUNCTION("""COMPUTED_VALUE"""),"#N/A")</f>
        <v>#N/A</v>
      </c>
      <c r="AG87" t="str">
        <f ca="1">IFERROR(__xludf.DUMMYFUNCTION("""COMPUTED_VALUE"""),"#N/A")</f>
        <v>#N/A</v>
      </c>
      <c r="AH87" t="str">
        <f ca="1">IFERROR(__xludf.DUMMYFUNCTION("""COMPUTED_VALUE"""),"C2336")</f>
        <v>C2336</v>
      </c>
      <c r="AI87" t="str">
        <f ca="1">IFERROR(__xludf.DUMMYFUNCTION("""COMPUTED_VALUE"""),"son")</f>
        <v>son</v>
      </c>
      <c r="AJ87" t="str">
        <f ca="1">IFERROR(__xludf.DUMMYFUNCTION("""COMPUTED_VALUE"""),"P0085")</f>
        <v>P0085</v>
      </c>
      <c r="AK87" t="str">
        <f ca="1">IFERROR(__xludf.DUMMYFUNCTION("""COMPUTED_VALUE"""),"filius Michaelis Luchete")</f>
        <v>filius Michaelis Luchete</v>
      </c>
      <c r="AM87" t="str">
        <f ca="1">IFERROR(__xludf.DUMMYFUNCTION("""COMPUTED_VALUE"""),"#VALUE!")</f>
        <v>#VALUE!</v>
      </c>
      <c r="AO87" t="str">
        <f ca="1">IFERROR(__xludf.DUMMYFUNCTION("""COMPUTED_VALUE"""),"#VALUE!")</f>
        <v>#VALUE!</v>
      </c>
      <c r="AQ87" t="str">
        <f ca="1">IFERROR(__xludf.DUMMYFUNCTION("""COMPUTED_VALUE"""),"#VALUE!")</f>
        <v>#VALUE!</v>
      </c>
      <c r="AS87" t="str">
        <f ca="1">IFERROR(__xludf.DUMMYFUNCTION("""COMPUTED_VALUE"""),"#VALUE!")</f>
        <v>#VALUE!</v>
      </c>
      <c r="AU87" t="str">
        <f ca="1">IFERROR(__xludf.DUMMYFUNCTION("""COMPUTED_VALUE"""),"#VALUE!")</f>
        <v>#VALUE!</v>
      </c>
      <c r="AW87" t="str">
        <f ca="1">IFERROR(__xludf.DUMMYFUNCTION("""COMPUTED_VALUE"""),"#VALUE!")</f>
        <v>#VALUE!</v>
      </c>
      <c r="AY87" t="str">
        <f ca="1">IFERROR(__xludf.DUMMYFUNCTION("""COMPUTED_VALUE"""),"#VALUE!")</f>
        <v>#VALUE!</v>
      </c>
      <c r="BA87" t="str">
        <f ca="1">IFERROR(__xludf.DUMMYFUNCTION("""COMPUTED_VALUE"""),"#VALUE!")</f>
        <v>#VALUE!</v>
      </c>
      <c r="BC87" t="str">
        <f ca="1">IFERROR(__xludf.DUMMYFUNCTION("""COMPUTED_VALUE"""),"#VALUE!")</f>
        <v>#VALUE!</v>
      </c>
      <c r="BE87" t="str">
        <f ca="1">IFERROR(__xludf.DUMMYFUNCTION("""COMPUTED_VALUE"""),"#VALUE!")</f>
        <v>#VALUE!</v>
      </c>
      <c r="BG87" t="str">
        <f ca="1">IFERROR(__xludf.DUMMYFUNCTION("""COMPUTED_VALUE"""),"#VALUE!")</f>
        <v>#VALUE!</v>
      </c>
      <c r="BI87" t="str">
        <f ca="1">IFERROR(__xludf.DUMMYFUNCTION("""COMPUTED_VALUE"""),"#VALUE!")</f>
        <v>#VALUE!</v>
      </c>
      <c r="BK87" t="str">
        <f ca="1">IFERROR(__xludf.DUMMYFUNCTION("""COMPUTED_VALUE"""),"#VALUE!")</f>
        <v>#VALUE!</v>
      </c>
      <c r="BM87" t="str">
        <f ca="1">IFERROR(__xludf.DUMMYFUNCTION("""COMPUTED_VALUE"""),"#VALUE!")</f>
        <v>#VALUE!</v>
      </c>
      <c r="BO87" t="str">
        <f ca="1">IFERROR(__xludf.DUMMYFUNCTION("""COMPUTED_VALUE"""),"#VALUE!")</f>
        <v>#VALUE!</v>
      </c>
      <c r="BQ87" t="str">
        <f ca="1">IFERROR(__xludf.DUMMYFUNCTION("""COMPUTED_VALUE"""),"#VALUE!")</f>
        <v>#VALUE!</v>
      </c>
      <c r="BS87" t="str">
        <f ca="1">IFERROR(__xludf.DUMMYFUNCTION("""COMPUTED_VALUE"""),"#VALUE!")</f>
        <v>#VALUE!</v>
      </c>
      <c r="BU87" t="str">
        <f ca="1">IFERROR(__xludf.DUMMYFUNCTION("""COMPUTED_VALUE"""),"#VALUE!")</f>
        <v>#VALUE!</v>
      </c>
      <c r="BW87" t="str">
        <f ca="1">IFERROR(__xludf.DUMMYFUNCTION("""COMPUTED_VALUE"""),"#VALUE!")</f>
        <v>#VALUE!</v>
      </c>
      <c r="BY87" t="str">
        <f ca="1">IFERROR(__xludf.DUMMYFUNCTION("""COMPUTED_VALUE"""),"#VALUE!")</f>
        <v>#VALUE!</v>
      </c>
      <c r="CA87" t="str">
        <f ca="1">IFERROR(__xludf.DUMMYFUNCTION("""COMPUTED_VALUE"""),"#VALUE!")</f>
        <v>#VALUE!</v>
      </c>
      <c r="CC87" t="str">
        <f ca="1">IFERROR(__xludf.DUMMYFUNCTION("""COMPUTED_VALUE"""),"#VALUE!")</f>
        <v>#VALUE!</v>
      </c>
      <c r="CE87" t="str">
        <f ca="1">IFERROR(__xludf.DUMMYFUNCTION("""COMPUTED_VALUE"""),"#VALUE!")</f>
        <v>#VALUE!</v>
      </c>
      <c r="CG87" t="str">
        <f ca="1">IFERROR(__xludf.DUMMYFUNCTION("""COMPUTED_VALUE"""),"#VALUE!")</f>
        <v>#VALUE!</v>
      </c>
      <c r="CI87" t="str">
        <f ca="1">IFERROR(__xludf.DUMMYFUNCTION("""COMPUTED_VALUE"""),"#VALUE!")</f>
        <v>#VALUE!</v>
      </c>
      <c r="CK87" t="str">
        <f ca="1">IFERROR(__xludf.DUMMYFUNCTION("""COMPUTED_VALUE"""),"#VALUE!")</f>
        <v>#VALUE!</v>
      </c>
      <c r="CS87" t="str">
        <f ca="1">IFERROR(__xludf.DUMMYFUNCTION("""COMPUTED_VALUE"""),"#VALUE!")</f>
        <v>#VALUE!</v>
      </c>
      <c r="CU87" t="str">
        <f ca="1">IFERROR(__xludf.DUMMYFUNCTION("""COMPUTED_VALUE"""),"#VALUE!")</f>
        <v>#VALUE!</v>
      </c>
      <c r="CW87" t="str">
        <f ca="1">IFERROR(__xludf.DUMMYFUNCTION("""COMPUTED_VALUE"""),"#VALUE!")</f>
        <v>#VALUE!</v>
      </c>
      <c r="CY87" t="str">
        <f ca="1">IFERROR(__xludf.DUMMYFUNCTION("""COMPUTED_VALUE"""),"#VALUE!")</f>
        <v>#VALUE!</v>
      </c>
      <c r="DC87" t="str">
        <f ca="1">IFERROR(__xludf.DUMMYFUNCTION("""COMPUTED_VALUE"""),"#VALUE!")</f>
        <v>#VALUE!</v>
      </c>
      <c r="DE87" t="str">
        <f ca="1">IFERROR(__xludf.DUMMYFUNCTION("""COMPUTED_VALUE"""),"#VALUE!")</f>
        <v>#VALUE!</v>
      </c>
      <c r="DI87" t="str">
        <f ca="1">IFERROR(__xludf.DUMMYFUNCTION("""COMPUTED_VALUE"""),"#VALUE!")</f>
        <v>#VALUE!</v>
      </c>
      <c r="DJ87" t="str">
        <f ca="1">IFERROR(__xludf.DUMMYFUNCTION("""COMPUTED_VALUE"""),"#VALUE!")</f>
        <v>#VALUE!</v>
      </c>
      <c r="DL87" t="str">
        <f ca="1">IFERROR(__xludf.DUMMYFUNCTION("""COMPUTED_VALUE"""),"Davor Salihović")</f>
        <v>Davor Salihović</v>
      </c>
    </row>
    <row r="88" spans="1:116" ht="13.2" x14ac:dyDescent="0.25">
      <c r="A88" t="str">
        <f ca="1">IFERROR(__xludf.DUMMYFUNCTION("""COMPUTED_VALUE"""),"P0087")</f>
        <v>P0087</v>
      </c>
      <c r="B88" t="str">
        <f ca="1">IFERROR(__xludf.DUMMYFUNCTION("""COMPUTED_VALUE"""),"sacerdos de Vapingo")</f>
        <v>sacerdos de Vapingo</v>
      </c>
      <c r="D88" t="str">
        <f ca="1">IFERROR(__xludf.DUMMYFUNCTION("""COMPUTED_VALUE"""),"#VALUE!")</f>
        <v>#VALUE!</v>
      </c>
      <c r="E88" t="str">
        <f ca="1">IFERROR(__xludf.DUMMYFUNCTION("""COMPUTED_VALUE"""),"sacerdos de Vapingo")</f>
        <v>sacerdos de Vapingo</v>
      </c>
      <c r="S88" t="str">
        <f ca="1">IFERROR(__xludf.DUMMYFUNCTION("""COMPUTED_VALUE"""),"Latin")</f>
        <v>Latin</v>
      </c>
      <c r="T88" t="str">
        <f ca="1">IFERROR(__xludf.DUMMYFUNCTION("""COMPUTED_VALUE"""),"indefinite")</f>
        <v>indefinite</v>
      </c>
      <c r="U88" t="str">
        <f ca="1">IFERROR(__xludf.DUMMYFUNCTION("""COMPUTED_VALUE"""),"C2553")</f>
        <v>C2553</v>
      </c>
      <c r="V88" t="str">
        <f ca="1">IFERROR(__xludf.DUMMYFUNCTION("""COMPUTED_VALUE"""),"male")</f>
        <v>male</v>
      </c>
      <c r="Z88" t="str">
        <f ca="1">IFERROR(__xludf.DUMMYFUNCTION("""COMPUTED_VALUE"""),"167, 173")</f>
        <v>167, 173</v>
      </c>
      <c r="AA88" t="str">
        <f ca="1">IFERROR(__xludf.DUMMYFUNCTION("""COMPUTED_VALUE"""),"d")</f>
        <v>d</v>
      </c>
      <c r="AB88" t="str">
        <f ca="1">IFERROR(__xludf.DUMMYFUNCTION("""COMPUTED_VALUE"""),"NA")</f>
        <v>NA</v>
      </c>
      <c r="AE88" t="str">
        <f ca="1">IFERROR(__xludf.DUMMYFUNCTION("""COMPUTED_VALUE"""),"#VALUE!")</f>
        <v>#VALUE!</v>
      </c>
      <c r="AF88" t="str">
        <f ca="1">IFERROR(__xludf.DUMMYFUNCTION("""COMPUTED_VALUE"""),"#N/A")</f>
        <v>#N/A</v>
      </c>
      <c r="AG88" t="str">
        <f ca="1">IFERROR(__xludf.DUMMYFUNCTION("""COMPUTED_VALUE"""),"#N/A")</f>
        <v>#N/A</v>
      </c>
      <c r="AI88" t="str">
        <f ca="1">IFERROR(__xludf.DUMMYFUNCTION("""COMPUTED_VALUE"""),"#VALUE!")</f>
        <v>#VALUE!</v>
      </c>
      <c r="AK88" t="str">
        <f ca="1">IFERROR(__xludf.DUMMYFUNCTION("""COMPUTED_VALUE"""),"#VALUE!")</f>
        <v>#VALUE!</v>
      </c>
      <c r="AM88" t="str">
        <f ca="1">IFERROR(__xludf.DUMMYFUNCTION("""COMPUTED_VALUE"""),"#VALUE!")</f>
        <v>#VALUE!</v>
      </c>
      <c r="AO88" t="str">
        <f ca="1">IFERROR(__xludf.DUMMYFUNCTION("""COMPUTED_VALUE"""),"#VALUE!")</f>
        <v>#VALUE!</v>
      </c>
      <c r="AQ88" t="str">
        <f ca="1">IFERROR(__xludf.DUMMYFUNCTION("""COMPUTED_VALUE"""),"#VALUE!")</f>
        <v>#VALUE!</v>
      </c>
      <c r="AS88" t="str">
        <f ca="1">IFERROR(__xludf.DUMMYFUNCTION("""COMPUTED_VALUE"""),"#VALUE!")</f>
        <v>#VALUE!</v>
      </c>
      <c r="AU88" t="str">
        <f ca="1">IFERROR(__xludf.DUMMYFUNCTION("""COMPUTED_VALUE"""),"#VALUE!")</f>
        <v>#VALUE!</v>
      </c>
      <c r="AW88" t="str">
        <f ca="1">IFERROR(__xludf.DUMMYFUNCTION("""COMPUTED_VALUE"""),"#VALUE!")</f>
        <v>#VALUE!</v>
      </c>
      <c r="AY88" t="str">
        <f ca="1">IFERROR(__xludf.DUMMYFUNCTION("""COMPUTED_VALUE"""),"#VALUE!")</f>
        <v>#VALUE!</v>
      </c>
      <c r="BA88" t="str">
        <f ca="1">IFERROR(__xludf.DUMMYFUNCTION("""COMPUTED_VALUE"""),"#VALUE!")</f>
        <v>#VALUE!</v>
      </c>
      <c r="BC88" t="str">
        <f ca="1">IFERROR(__xludf.DUMMYFUNCTION("""COMPUTED_VALUE"""),"#VALUE!")</f>
        <v>#VALUE!</v>
      </c>
      <c r="BE88" t="str">
        <f ca="1">IFERROR(__xludf.DUMMYFUNCTION("""COMPUTED_VALUE"""),"#VALUE!")</f>
        <v>#VALUE!</v>
      </c>
      <c r="BG88" t="str">
        <f ca="1">IFERROR(__xludf.DUMMYFUNCTION("""COMPUTED_VALUE"""),"#VALUE!")</f>
        <v>#VALUE!</v>
      </c>
      <c r="BI88" t="str">
        <f ca="1">IFERROR(__xludf.DUMMYFUNCTION("""COMPUTED_VALUE"""),"#VALUE!")</f>
        <v>#VALUE!</v>
      </c>
      <c r="BK88" t="str">
        <f ca="1">IFERROR(__xludf.DUMMYFUNCTION("""COMPUTED_VALUE"""),"#VALUE!")</f>
        <v>#VALUE!</v>
      </c>
      <c r="BM88" t="str">
        <f ca="1">IFERROR(__xludf.DUMMYFUNCTION("""COMPUTED_VALUE"""),"#VALUE!")</f>
        <v>#VALUE!</v>
      </c>
      <c r="BO88" t="str">
        <f ca="1">IFERROR(__xludf.DUMMYFUNCTION("""COMPUTED_VALUE"""),"#VALUE!")</f>
        <v>#VALUE!</v>
      </c>
      <c r="BQ88" t="str">
        <f ca="1">IFERROR(__xludf.DUMMYFUNCTION("""COMPUTED_VALUE"""),"#VALUE!")</f>
        <v>#VALUE!</v>
      </c>
      <c r="BS88" t="str">
        <f ca="1">IFERROR(__xludf.DUMMYFUNCTION("""COMPUTED_VALUE"""),"#VALUE!")</f>
        <v>#VALUE!</v>
      </c>
      <c r="BU88" t="str">
        <f ca="1">IFERROR(__xludf.DUMMYFUNCTION("""COMPUTED_VALUE"""),"#VALUE!")</f>
        <v>#VALUE!</v>
      </c>
      <c r="BW88" t="str">
        <f ca="1">IFERROR(__xludf.DUMMYFUNCTION("""COMPUTED_VALUE"""),"#VALUE!")</f>
        <v>#VALUE!</v>
      </c>
      <c r="BY88" t="str">
        <f ca="1">IFERROR(__xludf.DUMMYFUNCTION("""COMPUTED_VALUE"""),"#VALUE!")</f>
        <v>#VALUE!</v>
      </c>
      <c r="CA88" t="str">
        <f ca="1">IFERROR(__xludf.DUMMYFUNCTION("""COMPUTED_VALUE"""),"#VALUE!")</f>
        <v>#VALUE!</v>
      </c>
      <c r="CC88" t="str">
        <f ca="1">IFERROR(__xludf.DUMMYFUNCTION("""COMPUTED_VALUE"""),"#VALUE!")</f>
        <v>#VALUE!</v>
      </c>
      <c r="CE88" t="str">
        <f ca="1">IFERROR(__xludf.DUMMYFUNCTION("""COMPUTED_VALUE"""),"#VALUE!")</f>
        <v>#VALUE!</v>
      </c>
      <c r="CG88" t="str">
        <f ca="1">IFERROR(__xludf.DUMMYFUNCTION("""COMPUTED_VALUE"""),"#VALUE!")</f>
        <v>#VALUE!</v>
      </c>
      <c r="CI88" t="str">
        <f ca="1">IFERROR(__xludf.DUMMYFUNCTION("""COMPUTED_VALUE"""),"#VALUE!")</f>
        <v>#VALUE!</v>
      </c>
      <c r="CK88" t="str">
        <f ca="1">IFERROR(__xludf.DUMMYFUNCTION("""COMPUTED_VALUE"""),"#VALUE!")</f>
        <v>#VALUE!</v>
      </c>
      <c r="CR88" t="str">
        <f ca="1">IFERROR(__xludf.DUMMYFUNCTION("""COMPUTED_VALUE"""),"L0019")</f>
        <v>L0019</v>
      </c>
      <c r="CS88" t="str">
        <f ca="1">IFERROR(__xludf.DUMMYFUNCTION("""COMPUTED_VALUE"""),"Gap")</f>
        <v>Gap</v>
      </c>
      <c r="CU88" t="str">
        <f ca="1">IFERROR(__xludf.DUMMYFUNCTION("""COMPUTED_VALUE"""),"#VALUE!")</f>
        <v>#VALUE!</v>
      </c>
      <c r="CW88" t="str">
        <f ca="1">IFERROR(__xludf.DUMMYFUNCTION("""COMPUTED_VALUE"""),"#VALUE!")</f>
        <v>#VALUE!</v>
      </c>
      <c r="CX88" t="str">
        <f ca="1">IFERROR(__xludf.DUMMYFUNCTION("""COMPUTED_VALUE"""),"C3188")</f>
        <v>C3188</v>
      </c>
      <c r="CY88" t="str">
        <f ca="1">IFERROR(__xludf.DUMMYFUNCTION("""COMPUTED_VALUE"""),"sacerdos Valdensium")</f>
        <v>sacerdos Valdensium</v>
      </c>
      <c r="DA88" t="str">
        <f ca="1">IFERROR(__xludf.DUMMYFUNCTION("""COMPUTED_VALUE"""),"dissident minister")</f>
        <v>dissident minister</v>
      </c>
      <c r="DC88" t="str">
        <f ca="1">IFERROR(__xludf.DUMMYFUNCTION("""COMPUTED_VALUE"""),"#VALUE!")</f>
        <v>#VALUE!</v>
      </c>
      <c r="DD88" t="str">
        <f ca="1">IFERROR(__xludf.DUMMYFUNCTION("""COMPUTED_VALUE"""),"C3188")</f>
        <v>C3188</v>
      </c>
      <c r="DE88" t="str">
        <f ca="1">IFERROR(__xludf.DUMMYFUNCTION("""COMPUTED_VALUE"""),"sacerdos Valdensium")</f>
        <v>sacerdos Valdensium</v>
      </c>
      <c r="DI88" t="str">
        <f ca="1">IFERROR(__xludf.DUMMYFUNCTION("""COMPUTED_VALUE"""),"#VALUE!")</f>
        <v>#VALUE!</v>
      </c>
      <c r="DJ88" t="str">
        <f ca="1">IFERROR(__xludf.DUMMYFUNCTION("""COMPUTED_VALUE"""),"#VALUE!")</f>
        <v>#VALUE!</v>
      </c>
      <c r="DL88" t="str">
        <f ca="1">IFERROR(__xludf.DUMMYFUNCTION("""COMPUTED_VALUE"""),"Davor Salihović")</f>
        <v>Davor Salihović</v>
      </c>
    </row>
    <row r="89" spans="1:116" ht="13.2" x14ac:dyDescent="0.25">
      <c r="A89" t="str">
        <f ca="1">IFERROR(__xludf.DUMMYFUNCTION("""COMPUTED_VALUE"""),"P0088")</f>
        <v>P0088</v>
      </c>
      <c r="B89" t="str">
        <f ca="1">IFERROR(__xludf.DUMMYFUNCTION("""COMPUTED_VALUE"""),"Henricus Bonini")</f>
        <v>Henricus Bonini</v>
      </c>
      <c r="D89" t="str">
        <f ca="1">IFERROR(__xludf.DUMMYFUNCTION("""COMPUTED_VALUE"""),"#VALUE!")</f>
        <v>#VALUE!</v>
      </c>
      <c r="E89" t="str">
        <f ca="1">IFERROR(__xludf.DUMMYFUNCTION("""COMPUTED_VALUE"""),"Henricus")</f>
        <v>Henricus</v>
      </c>
      <c r="K89" t="str">
        <f ca="1">IFERROR(__xludf.DUMMYFUNCTION("""COMPUTED_VALUE"""),"Bonini")</f>
        <v>Bonini</v>
      </c>
      <c r="L89" t="str">
        <f ca="1">IFERROR(__xludf.DUMMYFUNCTION("""COMPUTED_VALUE"""),"Bonini")</f>
        <v>Bonini</v>
      </c>
      <c r="S89" t="str">
        <f ca="1">IFERROR(__xludf.DUMMYFUNCTION("""COMPUTED_VALUE"""),"Latin")</f>
        <v>Latin</v>
      </c>
      <c r="T89" t="str">
        <f ca="1">IFERROR(__xludf.DUMMYFUNCTION("""COMPUTED_VALUE"""),"indefinite")</f>
        <v>indefinite</v>
      </c>
      <c r="U89" t="str">
        <f ca="1">IFERROR(__xludf.DUMMYFUNCTION("""COMPUTED_VALUE"""),"C2553")</f>
        <v>C2553</v>
      </c>
      <c r="V89" t="str">
        <f ca="1">IFERROR(__xludf.DUMMYFUNCTION("""COMPUTED_VALUE"""),"male")</f>
        <v>male</v>
      </c>
      <c r="Z89" t="str">
        <f ca="1">IFERROR(__xludf.DUMMYFUNCTION("""COMPUTED_VALUE"""),"167, 168")</f>
        <v>167, 168</v>
      </c>
      <c r="AA89" t="str">
        <f ca="1">IFERROR(__xludf.DUMMYFUNCTION("""COMPUTED_VALUE"""),"o")</f>
        <v>o</v>
      </c>
      <c r="AB89" t="str">
        <f ca="1">IFERROR(__xludf.DUMMYFUNCTION("""COMPUTED_VALUE"""),"NA")</f>
        <v>NA</v>
      </c>
      <c r="AE89" t="str">
        <f ca="1">IFERROR(__xludf.DUMMYFUNCTION("""COMPUTED_VALUE"""),"#VALUE!")</f>
        <v>#VALUE!</v>
      </c>
      <c r="AF89" t="str">
        <f ca="1">IFERROR(__xludf.DUMMYFUNCTION("""COMPUTED_VALUE"""),"#N/A")</f>
        <v>#N/A</v>
      </c>
      <c r="AG89" t="str">
        <f ca="1">IFERROR(__xludf.DUMMYFUNCTION("""COMPUTED_VALUE"""),"#N/A")</f>
        <v>#N/A</v>
      </c>
      <c r="AH89" t="str">
        <f ca="1">IFERROR(__xludf.DUMMYFUNCTION("""COMPUTED_VALUE"""),"C2348")</f>
        <v>C2348</v>
      </c>
      <c r="AI89" t="str">
        <f ca="1">IFERROR(__xludf.DUMMYFUNCTION("""COMPUTED_VALUE"""),"wife")</f>
        <v>wife</v>
      </c>
      <c r="AJ89" t="str">
        <f ca="1">IFERROR(__xludf.DUMMYFUNCTION("""COMPUTED_VALUE"""),"P0097")</f>
        <v>P0097</v>
      </c>
      <c r="AK89" t="str">
        <f ca="1">IFERROR(__xludf.DUMMYFUNCTION("""COMPUTED_VALUE"""),"Aleysina, uxor Henrieti Bonini")</f>
        <v>Aleysina, uxor Henrieti Bonini</v>
      </c>
      <c r="AM89" t="str">
        <f ca="1">IFERROR(__xludf.DUMMYFUNCTION("""COMPUTED_VALUE"""),"#VALUE!")</f>
        <v>#VALUE!</v>
      </c>
      <c r="AO89" t="str">
        <f ca="1">IFERROR(__xludf.DUMMYFUNCTION("""COMPUTED_VALUE"""),"#VALUE!")</f>
        <v>#VALUE!</v>
      </c>
      <c r="AQ89" t="str">
        <f ca="1">IFERROR(__xludf.DUMMYFUNCTION("""COMPUTED_VALUE"""),"#VALUE!")</f>
        <v>#VALUE!</v>
      </c>
      <c r="AS89" t="str">
        <f ca="1">IFERROR(__xludf.DUMMYFUNCTION("""COMPUTED_VALUE"""),"#VALUE!")</f>
        <v>#VALUE!</v>
      </c>
      <c r="AU89" t="str">
        <f ca="1">IFERROR(__xludf.DUMMYFUNCTION("""COMPUTED_VALUE"""),"#VALUE!")</f>
        <v>#VALUE!</v>
      </c>
      <c r="AW89" t="str">
        <f ca="1">IFERROR(__xludf.DUMMYFUNCTION("""COMPUTED_VALUE"""),"#VALUE!")</f>
        <v>#VALUE!</v>
      </c>
      <c r="AY89" t="str">
        <f ca="1">IFERROR(__xludf.DUMMYFUNCTION("""COMPUTED_VALUE"""),"#VALUE!")</f>
        <v>#VALUE!</v>
      </c>
      <c r="BA89" t="str">
        <f ca="1">IFERROR(__xludf.DUMMYFUNCTION("""COMPUTED_VALUE"""),"#VALUE!")</f>
        <v>#VALUE!</v>
      </c>
      <c r="BC89" t="str">
        <f ca="1">IFERROR(__xludf.DUMMYFUNCTION("""COMPUTED_VALUE"""),"#VALUE!")</f>
        <v>#VALUE!</v>
      </c>
      <c r="BE89" t="str">
        <f ca="1">IFERROR(__xludf.DUMMYFUNCTION("""COMPUTED_VALUE"""),"#VALUE!")</f>
        <v>#VALUE!</v>
      </c>
      <c r="BG89" t="str">
        <f ca="1">IFERROR(__xludf.DUMMYFUNCTION("""COMPUTED_VALUE"""),"#VALUE!")</f>
        <v>#VALUE!</v>
      </c>
      <c r="BI89" t="str">
        <f ca="1">IFERROR(__xludf.DUMMYFUNCTION("""COMPUTED_VALUE"""),"#VALUE!")</f>
        <v>#VALUE!</v>
      </c>
      <c r="BK89" t="str">
        <f ca="1">IFERROR(__xludf.DUMMYFUNCTION("""COMPUTED_VALUE"""),"#VALUE!")</f>
        <v>#VALUE!</v>
      </c>
      <c r="BM89" t="str">
        <f ca="1">IFERROR(__xludf.DUMMYFUNCTION("""COMPUTED_VALUE"""),"#VALUE!")</f>
        <v>#VALUE!</v>
      </c>
      <c r="BO89" t="str">
        <f ca="1">IFERROR(__xludf.DUMMYFUNCTION("""COMPUTED_VALUE"""),"#VALUE!")</f>
        <v>#VALUE!</v>
      </c>
      <c r="BQ89" t="str">
        <f ca="1">IFERROR(__xludf.DUMMYFUNCTION("""COMPUTED_VALUE"""),"#VALUE!")</f>
        <v>#VALUE!</v>
      </c>
      <c r="BS89" t="str">
        <f ca="1">IFERROR(__xludf.DUMMYFUNCTION("""COMPUTED_VALUE"""),"#VALUE!")</f>
        <v>#VALUE!</v>
      </c>
      <c r="BU89" t="str">
        <f ca="1">IFERROR(__xludf.DUMMYFUNCTION("""COMPUTED_VALUE"""),"#VALUE!")</f>
        <v>#VALUE!</v>
      </c>
      <c r="BW89" t="str">
        <f ca="1">IFERROR(__xludf.DUMMYFUNCTION("""COMPUTED_VALUE"""),"#VALUE!")</f>
        <v>#VALUE!</v>
      </c>
      <c r="BY89" t="str">
        <f ca="1">IFERROR(__xludf.DUMMYFUNCTION("""COMPUTED_VALUE"""),"#VALUE!")</f>
        <v>#VALUE!</v>
      </c>
      <c r="CA89" t="str">
        <f ca="1">IFERROR(__xludf.DUMMYFUNCTION("""COMPUTED_VALUE"""),"#VALUE!")</f>
        <v>#VALUE!</v>
      </c>
      <c r="CC89" t="str">
        <f ca="1">IFERROR(__xludf.DUMMYFUNCTION("""COMPUTED_VALUE"""),"#VALUE!")</f>
        <v>#VALUE!</v>
      </c>
      <c r="CE89" t="str">
        <f ca="1">IFERROR(__xludf.DUMMYFUNCTION("""COMPUTED_VALUE"""),"#VALUE!")</f>
        <v>#VALUE!</v>
      </c>
      <c r="CG89" t="str">
        <f ca="1">IFERROR(__xludf.DUMMYFUNCTION("""COMPUTED_VALUE"""),"#VALUE!")</f>
        <v>#VALUE!</v>
      </c>
      <c r="CI89" t="str">
        <f ca="1">IFERROR(__xludf.DUMMYFUNCTION("""COMPUTED_VALUE"""),"#VALUE!")</f>
        <v>#VALUE!</v>
      </c>
      <c r="CK89" t="str">
        <f ca="1">IFERROR(__xludf.DUMMYFUNCTION("""COMPUTED_VALUE"""),"#VALUE!")</f>
        <v>#VALUE!</v>
      </c>
      <c r="CS89" t="str">
        <f ca="1">IFERROR(__xludf.DUMMYFUNCTION("""COMPUTED_VALUE"""),"#VALUE!")</f>
        <v>#VALUE!</v>
      </c>
      <c r="CU89" t="str">
        <f ca="1">IFERROR(__xludf.DUMMYFUNCTION("""COMPUTED_VALUE"""),"#VALUE!")</f>
        <v>#VALUE!</v>
      </c>
      <c r="CW89" t="str">
        <f ca="1">IFERROR(__xludf.DUMMYFUNCTION("""COMPUTED_VALUE"""),"#VALUE!")</f>
        <v>#VALUE!</v>
      </c>
      <c r="CY89" t="str">
        <f ca="1">IFERROR(__xludf.DUMMYFUNCTION("""COMPUTED_VALUE"""),"#VALUE!")</f>
        <v>#VALUE!</v>
      </c>
      <c r="DC89" t="str">
        <f ca="1">IFERROR(__xludf.DUMMYFUNCTION("""COMPUTED_VALUE"""),"#VALUE!")</f>
        <v>#VALUE!</v>
      </c>
      <c r="DE89" t="str">
        <f ca="1">IFERROR(__xludf.DUMMYFUNCTION("""COMPUTED_VALUE"""),"#VALUE!")</f>
        <v>#VALUE!</v>
      </c>
      <c r="DI89" t="str">
        <f ca="1">IFERROR(__xludf.DUMMYFUNCTION("""COMPUTED_VALUE"""),"#VALUE!")</f>
        <v>#VALUE!</v>
      </c>
      <c r="DJ89" t="str">
        <f ca="1">IFERROR(__xludf.DUMMYFUNCTION("""COMPUTED_VALUE"""),"#VALUE!")</f>
        <v>#VALUE!</v>
      </c>
      <c r="DL89" t="str">
        <f ca="1">IFERROR(__xludf.DUMMYFUNCTION("""COMPUTED_VALUE"""),"Davor Salihović")</f>
        <v>Davor Salihović</v>
      </c>
    </row>
    <row r="90" spans="1:116" ht="13.2" x14ac:dyDescent="0.25">
      <c r="A90" t="str">
        <f ca="1">IFERROR(__xludf.DUMMYFUNCTION("""COMPUTED_VALUE"""),"P0089")</f>
        <v>P0089</v>
      </c>
      <c r="B90" t="str">
        <f ca="1">IFERROR(__xludf.DUMMYFUNCTION("""COMPUTED_VALUE"""),"Aymonetus Mulinerii")</f>
        <v>Aymonetus Mulinerii</v>
      </c>
      <c r="D90" t="str">
        <f ca="1">IFERROR(__xludf.DUMMYFUNCTION("""COMPUTED_VALUE"""),"#VALUE!")</f>
        <v>#VALUE!</v>
      </c>
      <c r="E90" t="str">
        <f ca="1">IFERROR(__xludf.DUMMYFUNCTION("""COMPUTED_VALUE"""),"Aymonetus")</f>
        <v>Aymonetus</v>
      </c>
      <c r="K90" t="str">
        <f ca="1">IFERROR(__xludf.DUMMYFUNCTION("""COMPUTED_VALUE"""),"Mulinerii")</f>
        <v>Mulinerii</v>
      </c>
      <c r="L90" t="str">
        <f ca="1">IFERROR(__xludf.DUMMYFUNCTION("""COMPUTED_VALUE"""),"Mulinerii")</f>
        <v>Mulinerii</v>
      </c>
      <c r="S90" t="str">
        <f ca="1">IFERROR(__xludf.DUMMYFUNCTION("""COMPUTED_VALUE"""),"Latin")</f>
        <v>Latin</v>
      </c>
      <c r="T90" t="str">
        <f ca="1">IFERROR(__xludf.DUMMYFUNCTION("""COMPUTED_VALUE"""),"definite")</f>
        <v>definite</v>
      </c>
      <c r="U90" t="str">
        <f ca="1">IFERROR(__xludf.DUMMYFUNCTION("""COMPUTED_VALUE"""),"C2553")</f>
        <v>C2553</v>
      </c>
      <c r="V90" t="str">
        <f ca="1">IFERROR(__xludf.DUMMYFUNCTION("""COMPUTED_VALUE"""),"male")</f>
        <v>male</v>
      </c>
      <c r="Z90" t="str">
        <f ca="1">IFERROR(__xludf.DUMMYFUNCTION("""COMPUTED_VALUE"""),"167, 168")</f>
        <v>167, 168</v>
      </c>
      <c r="AA90" t="str">
        <f ca="1">IFERROR(__xludf.DUMMYFUNCTION("""COMPUTED_VALUE"""),"o")</f>
        <v>o</v>
      </c>
      <c r="AB90" t="str">
        <f ca="1">IFERROR(__xludf.DUMMYFUNCTION("""COMPUTED_VALUE"""),"NA")</f>
        <v>NA</v>
      </c>
      <c r="AC90" t="str">
        <f ca="1">IFERROR(__xludf.DUMMYFUNCTION("""COMPUTED_VALUE"""),"y")</f>
        <v>y</v>
      </c>
      <c r="AD90" t="str">
        <f ca="1">IFERROR(__xludf.DUMMYFUNCTION("""COMPUTED_VALUE"""),"C3288")</f>
        <v>C3288</v>
      </c>
      <c r="AE90" t="str">
        <f ca="1">IFERROR(__xludf.DUMMYFUNCTION("""COMPUTED_VALUE"""),"dead")</f>
        <v>dead</v>
      </c>
      <c r="AF90" t="str">
        <f ca="1">IFERROR(__xludf.DUMMYFUNCTION("""COMPUTED_VALUE"""),"C1749")</f>
        <v>C1749</v>
      </c>
      <c r="AG90" t="str">
        <f ca="1">IFERROR(__xludf.DUMMYFUNCTION("""COMPUTED_VALUE"""),"1335-01-20")</f>
        <v>1335-01-20</v>
      </c>
      <c r="AH90" t="str">
        <f ca="1">IFERROR(__xludf.DUMMYFUNCTION("""COMPUTED_VALUE"""),"C2234")</f>
        <v>C2234</v>
      </c>
      <c r="AI90" t="str">
        <f ca="1">IFERROR(__xludf.DUMMYFUNCTION("""COMPUTED_VALUE"""),"heres")</f>
        <v>heres</v>
      </c>
      <c r="AJ90" t="str">
        <f ca="1">IFERROR(__xludf.DUMMYFUNCTION("""COMPUTED_VALUE"""),"G0011")</f>
        <v>G0011</v>
      </c>
      <c r="AK90" t="str">
        <f ca="1">IFERROR(__xludf.DUMMYFUNCTION("""COMPUTED_VALUE"""),"heredes Aymoneti Mulinerii")</f>
        <v>heredes Aymoneti Mulinerii</v>
      </c>
      <c r="AM90" t="str">
        <f ca="1">IFERROR(__xludf.DUMMYFUNCTION("""COMPUTED_VALUE"""),"#VALUE!")</f>
        <v>#VALUE!</v>
      </c>
      <c r="AO90" t="str">
        <f ca="1">IFERROR(__xludf.DUMMYFUNCTION("""COMPUTED_VALUE"""),"#VALUE!")</f>
        <v>#VALUE!</v>
      </c>
      <c r="AQ90" t="str">
        <f ca="1">IFERROR(__xludf.DUMMYFUNCTION("""COMPUTED_VALUE"""),"#VALUE!")</f>
        <v>#VALUE!</v>
      </c>
      <c r="AS90" t="str">
        <f ca="1">IFERROR(__xludf.DUMMYFUNCTION("""COMPUTED_VALUE"""),"#VALUE!")</f>
        <v>#VALUE!</v>
      </c>
      <c r="AU90" t="str">
        <f ca="1">IFERROR(__xludf.DUMMYFUNCTION("""COMPUTED_VALUE"""),"#VALUE!")</f>
        <v>#VALUE!</v>
      </c>
      <c r="AW90" t="str">
        <f ca="1">IFERROR(__xludf.DUMMYFUNCTION("""COMPUTED_VALUE"""),"#VALUE!")</f>
        <v>#VALUE!</v>
      </c>
      <c r="AY90" t="str">
        <f ca="1">IFERROR(__xludf.DUMMYFUNCTION("""COMPUTED_VALUE"""),"#VALUE!")</f>
        <v>#VALUE!</v>
      </c>
      <c r="BA90" t="str">
        <f ca="1">IFERROR(__xludf.DUMMYFUNCTION("""COMPUTED_VALUE"""),"#VALUE!")</f>
        <v>#VALUE!</v>
      </c>
      <c r="BC90" t="str">
        <f ca="1">IFERROR(__xludf.DUMMYFUNCTION("""COMPUTED_VALUE"""),"#VALUE!")</f>
        <v>#VALUE!</v>
      </c>
      <c r="BE90" t="str">
        <f ca="1">IFERROR(__xludf.DUMMYFUNCTION("""COMPUTED_VALUE"""),"#VALUE!")</f>
        <v>#VALUE!</v>
      </c>
      <c r="BG90" t="str">
        <f ca="1">IFERROR(__xludf.DUMMYFUNCTION("""COMPUTED_VALUE"""),"#VALUE!")</f>
        <v>#VALUE!</v>
      </c>
      <c r="BI90" t="str">
        <f ca="1">IFERROR(__xludf.DUMMYFUNCTION("""COMPUTED_VALUE"""),"#VALUE!")</f>
        <v>#VALUE!</v>
      </c>
      <c r="BK90" t="str">
        <f ca="1">IFERROR(__xludf.DUMMYFUNCTION("""COMPUTED_VALUE"""),"#VALUE!")</f>
        <v>#VALUE!</v>
      </c>
      <c r="BM90" t="str">
        <f ca="1">IFERROR(__xludf.DUMMYFUNCTION("""COMPUTED_VALUE"""),"#VALUE!")</f>
        <v>#VALUE!</v>
      </c>
      <c r="BO90" t="str">
        <f ca="1">IFERROR(__xludf.DUMMYFUNCTION("""COMPUTED_VALUE"""),"#VALUE!")</f>
        <v>#VALUE!</v>
      </c>
      <c r="BQ90" t="str">
        <f ca="1">IFERROR(__xludf.DUMMYFUNCTION("""COMPUTED_VALUE"""),"#VALUE!")</f>
        <v>#VALUE!</v>
      </c>
      <c r="BS90" t="str">
        <f ca="1">IFERROR(__xludf.DUMMYFUNCTION("""COMPUTED_VALUE"""),"#VALUE!")</f>
        <v>#VALUE!</v>
      </c>
      <c r="BU90" t="str">
        <f ca="1">IFERROR(__xludf.DUMMYFUNCTION("""COMPUTED_VALUE"""),"#VALUE!")</f>
        <v>#VALUE!</v>
      </c>
      <c r="BW90" t="str">
        <f ca="1">IFERROR(__xludf.DUMMYFUNCTION("""COMPUTED_VALUE"""),"#VALUE!")</f>
        <v>#VALUE!</v>
      </c>
      <c r="BY90" t="str">
        <f ca="1">IFERROR(__xludf.DUMMYFUNCTION("""COMPUTED_VALUE"""),"#VALUE!")</f>
        <v>#VALUE!</v>
      </c>
      <c r="CA90" t="str">
        <f ca="1">IFERROR(__xludf.DUMMYFUNCTION("""COMPUTED_VALUE"""),"#VALUE!")</f>
        <v>#VALUE!</v>
      </c>
      <c r="CC90" t="str">
        <f ca="1">IFERROR(__xludf.DUMMYFUNCTION("""COMPUTED_VALUE"""),"#VALUE!")</f>
        <v>#VALUE!</v>
      </c>
      <c r="CE90" t="str">
        <f ca="1">IFERROR(__xludf.DUMMYFUNCTION("""COMPUTED_VALUE"""),"#VALUE!")</f>
        <v>#VALUE!</v>
      </c>
      <c r="CG90" t="str">
        <f ca="1">IFERROR(__xludf.DUMMYFUNCTION("""COMPUTED_VALUE"""),"#VALUE!")</f>
        <v>#VALUE!</v>
      </c>
      <c r="CI90" t="str">
        <f ca="1">IFERROR(__xludf.DUMMYFUNCTION("""COMPUTED_VALUE"""),"#VALUE!")</f>
        <v>#VALUE!</v>
      </c>
      <c r="CK90" t="str">
        <f ca="1">IFERROR(__xludf.DUMMYFUNCTION("""COMPUTED_VALUE"""),"#VALUE!")</f>
        <v>#VALUE!</v>
      </c>
      <c r="CR90" t="str">
        <f ca="1">IFERROR(__xludf.DUMMYFUNCTION("""COMPUTED_VALUE"""),"L0024")</f>
        <v>L0024</v>
      </c>
      <c r="CS90" t="str">
        <f ca="1">IFERROR(__xludf.DUMMYFUNCTION("""COMPUTED_VALUE"""),"Villanova")</f>
        <v>Villanova</v>
      </c>
      <c r="CU90" t="str">
        <f ca="1">IFERROR(__xludf.DUMMYFUNCTION("""COMPUTED_VALUE"""),"#VALUE!")</f>
        <v>#VALUE!</v>
      </c>
      <c r="CW90" t="str">
        <f ca="1">IFERROR(__xludf.DUMMYFUNCTION("""COMPUTED_VALUE"""),"#VALUE!")</f>
        <v>#VALUE!</v>
      </c>
      <c r="CY90" t="str">
        <f ca="1">IFERROR(__xludf.DUMMYFUNCTION("""COMPUTED_VALUE"""),"#VALUE!")</f>
        <v>#VALUE!</v>
      </c>
      <c r="DC90" t="str">
        <f ca="1">IFERROR(__xludf.DUMMYFUNCTION("""COMPUTED_VALUE"""),"#VALUE!")</f>
        <v>#VALUE!</v>
      </c>
      <c r="DE90" t="str">
        <f ca="1">IFERROR(__xludf.DUMMYFUNCTION("""COMPUTED_VALUE"""),"#VALUE!")</f>
        <v>#VALUE!</v>
      </c>
      <c r="DI90" t="str">
        <f ca="1">IFERROR(__xludf.DUMMYFUNCTION("""COMPUTED_VALUE"""),"#VALUE!")</f>
        <v>#VALUE!</v>
      </c>
      <c r="DJ90" t="str">
        <f ca="1">IFERROR(__xludf.DUMMYFUNCTION("""COMPUTED_VALUE"""),"#VALUE!")</f>
        <v>#VALUE!</v>
      </c>
      <c r="DL90" t="str">
        <f ca="1">IFERROR(__xludf.DUMMYFUNCTION("""COMPUTED_VALUE"""),"Davor Salihović")</f>
        <v>Davor Salihović</v>
      </c>
    </row>
    <row r="91" spans="1:116" ht="13.2" x14ac:dyDescent="0.25">
      <c r="A91" t="str">
        <f ca="1">IFERROR(__xludf.DUMMYFUNCTION("""COMPUTED_VALUE"""),"P0090")</f>
        <v>P0090</v>
      </c>
      <c r="B91" t="str">
        <f ca="1">IFERROR(__xludf.DUMMYFUNCTION("""COMPUTED_VALUE"""),"Peronetus Manduca")</f>
        <v>Peronetus Manduca</v>
      </c>
      <c r="D91" t="str">
        <f ca="1">IFERROR(__xludf.DUMMYFUNCTION("""COMPUTED_VALUE"""),"#VALUE!")</f>
        <v>#VALUE!</v>
      </c>
      <c r="E91" t="str">
        <f ca="1">IFERROR(__xludf.DUMMYFUNCTION("""COMPUTED_VALUE"""),"Peronetus")</f>
        <v>Peronetus</v>
      </c>
      <c r="F91" t="str">
        <f ca="1">IFERROR(__xludf.DUMMYFUNCTION("""COMPUTED_VALUE"""),"Manduca")</f>
        <v>Manduca</v>
      </c>
      <c r="K91" t="str">
        <f ca="1">IFERROR(__xludf.DUMMYFUNCTION("""COMPUTED_VALUE"""),"Manduca")</f>
        <v>Manduca</v>
      </c>
      <c r="L91" t="str">
        <f ca="1">IFERROR(__xludf.DUMMYFUNCTION("""COMPUTED_VALUE"""),"Manduca")</f>
        <v>Manduca</v>
      </c>
      <c r="Q91" t="str">
        <f ca="1">IFERROR(__xludf.DUMMYFUNCTION("""COMPUTED_VALUE"""),"de Giaveno")</f>
        <v>de Giaveno</v>
      </c>
      <c r="S91" t="str">
        <f ca="1">IFERROR(__xludf.DUMMYFUNCTION("""COMPUTED_VALUE"""),"Latin")</f>
        <v>Latin</v>
      </c>
      <c r="T91" t="str">
        <f ca="1">IFERROR(__xludf.DUMMYFUNCTION("""COMPUTED_VALUE"""),"definite")</f>
        <v>definite</v>
      </c>
      <c r="U91" t="str">
        <f ca="1">IFERROR(__xludf.DUMMYFUNCTION("""COMPUTED_VALUE"""),"C2553")</f>
        <v>C2553</v>
      </c>
      <c r="V91" t="str">
        <f ca="1">IFERROR(__xludf.DUMMYFUNCTION("""COMPUTED_VALUE"""),"male")</f>
        <v>male</v>
      </c>
      <c r="Z91" t="str">
        <f ca="1">IFERROR(__xludf.DUMMYFUNCTION("""COMPUTED_VALUE"""),"167, 168, 172, 179, 186, 203")</f>
        <v>167, 168, 172, 179, 186, 203</v>
      </c>
      <c r="AA91" t="str">
        <f ca="1">IFERROR(__xludf.DUMMYFUNCTION("""COMPUTED_VALUE"""),"d")</f>
        <v>d</v>
      </c>
      <c r="AB91" t="str">
        <f ca="1">IFERROR(__xludf.DUMMYFUNCTION("""COMPUTED_VALUE"""),"informer")</f>
        <v>informer</v>
      </c>
      <c r="AD91" t="str">
        <f ca="1">IFERROR(__xludf.DUMMYFUNCTION("""COMPUTED_VALUE"""),"C3287")</f>
        <v>C3287</v>
      </c>
      <c r="AE91" t="str">
        <f ca="1">IFERROR(__xludf.DUMMYFUNCTION("""COMPUTED_VALUE"""),"alive")</f>
        <v>alive</v>
      </c>
      <c r="AF91" t="str">
        <f ca="1">IFERROR(__xludf.DUMMYFUNCTION("""COMPUTED_VALUE"""),"C1753")</f>
        <v>C1753</v>
      </c>
      <c r="AG91" t="str">
        <f ca="1">IFERROR(__xludf.DUMMYFUNCTION("""COMPUTED_VALUE"""),"1335-01-20")</f>
        <v>1335-01-20</v>
      </c>
      <c r="AI91" t="str">
        <f ca="1">IFERROR(__xludf.DUMMYFUNCTION("""COMPUTED_VALUE"""),"#VALUE!")</f>
        <v>#VALUE!</v>
      </c>
      <c r="AK91" t="str">
        <f ca="1">IFERROR(__xludf.DUMMYFUNCTION("""COMPUTED_VALUE"""),"#VALUE!")</f>
        <v>#VALUE!</v>
      </c>
      <c r="AM91" t="str">
        <f ca="1">IFERROR(__xludf.DUMMYFUNCTION("""COMPUTED_VALUE"""),"#VALUE!")</f>
        <v>#VALUE!</v>
      </c>
      <c r="AO91" t="str">
        <f ca="1">IFERROR(__xludf.DUMMYFUNCTION("""COMPUTED_VALUE"""),"#VALUE!")</f>
        <v>#VALUE!</v>
      </c>
      <c r="AQ91" t="str">
        <f ca="1">IFERROR(__xludf.DUMMYFUNCTION("""COMPUTED_VALUE"""),"#VALUE!")</f>
        <v>#VALUE!</v>
      </c>
      <c r="AS91" t="str">
        <f ca="1">IFERROR(__xludf.DUMMYFUNCTION("""COMPUTED_VALUE"""),"#VALUE!")</f>
        <v>#VALUE!</v>
      </c>
      <c r="AU91" t="str">
        <f ca="1">IFERROR(__xludf.DUMMYFUNCTION("""COMPUTED_VALUE"""),"#VALUE!")</f>
        <v>#VALUE!</v>
      </c>
      <c r="AW91" t="str">
        <f ca="1">IFERROR(__xludf.DUMMYFUNCTION("""COMPUTED_VALUE"""),"#VALUE!")</f>
        <v>#VALUE!</v>
      </c>
      <c r="AY91" t="str">
        <f ca="1">IFERROR(__xludf.DUMMYFUNCTION("""COMPUTED_VALUE"""),"#VALUE!")</f>
        <v>#VALUE!</v>
      </c>
      <c r="BA91" t="str">
        <f ca="1">IFERROR(__xludf.DUMMYFUNCTION("""COMPUTED_VALUE"""),"#VALUE!")</f>
        <v>#VALUE!</v>
      </c>
      <c r="BC91" t="str">
        <f ca="1">IFERROR(__xludf.DUMMYFUNCTION("""COMPUTED_VALUE"""),"#VALUE!")</f>
        <v>#VALUE!</v>
      </c>
      <c r="BE91" t="str">
        <f ca="1">IFERROR(__xludf.DUMMYFUNCTION("""COMPUTED_VALUE"""),"#VALUE!")</f>
        <v>#VALUE!</v>
      </c>
      <c r="BG91" t="str">
        <f ca="1">IFERROR(__xludf.DUMMYFUNCTION("""COMPUTED_VALUE"""),"#VALUE!")</f>
        <v>#VALUE!</v>
      </c>
      <c r="BI91" t="str">
        <f ca="1">IFERROR(__xludf.DUMMYFUNCTION("""COMPUTED_VALUE"""),"#VALUE!")</f>
        <v>#VALUE!</v>
      </c>
      <c r="BK91" t="str">
        <f ca="1">IFERROR(__xludf.DUMMYFUNCTION("""COMPUTED_VALUE"""),"#VALUE!")</f>
        <v>#VALUE!</v>
      </c>
      <c r="BM91" t="str">
        <f ca="1">IFERROR(__xludf.DUMMYFUNCTION("""COMPUTED_VALUE"""),"#VALUE!")</f>
        <v>#VALUE!</v>
      </c>
      <c r="BO91" t="str">
        <f ca="1">IFERROR(__xludf.DUMMYFUNCTION("""COMPUTED_VALUE"""),"#VALUE!")</f>
        <v>#VALUE!</v>
      </c>
      <c r="BQ91" t="str">
        <f ca="1">IFERROR(__xludf.DUMMYFUNCTION("""COMPUTED_VALUE"""),"#VALUE!")</f>
        <v>#VALUE!</v>
      </c>
      <c r="BS91" t="str">
        <f ca="1">IFERROR(__xludf.DUMMYFUNCTION("""COMPUTED_VALUE"""),"#VALUE!")</f>
        <v>#VALUE!</v>
      </c>
      <c r="BU91" t="str">
        <f ca="1">IFERROR(__xludf.DUMMYFUNCTION("""COMPUTED_VALUE"""),"#VALUE!")</f>
        <v>#VALUE!</v>
      </c>
      <c r="BW91" t="str">
        <f ca="1">IFERROR(__xludf.DUMMYFUNCTION("""COMPUTED_VALUE"""),"#VALUE!")</f>
        <v>#VALUE!</v>
      </c>
      <c r="BY91" t="str">
        <f ca="1">IFERROR(__xludf.DUMMYFUNCTION("""COMPUTED_VALUE"""),"#VALUE!")</f>
        <v>#VALUE!</v>
      </c>
      <c r="CA91" t="str">
        <f ca="1">IFERROR(__xludf.DUMMYFUNCTION("""COMPUTED_VALUE"""),"#VALUE!")</f>
        <v>#VALUE!</v>
      </c>
      <c r="CC91" t="str">
        <f ca="1">IFERROR(__xludf.DUMMYFUNCTION("""COMPUTED_VALUE"""),"#VALUE!")</f>
        <v>#VALUE!</v>
      </c>
      <c r="CE91" t="str">
        <f ca="1">IFERROR(__xludf.DUMMYFUNCTION("""COMPUTED_VALUE"""),"#VALUE!")</f>
        <v>#VALUE!</v>
      </c>
      <c r="CG91" t="str">
        <f ca="1">IFERROR(__xludf.DUMMYFUNCTION("""COMPUTED_VALUE"""),"#VALUE!")</f>
        <v>#VALUE!</v>
      </c>
      <c r="CI91" t="str">
        <f ca="1">IFERROR(__xludf.DUMMYFUNCTION("""COMPUTED_VALUE"""),"#VALUE!")</f>
        <v>#VALUE!</v>
      </c>
      <c r="CK91" t="str">
        <f ca="1">IFERROR(__xludf.DUMMYFUNCTION("""COMPUTED_VALUE"""),"#VALUE!")</f>
        <v>#VALUE!</v>
      </c>
      <c r="CR91" t="str">
        <f ca="1">IFERROR(__xludf.DUMMYFUNCTION("""COMPUTED_VALUE"""),"L0001")</f>
        <v>L0001</v>
      </c>
      <c r="CS91" t="str">
        <f ca="1">IFERROR(__xludf.DUMMYFUNCTION("""COMPUTED_VALUE"""),"Giaveno")</f>
        <v>Giaveno</v>
      </c>
      <c r="CU91" t="str">
        <f ca="1">IFERROR(__xludf.DUMMYFUNCTION("""COMPUTED_VALUE"""),"#VALUE!")</f>
        <v>#VALUE!</v>
      </c>
      <c r="CW91" t="str">
        <f ca="1">IFERROR(__xludf.DUMMYFUNCTION("""COMPUTED_VALUE"""),"#VALUE!")</f>
        <v>#VALUE!</v>
      </c>
      <c r="CY91" t="str">
        <f ca="1">IFERROR(__xludf.DUMMYFUNCTION("""COMPUTED_VALUE"""),"#VALUE!")</f>
        <v>#VALUE!</v>
      </c>
      <c r="DC91" t="str">
        <f ca="1">IFERROR(__xludf.DUMMYFUNCTION("""COMPUTED_VALUE"""),"#VALUE!")</f>
        <v>#VALUE!</v>
      </c>
      <c r="DE91" t="str">
        <f ca="1">IFERROR(__xludf.DUMMYFUNCTION("""COMPUTED_VALUE"""),"#VALUE!")</f>
        <v>#VALUE!</v>
      </c>
      <c r="DI91" t="str">
        <f ca="1">IFERROR(__xludf.DUMMYFUNCTION("""COMPUTED_VALUE"""),"#VALUE!")</f>
        <v>#VALUE!</v>
      </c>
      <c r="DJ91" t="str">
        <f ca="1">IFERROR(__xludf.DUMMYFUNCTION("""COMPUTED_VALUE"""),"#VALUE!")</f>
        <v>#VALUE!</v>
      </c>
      <c r="DL91" t="str">
        <f ca="1">IFERROR(__xludf.DUMMYFUNCTION("""COMPUTED_VALUE"""),"Davor Salihović")</f>
        <v>Davor Salihović</v>
      </c>
    </row>
    <row r="92" spans="1:116" ht="13.2" x14ac:dyDescent="0.25">
      <c r="A92" t="str">
        <f ca="1">IFERROR(__xludf.DUMMYFUNCTION("""COMPUTED_VALUE"""),"P0091")</f>
        <v>P0091</v>
      </c>
      <c r="B92" t="str">
        <f ca="1">IFERROR(__xludf.DUMMYFUNCTION("""COMPUTED_VALUE"""),"Agnexona, uxor Aymoneti de Platea")</f>
        <v>Agnexona, uxor Aymoneti de Platea</v>
      </c>
      <c r="D92" t="str">
        <f ca="1">IFERROR(__xludf.DUMMYFUNCTION("""COMPUTED_VALUE"""),"#VALUE!")</f>
        <v>#VALUE!</v>
      </c>
      <c r="E92" t="str">
        <f ca="1">IFERROR(__xludf.DUMMYFUNCTION("""COMPUTED_VALUE"""),"Agnexona")</f>
        <v>Agnexona</v>
      </c>
      <c r="Q92" t="str">
        <f ca="1">IFERROR(__xludf.DUMMYFUNCTION("""COMPUTED_VALUE"""),"uxor Aymoneti de Platea")</f>
        <v>uxor Aymoneti de Platea</v>
      </c>
      <c r="S92" t="str">
        <f ca="1">IFERROR(__xludf.DUMMYFUNCTION("""COMPUTED_VALUE"""),"Latin")</f>
        <v>Latin</v>
      </c>
      <c r="T92" t="str">
        <f ca="1">IFERROR(__xludf.DUMMYFUNCTION("""COMPUTED_VALUE"""),"definite")</f>
        <v>definite</v>
      </c>
      <c r="U92" t="str">
        <f ca="1">IFERROR(__xludf.DUMMYFUNCTION("""COMPUTED_VALUE"""),"C2552")</f>
        <v>C2552</v>
      </c>
      <c r="V92" t="str">
        <f ca="1">IFERROR(__xludf.DUMMYFUNCTION("""COMPUTED_VALUE"""),"female")</f>
        <v>female</v>
      </c>
      <c r="Z92" t="str">
        <f ca="1">IFERROR(__xludf.DUMMYFUNCTION("""COMPUTED_VALUE"""),"167")</f>
        <v>167</v>
      </c>
      <c r="AA92" t="str">
        <f ca="1">IFERROR(__xludf.DUMMYFUNCTION("""COMPUTED_VALUE"""),"d")</f>
        <v>d</v>
      </c>
      <c r="AB92" t="str">
        <f ca="1">IFERROR(__xludf.DUMMYFUNCTION("""COMPUTED_VALUE"""),"informer")</f>
        <v>informer</v>
      </c>
      <c r="AE92" t="str">
        <f ca="1">IFERROR(__xludf.DUMMYFUNCTION("""COMPUTED_VALUE"""),"#VALUE!")</f>
        <v>#VALUE!</v>
      </c>
      <c r="AF92" t="str">
        <f ca="1">IFERROR(__xludf.DUMMYFUNCTION("""COMPUTED_VALUE"""),"#N/A")</f>
        <v>#N/A</v>
      </c>
      <c r="AG92" t="str">
        <f ca="1">IFERROR(__xludf.DUMMYFUNCTION("""COMPUTED_VALUE"""),"#N/A")</f>
        <v>#N/A</v>
      </c>
      <c r="AI92" t="str">
        <f ca="1">IFERROR(__xludf.DUMMYFUNCTION("""COMPUTED_VALUE"""),"#VALUE!")</f>
        <v>#VALUE!</v>
      </c>
      <c r="AK92" t="str">
        <f ca="1">IFERROR(__xludf.DUMMYFUNCTION("""COMPUTED_VALUE"""),"#VALUE!")</f>
        <v>#VALUE!</v>
      </c>
      <c r="AM92" t="str">
        <f ca="1">IFERROR(__xludf.DUMMYFUNCTION("""COMPUTED_VALUE"""),"#VALUE!")</f>
        <v>#VALUE!</v>
      </c>
      <c r="AO92" t="str">
        <f ca="1">IFERROR(__xludf.DUMMYFUNCTION("""COMPUTED_VALUE"""),"#VALUE!")</f>
        <v>#VALUE!</v>
      </c>
      <c r="AQ92" t="str">
        <f ca="1">IFERROR(__xludf.DUMMYFUNCTION("""COMPUTED_VALUE"""),"#VALUE!")</f>
        <v>#VALUE!</v>
      </c>
      <c r="AS92" t="str">
        <f ca="1">IFERROR(__xludf.DUMMYFUNCTION("""COMPUTED_VALUE"""),"#VALUE!")</f>
        <v>#VALUE!</v>
      </c>
      <c r="AU92" t="str">
        <f ca="1">IFERROR(__xludf.DUMMYFUNCTION("""COMPUTED_VALUE"""),"#VALUE!")</f>
        <v>#VALUE!</v>
      </c>
      <c r="AW92" t="str">
        <f ca="1">IFERROR(__xludf.DUMMYFUNCTION("""COMPUTED_VALUE"""),"#VALUE!")</f>
        <v>#VALUE!</v>
      </c>
      <c r="AY92" t="str">
        <f ca="1">IFERROR(__xludf.DUMMYFUNCTION("""COMPUTED_VALUE"""),"#VALUE!")</f>
        <v>#VALUE!</v>
      </c>
      <c r="BA92" t="str">
        <f ca="1">IFERROR(__xludf.DUMMYFUNCTION("""COMPUTED_VALUE"""),"#VALUE!")</f>
        <v>#VALUE!</v>
      </c>
      <c r="BC92" t="str">
        <f ca="1">IFERROR(__xludf.DUMMYFUNCTION("""COMPUTED_VALUE"""),"#VALUE!")</f>
        <v>#VALUE!</v>
      </c>
      <c r="BE92" t="str">
        <f ca="1">IFERROR(__xludf.DUMMYFUNCTION("""COMPUTED_VALUE"""),"#VALUE!")</f>
        <v>#VALUE!</v>
      </c>
      <c r="BG92" t="str">
        <f ca="1">IFERROR(__xludf.DUMMYFUNCTION("""COMPUTED_VALUE"""),"#VALUE!")</f>
        <v>#VALUE!</v>
      </c>
      <c r="BI92" t="str">
        <f ca="1">IFERROR(__xludf.DUMMYFUNCTION("""COMPUTED_VALUE"""),"#VALUE!")</f>
        <v>#VALUE!</v>
      </c>
      <c r="BK92" t="str">
        <f ca="1">IFERROR(__xludf.DUMMYFUNCTION("""COMPUTED_VALUE"""),"#VALUE!")</f>
        <v>#VALUE!</v>
      </c>
      <c r="BM92" t="str">
        <f ca="1">IFERROR(__xludf.DUMMYFUNCTION("""COMPUTED_VALUE"""),"#VALUE!")</f>
        <v>#VALUE!</v>
      </c>
      <c r="BO92" t="str">
        <f ca="1">IFERROR(__xludf.DUMMYFUNCTION("""COMPUTED_VALUE"""),"#VALUE!")</f>
        <v>#VALUE!</v>
      </c>
      <c r="BQ92" t="str">
        <f ca="1">IFERROR(__xludf.DUMMYFUNCTION("""COMPUTED_VALUE"""),"#VALUE!")</f>
        <v>#VALUE!</v>
      </c>
      <c r="BS92" t="str">
        <f ca="1">IFERROR(__xludf.DUMMYFUNCTION("""COMPUTED_VALUE"""),"#VALUE!")</f>
        <v>#VALUE!</v>
      </c>
      <c r="BU92" t="str">
        <f ca="1">IFERROR(__xludf.DUMMYFUNCTION("""COMPUTED_VALUE"""),"#VALUE!")</f>
        <v>#VALUE!</v>
      </c>
      <c r="BW92" t="str">
        <f ca="1">IFERROR(__xludf.DUMMYFUNCTION("""COMPUTED_VALUE"""),"#VALUE!")</f>
        <v>#VALUE!</v>
      </c>
      <c r="BY92" t="str">
        <f ca="1">IFERROR(__xludf.DUMMYFUNCTION("""COMPUTED_VALUE"""),"#VALUE!")</f>
        <v>#VALUE!</v>
      </c>
      <c r="CA92" t="str">
        <f ca="1">IFERROR(__xludf.DUMMYFUNCTION("""COMPUTED_VALUE"""),"#VALUE!")</f>
        <v>#VALUE!</v>
      </c>
      <c r="CC92" t="str">
        <f ca="1">IFERROR(__xludf.DUMMYFUNCTION("""COMPUTED_VALUE"""),"#VALUE!")</f>
        <v>#VALUE!</v>
      </c>
      <c r="CE92" t="str">
        <f ca="1">IFERROR(__xludf.DUMMYFUNCTION("""COMPUTED_VALUE"""),"#VALUE!")</f>
        <v>#VALUE!</v>
      </c>
      <c r="CG92" t="str">
        <f ca="1">IFERROR(__xludf.DUMMYFUNCTION("""COMPUTED_VALUE"""),"#VALUE!")</f>
        <v>#VALUE!</v>
      </c>
      <c r="CI92" t="str">
        <f ca="1">IFERROR(__xludf.DUMMYFUNCTION("""COMPUTED_VALUE"""),"#VALUE!")</f>
        <v>#VALUE!</v>
      </c>
      <c r="CK92" t="str">
        <f ca="1">IFERROR(__xludf.DUMMYFUNCTION("""COMPUTED_VALUE"""),"#VALUE!")</f>
        <v>#VALUE!</v>
      </c>
      <c r="CS92" t="str">
        <f ca="1">IFERROR(__xludf.DUMMYFUNCTION("""COMPUTED_VALUE"""),"#VALUE!")</f>
        <v>#VALUE!</v>
      </c>
      <c r="CU92" t="str">
        <f ca="1">IFERROR(__xludf.DUMMYFUNCTION("""COMPUTED_VALUE"""),"#VALUE!")</f>
        <v>#VALUE!</v>
      </c>
      <c r="CW92" t="str">
        <f ca="1">IFERROR(__xludf.DUMMYFUNCTION("""COMPUTED_VALUE"""),"#VALUE!")</f>
        <v>#VALUE!</v>
      </c>
      <c r="CY92" t="str">
        <f ca="1">IFERROR(__xludf.DUMMYFUNCTION("""COMPUTED_VALUE"""),"#VALUE!")</f>
        <v>#VALUE!</v>
      </c>
      <c r="DC92" t="str">
        <f ca="1">IFERROR(__xludf.DUMMYFUNCTION("""COMPUTED_VALUE"""),"#VALUE!")</f>
        <v>#VALUE!</v>
      </c>
      <c r="DE92" t="str">
        <f ca="1">IFERROR(__xludf.DUMMYFUNCTION("""COMPUTED_VALUE"""),"#VALUE!")</f>
        <v>#VALUE!</v>
      </c>
      <c r="DI92" t="str">
        <f ca="1">IFERROR(__xludf.DUMMYFUNCTION("""COMPUTED_VALUE"""),"#VALUE!")</f>
        <v>#VALUE!</v>
      </c>
      <c r="DJ92" t="str">
        <f ca="1">IFERROR(__xludf.DUMMYFUNCTION("""COMPUTED_VALUE"""),"#VALUE!")</f>
        <v>#VALUE!</v>
      </c>
      <c r="DL92" t="str">
        <f ca="1">IFERROR(__xludf.DUMMYFUNCTION("""COMPUTED_VALUE"""),"Davor Salihović")</f>
        <v>Davor Salihović</v>
      </c>
    </row>
    <row r="93" spans="1:116" ht="13.2" x14ac:dyDescent="0.25">
      <c r="A93" t="str">
        <f ca="1">IFERROR(__xludf.DUMMYFUNCTION("""COMPUTED_VALUE"""),"P0092")</f>
        <v>P0092</v>
      </c>
      <c r="B93" t="str">
        <f ca="1">IFERROR(__xludf.DUMMYFUNCTION("""COMPUTED_VALUE"""),"Aymonetus de Platea")</f>
        <v>Aymonetus de Platea</v>
      </c>
      <c r="D93" t="str">
        <f ca="1">IFERROR(__xludf.DUMMYFUNCTION("""COMPUTED_VALUE"""),"#VALUE!")</f>
        <v>#VALUE!</v>
      </c>
      <c r="E93" t="str">
        <f ca="1">IFERROR(__xludf.DUMMYFUNCTION("""COMPUTED_VALUE"""),"Aymonetus")</f>
        <v>Aymonetus</v>
      </c>
      <c r="J93" t="str">
        <f ca="1">IFERROR(__xludf.DUMMYFUNCTION("""COMPUTED_VALUE"""),"de")</f>
        <v>de</v>
      </c>
      <c r="K93" t="str">
        <f ca="1">IFERROR(__xludf.DUMMYFUNCTION("""COMPUTED_VALUE"""),"Platea")</f>
        <v>Platea</v>
      </c>
      <c r="L93" t="str">
        <f ca="1">IFERROR(__xludf.DUMMYFUNCTION("""COMPUTED_VALUE"""),"de Platea")</f>
        <v>de Platea</v>
      </c>
      <c r="S93" t="str">
        <f ca="1">IFERROR(__xludf.DUMMYFUNCTION("""COMPUTED_VALUE"""),"Latin")</f>
        <v>Latin</v>
      </c>
      <c r="T93" t="str">
        <f ca="1">IFERROR(__xludf.DUMMYFUNCTION("""COMPUTED_VALUE"""),"definite")</f>
        <v>definite</v>
      </c>
      <c r="U93" t="str">
        <f ca="1">IFERROR(__xludf.DUMMYFUNCTION("""COMPUTED_VALUE"""),"C2553")</f>
        <v>C2553</v>
      </c>
      <c r="V93" t="str">
        <f ca="1">IFERROR(__xludf.DUMMYFUNCTION("""COMPUTED_VALUE"""),"male")</f>
        <v>male</v>
      </c>
      <c r="Z93" t="str">
        <f ca="1">IFERROR(__xludf.DUMMYFUNCTION("""COMPUTED_VALUE"""),"167")</f>
        <v>167</v>
      </c>
      <c r="AA93" t="str">
        <f ca="1">IFERROR(__xludf.DUMMYFUNCTION("""COMPUTED_VALUE"""),"o")</f>
        <v>o</v>
      </c>
      <c r="AB93" t="str">
        <f ca="1">IFERROR(__xludf.DUMMYFUNCTION("""COMPUTED_VALUE"""),"NA")</f>
        <v>NA</v>
      </c>
      <c r="AE93" t="str">
        <f ca="1">IFERROR(__xludf.DUMMYFUNCTION("""COMPUTED_VALUE"""),"#VALUE!")</f>
        <v>#VALUE!</v>
      </c>
      <c r="AF93" t="str">
        <f ca="1">IFERROR(__xludf.DUMMYFUNCTION("""COMPUTED_VALUE"""),"#N/A")</f>
        <v>#N/A</v>
      </c>
      <c r="AG93" t="str">
        <f ca="1">IFERROR(__xludf.DUMMYFUNCTION("""COMPUTED_VALUE"""),"#N/A")</f>
        <v>#N/A</v>
      </c>
      <c r="AH93" t="str">
        <f ca="1">IFERROR(__xludf.DUMMYFUNCTION("""COMPUTED_VALUE"""),"C2348")</f>
        <v>C2348</v>
      </c>
      <c r="AI93" t="str">
        <f ca="1">IFERROR(__xludf.DUMMYFUNCTION("""COMPUTED_VALUE"""),"wife")</f>
        <v>wife</v>
      </c>
      <c r="AJ93" t="str">
        <f ca="1">IFERROR(__xludf.DUMMYFUNCTION("""COMPUTED_VALUE"""),"P0091")</f>
        <v>P0091</v>
      </c>
      <c r="AK93" t="str">
        <f ca="1">IFERROR(__xludf.DUMMYFUNCTION("""COMPUTED_VALUE"""),"Agnexona, uxor Aymoneti de Platea")</f>
        <v>Agnexona, uxor Aymoneti de Platea</v>
      </c>
      <c r="AM93" t="str">
        <f ca="1">IFERROR(__xludf.DUMMYFUNCTION("""COMPUTED_VALUE"""),"#VALUE!")</f>
        <v>#VALUE!</v>
      </c>
      <c r="AO93" t="str">
        <f ca="1">IFERROR(__xludf.DUMMYFUNCTION("""COMPUTED_VALUE"""),"#VALUE!")</f>
        <v>#VALUE!</v>
      </c>
      <c r="AQ93" t="str">
        <f ca="1">IFERROR(__xludf.DUMMYFUNCTION("""COMPUTED_VALUE"""),"#VALUE!")</f>
        <v>#VALUE!</v>
      </c>
      <c r="AS93" t="str">
        <f ca="1">IFERROR(__xludf.DUMMYFUNCTION("""COMPUTED_VALUE"""),"#VALUE!")</f>
        <v>#VALUE!</v>
      </c>
      <c r="AU93" t="str">
        <f ca="1">IFERROR(__xludf.DUMMYFUNCTION("""COMPUTED_VALUE"""),"#VALUE!")</f>
        <v>#VALUE!</v>
      </c>
      <c r="AW93" t="str">
        <f ca="1">IFERROR(__xludf.DUMMYFUNCTION("""COMPUTED_VALUE"""),"#VALUE!")</f>
        <v>#VALUE!</v>
      </c>
      <c r="AY93" t="str">
        <f ca="1">IFERROR(__xludf.DUMMYFUNCTION("""COMPUTED_VALUE"""),"#VALUE!")</f>
        <v>#VALUE!</v>
      </c>
      <c r="BA93" t="str">
        <f ca="1">IFERROR(__xludf.DUMMYFUNCTION("""COMPUTED_VALUE"""),"#VALUE!")</f>
        <v>#VALUE!</v>
      </c>
      <c r="BC93" t="str">
        <f ca="1">IFERROR(__xludf.DUMMYFUNCTION("""COMPUTED_VALUE"""),"#VALUE!")</f>
        <v>#VALUE!</v>
      </c>
      <c r="BE93" t="str">
        <f ca="1">IFERROR(__xludf.DUMMYFUNCTION("""COMPUTED_VALUE"""),"#VALUE!")</f>
        <v>#VALUE!</v>
      </c>
      <c r="BG93" t="str">
        <f ca="1">IFERROR(__xludf.DUMMYFUNCTION("""COMPUTED_VALUE"""),"#VALUE!")</f>
        <v>#VALUE!</v>
      </c>
      <c r="BI93" t="str">
        <f ca="1">IFERROR(__xludf.DUMMYFUNCTION("""COMPUTED_VALUE"""),"#VALUE!")</f>
        <v>#VALUE!</v>
      </c>
      <c r="BK93" t="str">
        <f ca="1">IFERROR(__xludf.DUMMYFUNCTION("""COMPUTED_VALUE"""),"#VALUE!")</f>
        <v>#VALUE!</v>
      </c>
      <c r="BM93" t="str">
        <f ca="1">IFERROR(__xludf.DUMMYFUNCTION("""COMPUTED_VALUE"""),"#VALUE!")</f>
        <v>#VALUE!</v>
      </c>
      <c r="BO93" t="str">
        <f ca="1">IFERROR(__xludf.DUMMYFUNCTION("""COMPUTED_VALUE"""),"#VALUE!")</f>
        <v>#VALUE!</v>
      </c>
      <c r="BQ93" t="str">
        <f ca="1">IFERROR(__xludf.DUMMYFUNCTION("""COMPUTED_VALUE"""),"#VALUE!")</f>
        <v>#VALUE!</v>
      </c>
      <c r="BS93" t="str">
        <f ca="1">IFERROR(__xludf.DUMMYFUNCTION("""COMPUTED_VALUE"""),"#VALUE!")</f>
        <v>#VALUE!</v>
      </c>
      <c r="BU93" t="str">
        <f ca="1">IFERROR(__xludf.DUMMYFUNCTION("""COMPUTED_VALUE"""),"#VALUE!")</f>
        <v>#VALUE!</v>
      </c>
      <c r="BW93" t="str">
        <f ca="1">IFERROR(__xludf.DUMMYFUNCTION("""COMPUTED_VALUE"""),"#VALUE!")</f>
        <v>#VALUE!</v>
      </c>
      <c r="BY93" t="str">
        <f ca="1">IFERROR(__xludf.DUMMYFUNCTION("""COMPUTED_VALUE"""),"#VALUE!")</f>
        <v>#VALUE!</v>
      </c>
      <c r="CA93" t="str">
        <f ca="1">IFERROR(__xludf.DUMMYFUNCTION("""COMPUTED_VALUE"""),"#VALUE!")</f>
        <v>#VALUE!</v>
      </c>
      <c r="CC93" t="str">
        <f ca="1">IFERROR(__xludf.DUMMYFUNCTION("""COMPUTED_VALUE"""),"#VALUE!")</f>
        <v>#VALUE!</v>
      </c>
      <c r="CE93" t="str">
        <f ca="1">IFERROR(__xludf.DUMMYFUNCTION("""COMPUTED_VALUE"""),"#VALUE!")</f>
        <v>#VALUE!</v>
      </c>
      <c r="CG93" t="str">
        <f ca="1">IFERROR(__xludf.DUMMYFUNCTION("""COMPUTED_VALUE"""),"#VALUE!")</f>
        <v>#VALUE!</v>
      </c>
      <c r="CI93" t="str">
        <f ca="1">IFERROR(__xludf.DUMMYFUNCTION("""COMPUTED_VALUE"""),"#VALUE!")</f>
        <v>#VALUE!</v>
      </c>
      <c r="CK93" t="str">
        <f ca="1">IFERROR(__xludf.DUMMYFUNCTION("""COMPUTED_VALUE"""),"#VALUE!")</f>
        <v>#VALUE!</v>
      </c>
      <c r="CS93" t="str">
        <f ca="1">IFERROR(__xludf.DUMMYFUNCTION("""COMPUTED_VALUE"""),"#VALUE!")</f>
        <v>#VALUE!</v>
      </c>
      <c r="CU93" t="str">
        <f ca="1">IFERROR(__xludf.DUMMYFUNCTION("""COMPUTED_VALUE"""),"#VALUE!")</f>
        <v>#VALUE!</v>
      </c>
      <c r="CW93" t="str">
        <f ca="1">IFERROR(__xludf.DUMMYFUNCTION("""COMPUTED_VALUE"""),"#VALUE!")</f>
        <v>#VALUE!</v>
      </c>
      <c r="CY93" t="str">
        <f ca="1">IFERROR(__xludf.DUMMYFUNCTION("""COMPUTED_VALUE"""),"#VALUE!")</f>
        <v>#VALUE!</v>
      </c>
      <c r="DC93" t="str">
        <f ca="1">IFERROR(__xludf.DUMMYFUNCTION("""COMPUTED_VALUE"""),"#VALUE!")</f>
        <v>#VALUE!</v>
      </c>
      <c r="DE93" t="str">
        <f ca="1">IFERROR(__xludf.DUMMYFUNCTION("""COMPUTED_VALUE"""),"#VALUE!")</f>
        <v>#VALUE!</v>
      </c>
      <c r="DI93" t="str">
        <f ca="1">IFERROR(__xludf.DUMMYFUNCTION("""COMPUTED_VALUE"""),"#VALUE!")</f>
        <v>#VALUE!</v>
      </c>
      <c r="DJ93" t="str">
        <f ca="1">IFERROR(__xludf.DUMMYFUNCTION("""COMPUTED_VALUE"""),"#VALUE!")</f>
        <v>#VALUE!</v>
      </c>
      <c r="DL93" t="str">
        <f ca="1">IFERROR(__xludf.DUMMYFUNCTION("""COMPUTED_VALUE"""),"Davor Salihović")</f>
        <v>Davor Salihović</v>
      </c>
    </row>
    <row r="94" spans="1:116" ht="13.2" x14ac:dyDescent="0.25">
      <c r="A94" t="str">
        <f ca="1">IFERROR(__xludf.DUMMYFUNCTION("""COMPUTED_VALUE"""),"P0093")</f>
        <v>P0093</v>
      </c>
      <c r="B94" t="str">
        <f ca="1">IFERROR(__xludf.DUMMYFUNCTION("""COMPUTED_VALUE"""),"Brutinus")</f>
        <v>Brutinus</v>
      </c>
      <c r="D94" t="str">
        <f ca="1">IFERROR(__xludf.DUMMYFUNCTION("""COMPUTED_VALUE"""),"#VALUE!")</f>
        <v>#VALUE!</v>
      </c>
      <c r="E94" t="str">
        <f ca="1">IFERROR(__xludf.DUMMYFUNCTION("""COMPUTED_VALUE"""),"Brutinus")</f>
        <v>Brutinus</v>
      </c>
      <c r="Q94" t="str">
        <f ca="1">IFERROR(__xludf.DUMMYFUNCTION("""COMPUTED_VALUE"""),"famulus Villelmeti Domenici")</f>
        <v>famulus Villelmeti Domenici</v>
      </c>
      <c r="S94" t="str">
        <f ca="1">IFERROR(__xludf.DUMMYFUNCTION("""COMPUTED_VALUE"""),"Latin")</f>
        <v>Latin</v>
      </c>
      <c r="T94" t="str">
        <f ca="1">IFERROR(__xludf.DUMMYFUNCTION("""COMPUTED_VALUE"""),"definite")</f>
        <v>definite</v>
      </c>
      <c r="U94" t="str">
        <f ca="1">IFERROR(__xludf.DUMMYFUNCTION("""COMPUTED_VALUE"""),"C2553")</f>
        <v>C2553</v>
      </c>
      <c r="V94" t="str">
        <f ca="1">IFERROR(__xludf.DUMMYFUNCTION("""COMPUTED_VALUE"""),"male")</f>
        <v>male</v>
      </c>
      <c r="Z94" t="str">
        <f ca="1">IFERROR(__xludf.DUMMYFUNCTION("""COMPUTED_VALUE"""),"167")</f>
        <v>167</v>
      </c>
      <c r="AA94" t="str">
        <f ca="1">IFERROR(__xludf.DUMMYFUNCTION("""COMPUTED_VALUE"""),"d")</f>
        <v>d</v>
      </c>
      <c r="AB94" t="str">
        <f ca="1">IFERROR(__xludf.DUMMYFUNCTION("""COMPUTED_VALUE"""),"suspect")</f>
        <v>suspect</v>
      </c>
      <c r="AE94" t="str">
        <f ca="1">IFERROR(__xludf.DUMMYFUNCTION("""COMPUTED_VALUE"""),"#VALUE!")</f>
        <v>#VALUE!</v>
      </c>
      <c r="AF94" t="str">
        <f ca="1">IFERROR(__xludf.DUMMYFUNCTION("""COMPUTED_VALUE"""),"#N/A")</f>
        <v>#N/A</v>
      </c>
      <c r="AG94" t="str">
        <f ca="1">IFERROR(__xludf.DUMMYFUNCTION("""COMPUTED_VALUE"""),"#N/A")</f>
        <v>#N/A</v>
      </c>
      <c r="AI94" t="str">
        <f ca="1">IFERROR(__xludf.DUMMYFUNCTION("""COMPUTED_VALUE"""),"#VALUE!")</f>
        <v>#VALUE!</v>
      </c>
      <c r="AK94" t="str">
        <f ca="1">IFERROR(__xludf.DUMMYFUNCTION("""COMPUTED_VALUE"""),"#VALUE!")</f>
        <v>#VALUE!</v>
      </c>
      <c r="AM94" t="str">
        <f ca="1">IFERROR(__xludf.DUMMYFUNCTION("""COMPUTED_VALUE"""),"#VALUE!")</f>
        <v>#VALUE!</v>
      </c>
      <c r="AO94" t="str">
        <f ca="1">IFERROR(__xludf.DUMMYFUNCTION("""COMPUTED_VALUE"""),"#VALUE!")</f>
        <v>#VALUE!</v>
      </c>
      <c r="AQ94" t="str">
        <f ca="1">IFERROR(__xludf.DUMMYFUNCTION("""COMPUTED_VALUE"""),"#VALUE!")</f>
        <v>#VALUE!</v>
      </c>
      <c r="AS94" t="str">
        <f ca="1">IFERROR(__xludf.DUMMYFUNCTION("""COMPUTED_VALUE"""),"#VALUE!")</f>
        <v>#VALUE!</v>
      </c>
      <c r="AU94" t="str">
        <f ca="1">IFERROR(__xludf.DUMMYFUNCTION("""COMPUTED_VALUE"""),"#VALUE!")</f>
        <v>#VALUE!</v>
      </c>
      <c r="AW94" t="str">
        <f ca="1">IFERROR(__xludf.DUMMYFUNCTION("""COMPUTED_VALUE"""),"#VALUE!")</f>
        <v>#VALUE!</v>
      </c>
      <c r="AY94" t="str">
        <f ca="1">IFERROR(__xludf.DUMMYFUNCTION("""COMPUTED_VALUE"""),"#VALUE!")</f>
        <v>#VALUE!</v>
      </c>
      <c r="BA94" t="str">
        <f ca="1">IFERROR(__xludf.DUMMYFUNCTION("""COMPUTED_VALUE"""),"#VALUE!")</f>
        <v>#VALUE!</v>
      </c>
      <c r="BC94" t="str">
        <f ca="1">IFERROR(__xludf.DUMMYFUNCTION("""COMPUTED_VALUE"""),"#VALUE!")</f>
        <v>#VALUE!</v>
      </c>
      <c r="BE94" t="str">
        <f ca="1">IFERROR(__xludf.DUMMYFUNCTION("""COMPUTED_VALUE"""),"#VALUE!")</f>
        <v>#VALUE!</v>
      </c>
      <c r="BG94" t="str">
        <f ca="1">IFERROR(__xludf.DUMMYFUNCTION("""COMPUTED_VALUE"""),"#VALUE!")</f>
        <v>#VALUE!</v>
      </c>
      <c r="BI94" t="str">
        <f ca="1">IFERROR(__xludf.DUMMYFUNCTION("""COMPUTED_VALUE"""),"#VALUE!")</f>
        <v>#VALUE!</v>
      </c>
      <c r="BK94" t="str">
        <f ca="1">IFERROR(__xludf.DUMMYFUNCTION("""COMPUTED_VALUE"""),"#VALUE!")</f>
        <v>#VALUE!</v>
      </c>
      <c r="BM94" t="str">
        <f ca="1">IFERROR(__xludf.DUMMYFUNCTION("""COMPUTED_VALUE"""),"#VALUE!")</f>
        <v>#VALUE!</v>
      </c>
      <c r="BO94" t="str">
        <f ca="1">IFERROR(__xludf.DUMMYFUNCTION("""COMPUTED_VALUE"""),"#VALUE!")</f>
        <v>#VALUE!</v>
      </c>
      <c r="BQ94" t="str">
        <f ca="1">IFERROR(__xludf.DUMMYFUNCTION("""COMPUTED_VALUE"""),"#VALUE!")</f>
        <v>#VALUE!</v>
      </c>
      <c r="BS94" t="str">
        <f ca="1">IFERROR(__xludf.DUMMYFUNCTION("""COMPUTED_VALUE"""),"#VALUE!")</f>
        <v>#VALUE!</v>
      </c>
      <c r="BU94" t="str">
        <f ca="1">IFERROR(__xludf.DUMMYFUNCTION("""COMPUTED_VALUE"""),"#VALUE!")</f>
        <v>#VALUE!</v>
      </c>
      <c r="BW94" t="str">
        <f ca="1">IFERROR(__xludf.DUMMYFUNCTION("""COMPUTED_VALUE"""),"#VALUE!")</f>
        <v>#VALUE!</v>
      </c>
      <c r="BY94" t="str">
        <f ca="1">IFERROR(__xludf.DUMMYFUNCTION("""COMPUTED_VALUE"""),"#VALUE!")</f>
        <v>#VALUE!</v>
      </c>
      <c r="CA94" t="str">
        <f ca="1">IFERROR(__xludf.DUMMYFUNCTION("""COMPUTED_VALUE"""),"#VALUE!")</f>
        <v>#VALUE!</v>
      </c>
      <c r="CC94" t="str">
        <f ca="1">IFERROR(__xludf.DUMMYFUNCTION("""COMPUTED_VALUE"""),"#VALUE!")</f>
        <v>#VALUE!</v>
      </c>
      <c r="CD94" t="str">
        <f ca="1">IFERROR(__xludf.DUMMYFUNCTION("""COMPUTED_VALUE"""),"C3598")</f>
        <v>C3598</v>
      </c>
      <c r="CE94" t="str">
        <f ca="1">IFERROR(__xludf.DUMMYFUNCTION("""COMPUTED_VALUE"""),"location of congregation")</f>
        <v>location of congregation</v>
      </c>
      <c r="CF94" t="str">
        <f ca="1">IFERROR(__xludf.DUMMYFUNCTION("""COMPUTED_VALUE"""),"L0025")</f>
        <v>L0025</v>
      </c>
      <c r="CG94" t="str">
        <f ca="1">IFERROR(__xludf.DUMMYFUNCTION("""COMPUTED_VALUE"""),"domus Villelmeti Domenici")</f>
        <v>domus Villelmeti Domenici</v>
      </c>
      <c r="CI94" t="str">
        <f ca="1">IFERROR(__xludf.DUMMYFUNCTION("""COMPUTED_VALUE"""),"#VALUE!")</f>
        <v>#VALUE!</v>
      </c>
      <c r="CK94" t="str">
        <f ca="1">IFERROR(__xludf.DUMMYFUNCTION("""COMPUTED_VALUE"""),"#VALUE!")</f>
        <v>#VALUE!</v>
      </c>
      <c r="CS94" t="str">
        <f ca="1">IFERROR(__xludf.DUMMYFUNCTION("""COMPUTED_VALUE"""),"#VALUE!")</f>
        <v>#VALUE!</v>
      </c>
      <c r="CU94" t="str">
        <f ca="1">IFERROR(__xludf.DUMMYFUNCTION("""COMPUTED_VALUE"""),"#VALUE!")</f>
        <v>#VALUE!</v>
      </c>
      <c r="CW94" t="str">
        <f ca="1">IFERROR(__xludf.DUMMYFUNCTION("""COMPUTED_VALUE"""),"#VALUE!")</f>
        <v>#VALUE!</v>
      </c>
      <c r="CX94" t="str">
        <f ca="1">IFERROR(__xludf.DUMMYFUNCTION("""COMPUTED_VALUE"""),"C3192#C3193")</f>
        <v>C3192#C3193</v>
      </c>
      <c r="CY94" t="str">
        <f ca="1">IFERROR(__xludf.DUMMYFUNCTION("""COMPUTED_VALUE"""),"famulus #magister Valdensium")</f>
        <v>famulus #magister Valdensium</v>
      </c>
      <c r="DA94" t="str">
        <f ca="1">IFERROR(__xludf.DUMMYFUNCTION("""COMPUTED_VALUE"""),"servant")</f>
        <v>servant</v>
      </c>
      <c r="DB94" t="str">
        <f ca="1">IFERROR(__xludf.DUMMYFUNCTION("""COMPUTED_VALUE"""),"C3192")</f>
        <v>C3192</v>
      </c>
      <c r="DC94" t="str">
        <f ca="1">IFERROR(__xludf.DUMMYFUNCTION("""COMPUTED_VALUE"""),"famulus")</f>
        <v>famulus</v>
      </c>
      <c r="DD94" t="str">
        <f ca="1">IFERROR(__xludf.DUMMYFUNCTION("""COMPUTED_VALUE"""),"C3193")</f>
        <v>C3193</v>
      </c>
      <c r="DE94" t="str">
        <f ca="1">IFERROR(__xludf.DUMMYFUNCTION("""COMPUTED_VALUE"""),"magister Valdensium")</f>
        <v>magister Valdensium</v>
      </c>
      <c r="DH94" t="str">
        <f ca="1">IFERROR(__xludf.DUMMYFUNCTION("""COMPUTED_VALUE"""),"L0025")</f>
        <v>L0025</v>
      </c>
      <c r="DI94" t="str">
        <f ca="1">IFERROR(__xludf.DUMMYFUNCTION("""COMPUTED_VALUE"""),"domus Villelmeti Domenici")</f>
        <v>domus Villelmeti Domenici</v>
      </c>
      <c r="DJ94" t="str">
        <f ca="1">IFERROR(__xludf.DUMMYFUNCTION("""COMPUTED_VALUE"""),"domus")</f>
        <v>domus</v>
      </c>
      <c r="DL94" t="str">
        <f ca="1">IFERROR(__xludf.DUMMYFUNCTION("""COMPUTED_VALUE"""),"Davor Salihović")</f>
        <v>Davor Salihović</v>
      </c>
    </row>
    <row r="95" spans="1:116" ht="13.2" x14ac:dyDescent="0.25">
      <c r="A95" t="str">
        <f ca="1">IFERROR(__xludf.DUMMYFUNCTION("""COMPUTED_VALUE"""),"P0094")</f>
        <v>P0094</v>
      </c>
      <c r="B95" t="str">
        <f ca="1">IFERROR(__xludf.DUMMYFUNCTION("""COMPUTED_VALUE"""),"Villelmetus Domenicus")</f>
        <v>Villelmetus Domenicus</v>
      </c>
      <c r="D95" t="str">
        <f ca="1">IFERROR(__xludf.DUMMYFUNCTION("""COMPUTED_VALUE"""),"#VALUE!")</f>
        <v>#VALUE!</v>
      </c>
      <c r="E95" t="str">
        <f ca="1">IFERROR(__xludf.DUMMYFUNCTION("""COMPUTED_VALUE"""),"Villelmetus")</f>
        <v>Villelmetus</v>
      </c>
      <c r="K95" t="str">
        <f ca="1">IFERROR(__xludf.DUMMYFUNCTION("""COMPUTED_VALUE"""),"Domenicus")</f>
        <v>Domenicus</v>
      </c>
      <c r="L95" t="str">
        <f ca="1">IFERROR(__xludf.DUMMYFUNCTION("""COMPUTED_VALUE"""),"Domenicus")</f>
        <v>Domenicus</v>
      </c>
      <c r="S95" t="str">
        <f ca="1">IFERROR(__xludf.DUMMYFUNCTION("""COMPUTED_VALUE"""),"Latin")</f>
        <v>Latin</v>
      </c>
      <c r="T95" t="str">
        <f ca="1">IFERROR(__xludf.DUMMYFUNCTION("""COMPUTED_VALUE"""),"definite")</f>
        <v>definite</v>
      </c>
      <c r="U95" t="str">
        <f ca="1">IFERROR(__xludf.DUMMYFUNCTION("""COMPUTED_VALUE"""),"C2553")</f>
        <v>C2553</v>
      </c>
      <c r="V95" t="str">
        <f ca="1">IFERROR(__xludf.DUMMYFUNCTION("""COMPUTED_VALUE"""),"male")</f>
        <v>male</v>
      </c>
      <c r="Z95" t="str">
        <f ca="1">IFERROR(__xludf.DUMMYFUNCTION("""COMPUTED_VALUE"""),"167, 168, 169, 170, 171, 177, 190, 191, 194, 196, 238")</f>
        <v>167, 168, 169, 170, 171, 177, 190, 191, 194, 196, 238</v>
      </c>
      <c r="AA95" t="str">
        <f ca="1">IFERROR(__xludf.DUMMYFUNCTION("""COMPUTED_VALUE"""),"d")</f>
        <v>d</v>
      </c>
      <c r="AB95" t="str">
        <f ca="1">IFERROR(__xludf.DUMMYFUNCTION("""COMPUTED_VALUE"""),"suspect")</f>
        <v>suspect</v>
      </c>
      <c r="AE95" t="str">
        <f ca="1">IFERROR(__xludf.DUMMYFUNCTION("""COMPUTED_VALUE"""),"#VALUE!")</f>
        <v>#VALUE!</v>
      </c>
      <c r="AF95" t="str">
        <f ca="1">IFERROR(__xludf.DUMMYFUNCTION("""COMPUTED_VALUE"""),"#N/A")</f>
        <v>#N/A</v>
      </c>
      <c r="AG95" t="str">
        <f ca="1">IFERROR(__xludf.DUMMYFUNCTION("""COMPUTED_VALUE"""),"#N/A")</f>
        <v>#N/A</v>
      </c>
      <c r="AH95" t="str">
        <f ca="1">IFERROR(__xludf.DUMMYFUNCTION("""COMPUTED_VALUE"""),"C2345")</f>
        <v>C2345</v>
      </c>
      <c r="AI95" t="str">
        <f ca="1">IFERROR(__xludf.DUMMYFUNCTION("""COMPUTED_VALUE"""),"servant")</f>
        <v>servant</v>
      </c>
      <c r="AJ95" t="str">
        <f ca="1">IFERROR(__xludf.DUMMYFUNCTION("""COMPUTED_VALUE"""),"P0053")</f>
        <v>P0053</v>
      </c>
      <c r="AK95" t="str">
        <f ca="1">IFERROR(__xludf.DUMMYFUNCTION("""COMPUTED_VALUE"""),"Iohannes Gauterii")</f>
        <v>Iohannes Gauterii</v>
      </c>
      <c r="AL95" t="str">
        <f ca="1">IFERROR(__xludf.DUMMYFUNCTION("""COMPUTED_VALUE"""),"C2345")</f>
        <v>C2345</v>
      </c>
      <c r="AM95" t="str">
        <f ca="1">IFERROR(__xludf.DUMMYFUNCTION("""COMPUTED_VALUE"""),"servant")</f>
        <v>servant</v>
      </c>
      <c r="AN95" t="str">
        <f ca="1">IFERROR(__xludf.DUMMYFUNCTION("""COMPUTED_VALUE"""),"P0093")</f>
        <v>P0093</v>
      </c>
      <c r="AO95" t="str">
        <f ca="1">IFERROR(__xludf.DUMMYFUNCTION("""COMPUTED_VALUE"""),"Brutinus")</f>
        <v>Brutinus</v>
      </c>
      <c r="AP95" t="str">
        <f ca="1">IFERROR(__xludf.DUMMYFUNCTION("""COMPUTED_VALUE"""),"C2336")</f>
        <v>C2336</v>
      </c>
      <c r="AQ95" t="str">
        <f ca="1">IFERROR(__xludf.DUMMYFUNCTION("""COMPUTED_VALUE"""),"son")</f>
        <v>son</v>
      </c>
      <c r="AR95" t="str">
        <f ca="1">IFERROR(__xludf.DUMMYFUNCTION("""COMPUTED_VALUE"""),"P0208")</f>
        <v>P0208</v>
      </c>
      <c r="AS95" t="str">
        <f ca="1">IFERROR(__xludf.DUMMYFUNCTION("""COMPUTED_VALUE"""),"Martinus Dominici")</f>
        <v>Martinus Dominici</v>
      </c>
      <c r="AT95" t="str">
        <f ca="1">IFERROR(__xludf.DUMMYFUNCTION("""COMPUTED_VALUE"""),"C2336")</f>
        <v>C2336</v>
      </c>
      <c r="AU95" t="str">
        <f ca="1">IFERROR(__xludf.DUMMYFUNCTION("""COMPUTED_VALUE"""),"son")</f>
        <v>son</v>
      </c>
      <c r="AV95" t="str">
        <f ca="1">IFERROR(__xludf.DUMMYFUNCTION("""COMPUTED_VALUE"""),"P0311")</f>
        <v>P0311</v>
      </c>
      <c r="AW95" t="str">
        <f ca="1">IFERROR(__xludf.DUMMYFUNCTION("""COMPUTED_VALUE"""),"Coletus, filius Villelmeti Dominici")</f>
        <v>Coletus, filius Villelmeti Dominici</v>
      </c>
      <c r="AX95" t="str">
        <f ca="1">IFERROR(__xludf.DUMMYFUNCTION("""COMPUTED_VALUE"""),"C0718")</f>
        <v>C0718</v>
      </c>
      <c r="AY95" t="str">
        <f ca="1">IFERROR(__xludf.DUMMYFUNCTION("""COMPUTED_VALUE"""),"familia")</f>
        <v>familia</v>
      </c>
      <c r="AZ95" t="str">
        <f ca="1">IFERROR(__xludf.DUMMYFUNCTION("""COMPUTED_VALUE"""),"G0019")</f>
        <v>G0019</v>
      </c>
      <c r="BA95" t="str">
        <f ca="1">IFERROR(__xludf.DUMMYFUNCTION("""COMPUTED_VALUE"""),"familia Villelmeti Dominici")</f>
        <v>familia Villelmeti Dominici</v>
      </c>
      <c r="BC95" t="str">
        <f ca="1">IFERROR(__xludf.DUMMYFUNCTION("""COMPUTED_VALUE"""),"#VALUE!")</f>
        <v>#VALUE!</v>
      </c>
      <c r="BE95" t="str">
        <f ca="1">IFERROR(__xludf.DUMMYFUNCTION("""COMPUTED_VALUE"""),"#VALUE!")</f>
        <v>#VALUE!</v>
      </c>
      <c r="BG95" t="str">
        <f ca="1">IFERROR(__xludf.DUMMYFUNCTION("""COMPUTED_VALUE"""),"#VALUE!")</f>
        <v>#VALUE!</v>
      </c>
      <c r="BI95" t="str">
        <f ca="1">IFERROR(__xludf.DUMMYFUNCTION("""COMPUTED_VALUE"""),"#VALUE!")</f>
        <v>#VALUE!</v>
      </c>
      <c r="BK95" t="str">
        <f ca="1">IFERROR(__xludf.DUMMYFUNCTION("""COMPUTED_VALUE"""),"#VALUE!")</f>
        <v>#VALUE!</v>
      </c>
      <c r="BM95" t="str">
        <f ca="1">IFERROR(__xludf.DUMMYFUNCTION("""COMPUTED_VALUE"""),"#VALUE!")</f>
        <v>#VALUE!</v>
      </c>
      <c r="BO95" t="str">
        <f ca="1">IFERROR(__xludf.DUMMYFUNCTION("""COMPUTED_VALUE"""),"#VALUE!")</f>
        <v>#VALUE!</v>
      </c>
      <c r="BQ95" t="str">
        <f ca="1">IFERROR(__xludf.DUMMYFUNCTION("""COMPUTED_VALUE"""),"#VALUE!")</f>
        <v>#VALUE!</v>
      </c>
      <c r="BS95" t="str">
        <f ca="1">IFERROR(__xludf.DUMMYFUNCTION("""COMPUTED_VALUE"""),"#VALUE!")</f>
        <v>#VALUE!</v>
      </c>
      <c r="BU95" t="str">
        <f ca="1">IFERROR(__xludf.DUMMYFUNCTION("""COMPUTED_VALUE"""),"#VALUE!")</f>
        <v>#VALUE!</v>
      </c>
      <c r="BW95" t="str">
        <f ca="1">IFERROR(__xludf.DUMMYFUNCTION("""COMPUTED_VALUE"""),"#VALUE!")</f>
        <v>#VALUE!</v>
      </c>
      <c r="BY95" t="str">
        <f ca="1">IFERROR(__xludf.DUMMYFUNCTION("""COMPUTED_VALUE"""),"#VALUE!")</f>
        <v>#VALUE!</v>
      </c>
      <c r="CA95" t="str">
        <f ca="1">IFERROR(__xludf.DUMMYFUNCTION("""COMPUTED_VALUE"""),"#VALUE!")</f>
        <v>#VALUE!</v>
      </c>
      <c r="CC95" t="str">
        <f ca="1">IFERROR(__xludf.DUMMYFUNCTION("""COMPUTED_VALUE"""),"#VALUE!")</f>
        <v>#VALUE!</v>
      </c>
      <c r="CD95" t="str">
        <f ca="1">IFERROR(__xludf.DUMMYFUNCTION("""COMPUTED_VALUE"""),"C3598")</f>
        <v>C3598</v>
      </c>
      <c r="CE95" t="str">
        <f ca="1">IFERROR(__xludf.DUMMYFUNCTION("""COMPUTED_VALUE"""),"location of congregation")</f>
        <v>location of congregation</v>
      </c>
      <c r="CF95" t="str">
        <f ca="1">IFERROR(__xludf.DUMMYFUNCTION("""COMPUTED_VALUE"""),"L0025")</f>
        <v>L0025</v>
      </c>
      <c r="CG95" t="str">
        <f ca="1">IFERROR(__xludf.DUMMYFUNCTION("""COMPUTED_VALUE"""),"domus Villelmeti Domenici")</f>
        <v>domus Villelmeti Domenici</v>
      </c>
      <c r="CI95" t="str">
        <f ca="1">IFERROR(__xludf.DUMMYFUNCTION("""COMPUTED_VALUE"""),"#VALUE!")</f>
        <v>#VALUE!</v>
      </c>
      <c r="CK95" t="str">
        <f ca="1">IFERROR(__xludf.DUMMYFUNCTION("""COMPUTED_VALUE"""),"#VALUE!")</f>
        <v>#VALUE!</v>
      </c>
      <c r="CS95" t="str">
        <f ca="1">IFERROR(__xludf.DUMMYFUNCTION("""COMPUTED_VALUE"""),"#VALUE!")</f>
        <v>#VALUE!</v>
      </c>
      <c r="CU95" t="str">
        <f ca="1">IFERROR(__xludf.DUMMYFUNCTION("""COMPUTED_VALUE"""),"#VALUE!")</f>
        <v>#VALUE!</v>
      </c>
      <c r="CV95" t="str">
        <f ca="1">IFERROR(__xludf.DUMMYFUNCTION("""COMPUTED_VALUE"""),"L0024")</f>
        <v>L0024</v>
      </c>
      <c r="CW95" t="str">
        <f ca="1">IFERROR(__xludf.DUMMYFUNCTION("""COMPUTED_VALUE"""),"Villanova")</f>
        <v>Villanova</v>
      </c>
      <c r="CY95" t="str">
        <f ca="1">IFERROR(__xludf.DUMMYFUNCTION("""COMPUTED_VALUE"""),"#VALUE!")</f>
        <v>#VALUE!</v>
      </c>
      <c r="DC95" t="str">
        <f ca="1">IFERROR(__xludf.DUMMYFUNCTION("""COMPUTED_VALUE"""),"#VALUE!")</f>
        <v>#VALUE!</v>
      </c>
      <c r="DE95" t="str">
        <f ca="1">IFERROR(__xludf.DUMMYFUNCTION("""COMPUTED_VALUE"""),"#VALUE!")</f>
        <v>#VALUE!</v>
      </c>
      <c r="DH95" t="str">
        <f ca="1">IFERROR(__xludf.DUMMYFUNCTION("""COMPUTED_VALUE"""),"L0025")</f>
        <v>L0025</v>
      </c>
      <c r="DI95" t="str">
        <f ca="1">IFERROR(__xludf.DUMMYFUNCTION("""COMPUTED_VALUE"""),"domus Villelmeti Domenici")</f>
        <v>domus Villelmeti Domenici</v>
      </c>
      <c r="DJ95" t="str">
        <f ca="1">IFERROR(__xludf.DUMMYFUNCTION("""COMPUTED_VALUE"""),"domus")</f>
        <v>domus</v>
      </c>
      <c r="DL95" t="str">
        <f ca="1">IFERROR(__xludf.DUMMYFUNCTION("""COMPUTED_VALUE"""),"Davor Salihović")</f>
        <v>Davor Salihović</v>
      </c>
    </row>
    <row r="96" spans="1:116" ht="13.2" x14ac:dyDescent="0.25">
      <c r="A96" t="str">
        <f ca="1">IFERROR(__xludf.DUMMYFUNCTION("""COMPUTED_VALUE"""),"P0095")</f>
        <v>P0095</v>
      </c>
      <c r="B96" t="str">
        <f ca="1">IFERROR(__xludf.DUMMYFUNCTION("""COMPUTED_VALUE"""),"Perrotus Baronus")</f>
        <v>Perrotus Baronus</v>
      </c>
      <c r="D96" t="str">
        <f ca="1">IFERROR(__xludf.DUMMYFUNCTION("""COMPUTED_VALUE"""),"#VALUE!")</f>
        <v>#VALUE!</v>
      </c>
      <c r="E96" t="str">
        <f ca="1">IFERROR(__xludf.DUMMYFUNCTION("""COMPUTED_VALUE"""),"Perrotus")</f>
        <v>Perrotus</v>
      </c>
      <c r="K96" t="str">
        <f ca="1">IFERROR(__xludf.DUMMYFUNCTION("""COMPUTED_VALUE"""),"Baronus")</f>
        <v>Baronus</v>
      </c>
      <c r="L96" t="str">
        <f ca="1">IFERROR(__xludf.DUMMYFUNCTION("""COMPUTED_VALUE"""),"Baronus")</f>
        <v>Baronus</v>
      </c>
      <c r="S96" t="str">
        <f ca="1">IFERROR(__xludf.DUMMYFUNCTION("""COMPUTED_VALUE"""),"Latin")</f>
        <v>Latin</v>
      </c>
      <c r="T96" t="str">
        <f ca="1">IFERROR(__xludf.DUMMYFUNCTION("""COMPUTED_VALUE"""),"definite")</f>
        <v>definite</v>
      </c>
      <c r="U96" t="str">
        <f ca="1">IFERROR(__xludf.DUMMYFUNCTION("""COMPUTED_VALUE"""),"C2553")</f>
        <v>C2553</v>
      </c>
      <c r="V96" t="str">
        <f ca="1">IFERROR(__xludf.DUMMYFUNCTION("""COMPUTED_VALUE"""),"male")</f>
        <v>male</v>
      </c>
      <c r="Z96" t="str">
        <f ca="1">IFERROR(__xludf.DUMMYFUNCTION("""COMPUTED_VALUE"""),"167")</f>
        <v>167</v>
      </c>
      <c r="AA96" t="str">
        <f ca="1">IFERROR(__xludf.DUMMYFUNCTION("""COMPUTED_VALUE"""),"d")</f>
        <v>d</v>
      </c>
      <c r="AB96" t="str">
        <f ca="1">IFERROR(__xludf.DUMMYFUNCTION("""COMPUTED_VALUE"""),"NA")</f>
        <v>NA</v>
      </c>
      <c r="AE96" t="str">
        <f ca="1">IFERROR(__xludf.DUMMYFUNCTION("""COMPUTED_VALUE"""),"#VALUE!")</f>
        <v>#VALUE!</v>
      </c>
      <c r="AF96" t="str">
        <f ca="1">IFERROR(__xludf.DUMMYFUNCTION("""COMPUTED_VALUE"""),"#N/A")</f>
        <v>#N/A</v>
      </c>
      <c r="AG96" t="str">
        <f ca="1">IFERROR(__xludf.DUMMYFUNCTION("""COMPUTED_VALUE"""),"#N/A")</f>
        <v>#N/A</v>
      </c>
      <c r="AI96" t="str">
        <f ca="1">IFERROR(__xludf.DUMMYFUNCTION("""COMPUTED_VALUE"""),"#VALUE!")</f>
        <v>#VALUE!</v>
      </c>
      <c r="AK96" t="str">
        <f ca="1">IFERROR(__xludf.DUMMYFUNCTION("""COMPUTED_VALUE"""),"#VALUE!")</f>
        <v>#VALUE!</v>
      </c>
      <c r="AM96" t="str">
        <f ca="1">IFERROR(__xludf.DUMMYFUNCTION("""COMPUTED_VALUE"""),"#VALUE!")</f>
        <v>#VALUE!</v>
      </c>
      <c r="AO96" t="str">
        <f ca="1">IFERROR(__xludf.DUMMYFUNCTION("""COMPUTED_VALUE"""),"#VALUE!")</f>
        <v>#VALUE!</v>
      </c>
      <c r="AQ96" t="str">
        <f ca="1">IFERROR(__xludf.DUMMYFUNCTION("""COMPUTED_VALUE"""),"#VALUE!")</f>
        <v>#VALUE!</v>
      </c>
      <c r="AS96" t="str">
        <f ca="1">IFERROR(__xludf.DUMMYFUNCTION("""COMPUTED_VALUE"""),"#VALUE!")</f>
        <v>#VALUE!</v>
      </c>
      <c r="AU96" t="str">
        <f ca="1">IFERROR(__xludf.DUMMYFUNCTION("""COMPUTED_VALUE"""),"#VALUE!")</f>
        <v>#VALUE!</v>
      </c>
      <c r="AW96" t="str">
        <f ca="1">IFERROR(__xludf.DUMMYFUNCTION("""COMPUTED_VALUE"""),"#VALUE!")</f>
        <v>#VALUE!</v>
      </c>
      <c r="AY96" t="str">
        <f ca="1">IFERROR(__xludf.DUMMYFUNCTION("""COMPUTED_VALUE"""),"#VALUE!")</f>
        <v>#VALUE!</v>
      </c>
      <c r="BA96" t="str">
        <f ca="1">IFERROR(__xludf.DUMMYFUNCTION("""COMPUTED_VALUE"""),"#VALUE!")</f>
        <v>#VALUE!</v>
      </c>
      <c r="BC96" t="str">
        <f ca="1">IFERROR(__xludf.DUMMYFUNCTION("""COMPUTED_VALUE"""),"#VALUE!")</f>
        <v>#VALUE!</v>
      </c>
      <c r="BE96" t="str">
        <f ca="1">IFERROR(__xludf.DUMMYFUNCTION("""COMPUTED_VALUE"""),"#VALUE!")</f>
        <v>#VALUE!</v>
      </c>
      <c r="BG96" t="str">
        <f ca="1">IFERROR(__xludf.DUMMYFUNCTION("""COMPUTED_VALUE"""),"#VALUE!")</f>
        <v>#VALUE!</v>
      </c>
      <c r="BI96" t="str">
        <f ca="1">IFERROR(__xludf.DUMMYFUNCTION("""COMPUTED_VALUE"""),"#VALUE!")</f>
        <v>#VALUE!</v>
      </c>
      <c r="BK96" t="str">
        <f ca="1">IFERROR(__xludf.DUMMYFUNCTION("""COMPUTED_VALUE"""),"#VALUE!")</f>
        <v>#VALUE!</v>
      </c>
      <c r="BM96" t="str">
        <f ca="1">IFERROR(__xludf.DUMMYFUNCTION("""COMPUTED_VALUE"""),"#VALUE!")</f>
        <v>#VALUE!</v>
      </c>
      <c r="BO96" t="str">
        <f ca="1">IFERROR(__xludf.DUMMYFUNCTION("""COMPUTED_VALUE"""),"#VALUE!")</f>
        <v>#VALUE!</v>
      </c>
      <c r="BQ96" t="str">
        <f ca="1">IFERROR(__xludf.DUMMYFUNCTION("""COMPUTED_VALUE"""),"#VALUE!")</f>
        <v>#VALUE!</v>
      </c>
      <c r="BS96" t="str">
        <f ca="1">IFERROR(__xludf.DUMMYFUNCTION("""COMPUTED_VALUE"""),"#VALUE!")</f>
        <v>#VALUE!</v>
      </c>
      <c r="BU96" t="str">
        <f ca="1">IFERROR(__xludf.DUMMYFUNCTION("""COMPUTED_VALUE"""),"#VALUE!")</f>
        <v>#VALUE!</v>
      </c>
      <c r="BW96" t="str">
        <f ca="1">IFERROR(__xludf.DUMMYFUNCTION("""COMPUTED_VALUE"""),"#VALUE!")</f>
        <v>#VALUE!</v>
      </c>
      <c r="BY96" t="str">
        <f ca="1">IFERROR(__xludf.DUMMYFUNCTION("""COMPUTED_VALUE"""),"#VALUE!")</f>
        <v>#VALUE!</v>
      </c>
      <c r="CA96" t="str">
        <f ca="1">IFERROR(__xludf.DUMMYFUNCTION("""COMPUTED_VALUE"""),"#VALUE!")</f>
        <v>#VALUE!</v>
      </c>
      <c r="CC96" t="str">
        <f ca="1">IFERROR(__xludf.DUMMYFUNCTION("""COMPUTED_VALUE"""),"#VALUE!")</f>
        <v>#VALUE!</v>
      </c>
      <c r="CE96" t="str">
        <f ca="1">IFERROR(__xludf.DUMMYFUNCTION("""COMPUTED_VALUE"""),"#VALUE!")</f>
        <v>#VALUE!</v>
      </c>
      <c r="CG96" t="str">
        <f ca="1">IFERROR(__xludf.DUMMYFUNCTION("""COMPUTED_VALUE"""),"#VALUE!")</f>
        <v>#VALUE!</v>
      </c>
      <c r="CI96" t="str">
        <f ca="1">IFERROR(__xludf.DUMMYFUNCTION("""COMPUTED_VALUE"""),"#VALUE!")</f>
        <v>#VALUE!</v>
      </c>
      <c r="CK96" t="str">
        <f ca="1">IFERROR(__xludf.DUMMYFUNCTION("""COMPUTED_VALUE"""),"#VALUE!")</f>
        <v>#VALUE!</v>
      </c>
      <c r="CS96" t="str">
        <f ca="1">IFERROR(__xludf.DUMMYFUNCTION("""COMPUTED_VALUE"""),"#VALUE!")</f>
        <v>#VALUE!</v>
      </c>
      <c r="CU96" t="str">
        <f ca="1">IFERROR(__xludf.DUMMYFUNCTION("""COMPUTED_VALUE"""),"#VALUE!")</f>
        <v>#VALUE!</v>
      </c>
      <c r="CW96" t="str">
        <f ca="1">IFERROR(__xludf.DUMMYFUNCTION("""COMPUTED_VALUE"""),"#VALUE!")</f>
        <v>#VALUE!</v>
      </c>
      <c r="CY96" t="str">
        <f ca="1">IFERROR(__xludf.DUMMYFUNCTION("""COMPUTED_VALUE"""),"#VALUE!")</f>
        <v>#VALUE!</v>
      </c>
      <c r="DC96" t="str">
        <f ca="1">IFERROR(__xludf.DUMMYFUNCTION("""COMPUTED_VALUE"""),"#VALUE!")</f>
        <v>#VALUE!</v>
      </c>
      <c r="DE96" t="str">
        <f ca="1">IFERROR(__xludf.DUMMYFUNCTION("""COMPUTED_VALUE"""),"#VALUE!")</f>
        <v>#VALUE!</v>
      </c>
      <c r="DI96" t="str">
        <f ca="1">IFERROR(__xludf.DUMMYFUNCTION("""COMPUTED_VALUE"""),"#VALUE!")</f>
        <v>#VALUE!</v>
      </c>
      <c r="DJ96" t="str">
        <f ca="1">IFERROR(__xludf.DUMMYFUNCTION("""COMPUTED_VALUE"""),"#VALUE!")</f>
        <v>#VALUE!</v>
      </c>
      <c r="DL96" t="str">
        <f ca="1">IFERROR(__xludf.DUMMYFUNCTION("""COMPUTED_VALUE"""),"Davor Salihović")</f>
        <v>Davor Salihović</v>
      </c>
    </row>
    <row r="97" spans="1:116" ht="13.2" x14ac:dyDescent="0.25">
      <c r="A97" t="str">
        <f ca="1">IFERROR(__xludf.DUMMYFUNCTION("""COMPUTED_VALUE"""),"P0096")</f>
        <v>P0096</v>
      </c>
      <c r="B97" t="str">
        <f ca="1">IFERROR(__xludf.DUMMYFUNCTION("""COMPUTED_VALUE"""),"Henrietus Bonini")</f>
        <v>Henrietus Bonini</v>
      </c>
      <c r="D97" t="str">
        <f ca="1">IFERROR(__xludf.DUMMYFUNCTION("""COMPUTED_VALUE"""),"#VALUE!")</f>
        <v>#VALUE!</v>
      </c>
      <c r="E97" t="str">
        <f ca="1">IFERROR(__xludf.DUMMYFUNCTION("""COMPUTED_VALUE"""),"Henrietus")</f>
        <v>Henrietus</v>
      </c>
      <c r="K97" t="str">
        <f ca="1">IFERROR(__xludf.DUMMYFUNCTION("""COMPUTED_VALUE"""),"Bonini")</f>
        <v>Bonini</v>
      </c>
      <c r="L97" t="str">
        <f ca="1">IFERROR(__xludf.DUMMYFUNCTION("""COMPUTED_VALUE"""),"Bonini")</f>
        <v>Bonini</v>
      </c>
      <c r="S97" t="str">
        <f ca="1">IFERROR(__xludf.DUMMYFUNCTION("""COMPUTED_VALUE"""),"Latin")</f>
        <v>Latin</v>
      </c>
      <c r="T97" t="str">
        <f ca="1">IFERROR(__xludf.DUMMYFUNCTION("""COMPUTED_VALUE"""),"indefinite")</f>
        <v>indefinite</v>
      </c>
      <c r="U97" t="str">
        <f ca="1">IFERROR(__xludf.DUMMYFUNCTION("""COMPUTED_VALUE"""),"C2553")</f>
        <v>C2553</v>
      </c>
      <c r="V97" t="str">
        <f ca="1">IFERROR(__xludf.DUMMYFUNCTION("""COMPUTED_VALUE"""),"male")</f>
        <v>male</v>
      </c>
      <c r="Z97" t="str">
        <f ca="1">IFERROR(__xludf.DUMMYFUNCTION("""COMPUTED_VALUE"""),"167")</f>
        <v>167</v>
      </c>
      <c r="AA97" t="str">
        <f ca="1">IFERROR(__xludf.DUMMYFUNCTION("""COMPUTED_VALUE"""),"d")</f>
        <v>d</v>
      </c>
      <c r="AB97" t="str">
        <f ca="1">IFERROR(__xludf.DUMMYFUNCTION("""COMPUTED_VALUE"""),"NA")</f>
        <v>NA</v>
      </c>
      <c r="AE97" t="str">
        <f ca="1">IFERROR(__xludf.DUMMYFUNCTION("""COMPUTED_VALUE"""),"#VALUE!")</f>
        <v>#VALUE!</v>
      </c>
      <c r="AF97" t="str">
        <f ca="1">IFERROR(__xludf.DUMMYFUNCTION("""COMPUTED_VALUE"""),"#N/A")</f>
        <v>#N/A</v>
      </c>
      <c r="AG97" t="str">
        <f ca="1">IFERROR(__xludf.DUMMYFUNCTION("""COMPUTED_VALUE"""),"#N/A")</f>
        <v>#N/A</v>
      </c>
      <c r="AI97" t="str">
        <f ca="1">IFERROR(__xludf.DUMMYFUNCTION("""COMPUTED_VALUE"""),"#VALUE!")</f>
        <v>#VALUE!</v>
      </c>
      <c r="AK97" t="str">
        <f ca="1">IFERROR(__xludf.DUMMYFUNCTION("""COMPUTED_VALUE"""),"#VALUE!")</f>
        <v>#VALUE!</v>
      </c>
      <c r="AM97" t="str">
        <f ca="1">IFERROR(__xludf.DUMMYFUNCTION("""COMPUTED_VALUE"""),"#VALUE!")</f>
        <v>#VALUE!</v>
      </c>
      <c r="AO97" t="str">
        <f ca="1">IFERROR(__xludf.DUMMYFUNCTION("""COMPUTED_VALUE"""),"#VALUE!")</f>
        <v>#VALUE!</v>
      </c>
      <c r="AQ97" t="str">
        <f ca="1">IFERROR(__xludf.DUMMYFUNCTION("""COMPUTED_VALUE"""),"#VALUE!")</f>
        <v>#VALUE!</v>
      </c>
      <c r="AS97" t="str">
        <f ca="1">IFERROR(__xludf.DUMMYFUNCTION("""COMPUTED_VALUE"""),"#VALUE!")</f>
        <v>#VALUE!</v>
      </c>
      <c r="AU97" t="str">
        <f ca="1">IFERROR(__xludf.DUMMYFUNCTION("""COMPUTED_VALUE"""),"#VALUE!")</f>
        <v>#VALUE!</v>
      </c>
      <c r="AW97" t="str">
        <f ca="1">IFERROR(__xludf.DUMMYFUNCTION("""COMPUTED_VALUE"""),"#VALUE!")</f>
        <v>#VALUE!</v>
      </c>
      <c r="AY97" t="str">
        <f ca="1">IFERROR(__xludf.DUMMYFUNCTION("""COMPUTED_VALUE"""),"#VALUE!")</f>
        <v>#VALUE!</v>
      </c>
      <c r="BA97" t="str">
        <f ca="1">IFERROR(__xludf.DUMMYFUNCTION("""COMPUTED_VALUE"""),"#VALUE!")</f>
        <v>#VALUE!</v>
      </c>
      <c r="BC97" t="str">
        <f ca="1">IFERROR(__xludf.DUMMYFUNCTION("""COMPUTED_VALUE"""),"#VALUE!")</f>
        <v>#VALUE!</v>
      </c>
      <c r="BE97" t="str">
        <f ca="1">IFERROR(__xludf.DUMMYFUNCTION("""COMPUTED_VALUE"""),"#VALUE!")</f>
        <v>#VALUE!</v>
      </c>
      <c r="BG97" t="str">
        <f ca="1">IFERROR(__xludf.DUMMYFUNCTION("""COMPUTED_VALUE"""),"#VALUE!")</f>
        <v>#VALUE!</v>
      </c>
      <c r="BI97" t="str">
        <f ca="1">IFERROR(__xludf.DUMMYFUNCTION("""COMPUTED_VALUE"""),"#VALUE!")</f>
        <v>#VALUE!</v>
      </c>
      <c r="BK97" t="str">
        <f ca="1">IFERROR(__xludf.DUMMYFUNCTION("""COMPUTED_VALUE"""),"#VALUE!")</f>
        <v>#VALUE!</v>
      </c>
      <c r="BM97" t="str">
        <f ca="1">IFERROR(__xludf.DUMMYFUNCTION("""COMPUTED_VALUE"""),"#VALUE!")</f>
        <v>#VALUE!</v>
      </c>
      <c r="BO97" t="str">
        <f ca="1">IFERROR(__xludf.DUMMYFUNCTION("""COMPUTED_VALUE"""),"#VALUE!")</f>
        <v>#VALUE!</v>
      </c>
      <c r="BQ97" t="str">
        <f ca="1">IFERROR(__xludf.DUMMYFUNCTION("""COMPUTED_VALUE"""),"#VALUE!")</f>
        <v>#VALUE!</v>
      </c>
      <c r="BS97" t="str">
        <f ca="1">IFERROR(__xludf.DUMMYFUNCTION("""COMPUTED_VALUE"""),"#VALUE!")</f>
        <v>#VALUE!</v>
      </c>
      <c r="BU97" t="str">
        <f ca="1">IFERROR(__xludf.DUMMYFUNCTION("""COMPUTED_VALUE"""),"#VALUE!")</f>
        <v>#VALUE!</v>
      </c>
      <c r="BW97" t="str">
        <f ca="1">IFERROR(__xludf.DUMMYFUNCTION("""COMPUTED_VALUE"""),"#VALUE!")</f>
        <v>#VALUE!</v>
      </c>
      <c r="BY97" t="str">
        <f ca="1">IFERROR(__xludf.DUMMYFUNCTION("""COMPUTED_VALUE"""),"#VALUE!")</f>
        <v>#VALUE!</v>
      </c>
      <c r="CA97" t="str">
        <f ca="1">IFERROR(__xludf.DUMMYFUNCTION("""COMPUTED_VALUE"""),"#VALUE!")</f>
        <v>#VALUE!</v>
      </c>
      <c r="CC97" t="str">
        <f ca="1">IFERROR(__xludf.DUMMYFUNCTION("""COMPUTED_VALUE"""),"#VALUE!")</f>
        <v>#VALUE!</v>
      </c>
      <c r="CE97" t="str">
        <f ca="1">IFERROR(__xludf.DUMMYFUNCTION("""COMPUTED_VALUE"""),"#VALUE!")</f>
        <v>#VALUE!</v>
      </c>
      <c r="CG97" t="str">
        <f ca="1">IFERROR(__xludf.DUMMYFUNCTION("""COMPUTED_VALUE"""),"#VALUE!")</f>
        <v>#VALUE!</v>
      </c>
      <c r="CI97" t="str">
        <f ca="1">IFERROR(__xludf.DUMMYFUNCTION("""COMPUTED_VALUE"""),"#VALUE!")</f>
        <v>#VALUE!</v>
      </c>
      <c r="CK97" t="str">
        <f ca="1">IFERROR(__xludf.DUMMYFUNCTION("""COMPUTED_VALUE"""),"#VALUE!")</f>
        <v>#VALUE!</v>
      </c>
      <c r="CS97" t="str">
        <f ca="1">IFERROR(__xludf.DUMMYFUNCTION("""COMPUTED_VALUE"""),"#VALUE!")</f>
        <v>#VALUE!</v>
      </c>
      <c r="CU97" t="str">
        <f ca="1">IFERROR(__xludf.DUMMYFUNCTION("""COMPUTED_VALUE"""),"#VALUE!")</f>
        <v>#VALUE!</v>
      </c>
      <c r="CW97" t="str">
        <f ca="1">IFERROR(__xludf.DUMMYFUNCTION("""COMPUTED_VALUE"""),"#VALUE!")</f>
        <v>#VALUE!</v>
      </c>
      <c r="CY97" t="str">
        <f ca="1">IFERROR(__xludf.DUMMYFUNCTION("""COMPUTED_VALUE"""),"#VALUE!")</f>
        <v>#VALUE!</v>
      </c>
      <c r="DC97" t="str">
        <f ca="1">IFERROR(__xludf.DUMMYFUNCTION("""COMPUTED_VALUE"""),"#VALUE!")</f>
        <v>#VALUE!</v>
      </c>
      <c r="DE97" t="str">
        <f ca="1">IFERROR(__xludf.DUMMYFUNCTION("""COMPUTED_VALUE"""),"#VALUE!")</f>
        <v>#VALUE!</v>
      </c>
      <c r="DI97" t="str">
        <f ca="1">IFERROR(__xludf.DUMMYFUNCTION("""COMPUTED_VALUE"""),"#VALUE!")</f>
        <v>#VALUE!</v>
      </c>
      <c r="DJ97" t="str">
        <f ca="1">IFERROR(__xludf.DUMMYFUNCTION("""COMPUTED_VALUE"""),"#VALUE!")</f>
        <v>#VALUE!</v>
      </c>
      <c r="DK97" t="str">
        <f ca="1">IFERROR(__xludf.DUMMYFUNCTION("""COMPUTED_VALUE"""),"probably the same as P0088 (Henricus Bonini)")</f>
        <v>probably the same as P0088 (Henricus Bonini)</v>
      </c>
      <c r="DL97" t="str">
        <f ca="1">IFERROR(__xludf.DUMMYFUNCTION("""COMPUTED_VALUE"""),"Davor Salihović")</f>
        <v>Davor Salihović</v>
      </c>
    </row>
    <row r="98" spans="1:116" ht="13.2" x14ac:dyDescent="0.25">
      <c r="A98" t="str">
        <f ca="1">IFERROR(__xludf.DUMMYFUNCTION("""COMPUTED_VALUE"""),"P0097")</f>
        <v>P0097</v>
      </c>
      <c r="B98" t="str">
        <f ca="1">IFERROR(__xludf.DUMMYFUNCTION("""COMPUTED_VALUE"""),"Aleysina, uxor Henrieti Bonini")</f>
        <v>Aleysina, uxor Henrieti Bonini</v>
      </c>
      <c r="D98" t="str">
        <f ca="1">IFERROR(__xludf.DUMMYFUNCTION("""COMPUTED_VALUE"""),"#VALUE!")</f>
        <v>#VALUE!</v>
      </c>
      <c r="E98" t="str">
        <f ca="1">IFERROR(__xludf.DUMMYFUNCTION("""COMPUTED_VALUE"""),"Aleysina")</f>
        <v>Aleysina</v>
      </c>
      <c r="Q98" t="str">
        <f ca="1">IFERROR(__xludf.DUMMYFUNCTION("""COMPUTED_VALUE"""),"uxor Henrieti Bonini")</f>
        <v>uxor Henrieti Bonini</v>
      </c>
      <c r="S98" t="str">
        <f ca="1">IFERROR(__xludf.DUMMYFUNCTION("""COMPUTED_VALUE"""),"Latin")</f>
        <v>Latin</v>
      </c>
      <c r="T98" t="str">
        <f ca="1">IFERROR(__xludf.DUMMYFUNCTION("""COMPUTED_VALUE"""),"definite")</f>
        <v>definite</v>
      </c>
      <c r="U98" t="str">
        <f ca="1">IFERROR(__xludf.DUMMYFUNCTION("""COMPUTED_VALUE"""),"C2552")</f>
        <v>C2552</v>
      </c>
      <c r="V98" t="str">
        <f ca="1">IFERROR(__xludf.DUMMYFUNCTION("""COMPUTED_VALUE"""),"female")</f>
        <v>female</v>
      </c>
      <c r="Z98" t="str">
        <f ca="1">IFERROR(__xludf.DUMMYFUNCTION("""COMPUTED_VALUE"""),"167, 168")</f>
        <v>167, 168</v>
      </c>
      <c r="AA98" t="str">
        <f ca="1">IFERROR(__xludf.DUMMYFUNCTION("""COMPUTED_VALUE"""),"d")</f>
        <v>d</v>
      </c>
      <c r="AB98" t="str">
        <f ca="1">IFERROR(__xludf.DUMMYFUNCTION("""COMPUTED_VALUE"""),"NA")</f>
        <v>NA</v>
      </c>
      <c r="AE98" t="str">
        <f ca="1">IFERROR(__xludf.DUMMYFUNCTION("""COMPUTED_VALUE"""),"#VALUE!")</f>
        <v>#VALUE!</v>
      </c>
      <c r="AF98" t="str">
        <f ca="1">IFERROR(__xludf.DUMMYFUNCTION("""COMPUTED_VALUE"""),"#N/A")</f>
        <v>#N/A</v>
      </c>
      <c r="AG98" t="str">
        <f ca="1">IFERROR(__xludf.DUMMYFUNCTION("""COMPUTED_VALUE"""),"#N/A")</f>
        <v>#N/A</v>
      </c>
      <c r="AH98" t="str">
        <f ca="1">IFERROR(__xludf.DUMMYFUNCTION("""COMPUTED_VALUE"""),"C2347")</f>
        <v>C2347</v>
      </c>
      <c r="AI98" t="str">
        <f ca="1">IFERROR(__xludf.DUMMYFUNCTION("""COMPUTED_VALUE"""),"sister")</f>
        <v>sister</v>
      </c>
      <c r="AJ98" t="str">
        <f ca="1">IFERROR(__xludf.DUMMYFUNCTION("""COMPUTED_VALUE"""),"P0122")</f>
        <v>P0122</v>
      </c>
      <c r="AK98" t="str">
        <f ca="1">IFERROR(__xludf.DUMMYFUNCTION("""COMPUTED_VALUE"""),"soror uxoris Henrici Bonini")</f>
        <v>soror uxoris Henrici Bonini</v>
      </c>
      <c r="AM98" t="str">
        <f ca="1">IFERROR(__xludf.DUMMYFUNCTION("""COMPUTED_VALUE"""),"#VALUE!")</f>
        <v>#VALUE!</v>
      </c>
      <c r="AO98" t="str">
        <f ca="1">IFERROR(__xludf.DUMMYFUNCTION("""COMPUTED_VALUE"""),"#VALUE!")</f>
        <v>#VALUE!</v>
      </c>
      <c r="AQ98" t="str">
        <f ca="1">IFERROR(__xludf.DUMMYFUNCTION("""COMPUTED_VALUE"""),"#VALUE!")</f>
        <v>#VALUE!</v>
      </c>
      <c r="AS98" t="str">
        <f ca="1">IFERROR(__xludf.DUMMYFUNCTION("""COMPUTED_VALUE"""),"#VALUE!")</f>
        <v>#VALUE!</v>
      </c>
      <c r="AU98" t="str">
        <f ca="1">IFERROR(__xludf.DUMMYFUNCTION("""COMPUTED_VALUE"""),"#VALUE!")</f>
        <v>#VALUE!</v>
      </c>
      <c r="AW98" t="str">
        <f ca="1">IFERROR(__xludf.DUMMYFUNCTION("""COMPUTED_VALUE"""),"#VALUE!")</f>
        <v>#VALUE!</v>
      </c>
      <c r="AY98" t="str">
        <f ca="1">IFERROR(__xludf.DUMMYFUNCTION("""COMPUTED_VALUE"""),"#VALUE!")</f>
        <v>#VALUE!</v>
      </c>
      <c r="BA98" t="str">
        <f ca="1">IFERROR(__xludf.DUMMYFUNCTION("""COMPUTED_VALUE"""),"#VALUE!")</f>
        <v>#VALUE!</v>
      </c>
      <c r="BC98" t="str">
        <f ca="1">IFERROR(__xludf.DUMMYFUNCTION("""COMPUTED_VALUE"""),"#VALUE!")</f>
        <v>#VALUE!</v>
      </c>
      <c r="BE98" t="str">
        <f ca="1">IFERROR(__xludf.DUMMYFUNCTION("""COMPUTED_VALUE"""),"#VALUE!")</f>
        <v>#VALUE!</v>
      </c>
      <c r="BG98" t="str">
        <f ca="1">IFERROR(__xludf.DUMMYFUNCTION("""COMPUTED_VALUE"""),"#VALUE!")</f>
        <v>#VALUE!</v>
      </c>
      <c r="BI98" t="str">
        <f ca="1">IFERROR(__xludf.DUMMYFUNCTION("""COMPUTED_VALUE"""),"#VALUE!")</f>
        <v>#VALUE!</v>
      </c>
      <c r="BK98" t="str">
        <f ca="1">IFERROR(__xludf.DUMMYFUNCTION("""COMPUTED_VALUE"""),"#VALUE!")</f>
        <v>#VALUE!</v>
      </c>
      <c r="BM98" t="str">
        <f ca="1">IFERROR(__xludf.DUMMYFUNCTION("""COMPUTED_VALUE"""),"#VALUE!")</f>
        <v>#VALUE!</v>
      </c>
      <c r="BO98" t="str">
        <f ca="1">IFERROR(__xludf.DUMMYFUNCTION("""COMPUTED_VALUE"""),"#VALUE!")</f>
        <v>#VALUE!</v>
      </c>
      <c r="BQ98" t="str">
        <f ca="1">IFERROR(__xludf.DUMMYFUNCTION("""COMPUTED_VALUE"""),"#VALUE!")</f>
        <v>#VALUE!</v>
      </c>
      <c r="BS98" t="str">
        <f ca="1">IFERROR(__xludf.DUMMYFUNCTION("""COMPUTED_VALUE"""),"#VALUE!")</f>
        <v>#VALUE!</v>
      </c>
      <c r="BU98" t="str">
        <f ca="1">IFERROR(__xludf.DUMMYFUNCTION("""COMPUTED_VALUE"""),"#VALUE!")</f>
        <v>#VALUE!</v>
      </c>
      <c r="BW98" t="str">
        <f ca="1">IFERROR(__xludf.DUMMYFUNCTION("""COMPUTED_VALUE"""),"#VALUE!")</f>
        <v>#VALUE!</v>
      </c>
      <c r="BY98" t="str">
        <f ca="1">IFERROR(__xludf.DUMMYFUNCTION("""COMPUTED_VALUE"""),"#VALUE!")</f>
        <v>#VALUE!</v>
      </c>
      <c r="CA98" t="str">
        <f ca="1">IFERROR(__xludf.DUMMYFUNCTION("""COMPUTED_VALUE"""),"#VALUE!")</f>
        <v>#VALUE!</v>
      </c>
      <c r="CC98" t="str">
        <f ca="1">IFERROR(__xludf.DUMMYFUNCTION("""COMPUTED_VALUE"""),"#VALUE!")</f>
        <v>#VALUE!</v>
      </c>
      <c r="CE98" t="str">
        <f ca="1">IFERROR(__xludf.DUMMYFUNCTION("""COMPUTED_VALUE"""),"#VALUE!")</f>
        <v>#VALUE!</v>
      </c>
      <c r="CG98" t="str">
        <f ca="1">IFERROR(__xludf.DUMMYFUNCTION("""COMPUTED_VALUE"""),"#VALUE!")</f>
        <v>#VALUE!</v>
      </c>
      <c r="CI98" t="str">
        <f ca="1">IFERROR(__xludf.DUMMYFUNCTION("""COMPUTED_VALUE"""),"#VALUE!")</f>
        <v>#VALUE!</v>
      </c>
      <c r="CK98" t="str">
        <f ca="1">IFERROR(__xludf.DUMMYFUNCTION("""COMPUTED_VALUE"""),"#VALUE!")</f>
        <v>#VALUE!</v>
      </c>
      <c r="CS98" t="str">
        <f ca="1">IFERROR(__xludf.DUMMYFUNCTION("""COMPUTED_VALUE"""),"#VALUE!")</f>
        <v>#VALUE!</v>
      </c>
      <c r="CU98" t="str">
        <f ca="1">IFERROR(__xludf.DUMMYFUNCTION("""COMPUTED_VALUE"""),"#VALUE!")</f>
        <v>#VALUE!</v>
      </c>
      <c r="CW98" t="str">
        <f ca="1">IFERROR(__xludf.DUMMYFUNCTION("""COMPUTED_VALUE"""),"#VALUE!")</f>
        <v>#VALUE!</v>
      </c>
      <c r="CY98" t="str">
        <f ca="1">IFERROR(__xludf.DUMMYFUNCTION("""COMPUTED_VALUE"""),"#VALUE!")</f>
        <v>#VALUE!</v>
      </c>
      <c r="DC98" t="str">
        <f ca="1">IFERROR(__xludf.DUMMYFUNCTION("""COMPUTED_VALUE"""),"#VALUE!")</f>
        <v>#VALUE!</v>
      </c>
      <c r="DE98" t="str">
        <f ca="1">IFERROR(__xludf.DUMMYFUNCTION("""COMPUTED_VALUE"""),"#VALUE!")</f>
        <v>#VALUE!</v>
      </c>
      <c r="DI98" t="str">
        <f ca="1">IFERROR(__xludf.DUMMYFUNCTION("""COMPUTED_VALUE"""),"#VALUE!")</f>
        <v>#VALUE!</v>
      </c>
      <c r="DJ98" t="str">
        <f ca="1">IFERROR(__xludf.DUMMYFUNCTION("""COMPUTED_VALUE"""),"#VALUE!")</f>
        <v>#VALUE!</v>
      </c>
      <c r="DL98" t="str">
        <f ca="1">IFERROR(__xludf.DUMMYFUNCTION("""COMPUTED_VALUE"""),"Davor Salihović")</f>
        <v>Davor Salihović</v>
      </c>
    </row>
    <row r="99" spans="1:116" ht="13.2" x14ac:dyDescent="0.25">
      <c r="A99" t="str">
        <f ca="1">IFERROR(__xludf.DUMMYFUNCTION("""COMPUTED_VALUE"""),"P0098")</f>
        <v>P0098</v>
      </c>
      <c r="B99" t="str">
        <f ca="1">IFERROR(__xludf.DUMMYFUNCTION("""COMPUTED_VALUE"""),"Ermengona")</f>
        <v>Ermengona</v>
      </c>
      <c r="D99" t="str">
        <f ca="1">IFERROR(__xludf.DUMMYFUNCTION("""COMPUTED_VALUE"""),"#VALUE!")</f>
        <v>#VALUE!</v>
      </c>
      <c r="E99" t="str">
        <f ca="1">IFERROR(__xludf.DUMMYFUNCTION("""COMPUTED_VALUE"""),"Ermengona")</f>
        <v>Ermengona</v>
      </c>
      <c r="Q99" t="str">
        <f ca="1">IFERROR(__xludf.DUMMYFUNCTION("""COMPUTED_VALUE"""),"filia Iohannis Pancacii")</f>
        <v>filia Iohannis Pancacii</v>
      </c>
      <c r="S99" t="str">
        <f ca="1">IFERROR(__xludf.DUMMYFUNCTION("""COMPUTED_VALUE"""),"Latin")</f>
        <v>Latin</v>
      </c>
      <c r="T99" t="str">
        <f ca="1">IFERROR(__xludf.DUMMYFUNCTION("""COMPUTED_VALUE"""),"definite")</f>
        <v>definite</v>
      </c>
      <c r="U99" t="str">
        <f ca="1">IFERROR(__xludf.DUMMYFUNCTION("""COMPUTED_VALUE"""),"C2552")</f>
        <v>C2552</v>
      </c>
      <c r="V99" t="str">
        <f ca="1">IFERROR(__xludf.DUMMYFUNCTION("""COMPUTED_VALUE"""),"female")</f>
        <v>female</v>
      </c>
      <c r="Z99" t="str">
        <f ca="1">IFERROR(__xludf.DUMMYFUNCTION("""COMPUTED_VALUE"""),"167, 169")</f>
        <v>167, 169</v>
      </c>
      <c r="AA99" t="str">
        <f ca="1">IFERROR(__xludf.DUMMYFUNCTION("""COMPUTED_VALUE"""),"d")</f>
        <v>d</v>
      </c>
      <c r="AB99" t="str">
        <f ca="1">IFERROR(__xludf.DUMMYFUNCTION("""COMPUTED_VALUE"""),"deponent")</f>
        <v>deponent</v>
      </c>
      <c r="AD99" t="str">
        <f ca="1">IFERROR(__xludf.DUMMYFUNCTION("""COMPUTED_VALUE"""),"C3287")</f>
        <v>C3287</v>
      </c>
      <c r="AE99" t="str">
        <f ca="1">IFERROR(__xludf.DUMMYFUNCTION("""COMPUTED_VALUE"""),"alive")</f>
        <v>alive</v>
      </c>
      <c r="AF99" t="str">
        <f ca="1">IFERROR(__xludf.DUMMYFUNCTION("""COMPUTED_VALUE"""),"C1753")</f>
        <v>C1753</v>
      </c>
      <c r="AG99" t="str">
        <f ca="1">IFERROR(__xludf.DUMMYFUNCTION("""COMPUTED_VALUE"""),"1335-01-20")</f>
        <v>1335-01-20</v>
      </c>
      <c r="AI99" t="str">
        <f ca="1">IFERROR(__xludf.DUMMYFUNCTION("""COMPUTED_VALUE"""),"#VALUE!")</f>
        <v>#VALUE!</v>
      </c>
      <c r="AK99" t="str">
        <f ca="1">IFERROR(__xludf.DUMMYFUNCTION("""COMPUTED_VALUE"""),"#VALUE!")</f>
        <v>#VALUE!</v>
      </c>
      <c r="AM99" t="str">
        <f ca="1">IFERROR(__xludf.DUMMYFUNCTION("""COMPUTED_VALUE"""),"#VALUE!")</f>
        <v>#VALUE!</v>
      </c>
      <c r="AO99" t="str">
        <f ca="1">IFERROR(__xludf.DUMMYFUNCTION("""COMPUTED_VALUE"""),"#VALUE!")</f>
        <v>#VALUE!</v>
      </c>
      <c r="AQ99" t="str">
        <f ca="1">IFERROR(__xludf.DUMMYFUNCTION("""COMPUTED_VALUE"""),"#VALUE!")</f>
        <v>#VALUE!</v>
      </c>
      <c r="AS99" t="str">
        <f ca="1">IFERROR(__xludf.DUMMYFUNCTION("""COMPUTED_VALUE"""),"#VALUE!")</f>
        <v>#VALUE!</v>
      </c>
      <c r="AU99" t="str">
        <f ca="1">IFERROR(__xludf.DUMMYFUNCTION("""COMPUTED_VALUE"""),"#VALUE!")</f>
        <v>#VALUE!</v>
      </c>
      <c r="AW99" t="str">
        <f ca="1">IFERROR(__xludf.DUMMYFUNCTION("""COMPUTED_VALUE"""),"#VALUE!")</f>
        <v>#VALUE!</v>
      </c>
      <c r="AY99" t="str">
        <f ca="1">IFERROR(__xludf.DUMMYFUNCTION("""COMPUTED_VALUE"""),"#VALUE!")</f>
        <v>#VALUE!</v>
      </c>
      <c r="BA99" t="str">
        <f ca="1">IFERROR(__xludf.DUMMYFUNCTION("""COMPUTED_VALUE"""),"#VALUE!")</f>
        <v>#VALUE!</v>
      </c>
      <c r="BC99" t="str">
        <f ca="1">IFERROR(__xludf.DUMMYFUNCTION("""COMPUTED_VALUE"""),"#VALUE!")</f>
        <v>#VALUE!</v>
      </c>
      <c r="BE99" t="str">
        <f ca="1">IFERROR(__xludf.DUMMYFUNCTION("""COMPUTED_VALUE"""),"#VALUE!")</f>
        <v>#VALUE!</v>
      </c>
      <c r="BG99" t="str">
        <f ca="1">IFERROR(__xludf.DUMMYFUNCTION("""COMPUTED_VALUE"""),"#VALUE!")</f>
        <v>#VALUE!</v>
      </c>
      <c r="BI99" t="str">
        <f ca="1">IFERROR(__xludf.DUMMYFUNCTION("""COMPUTED_VALUE"""),"#VALUE!")</f>
        <v>#VALUE!</v>
      </c>
      <c r="BK99" t="str">
        <f ca="1">IFERROR(__xludf.DUMMYFUNCTION("""COMPUTED_VALUE"""),"#VALUE!")</f>
        <v>#VALUE!</v>
      </c>
      <c r="BM99" t="str">
        <f ca="1">IFERROR(__xludf.DUMMYFUNCTION("""COMPUTED_VALUE"""),"#VALUE!")</f>
        <v>#VALUE!</v>
      </c>
      <c r="BO99" t="str">
        <f ca="1">IFERROR(__xludf.DUMMYFUNCTION("""COMPUTED_VALUE"""),"#VALUE!")</f>
        <v>#VALUE!</v>
      </c>
      <c r="BQ99" t="str">
        <f ca="1">IFERROR(__xludf.DUMMYFUNCTION("""COMPUTED_VALUE"""),"#VALUE!")</f>
        <v>#VALUE!</v>
      </c>
      <c r="BS99" t="str">
        <f ca="1">IFERROR(__xludf.DUMMYFUNCTION("""COMPUTED_VALUE"""),"#VALUE!")</f>
        <v>#VALUE!</v>
      </c>
      <c r="BU99" t="str">
        <f ca="1">IFERROR(__xludf.DUMMYFUNCTION("""COMPUTED_VALUE"""),"#VALUE!")</f>
        <v>#VALUE!</v>
      </c>
      <c r="BW99" t="str">
        <f ca="1">IFERROR(__xludf.DUMMYFUNCTION("""COMPUTED_VALUE"""),"#VALUE!")</f>
        <v>#VALUE!</v>
      </c>
      <c r="BY99" t="str">
        <f ca="1">IFERROR(__xludf.DUMMYFUNCTION("""COMPUTED_VALUE"""),"#VALUE!")</f>
        <v>#VALUE!</v>
      </c>
      <c r="CA99" t="str">
        <f ca="1">IFERROR(__xludf.DUMMYFUNCTION("""COMPUTED_VALUE"""),"#VALUE!")</f>
        <v>#VALUE!</v>
      </c>
      <c r="CC99" t="str">
        <f ca="1">IFERROR(__xludf.DUMMYFUNCTION("""COMPUTED_VALUE"""),"#VALUE!")</f>
        <v>#VALUE!</v>
      </c>
      <c r="CD99" t="str">
        <f ca="1">IFERROR(__xludf.DUMMYFUNCTION("""COMPUTED_VALUE"""),"C3598")</f>
        <v>C3598</v>
      </c>
      <c r="CE99" t="str">
        <f ca="1">IFERROR(__xludf.DUMMYFUNCTION("""COMPUTED_VALUE"""),"location of congregation")</f>
        <v>location of congregation</v>
      </c>
      <c r="CF99" t="str">
        <f ca="1">IFERROR(__xludf.DUMMYFUNCTION("""COMPUTED_VALUE"""),"L0029")</f>
        <v>L0029</v>
      </c>
      <c r="CG99" t="str">
        <f ca="1">IFERROR(__xludf.DUMMYFUNCTION("""COMPUTED_VALUE"""),"domus Humberti de Pragelato")</f>
        <v>domus Humberti de Pragelato</v>
      </c>
      <c r="CI99" t="str">
        <f ca="1">IFERROR(__xludf.DUMMYFUNCTION("""COMPUTED_VALUE"""),"#VALUE!")</f>
        <v>#VALUE!</v>
      </c>
      <c r="CJ99" t="str">
        <f ca="1">IFERROR(__xludf.DUMMYFUNCTION("""COMPUTED_VALUE"""),"P0100")</f>
        <v>P0100</v>
      </c>
      <c r="CK99" t="str">
        <f ca="1">IFERROR(__xludf.DUMMYFUNCTION("""COMPUTED_VALUE"""),"Peyretus Chavey")</f>
        <v>Peyretus Chavey</v>
      </c>
      <c r="CS99" t="str">
        <f ca="1">IFERROR(__xludf.DUMMYFUNCTION("""COMPUTED_VALUE"""),"#VALUE!")</f>
        <v>#VALUE!</v>
      </c>
      <c r="CU99" t="str">
        <f ca="1">IFERROR(__xludf.DUMMYFUNCTION("""COMPUTED_VALUE"""),"#VALUE!")</f>
        <v>#VALUE!</v>
      </c>
      <c r="CV99" t="str">
        <f ca="1">IFERROR(__xludf.DUMMYFUNCTION("""COMPUTED_VALUE"""),"L0026")</f>
        <v>L0026</v>
      </c>
      <c r="CW99" t="str">
        <f ca="1">IFERROR(__xludf.DUMMYFUNCTION("""COMPUTED_VALUE"""),"Pinasca")</f>
        <v>Pinasca</v>
      </c>
      <c r="CY99" t="str">
        <f ca="1">IFERROR(__xludf.DUMMYFUNCTION("""COMPUTED_VALUE"""),"#VALUE!")</f>
        <v>#VALUE!</v>
      </c>
      <c r="DC99" t="str">
        <f ca="1">IFERROR(__xludf.DUMMYFUNCTION("""COMPUTED_VALUE"""),"#VALUE!")</f>
        <v>#VALUE!</v>
      </c>
      <c r="DE99" t="str">
        <f ca="1">IFERROR(__xludf.DUMMYFUNCTION("""COMPUTED_VALUE"""),"#VALUE!")</f>
        <v>#VALUE!</v>
      </c>
      <c r="DH99" t="str">
        <f ca="1">IFERROR(__xludf.DUMMYFUNCTION("""COMPUTED_VALUE"""),"L0029")</f>
        <v>L0029</v>
      </c>
      <c r="DI99" t="str">
        <f ca="1">IFERROR(__xludf.DUMMYFUNCTION("""COMPUTED_VALUE"""),"domus Humberti de Pragelato")</f>
        <v>domus Humberti de Pragelato</v>
      </c>
      <c r="DJ99" t="str">
        <f ca="1">IFERROR(__xludf.DUMMYFUNCTION("""COMPUTED_VALUE"""),"domus")</f>
        <v>domus</v>
      </c>
      <c r="DL99" t="str">
        <f ca="1">IFERROR(__xludf.DUMMYFUNCTION("""COMPUTED_VALUE"""),"Davor Salihović")</f>
        <v>Davor Salihović</v>
      </c>
    </row>
    <row r="100" spans="1:116" ht="13.2" x14ac:dyDescent="0.25">
      <c r="A100" t="str">
        <f ca="1">IFERROR(__xludf.DUMMYFUNCTION("""COMPUTED_VALUE"""),"P0099")</f>
        <v>P0099</v>
      </c>
      <c r="B100" t="str">
        <f ca="1">IFERROR(__xludf.DUMMYFUNCTION("""COMPUTED_VALUE"""),"Iohannes Pencacii")</f>
        <v>Iohannes Pencacii</v>
      </c>
      <c r="D100" t="str">
        <f ca="1">IFERROR(__xludf.DUMMYFUNCTION("""COMPUTED_VALUE"""),"#VALUE!")</f>
        <v>#VALUE!</v>
      </c>
      <c r="E100" t="str">
        <f ca="1">IFERROR(__xludf.DUMMYFUNCTION("""COMPUTED_VALUE"""),"Iohannes")</f>
        <v>Iohannes</v>
      </c>
      <c r="K100" t="str">
        <f ca="1">IFERROR(__xludf.DUMMYFUNCTION("""COMPUTED_VALUE"""),"Pencacii")</f>
        <v>Pencacii</v>
      </c>
      <c r="L100" t="str">
        <f ca="1">IFERROR(__xludf.DUMMYFUNCTION("""COMPUTED_VALUE"""),"Pencacii")</f>
        <v>Pencacii</v>
      </c>
      <c r="S100" t="str">
        <f ca="1">IFERROR(__xludf.DUMMYFUNCTION("""COMPUTED_VALUE"""),"Latin")</f>
        <v>Latin</v>
      </c>
      <c r="T100" t="str">
        <f ca="1">IFERROR(__xludf.DUMMYFUNCTION("""COMPUTED_VALUE"""),"definite")</f>
        <v>definite</v>
      </c>
      <c r="U100" t="str">
        <f ca="1">IFERROR(__xludf.DUMMYFUNCTION("""COMPUTED_VALUE"""),"C2553")</f>
        <v>C2553</v>
      </c>
      <c r="V100" t="str">
        <f ca="1">IFERROR(__xludf.DUMMYFUNCTION("""COMPUTED_VALUE"""),"male")</f>
        <v>male</v>
      </c>
      <c r="Z100" t="str">
        <f ca="1">IFERROR(__xludf.DUMMYFUNCTION("""COMPUTED_VALUE"""),"167")</f>
        <v>167</v>
      </c>
      <c r="AA100" t="str">
        <f ca="1">IFERROR(__xludf.DUMMYFUNCTION("""COMPUTED_VALUE"""),"o")</f>
        <v>o</v>
      </c>
      <c r="AB100" t="str">
        <f ca="1">IFERROR(__xludf.DUMMYFUNCTION("""COMPUTED_VALUE"""),"NA")</f>
        <v>NA</v>
      </c>
      <c r="AE100" t="str">
        <f ca="1">IFERROR(__xludf.DUMMYFUNCTION("""COMPUTED_VALUE"""),"#VALUE!")</f>
        <v>#VALUE!</v>
      </c>
      <c r="AF100" t="str">
        <f ca="1">IFERROR(__xludf.DUMMYFUNCTION("""COMPUTED_VALUE"""),"#N/A")</f>
        <v>#N/A</v>
      </c>
      <c r="AG100" t="str">
        <f ca="1">IFERROR(__xludf.DUMMYFUNCTION("""COMPUTED_VALUE"""),"#N/A")</f>
        <v>#N/A</v>
      </c>
      <c r="AH100" t="str">
        <f ca="1">IFERROR(__xludf.DUMMYFUNCTION("""COMPUTED_VALUE"""),"C2335")</f>
        <v>C2335</v>
      </c>
      <c r="AI100" t="str">
        <f ca="1">IFERROR(__xludf.DUMMYFUNCTION("""COMPUTED_VALUE"""),"daughter")</f>
        <v>daughter</v>
      </c>
      <c r="AJ100" t="str">
        <f ca="1">IFERROR(__xludf.DUMMYFUNCTION("""COMPUTED_VALUE"""),"P0098")</f>
        <v>P0098</v>
      </c>
      <c r="AK100" t="str">
        <f ca="1">IFERROR(__xludf.DUMMYFUNCTION("""COMPUTED_VALUE"""),"Ermengona")</f>
        <v>Ermengona</v>
      </c>
      <c r="AM100" t="str">
        <f ca="1">IFERROR(__xludf.DUMMYFUNCTION("""COMPUTED_VALUE"""),"#VALUE!")</f>
        <v>#VALUE!</v>
      </c>
      <c r="AO100" t="str">
        <f ca="1">IFERROR(__xludf.DUMMYFUNCTION("""COMPUTED_VALUE"""),"#VALUE!")</f>
        <v>#VALUE!</v>
      </c>
      <c r="AQ100" t="str">
        <f ca="1">IFERROR(__xludf.DUMMYFUNCTION("""COMPUTED_VALUE"""),"#VALUE!")</f>
        <v>#VALUE!</v>
      </c>
      <c r="AS100" t="str">
        <f ca="1">IFERROR(__xludf.DUMMYFUNCTION("""COMPUTED_VALUE"""),"#VALUE!")</f>
        <v>#VALUE!</v>
      </c>
      <c r="AU100" t="str">
        <f ca="1">IFERROR(__xludf.DUMMYFUNCTION("""COMPUTED_VALUE"""),"#VALUE!")</f>
        <v>#VALUE!</v>
      </c>
      <c r="AW100" t="str">
        <f ca="1">IFERROR(__xludf.DUMMYFUNCTION("""COMPUTED_VALUE"""),"#VALUE!")</f>
        <v>#VALUE!</v>
      </c>
      <c r="AY100" t="str">
        <f ca="1">IFERROR(__xludf.DUMMYFUNCTION("""COMPUTED_VALUE"""),"#VALUE!")</f>
        <v>#VALUE!</v>
      </c>
      <c r="BA100" t="str">
        <f ca="1">IFERROR(__xludf.DUMMYFUNCTION("""COMPUTED_VALUE"""),"#VALUE!")</f>
        <v>#VALUE!</v>
      </c>
      <c r="BC100" t="str">
        <f ca="1">IFERROR(__xludf.DUMMYFUNCTION("""COMPUTED_VALUE"""),"#VALUE!")</f>
        <v>#VALUE!</v>
      </c>
      <c r="BE100" t="str">
        <f ca="1">IFERROR(__xludf.DUMMYFUNCTION("""COMPUTED_VALUE"""),"#VALUE!")</f>
        <v>#VALUE!</v>
      </c>
      <c r="BG100" t="str">
        <f ca="1">IFERROR(__xludf.DUMMYFUNCTION("""COMPUTED_VALUE"""),"#VALUE!")</f>
        <v>#VALUE!</v>
      </c>
      <c r="BI100" t="str">
        <f ca="1">IFERROR(__xludf.DUMMYFUNCTION("""COMPUTED_VALUE"""),"#VALUE!")</f>
        <v>#VALUE!</v>
      </c>
      <c r="BK100" t="str">
        <f ca="1">IFERROR(__xludf.DUMMYFUNCTION("""COMPUTED_VALUE"""),"#VALUE!")</f>
        <v>#VALUE!</v>
      </c>
      <c r="BM100" t="str">
        <f ca="1">IFERROR(__xludf.DUMMYFUNCTION("""COMPUTED_VALUE"""),"#VALUE!")</f>
        <v>#VALUE!</v>
      </c>
      <c r="BO100" t="str">
        <f ca="1">IFERROR(__xludf.DUMMYFUNCTION("""COMPUTED_VALUE"""),"#VALUE!")</f>
        <v>#VALUE!</v>
      </c>
      <c r="BQ100" t="str">
        <f ca="1">IFERROR(__xludf.DUMMYFUNCTION("""COMPUTED_VALUE"""),"#VALUE!")</f>
        <v>#VALUE!</v>
      </c>
      <c r="BS100" t="str">
        <f ca="1">IFERROR(__xludf.DUMMYFUNCTION("""COMPUTED_VALUE"""),"#VALUE!")</f>
        <v>#VALUE!</v>
      </c>
      <c r="BU100" t="str">
        <f ca="1">IFERROR(__xludf.DUMMYFUNCTION("""COMPUTED_VALUE"""),"#VALUE!")</f>
        <v>#VALUE!</v>
      </c>
      <c r="BW100" t="str">
        <f ca="1">IFERROR(__xludf.DUMMYFUNCTION("""COMPUTED_VALUE"""),"#VALUE!")</f>
        <v>#VALUE!</v>
      </c>
      <c r="BY100" t="str">
        <f ca="1">IFERROR(__xludf.DUMMYFUNCTION("""COMPUTED_VALUE"""),"#VALUE!")</f>
        <v>#VALUE!</v>
      </c>
      <c r="CA100" t="str">
        <f ca="1">IFERROR(__xludf.DUMMYFUNCTION("""COMPUTED_VALUE"""),"#VALUE!")</f>
        <v>#VALUE!</v>
      </c>
      <c r="CC100" t="str">
        <f ca="1">IFERROR(__xludf.DUMMYFUNCTION("""COMPUTED_VALUE"""),"#VALUE!")</f>
        <v>#VALUE!</v>
      </c>
      <c r="CE100" t="str">
        <f ca="1">IFERROR(__xludf.DUMMYFUNCTION("""COMPUTED_VALUE"""),"#VALUE!")</f>
        <v>#VALUE!</v>
      </c>
      <c r="CG100" t="str">
        <f ca="1">IFERROR(__xludf.DUMMYFUNCTION("""COMPUTED_VALUE"""),"#VALUE!")</f>
        <v>#VALUE!</v>
      </c>
      <c r="CI100" t="str">
        <f ca="1">IFERROR(__xludf.DUMMYFUNCTION("""COMPUTED_VALUE"""),"#VALUE!")</f>
        <v>#VALUE!</v>
      </c>
      <c r="CK100" t="str">
        <f ca="1">IFERROR(__xludf.DUMMYFUNCTION("""COMPUTED_VALUE"""),"#VALUE!")</f>
        <v>#VALUE!</v>
      </c>
      <c r="CS100" t="str">
        <f ca="1">IFERROR(__xludf.DUMMYFUNCTION("""COMPUTED_VALUE"""),"#VALUE!")</f>
        <v>#VALUE!</v>
      </c>
      <c r="CU100" t="str">
        <f ca="1">IFERROR(__xludf.DUMMYFUNCTION("""COMPUTED_VALUE"""),"#VALUE!")</f>
        <v>#VALUE!</v>
      </c>
      <c r="CV100" t="str">
        <f ca="1">IFERROR(__xludf.DUMMYFUNCTION("""COMPUTED_VALUE"""),"L0026")</f>
        <v>L0026</v>
      </c>
      <c r="CW100" t="str">
        <f ca="1">IFERROR(__xludf.DUMMYFUNCTION("""COMPUTED_VALUE"""),"Pinasca")</f>
        <v>Pinasca</v>
      </c>
      <c r="CY100" t="str">
        <f ca="1">IFERROR(__xludf.DUMMYFUNCTION("""COMPUTED_VALUE"""),"#VALUE!")</f>
        <v>#VALUE!</v>
      </c>
      <c r="DC100" t="str">
        <f ca="1">IFERROR(__xludf.DUMMYFUNCTION("""COMPUTED_VALUE"""),"#VALUE!")</f>
        <v>#VALUE!</v>
      </c>
      <c r="DE100" t="str">
        <f ca="1">IFERROR(__xludf.DUMMYFUNCTION("""COMPUTED_VALUE"""),"#VALUE!")</f>
        <v>#VALUE!</v>
      </c>
      <c r="DI100" t="str">
        <f ca="1">IFERROR(__xludf.DUMMYFUNCTION("""COMPUTED_VALUE"""),"#VALUE!")</f>
        <v>#VALUE!</v>
      </c>
      <c r="DJ100" t="str">
        <f ca="1">IFERROR(__xludf.DUMMYFUNCTION("""COMPUTED_VALUE"""),"#VALUE!")</f>
        <v>#VALUE!</v>
      </c>
      <c r="DL100" t="str">
        <f ca="1">IFERROR(__xludf.DUMMYFUNCTION("""COMPUTED_VALUE"""),"Davor Salihović")</f>
        <v>Davor Salihović</v>
      </c>
    </row>
    <row r="101" spans="1:116" ht="13.2" x14ac:dyDescent="0.25">
      <c r="A101" t="str">
        <f ca="1">IFERROR(__xludf.DUMMYFUNCTION("""COMPUTED_VALUE"""),"P0100")</f>
        <v>P0100</v>
      </c>
      <c r="B101" t="str">
        <f ca="1">IFERROR(__xludf.DUMMYFUNCTION("""COMPUTED_VALUE"""),"Peyretus Chavey")</f>
        <v>Peyretus Chavey</v>
      </c>
      <c r="D101" t="str">
        <f ca="1">IFERROR(__xludf.DUMMYFUNCTION("""COMPUTED_VALUE"""),"#VALUE!")</f>
        <v>#VALUE!</v>
      </c>
      <c r="E101" t="str">
        <f ca="1">IFERROR(__xludf.DUMMYFUNCTION("""COMPUTED_VALUE"""),"Peyretus")</f>
        <v>Peyretus</v>
      </c>
      <c r="K101" t="str">
        <f ca="1">IFERROR(__xludf.DUMMYFUNCTION("""COMPUTED_VALUE"""),"Chavey")</f>
        <v>Chavey</v>
      </c>
      <c r="L101" t="str">
        <f ca="1">IFERROR(__xludf.DUMMYFUNCTION("""COMPUTED_VALUE"""),"Chavey")</f>
        <v>Chavey</v>
      </c>
      <c r="S101" t="str">
        <f ca="1">IFERROR(__xludf.DUMMYFUNCTION("""COMPUTED_VALUE"""),"Latin")</f>
        <v>Latin</v>
      </c>
      <c r="T101" t="str">
        <f ca="1">IFERROR(__xludf.DUMMYFUNCTION("""COMPUTED_VALUE"""),"definite")</f>
        <v>definite</v>
      </c>
      <c r="U101" t="str">
        <f ca="1">IFERROR(__xludf.DUMMYFUNCTION("""COMPUTED_VALUE"""),"C2553")</f>
        <v>C2553</v>
      </c>
      <c r="V101" t="str">
        <f ca="1">IFERROR(__xludf.DUMMYFUNCTION("""COMPUTED_VALUE"""),"male")</f>
        <v>male</v>
      </c>
      <c r="Z101" t="str">
        <f ca="1">IFERROR(__xludf.DUMMYFUNCTION("""COMPUTED_VALUE"""),"167")</f>
        <v>167</v>
      </c>
      <c r="AA101" t="str">
        <f ca="1">IFERROR(__xludf.DUMMYFUNCTION("""COMPUTED_VALUE"""),"d")</f>
        <v>d</v>
      </c>
      <c r="AB101" t="str">
        <f ca="1">IFERROR(__xludf.DUMMYFUNCTION("""COMPUTED_VALUE"""),"suspect")</f>
        <v>suspect</v>
      </c>
      <c r="AE101" t="str">
        <f ca="1">IFERROR(__xludf.DUMMYFUNCTION("""COMPUTED_VALUE"""),"#VALUE!")</f>
        <v>#VALUE!</v>
      </c>
      <c r="AF101" t="str">
        <f ca="1">IFERROR(__xludf.DUMMYFUNCTION("""COMPUTED_VALUE"""),"#N/A")</f>
        <v>#N/A</v>
      </c>
      <c r="AG101" t="str">
        <f ca="1">IFERROR(__xludf.DUMMYFUNCTION("""COMPUTED_VALUE"""),"#N/A")</f>
        <v>#N/A</v>
      </c>
      <c r="AI101" t="str">
        <f ca="1">IFERROR(__xludf.DUMMYFUNCTION("""COMPUTED_VALUE"""),"#VALUE!")</f>
        <v>#VALUE!</v>
      </c>
      <c r="AK101" t="str">
        <f ca="1">IFERROR(__xludf.DUMMYFUNCTION("""COMPUTED_VALUE"""),"#VALUE!")</f>
        <v>#VALUE!</v>
      </c>
      <c r="AM101" t="str">
        <f ca="1">IFERROR(__xludf.DUMMYFUNCTION("""COMPUTED_VALUE"""),"#VALUE!")</f>
        <v>#VALUE!</v>
      </c>
      <c r="AO101" t="str">
        <f ca="1">IFERROR(__xludf.DUMMYFUNCTION("""COMPUTED_VALUE"""),"#VALUE!")</f>
        <v>#VALUE!</v>
      </c>
      <c r="AQ101" t="str">
        <f ca="1">IFERROR(__xludf.DUMMYFUNCTION("""COMPUTED_VALUE"""),"#VALUE!")</f>
        <v>#VALUE!</v>
      </c>
      <c r="AS101" t="str">
        <f ca="1">IFERROR(__xludf.DUMMYFUNCTION("""COMPUTED_VALUE"""),"#VALUE!")</f>
        <v>#VALUE!</v>
      </c>
      <c r="AU101" t="str">
        <f ca="1">IFERROR(__xludf.DUMMYFUNCTION("""COMPUTED_VALUE"""),"#VALUE!")</f>
        <v>#VALUE!</v>
      </c>
      <c r="AW101" t="str">
        <f ca="1">IFERROR(__xludf.DUMMYFUNCTION("""COMPUTED_VALUE"""),"#VALUE!")</f>
        <v>#VALUE!</v>
      </c>
      <c r="AY101" t="str">
        <f ca="1">IFERROR(__xludf.DUMMYFUNCTION("""COMPUTED_VALUE"""),"#VALUE!")</f>
        <v>#VALUE!</v>
      </c>
      <c r="BA101" t="str">
        <f ca="1">IFERROR(__xludf.DUMMYFUNCTION("""COMPUTED_VALUE"""),"#VALUE!")</f>
        <v>#VALUE!</v>
      </c>
      <c r="BC101" t="str">
        <f ca="1">IFERROR(__xludf.DUMMYFUNCTION("""COMPUTED_VALUE"""),"#VALUE!")</f>
        <v>#VALUE!</v>
      </c>
      <c r="BE101" t="str">
        <f ca="1">IFERROR(__xludf.DUMMYFUNCTION("""COMPUTED_VALUE"""),"#VALUE!")</f>
        <v>#VALUE!</v>
      </c>
      <c r="BG101" t="str">
        <f ca="1">IFERROR(__xludf.DUMMYFUNCTION("""COMPUTED_VALUE"""),"#VALUE!")</f>
        <v>#VALUE!</v>
      </c>
      <c r="BI101" t="str">
        <f ca="1">IFERROR(__xludf.DUMMYFUNCTION("""COMPUTED_VALUE"""),"#VALUE!")</f>
        <v>#VALUE!</v>
      </c>
      <c r="BK101" t="str">
        <f ca="1">IFERROR(__xludf.DUMMYFUNCTION("""COMPUTED_VALUE"""),"#VALUE!")</f>
        <v>#VALUE!</v>
      </c>
      <c r="BM101" t="str">
        <f ca="1">IFERROR(__xludf.DUMMYFUNCTION("""COMPUTED_VALUE"""),"#VALUE!")</f>
        <v>#VALUE!</v>
      </c>
      <c r="BO101" t="str">
        <f ca="1">IFERROR(__xludf.DUMMYFUNCTION("""COMPUTED_VALUE"""),"#VALUE!")</f>
        <v>#VALUE!</v>
      </c>
      <c r="BQ101" t="str">
        <f ca="1">IFERROR(__xludf.DUMMYFUNCTION("""COMPUTED_VALUE"""),"#VALUE!")</f>
        <v>#VALUE!</v>
      </c>
      <c r="BS101" t="str">
        <f ca="1">IFERROR(__xludf.DUMMYFUNCTION("""COMPUTED_VALUE"""),"#VALUE!")</f>
        <v>#VALUE!</v>
      </c>
      <c r="BU101" t="str">
        <f ca="1">IFERROR(__xludf.DUMMYFUNCTION("""COMPUTED_VALUE"""),"#VALUE!")</f>
        <v>#VALUE!</v>
      </c>
      <c r="BW101" t="str">
        <f ca="1">IFERROR(__xludf.DUMMYFUNCTION("""COMPUTED_VALUE"""),"#VALUE!")</f>
        <v>#VALUE!</v>
      </c>
      <c r="BY101" t="str">
        <f ca="1">IFERROR(__xludf.DUMMYFUNCTION("""COMPUTED_VALUE"""),"#VALUE!")</f>
        <v>#VALUE!</v>
      </c>
      <c r="CA101" t="str">
        <f ca="1">IFERROR(__xludf.DUMMYFUNCTION("""COMPUTED_VALUE"""),"#VALUE!")</f>
        <v>#VALUE!</v>
      </c>
      <c r="CC101" t="str">
        <f ca="1">IFERROR(__xludf.DUMMYFUNCTION("""COMPUTED_VALUE"""),"#VALUE!")</f>
        <v>#VALUE!</v>
      </c>
      <c r="CE101" t="str">
        <f ca="1">IFERROR(__xludf.DUMMYFUNCTION("""COMPUTED_VALUE"""),"#VALUE!")</f>
        <v>#VALUE!</v>
      </c>
      <c r="CG101" t="str">
        <f ca="1">IFERROR(__xludf.DUMMYFUNCTION("""COMPUTED_VALUE"""),"#VALUE!")</f>
        <v>#VALUE!</v>
      </c>
      <c r="CI101" t="str">
        <f ca="1">IFERROR(__xludf.DUMMYFUNCTION("""COMPUTED_VALUE"""),"#VALUE!")</f>
        <v>#VALUE!</v>
      </c>
      <c r="CK101" t="str">
        <f ca="1">IFERROR(__xludf.DUMMYFUNCTION("""COMPUTED_VALUE"""),"#VALUE!")</f>
        <v>#VALUE!</v>
      </c>
      <c r="CS101" t="str">
        <f ca="1">IFERROR(__xludf.DUMMYFUNCTION("""COMPUTED_VALUE"""),"#VALUE!")</f>
        <v>#VALUE!</v>
      </c>
      <c r="CU101" t="str">
        <f ca="1">IFERROR(__xludf.DUMMYFUNCTION("""COMPUTED_VALUE"""),"#VALUE!")</f>
        <v>#VALUE!</v>
      </c>
      <c r="CW101" t="str">
        <f ca="1">IFERROR(__xludf.DUMMYFUNCTION("""COMPUTED_VALUE"""),"#VALUE!")</f>
        <v>#VALUE!</v>
      </c>
      <c r="CY101" t="str">
        <f ca="1">IFERROR(__xludf.DUMMYFUNCTION("""COMPUTED_VALUE"""),"#VALUE!")</f>
        <v>#VALUE!</v>
      </c>
      <c r="DC101" t="str">
        <f ca="1">IFERROR(__xludf.DUMMYFUNCTION("""COMPUTED_VALUE"""),"#VALUE!")</f>
        <v>#VALUE!</v>
      </c>
      <c r="DE101" t="str">
        <f ca="1">IFERROR(__xludf.DUMMYFUNCTION("""COMPUTED_VALUE"""),"#VALUE!")</f>
        <v>#VALUE!</v>
      </c>
      <c r="DI101" t="str">
        <f ca="1">IFERROR(__xludf.DUMMYFUNCTION("""COMPUTED_VALUE"""),"#VALUE!")</f>
        <v>#VALUE!</v>
      </c>
      <c r="DJ101" t="str">
        <f ca="1">IFERROR(__xludf.DUMMYFUNCTION("""COMPUTED_VALUE"""),"#VALUE!")</f>
        <v>#VALUE!</v>
      </c>
      <c r="DL101" t="str">
        <f ca="1">IFERROR(__xludf.DUMMYFUNCTION("""COMPUTED_VALUE"""),"Davor Salihović")</f>
        <v>Davor Salihović</v>
      </c>
    </row>
    <row r="102" spans="1:116" ht="13.2" x14ac:dyDescent="0.25">
      <c r="A102" t="str">
        <f ca="1">IFERROR(__xludf.DUMMYFUNCTION("""COMPUTED_VALUE"""),"P0103")</f>
        <v>P0103</v>
      </c>
      <c r="B102" t="str">
        <f ca="1">IFERROR(__xludf.DUMMYFUNCTION("""COMPUTED_VALUE"""),"Humbertus de Prato Ialato")</f>
        <v>Humbertus de Prato Ialato</v>
      </c>
      <c r="D102" t="str">
        <f ca="1">IFERROR(__xludf.DUMMYFUNCTION("""COMPUTED_VALUE"""),"#VALUE!")</f>
        <v>#VALUE!</v>
      </c>
      <c r="E102" t="str">
        <f ca="1">IFERROR(__xludf.DUMMYFUNCTION("""COMPUTED_VALUE"""),"Humbertus")</f>
        <v>Humbertus</v>
      </c>
      <c r="J102" t="str">
        <f ca="1">IFERROR(__xludf.DUMMYFUNCTION("""COMPUTED_VALUE"""),"de")</f>
        <v>de</v>
      </c>
      <c r="K102" t="str">
        <f ca="1">IFERROR(__xludf.DUMMYFUNCTION("""COMPUTED_VALUE"""),"Prato Ialato")</f>
        <v>Prato Ialato</v>
      </c>
      <c r="L102" t="str">
        <f ca="1">IFERROR(__xludf.DUMMYFUNCTION("""COMPUTED_VALUE"""),"de Prato Ialato")</f>
        <v>de Prato Ialato</v>
      </c>
      <c r="S102" t="str">
        <f ca="1">IFERROR(__xludf.DUMMYFUNCTION("""COMPUTED_VALUE"""),"Latin")</f>
        <v>Latin</v>
      </c>
      <c r="T102" t="str">
        <f ca="1">IFERROR(__xludf.DUMMYFUNCTION("""COMPUTED_VALUE"""),"definite")</f>
        <v>definite</v>
      </c>
      <c r="U102" t="str">
        <f ca="1">IFERROR(__xludf.DUMMYFUNCTION("""COMPUTED_VALUE"""),"C2553")</f>
        <v>C2553</v>
      </c>
      <c r="V102" t="str">
        <f ca="1">IFERROR(__xludf.DUMMYFUNCTION("""COMPUTED_VALUE"""),"male")</f>
        <v>male</v>
      </c>
      <c r="Z102" t="str">
        <f ca="1">IFERROR(__xludf.DUMMYFUNCTION("""COMPUTED_VALUE"""),"167")</f>
        <v>167</v>
      </c>
      <c r="AA102" t="str">
        <f ca="1">IFERROR(__xludf.DUMMYFUNCTION("""COMPUTED_VALUE"""),"d")</f>
        <v>d</v>
      </c>
      <c r="AB102" t="str">
        <f ca="1">IFERROR(__xludf.DUMMYFUNCTION("""COMPUTED_VALUE"""),"suspect")</f>
        <v>suspect</v>
      </c>
      <c r="AE102" t="str">
        <f ca="1">IFERROR(__xludf.DUMMYFUNCTION("""COMPUTED_VALUE"""),"#VALUE!")</f>
        <v>#VALUE!</v>
      </c>
      <c r="AF102" t="str">
        <f ca="1">IFERROR(__xludf.DUMMYFUNCTION("""COMPUTED_VALUE"""),"#N/A")</f>
        <v>#N/A</v>
      </c>
      <c r="AG102" t="str">
        <f ca="1">IFERROR(__xludf.DUMMYFUNCTION("""COMPUTED_VALUE"""),"#N/A")</f>
        <v>#N/A</v>
      </c>
      <c r="AI102" t="str">
        <f ca="1">IFERROR(__xludf.DUMMYFUNCTION("""COMPUTED_VALUE"""),"#VALUE!")</f>
        <v>#VALUE!</v>
      </c>
      <c r="AK102" t="str">
        <f ca="1">IFERROR(__xludf.DUMMYFUNCTION("""COMPUTED_VALUE"""),"#VALUE!")</f>
        <v>#VALUE!</v>
      </c>
      <c r="AM102" t="str">
        <f ca="1">IFERROR(__xludf.DUMMYFUNCTION("""COMPUTED_VALUE"""),"#VALUE!")</f>
        <v>#VALUE!</v>
      </c>
      <c r="AO102" t="str">
        <f ca="1">IFERROR(__xludf.DUMMYFUNCTION("""COMPUTED_VALUE"""),"#VALUE!")</f>
        <v>#VALUE!</v>
      </c>
      <c r="AQ102" t="str">
        <f ca="1">IFERROR(__xludf.DUMMYFUNCTION("""COMPUTED_VALUE"""),"#VALUE!")</f>
        <v>#VALUE!</v>
      </c>
      <c r="AS102" t="str">
        <f ca="1">IFERROR(__xludf.DUMMYFUNCTION("""COMPUTED_VALUE"""),"#VALUE!")</f>
        <v>#VALUE!</v>
      </c>
      <c r="AU102" t="str">
        <f ca="1">IFERROR(__xludf.DUMMYFUNCTION("""COMPUTED_VALUE"""),"#VALUE!")</f>
        <v>#VALUE!</v>
      </c>
      <c r="AW102" t="str">
        <f ca="1">IFERROR(__xludf.DUMMYFUNCTION("""COMPUTED_VALUE"""),"#VALUE!")</f>
        <v>#VALUE!</v>
      </c>
      <c r="AY102" t="str">
        <f ca="1">IFERROR(__xludf.DUMMYFUNCTION("""COMPUTED_VALUE"""),"#VALUE!")</f>
        <v>#VALUE!</v>
      </c>
      <c r="BA102" t="str">
        <f ca="1">IFERROR(__xludf.DUMMYFUNCTION("""COMPUTED_VALUE"""),"#VALUE!")</f>
        <v>#VALUE!</v>
      </c>
      <c r="BC102" t="str">
        <f ca="1">IFERROR(__xludf.DUMMYFUNCTION("""COMPUTED_VALUE"""),"#VALUE!")</f>
        <v>#VALUE!</v>
      </c>
      <c r="BE102" t="str">
        <f ca="1">IFERROR(__xludf.DUMMYFUNCTION("""COMPUTED_VALUE"""),"#VALUE!")</f>
        <v>#VALUE!</v>
      </c>
      <c r="BG102" t="str">
        <f ca="1">IFERROR(__xludf.DUMMYFUNCTION("""COMPUTED_VALUE"""),"#VALUE!")</f>
        <v>#VALUE!</v>
      </c>
      <c r="BI102" t="str">
        <f ca="1">IFERROR(__xludf.DUMMYFUNCTION("""COMPUTED_VALUE"""),"#VALUE!")</f>
        <v>#VALUE!</v>
      </c>
      <c r="BK102" t="str">
        <f ca="1">IFERROR(__xludf.DUMMYFUNCTION("""COMPUTED_VALUE"""),"#VALUE!")</f>
        <v>#VALUE!</v>
      </c>
      <c r="BM102" t="str">
        <f ca="1">IFERROR(__xludf.DUMMYFUNCTION("""COMPUTED_VALUE"""),"#VALUE!")</f>
        <v>#VALUE!</v>
      </c>
      <c r="BO102" t="str">
        <f ca="1">IFERROR(__xludf.DUMMYFUNCTION("""COMPUTED_VALUE"""),"#VALUE!")</f>
        <v>#VALUE!</v>
      </c>
      <c r="BQ102" t="str">
        <f ca="1">IFERROR(__xludf.DUMMYFUNCTION("""COMPUTED_VALUE"""),"#VALUE!")</f>
        <v>#VALUE!</v>
      </c>
      <c r="BS102" t="str">
        <f ca="1">IFERROR(__xludf.DUMMYFUNCTION("""COMPUTED_VALUE"""),"#VALUE!")</f>
        <v>#VALUE!</v>
      </c>
      <c r="BU102" t="str">
        <f ca="1">IFERROR(__xludf.DUMMYFUNCTION("""COMPUTED_VALUE"""),"#VALUE!")</f>
        <v>#VALUE!</v>
      </c>
      <c r="BW102" t="str">
        <f ca="1">IFERROR(__xludf.DUMMYFUNCTION("""COMPUTED_VALUE"""),"#VALUE!")</f>
        <v>#VALUE!</v>
      </c>
      <c r="BY102" t="str">
        <f ca="1">IFERROR(__xludf.DUMMYFUNCTION("""COMPUTED_VALUE"""),"#VALUE!")</f>
        <v>#VALUE!</v>
      </c>
      <c r="CA102" t="str">
        <f ca="1">IFERROR(__xludf.DUMMYFUNCTION("""COMPUTED_VALUE"""),"#VALUE!")</f>
        <v>#VALUE!</v>
      </c>
      <c r="CC102" t="str">
        <f ca="1">IFERROR(__xludf.DUMMYFUNCTION("""COMPUTED_VALUE"""),"#VALUE!")</f>
        <v>#VALUE!</v>
      </c>
      <c r="CD102" t="str">
        <f ca="1">IFERROR(__xludf.DUMMYFUNCTION("""COMPUTED_VALUE"""),"C3598")</f>
        <v>C3598</v>
      </c>
      <c r="CE102" t="str">
        <f ca="1">IFERROR(__xludf.DUMMYFUNCTION("""COMPUTED_VALUE"""),"location of congregation")</f>
        <v>location of congregation</v>
      </c>
      <c r="CF102" t="str">
        <f ca="1">IFERROR(__xludf.DUMMYFUNCTION("""COMPUTED_VALUE"""),"L0029")</f>
        <v>L0029</v>
      </c>
      <c r="CG102" t="str">
        <f ca="1">IFERROR(__xludf.DUMMYFUNCTION("""COMPUTED_VALUE"""),"domus Humberti de Pragelato")</f>
        <v>domus Humberti de Pragelato</v>
      </c>
      <c r="CI102" t="str">
        <f ca="1">IFERROR(__xludf.DUMMYFUNCTION("""COMPUTED_VALUE"""),"#VALUE!")</f>
        <v>#VALUE!</v>
      </c>
      <c r="CK102" t="str">
        <f ca="1">IFERROR(__xludf.DUMMYFUNCTION("""COMPUTED_VALUE"""),"#VALUE!")</f>
        <v>#VALUE!</v>
      </c>
      <c r="CS102" t="str">
        <f ca="1">IFERROR(__xludf.DUMMYFUNCTION("""COMPUTED_VALUE"""),"#VALUE!")</f>
        <v>#VALUE!</v>
      </c>
      <c r="CT102" t="str">
        <f ca="1">IFERROR(__xludf.DUMMYFUNCTION("""COMPUTED_VALUE"""),"L0153")</f>
        <v>L0153</v>
      </c>
      <c r="CU102" t="str">
        <f ca="1">IFERROR(__xludf.DUMMYFUNCTION("""COMPUTED_VALUE"""),"Pragelato")</f>
        <v>Pragelato</v>
      </c>
      <c r="CV102" t="str">
        <f ca="1">IFERROR(__xludf.DUMMYFUNCTION("""COMPUTED_VALUE"""),"L0028")</f>
        <v>L0028</v>
      </c>
      <c r="CW102" t="str">
        <f ca="1">IFERROR(__xludf.DUMMYFUNCTION("""COMPUTED_VALUE"""),"Dubbione")</f>
        <v>Dubbione</v>
      </c>
      <c r="CY102" t="str">
        <f ca="1">IFERROR(__xludf.DUMMYFUNCTION("""COMPUTED_VALUE"""),"#VALUE!")</f>
        <v>#VALUE!</v>
      </c>
      <c r="DC102" t="str">
        <f ca="1">IFERROR(__xludf.DUMMYFUNCTION("""COMPUTED_VALUE"""),"#VALUE!")</f>
        <v>#VALUE!</v>
      </c>
      <c r="DE102" t="str">
        <f ca="1">IFERROR(__xludf.DUMMYFUNCTION("""COMPUTED_VALUE"""),"#VALUE!")</f>
        <v>#VALUE!</v>
      </c>
      <c r="DH102" t="str">
        <f ca="1">IFERROR(__xludf.DUMMYFUNCTION("""COMPUTED_VALUE"""),"L0029")</f>
        <v>L0029</v>
      </c>
      <c r="DI102" t="str">
        <f ca="1">IFERROR(__xludf.DUMMYFUNCTION("""COMPUTED_VALUE"""),"domus Humberti de Pragelato")</f>
        <v>domus Humberti de Pragelato</v>
      </c>
      <c r="DJ102" t="str">
        <f ca="1">IFERROR(__xludf.DUMMYFUNCTION("""COMPUTED_VALUE"""),"domus")</f>
        <v>domus</v>
      </c>
      <c r="DL102" t="str">
        <f ca="1">IFERROR(__xludf.DUMMYFUNCTION("""COMPUTED_VALUE"""),"Davor Salihović")</f>
        <v>Davor Salihović</v>
      </c>
    </row>
    <row r="103" spans="1:116" ht="13.2" x14ac:dyDescent="0.25">
      <c r="A103" t="str">
        <f ca="1">IFERROR(__xludf.DUMMYFUNCTION("""COMPUTED_VALUE"""),"P0104")</f>
        <v>P0104</v>
      </c>
      <c r="B103" t="str">
        <f ca="1">IFERROR(__xludf.DUMMYFUNCTION("""COMPUTED_VALUE"""),"Agnexia Boneta")</f>
        <v>Agnexia Boneta</v>
      </c>
      <c r="D103" t="str">
        <f ca="1">IFERROR(__xludf.DUMMYFUNCTION("""COMPUTED_VALUE"""),"#VALUE!")</f>
        <v>#VALUE!</v>
      </c>
      <c r="E103" t="str">
        <f ca="1">IFERROR(__xludf.DUMMYFUNCTION("""COMPUTED_VALUE"""),"Agnexia")</f>
        <v>Agnexia</v>
      </c>
      <c r="K103" t="str">
        <f ca="1">IFERROR(__xludf.DUMMYFUNCTION("""COMPUTED_VALUE"""),"Boneta")</f>
        <v>Boneta</v>
      </c>
      <c r="L103" t="str">
        <f ca="1">IFERROR(__xludf.DUMMYFUNCTION("""COMPUTED_VALUE"""),"Boneta")</f>
        <v>Boneta</v>
      </c>
      <c r="S103" t="str">
        <f ca="1">IFERROR(__xludf.DUMMYFUNCTION("""COMPUTED_VALUE"""),"Latin")</f>
        <v>Latin</v>
      </c>
      <c r="T103" t="str">
        <f ca="1">IFERROR(__xludf.DUMMYFUNCTION("""COMPUTED_VALUE"""),"definite")</f>
        <v>definite</v>
      </c>
      <c r="U103" t="str">
        <f ca="1">IFERROR(__xludf.DUMMYFUNCTION("""COMPUTED_VALUE"""),"C2552")</f>
        <v>C2552</v>
      </c>
      <c r="V103" t="str">
        <f ca="1">IFERROR(__xludf.DUMMYFUNCTION("""COMPUTED_VALUE"""),"female")</f>
        <v>female</v>
      </c>
      <c r="Z103" t="str">
        <f ca="1">IFERROR(__xludf.DUMMYFUNCTION("""COMPUTED_VALUE"""),"167")</f>
        <v>167</v>
      </c>
      <c r="AA103" t="str">
        <f ca="1">IFERROR(__xludf.DUMMYFUNCTION("""COMPUTED_VALUE"""),"d")</f>
        <v>d</v>
      </c>
      <c r="AB103" t="str">
        <f ca="1">IFERROR(__xludf.DUMMYFUNCTION("""COMPUTED_VALUE"""),"suspect")</f>
        <v>suspect</v>
      </c>
      <c r="AE103" t="str">
        <f ca="1">IFERROR(__xludf.DUMMYFUNCTION("""COMPUTED_VALUE"""),"#VALUE!")</f>
        <v>#VALUE!</v>
      </c>
      <c r="AF103" t="str">
        <f ca="1">IFERROR(__xludf.DUMMYFUNCTION("""COMPUTED_VALUE"""),"#N/A")</f>
        <v>#N/A</v>
      </c>
      <c r="AG103" t="str">
        <f ca="1">IFERROR(__xludf.DUMMYFUNCTION("""COMPUTED_VALUE"""),"#N/A")</f>
        <v>#N/A</v>
      </c>
      <c r="AI103" t="str">
        <f ca="1">IFERROR(__xludf.DUMMYFUNCTION("""COMPUTED_VALUE"""),"#VALUE!")</f>
        <v>#VALUE!</v>
      </c>
      <c r="AK103" t="str">
        <f ca="1">IFERROR(__xludf.DUMMYFUNCTION("""COMPUTED_VALUE"""),"#VALUE!")</f>
        <v>#VALUE!</v>
      </c>
      <c r="AM103" t="str">
        <f ca="1">IFERROR(__xludf.DUMMYFUNCTION("""COMPUTED_VALUE"""),"#VALUE!")</f>
        <v>#VALUE!</v>
      </c>
      <c r="AO103" t="str">
        <f ca="1">IFERROR(__xludf.DUMMYFUNCTION("""COMPUTED_VALUE"""),"#VALUE!")</f>
        <v>#VALUE!</v>
      </c>
      <c r="AQ103" t="str">
        <f ca="1">IFERROR(__xludf.DUMMYFUNCTION("""COMPUTED_VALUE"""),"#VALUE!")</f>
        <v>#VALUE!</v>
      </c>
      <c r="AS103" t="str">
        <f ca="1">IFERROR(__xludf.DUMMYFUNCTION("""COMPUTED_VALUE"""),"#VALUE!")</f>
        <v>#VALUE!</v>
      </c>
      <c r="AU103" t="str">
        <f ca="1">IFERROR(__xludf.DUMMYFUNCTION("""COMPUTED_VALUE"""),"#VALUE!")</f>
        <v>#VALUE!</v>
      </c>
      <c r="AW103" t="str">
        <f ca="1">IFERROR(__xludf.DUMMYFUNCTION("""COMPUTED_VALUE"""),"#VALUE!")</f>
        <v>#VALUE!</v>
      </c>
      <c r="AY103" t="str">
        <f ca="1">IFERROR(__xludf.DUMMYFUNCTION("""COMPUTED_VALUE"""),"#VALUE!")</f>
        <v>#VALUE!</v>
      </c>
      <c r="BA103" t="str">
        <f ca="1">IFERROR(__xludf.DUMMYFUNCTION("""COMPUTED_VALUE"""),"#VALUE!")</f>
        <v>#VALUE!</v>
      </c>
      <c r="BC103" t="str">
        <f ca="1">IFERROR(__xludf.DUMMYFUNCTION("""COMPUTED_VALUE"""),"#VALUE!")</f>
        <v>#VALUE!</v>
      </c>
      <c r="BE103" t="str">
        <f ca="1">IFERROR(__xludf.DUMMYFUNCTION("""COMPUTED_VALUE"""),"#VALUE!")</f>
        <v>#VALUE!</v>
      </c>
      <c r="BG103" t="str">
        <f ca="1">IFERROR(__xludf.DUMMYFUNCTION("""COMPUTED_VALUE"""),"#VALUE!")</f>
        <v>#VALUE!</v>
      </c>
      <c r="BI103" t="str">
        <f ca="1">IFERROR(__xludf.DUMMYFUNCTION("""COMPUTED_VALUE"""),"#VALUE!")</f>
        <v>#VALUE!</v>
      </c>
      <c r="BK103" t="str">
        <f ca="1">IFERROR(__xludf.DUMMYFUNCTION("""COMPUTED_VALUE"""),"#VALUE!")</f>
        <v>#VALUE!</v>
      </c>
      <c r="BM103" t="str">
        <f ca="1">IFERROR(__xludf.DUMMYFUNCTION("""COMPUTED_VALUE"""),"#VALUE!")</f>
        <v>#VALUE!</v>
      </c>
      <c r="BO103" t="str">
        <f ca="1">IFERROR(__xludf.DUMMYFUNCTION("""COMPUTED_VALUE"""),"#VALUE!")</f>
        <v>#VALUE!</v>
      </c>
      <c r="BQ103" t="str">
        <f ca="1">IFERROR(__xludf.DUMMYFUNCTION("""COMPUTED_VALUE"""),"#VALUE!")</f>
        <v>#VALUE!</v>
      </c>
      <c r="BS103" t="str">
        <f ca="1">IFERROR(__xludf.DUMMYFUNCTION("""COMPUTED_VALUE"""),"#VALUE!")</f>
        <v>#VALUE!</v>
      </c>
      <c r="BU103" t="str">
        <f ca="1">IFERROR(__xludf.DUMMYFUNCTION("""COMPUTED_VALUE"""),"#VALUE!")</f>
        <v>#VALUE!</v>
      </c>
      <c r="BW103" t="str">
        <f ca="1">IFERROR(__xludf.DUMMYFUNCTION("""COMPUTED_VALUE"""),"#VALUE!")</f>
        <v>#VALUE!</v>
      </c>
      <c r="BY103" t="str">
        <f ca="1">IFERROR(__xludf.DUMMYFUNCTION("""COMPUTED_VALUE"""),"#VALUE!")</f>
        <v>#VALUE!</v>
      </c>
      <c r="CA103" t="str">
        <f ca="1">IFERROR(__xludf.DUMMYFUNCTION("""COMPUTED_VALUE"""),"#VALUE!")</f>
        <v>#VALUE!</v>
      </c>
      <c r="CC103" t="str">
        <f ca="1">IFERROR(__xludf.DUMMYFUNCTION("""COMPUTED_VALUE"""),"#VALUE!")</f>
        <v>#VALUE!</v>
      </c>
      <c r="CD103" t="str">
        <f ca="1">IFERROR(__xludf.DUMMYFUNCTION("""COMPUTED_VALUE"""),"C3598")</f>
        <v>C3598</v>
      </c>
      <c r="CE103" t="str">
        <f ca="1">IFERROR(__xludf.DUMMYFUNCTION("""COMPUTED_VALUE"""),"location of congregation")</f>
        <v>location of congregation</v>
      </c>
      <c r="CF103" t="str">
        <f ca="1">IFERROR(__xludf.DUMMYFUNCTION("""COMPUTED_VALUE"""),"L0029")</f>
        <v>L0029</v>
      </c>
      <c r="CG103" t="str">
        <f ca="1">IFERROR(__xludf.DUMMYFUNCTION("""COMPUTED_VALUE"""),"domus Humberti de Pragelato")</f>
        <v>domus Humberti de Pragelato</v>
      </c>
      <c r="CI103" t="str">
        <f ca="1">IFERROR(__xludf.DUMMYFUNCTION("""COMPUTED_VALUE"""),"#VALUE!")</f>
        <v>#VALUE!</v>
      </c>
      <c r="CK103" t="str">
        <f ca="1">IFERROR(__xludf.DUMMYFUNCTION("""COMPUTED_VALUE"""),"#VALUE!")</f>
        <v>#VALUE!</v>
      </c>
      <c r="CR103" t="str">
        <f ca="1">IFERROR(__xludf.DUMMYFUNCTION("""COMPUTED_VALUE"""),"L0028")</f>
        <v>L0028</v>
      </c>
      <c r="CS103" t="str">
        <f ca="1">IFERROR(__xludf.DUMMYFUNCTION("""COMPUTED_VALUE"""),"Dubbione")</f>
        <v>Dubbione</v>
      </c>
      <c r="CU103" t="str">
        <f ca="1">IFERROR(__xludf.DUMMYFUNCTION("""COMPUTED_VALUE"""),"#VALUE!")</f>
        <v>#VALUE!</v>
      </c>
      <c r="CW103" t="str">
        <f ca="1">IFERROR(__xludf.DUMMYFUNCTION("""COMPUTED_VALUE"""),"#VALUE!")</f>
        <v>#VALUE!</v>
      </c>
      <c r="CY103" t="str">
        <f ca="1">IFERROR(__xludf.DUMMYFUNCTION("""COMPUTED_VALUE"""),"#VALUE!")</f>
        <v>#VALUE!</v>
      </c>
      <c r="DC103" t="str">
        <f ca="1">IFERROR(__xludf.DUMMYFUNCTION("""COMPUTED_VALUE"""),"#VALUE!")</f>
        <v>#VALUE!</v>
      </c>
      <c r="DE103" t="str">
        <f ca="1">IFERROR(__xludf.DUMMYFUNCTION("""COMPUTED_VALUE"""),"#VALUE!")</f>
        <v>#VALUE!</v>
      </c>
      <c r="DH103" t="str">
        <f ca="1">IFERROR(__xludf.DUMMYFUNCTION("""COMPUTED_VALUE"""),"L0029")</f>
        <v>L0029</v>
      </c>
      <c r="DI103" t="str">
        <f ca="1">IFERROR(__xludf.DUMMYFUNCTION("""COMPUTED_VALUE"""),"domus Humberti de Pragelato")</f>
        <v>domus Humberti de Pragelato</v>
      </c>
      <c r="DJ103" t="str">
        <f ca="1">IFERROR(__xludf.DUMMYFUNCTION("""COMPUTED_VALUE"""),"domus")</f>
        <v>domus</v>
      </c>
      <c r="DL103" t="str">
        <f ca="1">IFERROR(__xludf.DUMMYFUNCTION("""COMPUTED_VALUE"""),"Davor Salihović")</f>
        <v>Davor Salihović</v>
      </c>
    </row>
    <row r="104" spans="1:116" ht="13.2" x14ac:dyDescent="0.25">
      <c r="A104" t="str">
        <f ca="1">IFERROR(__xludf.DUMMYFUNCTION("""COMPUTED_VALUE"""),"P0105")</f>
        <v>P0105</v>
      </c>
      <c r="B104" t="str">
        <f ca="1">IFERROR(__xludf.DUMMYFUNCTION("""COMPUTED_VALUE"""),"Villelminus de Oddo")</f>
        <v>Villelminus de Oddo</v>
      </c>
      <c r="D104" t="str">
        <f ca="1">IFERROR(__xludf.DUMMYFUNCTION("""COMPUTED_VALUE"""),"#VALUE!")</f>
        <v>#VALUE!</v>
      </c>
      <c r="E104" t="str">
        <f ca="1">IFERROR(__xludf.DUMMYFUNCTION("""COMPUTED_VALUE"""),"Villelminus")</f>
        <v>Villelminus</v>
      </c>
      <c r="F104" t="str">
        <f ca="1">IFERROR(__xludf.DUMMYFUNCTION("""COMPUTED_VALUE"""),"Villelmus")</f>
        <v>Villelmus</v>
      </c>
      <c r="J104" t="str">
        <f ca="1">IFERROR(__xludf.DUMMYFUNCTION("""COMPUTED_VALUE"""),"de")</f>
        <v>de</v>
      </c>
      <c r="K104" t="str">
        <f ca="1">IFERROR(__xludf.DUMMYFUNCTION("""COMPUTED_VALUE"""),"Oddo")</f>
        <v>Oddo</v>
      </c>
      <c r="L104" t="str">
        <f ca="1">IFERROR(__xludf.DUMMYFUNCTION("""COMPUTED_VALUE"""),"de Oddo")</f>
        <v>de Oddo</v>
      </c>
      <c r="S104" t="str">
        <f ca="1">IFERROR(__xludf.DUMMYFUNCTION("""COMPUTED_VALUE"""),"Latin")</f>
        <v>Latin</v>
      </c>
      <c r="T104" t="str">
        <f ca="1">IFERROR(__xludf.DUMMYFUNCTION("""COMPUTED_VALUE"""),"definite")</f>
        <v>definite</v>
      </c>
      <c r="U104" t="str">
        <f ca="1">IFERROR(__xludf.DUMMYFUNCTION("""COMPUTED_VALUE"""),"C2553")</f>
        <v>C2553</v>
      </c>
      <c r="V104" t="str">
        <f ca="1">IFERROR(__xludf.DUMMYFUNCTION("""COMPUTED_VALUE"""),"male")</f>
        <v>male</v>
      </c>
      <c r="Z104" t="str">
        <f ca="1">IFERROR(__xludf.DUMMYFUNCTION("""COMPUTED_VALUE"""),"167, 168, 172, 177, 179, 184, 185, 187, 189, 190, 191, 193, 196, 197, 198, 199, 201, 202, 203, 204, 205, 206, 207, 208, 209, 211, 213, 214, 215, 216, 217, 218, 219, 221, 222, 223, 226, 227, 228, 230, 231, 232, 234, 235, 236, 237, 240, 241, 242, 244, 246, "&amp;"247, 248")</f>
        <v>167, 168, 172, 177, 179, 184, 185, 187, 189, 190, 191, 193, 196, 197, 198, 199, 201, 202, 203, 204, 205, 206, 207, 208, 209, 211, 213, 214, 215, 216, 217, 218, 219, 221, 222, 223, 226, 227, 228, 230, 231, 232, 234, 235, 236, 237, 240, 241, 242, 244, 246, 247, 248</v>
      </c>
      <c r="AA104" t="str">
        <f ca="1">IFERROR(__xludf.DUMMYFUNCTION("""COMPUTED_VALUE"""),"d")</f>
        <v>d</v>
      </c>
      <c r="AB104" t="str">
        <f ca="1">IFERROR(__xludf.DUMMYFUNCTION("""COMPUTED_VALUE"""),"suspect")</f>
        <v>suspect</v>
      </c>
      <c r="AD104" t="str">
        <f ca="1">IFERROR(__xludf.DUMMYFUNCTION("""COMPUTED_VALUE"""),"C3287")</f>
        <v>C3287</v>
      </c>
      <c r="AE104" t="str">
        <f ca="1">IFERROR(__xludf.DUMMYFUNCTION("""COMPUTED_VALUE"""),"alive")</f>
        <v>alive</v>
      </c>
      <c r="AF104" t="str">
        <f ca="1">IFERROR(__xludf.DUMMYFUNCTION("""COMPUTED_VALUE"""),"C1753")</f>
        <v>C1753</v>
      </c>
      <c r="AG104" t="str">
        <f ca="1">IFERROR(__xludf.DUMMYFUNCTION("""COMPUTED_VALUE"""),"1335-01-20")</f>
        <v>1335-01-20</v>
      </c>
      <c r="AH104" t="str">
        <f ca="1">IFERROR(__xludf.DUMMYFUNCTION("""COMPUTED_VALUE"""),"C2341")</f>
        <v>C2341</v>
      </c>
      <c r="AI104" t="str">
        <f ca="1">IFERROR(__xludf.DUMMYFUNCTION("""COMPUTED_VALUE"""),"mother")</f>
        <v>mother</v>
      </c>
      <c r="AJ104" t="str">
        <f ca="1">IFERROR(__xludf.DUMMYFUNCTION("""COMPUTED_VALUE"""),"P0303")</f>
        <v>P0303</v>
      </c>
      <c r="AK104" t="str">
        <f ca="1">IFERROR(__xludf.DUMMYFUNCTION("""COMPUTED_VALUE"""),"Beatrix de Oddo")</f>
        <v>Beatrix de Oddo</v>
      </c>
      <c r="AL104" t="str">
        <f ca="1">IFERROR(__xludf.DUMMYFUNCTION("""COMPUTED_VALUE"""),"C2337")</f>
        <v>C2337</v>
      </c>
      <c r="AM104" t="str">
        <f ca="1">IFERROR(__xludf.DUMMYFUNCTION("""COMPUTED_VALUE"""),"brother")</f>
        <v>brother</v>
      </c>
      <c r="AN104" t="str">
        <f ca="1">IFERROR(__xludf.DUMMYFUNCTION("""COMPUTED_VALUE"""),"P0329")</f>
        <v>P0329</v>
      </c>
      <c r="AO104" t="str">
        <f ca="1">IFERROR(__xludf.DUMMYFUNCTION("""COMPUTED_VALUE"""),"Petrus de Oddo")</f>
        <v>Petrus de Oddo</v>
      </c>
      <c r="AP104" t="str">
        <f ca="1">IFERROR(__xludf.DUMMYFUNCTION("""COMPUTED_VALUE"""),"C3041")</f>
        <v>C3041</v>
      </c>
      <c r="AQ104" t="str">
        <f ca="1">IFERROR(__xludf.DUMMYFUNCTION("""COMPUTED_VALUE"""),"household")</f>
        <v>household</v>
      </c>
      <c r="AR104" t="str">
        <f ca="1">IFERROR(__xludf.DUMMYFUNCTION("""COMPUTED_VALUE"""),"G0048")</f>
        <v>G0048</v>
      </c>
      <c r="AS104" t="str">
        <f ca="1">IFERROR(__xludf.DUMMYFUNCTION("""COMPUTED_VALUE"""),"hospitium Villelmini de Oddo")</f>
        <v>hospitium Villelmini de Oddo</v>
      </c>
      <c r="AU104" t="str">
        <f ca="1">IFERROR(__xludf.DUMMYFUNCTION("""COMPUTED_VALUE"""),"#VALUE!")</f>
        <v>#VALUE!</v>
      </c>
      <c r="AW104" t="str">
        <f ca="1">IFERROR(__xludf.DUMMYFUNCTION("""COMPUTED_VALUE"""),"#VALUE!")</f>
        <v>#VALUE!</v>
      </c>
      <c r="AY104" t="str">
        <f ca="1">IFERROR(__xludf.DUMMYFUNCTION("""COMPUTED_VALUE"""),"#VALUE!")</f>
        <v>#VALUE!</v>
      </c>
      <c r="BA104" t="str">
        <f ca="1">IFERROR(__xludf.DUMMYFUNCTION("""COMPUTED_VALUE"""),"#VALUE!")</f>
        <v>#VALUE!</v>
      </c>
      <c r="BC104" t="str">
        <f ca="1">IFERROR(__xludf.DUMMYFUNCTION("""COMPUTED_VALUE"""),"#VALUE!")</f>
        <v>#VALUE!</v>
      </c>
      <c r="BE104" t="str">
        <f ca="1">IFERROR(__xludf.DUMMYFUNCTION("""COMPUTED_VALUE"""),"#VALUE!")</f>
        <v>#VALUE!</v>
      </c>
      <c r="BG104" t="str">
        <f ca="1">IFERROR(__xludf.DUMMYFUNCTION("""COMPUTED_VALUE"""),"#VALUE!")</f>
        <v>#VALUE!</v>
      </c>
      <c r="BI104" t="str">
        <f ca="1">IFERROR(__xludf.DUMMYFUNCTION("""COMPUTED_VALUE"""),"#VALUE!")</f>
        <v>#VALUE!</v>
      </c>
      <c r="BK104" t="str">
        <f ca="1">IFERROR(__xludf.DUMMYFUNCTION("""COMPUTED_VALUE"""),"#VALUE!")</f>
        <v>#VALUE!</v>
      </c>
      <c r="BM104" t="str">
        <f ca="1">IFERROR(__xludf.DUMMYFUNCTION("""COMPUTED_VALUE"""),"#VALUE!")</f>
        <v>#VALUE!</v>
      </c>
      <c r="BO104" t="str">
        <f ca="1">IFERROR(__xludf.DUMMYFUNCTION("""COMPUTED_VALUE"""),"#VALUE!")</f>
        <v>#VALUE!</v>
      </c>
      <c r="BQ104" t="str">
        <f ca="1">IFERROR(__xludf.DUMMYFUNCTION("""COMPUTED_VALUE"""),"#VALUE!")</f>
        <v>#VALUE!</v>
      </c>
      <c r="BS104" t="str">
        <f ca="1">IFERROR(__xludf.DUMMYFUNCTION("""COMPUTED_VALUE"""),"#VALUE!")</f>
        <v>#VALUE!</v>
      </c>
      <c r="BU104" t="str">
        <f ca="1">IFERROR(__xludf.DUMMYFUNCTION("""COMPUTED_VALUE"""),"#VALUE!")</f>
        <v>#VALUE!</v>
      </c>
      <c r="BW104" t="str">
        <f ca="1">IFERROR(__xludf.DUMMYFUNCTION("""COMPUTED_VALUE"""),"#VALUE!")</f>
        <v>#VALUE!</v>
      </c>
      <c r="BY104" t="str">
        <f ca="1">IFERROR(__xludf.DUMMYFUNCTION("""COMPUTED_VALUE"""),"#VALUE!")</f>
        <v>#VALUE!</v>
      </c>
      <c r="CA104" t="str">
        <f ca="1">IFERROR(__xludf.DUMMYFUNCTION("""COMPUTED_VALUE"""),"#VALUE!")</f>
        <v>#VALUE!</v>
      </c>
      <c r="CC104" t="str">
        <f ca="1">IFERROR(__xludf.DUMMYFUNCTION("""COMPUTED_VALUE"""),"#VALUE!")</f>
        <v>#VALUE!</v>
      </c>
      <c r="CD104" t="str">
        <f ca="1">IFERROR(__xludf.DUMMYFUNCTION("""COMPUTED_VALUE"""),"C3598")</f>
        <v>C3598</v>
      </c>
      <c r="CE104" t="str">
        <f ca="1">IFERROR(__xludf.DUMMYFUNCTION("""COMPUTED_VALUE"""),"location of congregation")</f>
        <v>location of congregation</v>
      </c>
      <c r="CF104" t="str">
        <f ca="1">IFERROR(__xludf.DUMMYFUNCTION("""COMPUTED_VALUE"""),"L0025#L0077#L0076#L0066#L0079#L0071#L0089#L0032#L0080#L0117#L0096#L0100#L0101#L0104#L0097#L0108#L0089#L0068#L0111#L0112#L0115#L0116#L0105#L0120#L0130#L0132#L0069#L0065")</f>
        <v>L0025#L0077#L0076#L0066#L0079#L0071#L0089#L0032#L0080#L0117#L0096#L0100#L0101#L0104#L0097#L0108#L0089#L0068#L0111#L0112#L0115#L0116#L0105#L0120#L0130#L0132#L0069#L0065</v>
      </c>
      <c r="CG104" t="str">
        <f ca="1">IFERROR(__xludf.DUMMYFUNCTION("""COMPUTED_VALUE"""),"domus Villelmeti Domenici #domus Margerite Borssete #domus Iohannis Torenchi #domus Bernardi de Rosseto #domus Martinii Dominici #domus Iohannis Mulini de Sala #domus Iohannis de Facio Ferrandi #domus Villelmi de Oddo #domus Petrii Burgi #domus Michaelis "&amp;"de Fomia #domus Iohannis de Bonaudo #domus de Boysono #domus Villelmi de Oddo #domus Beatricis de Oddo #domus Iohannis Borrellati #domus Petri de Oddo #domus Iohannis de Facio Ferrandi #domus Vieti de Mondino #domus Villelmi de Oddo in Villa #tectum Thome"&amp;" de Iohanne Iordani #domus Agnessone de Rosseto #domus Iohannis Borrelli de Iacobina #domus de Rossetis #domus Petri Guerssi #domus Iacobete de Mondino #domus Aleysine Burgi #domus Iohannis Martini #domus Iohannis de Castagno de Giaveno")</f>
        <v>domus Villelmeti Domenici #domus Margerite Borssete #domus Iohannis Torenchi #domus Bernardi de Rosseto #domus Martinii Dominici #domus Iohannis Mulini de Sala #domus Iohannis de Facio Ferrandi #domus Villelmi de Oddo #domus Petrii Burgi #domus Michaelis de Fomia #domus Iohannis de Bonaudo #domus de Boysono #domus Villelmi de Oddo #domus Beatricis de Oddo #domus Iohannis Borrellati #domus Petri de Oddo #domus Iohannis de Facio Ferrandi #domus Vieti de Mondino #domus Villelmi de Oddo in Villa #tectum Thome de Iohanne Iordani #domus Agnessone de Rosseto #domus Iohannis Borrelli de Iacobina #domus de Rossetis #domus Petri Guerssi #domus Iacobete de Mondino #domus Aleysine Burgi #domus Iohannis Martini #domus Iohannis de Castagno de Giaveno</v>
      </c>
      <c r="CI104" t="str">
        <f ca="1">IFERROR(__xludf.DUMMYFUNCTION("""COMPUTED_VALUE"""),"#VALUE!")</f>
        <v>#VALUE!</v>
      </c>
      <c r="CK104" t="str">
        <f ca="1">IFERROR(__xludf.DUMMYFUNCTION("""COMPUTED_VALUE"""),"#VALUE!")</f>
        <v>#VALUE!</v>
      </c>
      <c r="CS104" t="str">
        <f ca="1">IFERROR(__xludf.DUMMYFUNCTION("""COMPUTED_VALUE"""),"#VALUE!")</f>
        <v>#VALUE!</v>
      </c>
      <c r="CU104" t="str">
        <f ca="1">IFERROR(__xludf.DUMMYFUNCTION("""COMPUTED_VALUE"""),"#VALUE!")</f>
        <v>#VALUE!</v>
      </c>
      <c r="CV104" t="str">
        <f ca="1">IFERROR(__xludf.DUMMYFUNCTION("""COMPUTED_VALUE"""),"L0010")</f>
        <v>L0010</v>
      </c>
      <c r="CW104" t="str">
        <f ca="1">IFERROR(__xludf.DUMMYFUNCTION("""COMPUTED_VALUE"""),"Buffa")</f>
        <v>Buffa</v>
      </c>
      <c r="CY104" t="str">
        <f ca="1">IFERROR(__xludf.DUMMYFUNCTION("""COMPUTED_VALUE"""),"#VALUE!")</f>
        <v>#VALUE!</v>
      </c>
      <c r="DC104" t="str">
        <f ca="1">IFERROR(__xludf.DUMMYFUNCTION("""COMPUTED_VALUE"""),"#VALUE!")</f>
        <v>#VALUE!</v>
      </c>
      <c r="DE104" t="str">
        <f ca="1">IFERROR(__xludf.DUMMYFUNCTION("""COMPUTED_VALUE"""),"#VALUE!")</f>
        <v>#VALUE!</v>
      </c>
      <c r="DH104" t="str">
        <f ca="1">IFERROR(__xludf.DUMMYFUNCTION("""COMPUTED_VALUE"""),"L0025#L0077#L0076#L0066#L0079#L0071#L0089#L0032#L0080#L0117#L0096#L0100#L0101#L0104#L0097#L0108#L0089#L0068#L0111#L0112#L0115#L0116#L0105#L0120#L0130#L0132#L0069#L0065")</f>
        <v>L0025#L0077#L0076#L0066#L0079#L0071#L0089#L0032#L0080#L0117#L0096#L0100#L0101#L0104#L0097#L0108#L0089#L0068#L0111#L0112#L0115#L0116#L0105#L0120#L0130#L0132#L0069#L0065</v>
      </c>
      <c r="DI104" t="str">
        <f ca="1">IFERROR(__xludf.DUMMYFUNCTION("""COMPUTED_VALUE"""),"domus Villelmeti Domenici #domus Margerite Borssete #domus Iohannis Torenchi #domus Bernardi de Rosseto #domus Martinii Dominici #domus Iohannis Mulini de Sala #domus Iohannis de Facio Ferrandi #domus Villelmi de Oddo #domus Petrii Burgi #domus Michaelis "&amp;"de Fomia #domus Iohannis de Bonaudo #domus de Boysono #domus Villelmi de Oddo #domus Beatricis de Oddo #domus Iohannis Borrellati #domus Petri de Oddo #domus Iohannis de Facio Ferrandi #domus Vieti de Mondino #domus Villelmi de Oddo in Villa #tectum Thome"&amp;" de Iohanne Iordani #domus Agnessone de Rosseto #domus Iohannis Borrelli de Iacobina #domus de Rossetis #domus Petri Guerssi #domus Iacobete de Mondino #domus Aleysine Burgi #domus Iohannis Martini #domus Iohannis de Castagno de Giaveno")</f>
        <v>domus Villelmeti Domenici #domus Margerite Borssete #domus Iohannis Torenchi #domus Bernardi de Rosseto #domus Martinii Dominici #domus Iohannis Mulini de Sala #domus Iohannis de Facio Ferrandi #domus Villelmi de Oddo #domus Petrii Burgi #domus Michaelis de Fomia #domus Iohannis de Bonaudo #domus de Boysono #domus Villelmi de Oddo #domus Beatricis de Oddo #domus Iohannis Borrellati #domus Petri de Oddo #domus Iohannis de Facio Ferrandi #domus Vieti de Mondino #domus Villelmi de Oddo in Villa #tectum Thome de Iohanne Iordani #domus Agnessone de Rosseto #domus Iohannis Borrelli de Iacobina #domus de Rossetis #domus Petri Guerssi #domus Iacobete de Mondino #domus Aleysine Burgi #domus Iohannis Martini #domus Iohannis de Castagno de Giaveno</v>
      </c>
      <c r="DJ104" t="str">
        <f ca="1">IFERROR(__xludf.DUMMYFUNCTION("""COMPUTED_VALUE"""),"domus #domus #domus #domus #domus #domus #domus #domus #domus #domus #domus #domus #domus #domus #domus #domus #domus #domus #domus #building #domus #domus #domus #domus #domus #domus #domus #domus")</f>
        <v>domus #domus #domus #domus #domus #domus #domus #domus #domus #domus #domus #domus #domus #domus #domus #domus #domus #domus #domus #building #domus #domus #domus #domus #domus #domus #domus #domus</v>
      </c>
      <c r="DL104" t="str">
        <f ca="1">IFERROR(__xludf.DUMMYFUNCTION("""COMPUTED_VALUE"""),"Davor Salihović")</f>
        <v>Davor Salihović</v>
      </c>
    </row>
    <row r="105" spans="1:116" ht="13.2" x14ac:dyDescent="0.25">
      <c r="A105" t="str">
        <f ca="1">IFERROR(__xludf.DUMMYFUNCTION("""COMPUTED_VALUE"""),"P0106")</f>
        <v>P0106</v>
      </c>
      <c r="B105" t="str">
        <f ca="1">IFERROR(__xludf.DUMMYFUNCTION("""COMPUTED_VALUE"""),"Marguerita de Prato Ialato")</f>
        <v>Marguerita de Prato Ialato</v>
      </c>
      <c r="D105" t="str">
        <f ca="1">IFERROR(__xludf.DUMMYFUNCTION("""COMPUTED_VALUE"""),"#VALUE!")</f>
        <v>#VALUE!</v>
      </c>
      <c r="E105" t="str">
        <f ca="1">IFERROR(__xludf.DUMMYFUNCTION("""COMPUTED_VALUE"""),"Marguerita")</f>
        <v>Marguerita</v>
      </c>
      <c r="J105" t="str">
        <f ca="1">IFERROR(__xludf.DUMMYFUNCTION("""COMPUTED_VALUE"""),"de")</f>
        <v>de</v>
      </c>
      <c r="K105" t="str">
        <f ca="1">IFERROR(__xludf.DUMMYFUNCTION("""COMPUTED_VALUE"""),"Prato Ialato")</f>
        <v>Prato Ialato</v>
      </c>
      <c r="L105" t="str">
        <f ca="1">IFERROR(__xludf.DUMMYFUNCTION("""COMPUTED_VALUE"""),"de Prato Ialato")</f>
        <v>de Prato Ialato</v>
      </c>
      <c r="S105" t="str">
        <f ca="1">IFERROR(__xludf.DUMMYFUNCTION("""COMPUTED_VALUE"""),"Latin")</f>
        <v>Latin</v>
      </c>
      <c r="T105" t="str">
        <f ca="1">IFERROR(__xludf.DUMMYFUNCTION("""COMPUTED_VALUE"""),"definite")</f>
        <v>definite</v>
      </c>
      <c r="U105" t="str">
        <f ca="1">IFERROR(__xludf.DUMMYFUNCTION("""COMPUTED_VALUE"""),"C2552")</f>
        <v>C2552</v>
      </c>
      <c r="V105" t="str">
        <f ca="1">IFERROR(__xludf.DUMMYFUNCTION("""COMPUTED_VALUE"""),"female")</f>
        <v>female</v>
      </c>
      <c r="Z105" t="str">
        <f ca="1">IFERROR(__xludf.DUMMYFUNCTION("""COMPUTED_VALUE"""),"167, 172, 215, 216, 220, 236")</f>
        <v>167, 172, 215, 216, 220, 236</v>
      </c>
      <c r="AA105" t="str">
        <f ca="1">IFERROR(__xludf.DUMMYFUNCTION("""COMPUTED_VALUE"""),"d")</f>
        <v>d</v>
      </c>
      <c r="AB105" t="str">
        <f ca="1">IFERROR(__xludf.DUMMYFUNCTION("""COMPUTED_VALUE"""),"suspect")</f>
        <v>suspect</v>
      </c>
      <c r="AD105" t="str">
        <f ca="1">IFERROR(__xludf.DUMMYFUNCTION("""COMPUTED_VALUE"""),"C3287")</f>
        <v>C3287</v>
      </c>
      <c r="AE105" t="str">
        <f ca="1">IFERROR(__xludf.DUMMYFUNCTION("""COMPUTED_VALUE"""),"alive")</f>
        <v>alive</v>
      </c>
      <c r="AF105" t="str">
        <f ca="1">IFERROR(__xludf.DUMMYFUNCTION("""COMPUTED_VALUE"""),"C1753")</f>
        <v>C1753</v>
      </c>
      <c r="AG105" t="str">
        <f ca="1">IFERROR(__xludf.DUMMYFUNCTION("""COMPUTED_VALUE"""),"1335-01-20")</f>
        <v>1335-01-20</v>
      </c>
      <c r="AI105" t="str">
        <f ca="1">IFERROR(__xludf.DUMMYFUNCTION("""COMPUTED_VALUE"""),"#VALUE!")</f>
        <v>#VALUE!</v>
      </c>
      <c r="AK105" t="str">
        <f ca="1">IFERROR(__xludf.DUMMYFUNCTION("""COMPUTED_VALUE"""),"#VALUE!")</f>
        <v>#VALUE!</v>
      </c>
      <c r="AM105" t="str">
        <f ca="1">IFERROR(__xludf.DUMMYFUNCTION("""COMPUTED_VALUE"""),"#VALUE!")</f>
        <v>#VALUE!</v>
      </c>
      <c r="AO105" t="str">
        <f ca="1">IFERROR(__xludf.DUMMYFUNCTION("""COMPUTED_VALUE"""),"#VALUE!")</f>
        <v>#VALUE!</v>
      </c>
      <c r="AQ105" t="str">
        <f ca="1">IFERROR(__xludf.DUMMYFUNCTION("""COMPUTED_VALUE"""),"#VALUE!")</f>
        <v>#VALUE!</v>
      </c>
      <c r="AS105" t="str">
        <f ca="1">IFERROR(__xludf.DUMMYFUNCTION("""COMPUTED_VALUE"""),"#VALUE!")</f>
        <v>#VALUE!</v>
      </c>
      <c r="AU105" t="str">
        <f ca="1">IFERROR(__xludf.DUMMYFUNCTION("""COMPUTED_VALUE"""),"#VALUE!")</f>
        <v>#VALUE!</v>
      </c>
      <c r="AW105" t="str">
        <f ca="1">IFERROR(__xludf.DUMMYFUNCTION("""COMPUTED_VALUE"""),"#VALUE!")</f>
        <v>#VALUE!</v>
      </c>
      <c r="AY105" t="str">
        <f ca="1">IFERROR(__xludf.DUMMYFUNCTION("""COMPUTED_VALUE"""),"#VALUE!")</f>
        <v>#VALUE!</v>
      </c>
      <c r="BA105" t="str">
        <f ca="1">IFERROR(__xludf.DUMMYFUNCTION("""COMPUTED_VALUE"""),"#VALUE!")</f>
        <v>#VALUE!</v>
      </c>
      <c r="BC105" t="str">
        <f ca="1">IFERROR(__xludf.DUMMYFUNCTION("""COMPUTED_VALUE"""),"#VALUE!")</f>
        <v>#VALUE!</v>
      </c>
      <c r="BE105" t="str">
        <f ca="1">IFERROR(__xludf.DUMMYFUNCTION("""COMPUTED_VALUE"""),"#VALUE!")</f>
        <v>#VALUE!</v>
      </c>
      <c r="BG105" t="str">
        <f ca="1">IFERROR(__xludf.DUMMYFUNCTION("""COMPUTED_VALUE"""),"#VALUE!")</f>
        <v>#VALUE!</v>
      </c>
      <c r="BI105" t="str">
        <f ca="1">IFERROR(__xludf.DUMMYFUNCTION("""COMPUTED_VALUE"""),"#VALUE!")</f>
        <v>#VALUE!</v>
      </c>
      <c r="BK105" t="str">
        <f ca="1">IFERROR(__xludf.DUMMYFUNCTION("""COMPUTED_VALUE"""),"#VALUE!")</f>
        <v>#VALUE!</v>
      </c>
      <c r="BM105" t="str">
        <f ca="1">IFERROR(__xludf.DUMMYFUNCTION("""COMPUTED_VALUE"""),"#VALUE!")</f>
        <v>#VALUE!</v>
      </c>
      <c r="BO105" t="str">
        <f ca="1">IFERROR(__xludf.DUMMYFUNCTION("""COMPUTED_VALUE"""),"#VALUE!")</f>
        <v>#VALUE!</v>
      </c>
      <c r="BQ105" t="str">
        <f ca="1">IFERROR(__xludf.DUMMYFUNCTION("""COMPUTED_VALUE"""),"#VALUE!")</f>
        <v>#VALUE!</v>
      </c>
      <c r="BS105" t="str">
        <f ca="1">IFERROR(__xludf.DUMMYFUNCTION("""COMPUTED_VALUE"""),"#VALUE!")</f>
        <v>#VALUE!</v>
      </c>
      <c r="BU105" t="str">
        <f ca="1">IFERROR(__xludf.DUMMYFUNCTION("""COMPUTED_VALUE"""),"#VALUE!")</f>
        <v>#VALUE!</v>
      </c>
      <c r="BW105" t="str">
        <f ca="1">IFERROR(__xludf.DUMMYFUNCTION("""COMPUTED_VALUE"""),"#VALUE!")</f>
        <v>#VALUE!</v>
      </c>
      <c r="BY105" t="str">
        <f ca="1">IFERROR(__xludf.DUMMYFUNCTION("""COMPUTED_VALUE"""),"#VALUE!")</f>
        <v>#VALUE!</v>
      </c>
      <c r="CA105" t="str">
        <f ca="1">IFERROR(__xludf.DUMMYFUNCTION("""COMPUTED_VALUE"""),"#VALUE!")</f>
        <v>#VALUE!</v>
      </c>
      <c r="CC105" t="str">
        <f ca="1">IFERROR(__xludf.DUMMYFUNCTION("""COMPUTED_VALUE"""),"#VALUE!")</f>
        <v>#VALUE!</v>
      </c>
      <c r="CD105" t="str">
        <f ca="1">IFERROR(__xludf.DUMMYFUNCTION("""COMPUTED_VALUE"""),"C3598")</f>
        <v>C3598</v>
      </c>
      <c r="CE105" t="str">
        <f ca="1">IFERROR(__xludf.DUMMYFUNCTION("""COMPUTED_VALUE"""),"location of congregation")</f>
        <v>location of congregation</v>
      </c>
      <c r="CF105" t="str">
        <f ca="1">IFERROR(__xludf.DUMMYFUNCTION("""COMPUTED_VALUE"""),"L0046#L0032#L0098#L0118")</f>
        <v>L0046#L0032#L0098#L0118</v>
      </c>
      <c r="CG105" t="str">
        <f ca="1">IFERROR(__xludf.DUMMYFUNCTION("""COMPUTED_VALUE"""),"domus Margarite de Pragelato #domus Villelmi de Oddo #domus Michaelis Planche #domus matris Peronete et Michaelis Planche")</f>
        <v>domus Margarite de Pragelato #domus Villelmi de Oddo #domus Michaelis Planche #domus matris Peronete et Michaelis Planche</v>
      </c>
      <c r="CI105" t="str">
        <f ca="1">IFERROR(__xludf.DUMMYFUNCTION("""COMPUTED_VALUE"""),"#VALUE!")</f>
        <v>#VALUE!</v>
      </c>
      <c r="CK105" t="str">
        <f ca="1">IFERROR(__xludf.DUMMYFUNCTION("""COMPUTED_VALUE"""),"#VALUE!")</f>
        <v>#VALUE!</v>
      </c>
      <c r="CS105" t="str">
        <f ca="1">IFERROR(__xludf.DUMMYFUNCTION("""COMPUTED_VALUE"""),"#VALUE!")</f>
        <v>#VALUE!</v>
      </c>
      <c r="CT105" t="str">
        <f ca="1">IFERROR(__xludf.DUMMYFUNCTION("""COMPUTED_VALUE"""),"L0153")</f>
        <v>L0153</v>
      </c>
      <c r="CU105" t="str">
        <f ca="1">IFERROR(__xludf.DUMMYFUNCTION("""COMPUTED_VALUE"""),"Pragelato")</f>
        <v>Pragelato</v>
      </c>
      <c r="CV105" t="str">
        <f ca="1">IFERROR(__xludf.DUMMYFUNCTION("""COMPUTED_VALUE"""),"L0010")</f>
        <v>L0010</v>
      </c>
      <c r="CW105" t="str">
        <f ca="1">IFERROR(__xludf.DUMMYFUNCTION("""COMPUTED_VALUE"""),"Buffa")</f>
        <v>Buffa</v>
      </c>
      <c r="CX105" t="str">
        <f ca="1">IFERROR(__xludf.DUMMYFUNCTION("""COMPUTED_VALUE"""),"C0360")</f>
        <v>C0360</v>
      </c>
      <c r="CY105" t="str">
        <f ca="1">IFERROR(__xludf.DUMMYFUNCTION("""COMPUTED_VALUE"""),"textor")</f>
        <v>textor</v>
      </c>
      <c r="DA105" t="str">
        <f ca="1">IFERROR(__xludf.DUMMYFUNCTION("""COMPUTED_VALUE"""),"craftsman")</f>
        <v>craftsman</v>
      </c>
      <c r="DB105" t="str">
        <f ca="1">IFERROR(__xludf.DUMMYFUNCTION("""COMPUTED_VALUE"""),"C0360")</f>
        <v>C0360</v>
      </c>
      <c r="DC105" t="str">
        <f ca="1">IFERROR(__xludf.DUMMYFUNCTION("""COMPUTED_VALUE"""),"textor")</f>
        <v>textor</v>
      </c>
      <c r="DE105" t="str">
        <f ca="1">IFERROR(__xludf.DUMMYFUNCTION("""COMPUTED_VALUE"""),"#VALUE!")</f>
        <v>#VALUE!</v>
      </c>
      <c r="DH105" t="str">
        <f ca="1">IFERROR(__xludf.DUMMYFUNCTION("""COMPUTED_VALUE"""),"L0046#L0032#L0098#L0118")</f>
        <v>L0046#L0032#L0098#L0118</v>
      </c>
      <c r="DI105" t="str">
        <f ca="1">IFERROR(__xludf.DUMMYFUNCTION("""COMPUTED_VALUE"""),"domus Margarite de Pragelato #domus Villelmi de Oddo #domus Michaelis Planche #domus matris Peronete et Michaelis Planche")</f>
        <v>domus Margarite de Pragelato #domus Villelmi de Oddo #domus Michaelis Planche #domus matris Peronete et Michaelis Planche</v>
      </c>
      <c r="DJ105" t="str">
        <f ca="1">IFERROR(__xludf.DUMMYFUNCTION("""COMPUTED_VALUE"""),"domus #domus #domus #domus")</f>
        <v>domus #domus #domus #domus</v>
      </c>
      <c r="DL105" t="str">
        <f ca="1">IFERROR(__xludf.DUMMYFUNCTION("""COMPUTED_VALUE"""),"Davor Salihović")</f>
        <v>Davor Salihović</v>
      </c>
    </row>
    <row r="106" spans="1:116" ht="13.2" x14ac:dyDescent="0.25">
      <c r="A106" t="str">
        <f ca="1">IFERROR(__xludf.DUMMYFUNCTION("""COMPUTED_VALUE"""),"P0107")</f>
        <v>P0107</v>
      </c>
      <c r="B106" t="str">
        <f ca="1">IFERROR(__xludf.DUMMYFUNCTION("""COMPUTED_VALUE"""),"Petrus de Collegio")</f>
        <v>Petrus de Collegio</v>
      </c>
      <c r="D106" t="str">
        <f ca="1">IFERROR(__xludf.DUMMYFUNCTION("""COMPUTED_VALUE"""),"#VALUE!")</f>
        <v>#VALUE!</v>
      </c>
      <c r="E106" t="str">
        <f ca="1">IFERROR(__xludf.DUMMYFUNCTION("""COMPUTED_VALUE"""),"Petrus")</f>
        <v>Petrus</v>
      </c>
      <c r="J106" t="str">
        <f ca="1">IFERROR(__xludf.DUMMYFUNCTION("""COMPUTED_VALUE"""),"de")</f>
        <v>de</v>
      </c>
      <c r="K106" t="str">
        <f ca="1">IFERROR(__xludf.DUMMYFUNCTION("""COMPUTED_VALUE"""),"Collegio")</f>
        <v>Collegio</v>
      </c>
      <c r="L106" t="str">
        <f ca="1">IFERROR(__xludf.DUMMYFUNCTION("""COMPUTED_VALUE"""),"de Collegio")</f>
        <v>de Collegio</v>
      </c>
      <c r="S106" t="str">
        <f ca="1">IFERROR(__xludf.DUMMYFUNCTION("""COMPUTED_VALUE"""),"Latin")</f>
        <v>Latin</v>
      </c>
      <c r="T106" t="str">
        <f ca="1">IFERROR(__xludf.DUMMYFUNCTION("""COMPUTED_VALUE"""),"definite")</f>
        <v>definite</v>
      </c>
      <c r="U106" t="str">
        <f ca="1">IFERROR(__xludf.DUMMYFUNCTION("""COMPUTED_VALUE"""),"C2553")</f>
        <v>C2553</v>
      </c>
      <c r="V106" t="str">
        <f ca="1">IFERROR(__xludf.DUMMYFUNCTION("""COMPUTED_VALUE"""),"male")</f>
        <v>male</v>
      </c>
      <c r="Z106" t="str">
        <f ca="1">IFERROR(__xludf.DUMMYFUNCTION("""COMPUTED_VALUE"""),"167")</f>
        <v>167</v>
      </c>
      <c r="AA106" t="str">
        <f ca="1">IFERROR(__xludf.DUMMYFUNCTION("""COMPUTED_VALUE"""),"d")</f>
        <v>d</v>
      </c>
      <c r="AB106" t="str">
        <f ca="1">IFERROR(__xludf.DUMMYFUNCTION("""COMPUTED_VALUE"""),"suspect")</f>
        <v>suspect</v>
      </c>
      <c r="AF106" t="str">
        <f ca="1">IFERROR(__xludf.DUMMYFUNCTION("""COMPUTED_VALUE"""),"#N/A")</f>
        <v>#N/A</v>
      </c>
      <c r="AG106" t="str">
        <f ca="1">IFERROR(__xludf.DUMMYFUNCTION("""COMPUTED_VALUE"""),"#N/A")</f>
        <v>#N/A</v>
      </c>
      <c r="AI106" t="str">
        <f ca="1">IFERROR(__xludf.DUMMYFUNCTION("""COMPUTED_VALUE"""),"#VALUE!")</f>
        <v>#VALUE!</v>
      </c>
      <c r="AK106" t="str">
        <f ca="1">IFERROR(__xludf.DUMMYFUNCTION("""COMPUTED_VALUE"""),"#VALUE!")</f>
        <v>#VALUE!</v>
      </c>
      <c r="AM106" t="str">
        <f ca="1">IFERROR(__xludf.DUMMYFUNCTION("""COMPUTED_VALUE"""),"#VALUE!")</f>
        <v>#VALUE!</v>
      </c>
      <c r="AO106" t="str">
        <f ca="1">IFERROR(__xludf.DUMMYFUNCTION("""COMPUTED_VALUE"""),"#VALUE!")</f>
        <v>#VALUE!</v>
      </c>
      <c r="AQ106" t="str">
        <f ca="1">IFERROR(__xludf.DUMMYFUNCTION("""COMPUTED_VALUE"""),"#VALUE!")</f>
        <v>#VALUE!</v>
      </c>
      <c r="AS106" t="str">
        <f ca="1">IFERROR(__xludf.DUMMYFUNCTION("""COMPUTED_VALUE"""),"#VALUE!")</f>
        <v>#VALUE!</v>
      </c>
      <c r="AU106" t="str">
        <f ca="1">IFERROR(__xludf.DUMMYFUNCTION("""COMPUTED_VALUE"""),"#VALUE!")</f>
        <v>#VALUE!</v>
      </c>
      <c r="AW106" t="str">
        <f ca="1">IFERROR(__xludf.DUMMYFUNCTION("""COMPUTED_VALUE"""),"#VALUE!")</f>
        <v>#VALUE!</v>
      </c>
      <c r="AY106" t="str">
        <f ca="1">IFERROR(__xludf.DUMMYFUNCTION("""COMPUTED_VALUE"""),"#VALUE!")</f>
        <v>#VALUE!</v>
      </c>
      <c r="BA106" t="str">
        <f ca="1">IFERROR(__xludf.DUMMYFUNCTION("""COMPUTED_VALUE"""),"#VALUE!")</f>
        <v>#VALUE!</v>
      </c>
      <c r="BC106" t="str">
        <f ca="1">IFERROR(__xludf.DUMMYFUNCTION("""COMPUTED_VALUE"""),"#VALUE!")</f>
        <v>#VALUE!</v>
      </c>
      <c r="BE106" t="str">
        <f ca="1">IFERROR(__xludf.DUMMYFUNCTION("""COMPUTED_VALUE"""),"#VALUE!")</f>
        <v>#VALUE!</v>
      </c>
      <c r="BG106" t="str">
        <f ca="1">IFERROR(__xludf.DUMMYFUNCTION("""COMPUTED_VALUE"""),"#VALUE!")</f>
        <v>#VALUE!</v>
      </c>
      <c r="BI106" t="str">
        <f ca="1">IFERROR(__xludf.DUMMYFUNCTION("""COMPUTED_VALUE"""),"#VALUE!")</f>
        <v>#VALUE!</v>
      </c>
      <c r="BK106" t="str">
        <f ca="1">IFERROR(__xludf.DUMMYFUNCTION("""COMPUTED_VALUE"""),"#VALUE!")</f>
        <v>#VALUE!</v>
      </c>
      <c r="BM106" t="str">
        <f ca="1">IFERROR(__xludf.DUMMYFUNCTION("""COMPUTED_VALUE"""),"#VALUE!")</f>
        <v>#VALUE!</v>
      </c>
      <c r="BO106" t="str">
        <f ca="1">IFERROR(__xludf.DUMMYFUNCTION("""COMPUTED_VALUE"""),"#VALUE!")</f>
        <v>#VALUE!</v>
      </c>
      <c r="BQ106" t="str">
        <f ca="1">IFERROR(__xludf.DUMMYFUNCTION("""COMPUTED_VALUE"""),"#VALUE!")</f>
        <v>#VALUE!</v>
      </c>
      <c r="BS106" t="str">
        <f ca="1">IFERROR(__xludf.DUMMYFUNCTION("""COMPUTED_VALUE"""),"#VALUE!")</f>
        <v>#VALUE!</v>
      </c>
      <c r="BU106" t="str">
        <f ca="1">IFERROR(__xludf.DUMMYFUNCTION("""COMPUTED_VALUE"""),"#VALUE!")</f>
        <v>#VALUE!</v>
      </c>
      <c r="BW106" t="str">
        <f ca="1">IFERROR(__xludf.DUMMYFUNCTION("""COMPUTED_VALUE"""),"#VALUE!")</f>
        <v>#VALUE!</v>
      </c>
      <c r="BY106" t="str">
        <f ca="1">IFERROR(__xludf.DUMMYFUNCTION("""COMPUTED_VALUE"""),"#VALUE!")</f>
        <v>#VALUE!</v>
      </c>
      <c r="CA106" t="str">
        <f ca="1">IFERROR(__xludf.DUMMYFUNCTION("""COMPUTED_VALUE"""),"#VALUE!")</f>
        <v>#VALUE!</v>
      </c>
      <c r="CC106" t="str">
        <f ca="1">IFERROR(__xludf.DUMMYFUNCTION("""COMPUTED_VALUE"""),"#VALUE!")</f>
        <v>#VALUE!</v>
      </c>
      <c r="CE106" t="str">
        <f ca="1">IFERROR(__xludf.DUMMYFUNCTION("""COMPUTED_VALUE"""),"#VALUE!")</f>
        <v>#VALUE!</v>
      </c>
      <c r="CG106" t="str">
        <f ca="1">IFERROR(__xludf.DUMMYFUNCTION("""COMPUTED_VALUE"""),"#VALUE!")</f>
        <v>#VALUE!</v>
      </c>
      <c r="CI106" t="str">
        <f ca="1">IFERROR(__xludf.DUMMYFUNCTION("""COMPUTED_VALUE"""),"#VALUE!")</f>
        <v>#VALUE!</v>
      </c>
      <c r="CK106" t="str">
        <f ca="1">IFERROR(__xludf.DUMMYFUNCTION("""COMPUTED_VALUE"""),"#VALUE!")</f>
        <v>#VALUE!</v>
      </c>
      <c r="CS106" t="str">
        <f ca="1">IFERROR(__xludf.DUMMYFUNCTION("""COMPUTED_VALUE"""),"#VALUE!")</f>
        <v>#VALUE!</v>
      </c>
      <c r="CU106" t="str">
        <f ca="1">IFERROR(__xludf.DUMMYFUNCTION("""COMPUTED_VALUE"""),"#VALUE!")</f>
        <v>#VALUE!</v>
      </c>
      <c r="CV106" t="str">
        <f ca="1">IFERROR(__xludf.DUMMYFUNCTION("""COMPUTED_VALUE"""),"L0010")</f>
        <v>L0010</v>
      </c>
      <c r="CW106" t="str">
        <f ca="1">IFERROR(__xludf.DUMMYFUNCTION("""COMPUTED_VALUE"""),"Buffa")</f>
        <v>Buffa</v>
      </c>
      <c r="CY106" t="str">
        <f ca="1">IFERROR(__xludf.DUMMYFUNCTION("""COMPUTED_VALUE"""),"#VALUE!")</f>
        <v>#VALUE!</v>
      </c>
      <c r="DC106" t="str">
        <f ca="1">IFERROR(__xludf.DUMMYFUNCTION("""COMPUTED_VALUE"""),"#VALUE!")</f>
        <v>#VALUE!</v>
      </c>
      <c r="DE106" t="str">
        <f ca="1">IFERROR(__xludf.DUMMYFUNCTION("""COMPUTED_VALUE"""),"#VALUE!")</f>
        <v>#VALUE!</v>
      </c>
      <c r="DI106" t="str">
        <f ca="1">IFERROR(__xludf.DUMMYFUNCTION("""COMPUTED_VALUE"""),"#VALUE!")</f>
        <v>#VALUE!</v>
      </c>
      <c r="DJ106" t="str">
        <f ca="1">IFERROR(__xludf.DUMMYFUNCTION("""COMPUTED_VALUE"""),"#VALUE!")</f>
        <v>#VALUE!</v>
      </c>
      <c r="DL106" t="str">
        <f ca="1">IFERROR(__xludf.DUMMYFUNCTION("""COMPUTED_VALUE"""),"Davor Salihović")</f>
        <v>Davor Salihović</v>
      </c>
    </row>
    <row r="107" spans="1:116" ht="13.2" x14ac:dyDescent="0.25">
      <c r="A107" t="str">
        <f ca="1">IFERROR(__xludf.DUMMYFUNCTION("""COMPUTED_VALUE"""),"P0108")</f>
        <v>P0108</v>
      </c>
      <c r="B107" t="str">
        <f ca="1">IFERROR(__xludf.DUMMYFUNCTION("""COMPUTED_VALUE"""),"Petrus de Boteto")</f>
        <v>Petrus de Boteto</v>
      </c>
      <c r="D107" t="str">
        <f ca="1">IFERROR(__xludf.DUMMYFUNCTION("""COMPUTED_VALUE"""),"#VALUE!")</f>
        <v>#VALUE!</v>
      </c>
      <c r="E107" t="str">
        <f ca="1">IFERROR(__xludf.DUMMYFUNCTION("""COMPUTED_VALUE"""),"Petrus")</f>
        <v>Petrus</v>
      </c>
      <c r="J107" t="str">
        <f ca="1">IFERROR(__xludf.DUMMYFUNCTION("""COMPUTED_VALUE"""),"de")</f>
        <v>de</v>
      </c>
      <c r="K107" t="str">
        <f ca="1">IFERROR(__xludf.DUMMYFUNCTION("""COMPUTED_VALUE"""),"Boteto")</f>
        <v>Boteto</v>
      </c>
      <c r="L107" t="str">
        <f ca="1">IFERROR(__xludf.DUMMYFUNCTION("""COMPUTED_VALUE"""),"de Boteto")</f>
        <v>de Boteto</v>
      </c>
      <c r="S107" t="str">
        <f ca="1">IFERROR(__xludf.DUMMYFUNCTION("""COMPUTED_VALUE"""),"Latin")</f>
        <v>Latin</v>
      </c>
      <c r="T107" t="str">
        <f ca="1">IFERROR(__xludf.DUMMYFUNCTION("""COMPUTED_VALUE"""),"definite")</f>
        <v>definite</v>
      </c>
      <c r="U107" t="str">
        <f ca="1">IFERROR(__xludf.DUMMYFUNCTION("""COMPUTED_VALUE"""),"C2553")</f>
        <v>C2553</v>
      </c>
      <c r="V107" t="str">
        <f ca="1">IFERROR(__xludf.DUMMYFUNCTION("""COMPUTED_VALUE"""),"male")</f>
        <v>male</v>
      </c>
      <c r="Z107" t="str">
        <f ca="1">IFERROR(__xludf.DUMMYFUNCTION("""COMPUTED_VALUE"""),"167")</f>
        <v>167</v>
      </c>
      <c r="AA107" t="str">
        <f ca="1">IFERROR(__xludf.DUMMYFUNCTION("""COMPUTED_VALUE"""),"d")</f>
        <v>d</v>
      </c>
      <c r="AB107" t="str">
        <f ca="1">IFERROR(__xludf.DUMMYFUNCTION("""COMPUTED_VALUE"""),"suspect")</f>
        <v>suspect</v>
      </c>
      <c r="AF107" t="str">
        <f ca="1">IFERROR(__xludf.DUMMYFUNCTION("""COMPUTED_VALUE"""),"#N/A")</f>
        <v>#N/A</v>
      </c>
      <c r="AG107" t="str">
        <f ca="1">IFERROR(__xludf.DUMMYFUNCTION("""COMPUTED_VALUE"""),"#N/A")</f>
        <v>#N/A</v>
      </c>
      <c r="AI107" t="str">
        <f ca="1">IFERROR(__xludf.DUMMYFUNCTION("""COMPUTED_VALUE"""),"#VALUE!")</f>
        <v>#VALUE!</v>
      </c>
      <c r="AK107" t="str">
        <f ca="1">IFERROR(__xludf.DUMMYFUNCTION("""COMPUTED_VALUE"""),"#VALUE!")</f>
        <v>#VALUE!</v>
      </c>
      <c r="AM107" t="str">
        <f ca="1">IFERROR(__xludf.DUMMYFUNCTION("""COMPUTED_VALUE"""),"#VALUE!")</f>
        <v>#VALUE!</v>
      </c>
      <c r="AO107" t="str">
        <f ca="1">IFERROR(__xludf.DUMMYFUNCTION("""COMPUTED_VALUE"""),"#VALUE!")</f>
        <v>#VALUE!</v>
      </c>
      <c r="AQ107" t="str">
        <f ca="1">IFERROR(__xludf.DUMMYFUNCTION("""COMPUTED_VALUE"""),"#VALUE!")</f>
        <v>#VALUE!</v>
      </c>
      <c r="AS107" t="str">
        <f ca="1">IFERROR(__xludf.DUMMYFUNCTION("""COMPUTED_VALUE"""),"#VALUE!")</f>
        <v>#VALUE!</v>
      </c>
      <c r="AU107" t="str">
        <f ca="1">IFERROR(__xludf.DUMMYFUNCTION("""COMPUTED_VALUE"""),"#VALUE!")</f>
        <v>#VALUE!</v>
      </c>
      <c r="AW107" t="str">
        <f ca="1">IFERROR(__xludf.DUMMYFUNCTION("""COMPUTED_VALUE"""),"#VALUE!")</f>
        <v>#VALUE!</v>
      </c>
      <c r="AY107" t="str">
        <f ca="1">IFERROR(__xludf.DUMMYFUNCTION("""COMPUTED_VALUE"""),"#VALUE!")</f>
        <v>#VALUE!</v>
      </c>
      <c r="BA107" t="str">
        <f ca="1">IFERROR(__xludf.DUMMYFUNCTION("""COMPUTED_VALUE"""),"#VALUE!")</f>
        <v>#VALUE!</v>
      </c>
      <c r="BC107" t="str">
        <f ca="1">IFERROR(__xludf.DUMMYFUNCTION("""COMPUTED_VALUE"""),"#VALUE!")</f>
        <v>#VALUE!</v>
      </c>
      <c r="BE107" t="str">
        <f ca="1">IFERROR(__xludf.DUMMYFUNCTION("""COMPUTED_VALUE"""),"#VALUE!")</f>
        <v>#VALUE!</v>
      </c>
      <c r="BG107" t="str">
        <f ca="1">IFERROR(__xludf.DUMMYFUNCTION("""COMPUTED_VALUE"""),"#VALUE!")</f>
        <v>#VALUE!</v>
      </c>
      <c r="BI107" t="str">
        <f ca="1">IFERROR(__xludf.DUMMYFUNCTION("""COMPUTED_VALUE"""),"#VALUE!")</f>
        <v>#VALUE!</v>
      </c>
      <c r="BK107" t="str">
        <f ca="1">IFERROR(__xludf.DUMMYFUNCTION("""COMPUTED_VALUE"""),"#VALUE!")</f>
        <v>#VALUE!</v>
      </c>
      <c r="BM107" t="str">
        <f ca="1">IFERROR(__xludf.DUMMYFUNCTION("""COMPUTED_VALUE"""),"#VALUE!")</f>
        <v>#VALUE!</v>
      </c>
      <c r="BO107" t="str">
        <f ca="1">IFERROR(__xludf.DUMMYFUNCTION("""COMPUTED_VALUE"""),"#VALUE!")</f>
        <v>#VALUE!</v>
      </c>
      <c r="BQ107" t="str">
        <f ca="1">IFERROR(__xludf.DUMMYFUNCTION("""COMPUTED_VALUE"""),"#VALUE!")</f>
        <v>#VALUE!</v>
      </c>
      <c r="BS107" t="str">
        <f ca="1">IFERROR(__xludf.DUMMYFUNCTION("""COMPUTED_VALUE"""),"#VALUE!")</f>
        <v>#VALUE!</v>
      </c>
      <c r="BU107" t="str">
        <f ca="1">IFERROR(__xludf.DUMMYFUNCTION("""COMPUTED_VALUE"""),"#VALUE!")</f>
        <v>#VALUE!</v>
      </c>
      <c r="BW107" t="str">
        <f ca="1">IFERROR(__xludf.DUMMYFUNCTION("""COMPUTED_VALUE"""),"#VALUE!")</f>
        <v>#VALUE!</v>
      </c>
      <c r="BY107" t="str">
        <f ca="1">IFERROR(__xludf.DUMMYFUNCTION("""COMPUTED_VALUE"""),"#VALUE!")</f>
        <v>#VALUE!</v>
      </c>
      <c r="CA107" t="str">
        <f ca="1">IFERROR(__xludf.DUMMYFUNCTION("""COMPUTED_VALUE"""),"#VALUE!")</f>
        <v>#VALUE!</v>
      </c>
      <c r="CC107" t="str">
        <f ca="1">IFERROR(__xludf.DUMMYFUNCTION("""COMPUTED_VALUE"""),"#VALUE!")</f>
        <v>#VALUE!</v>
      </c>
      <c r="CE107" t="str">
        <f ca="1">IFERROR(__xludf.DUMMYFUNCTION("""COMPUTED_VALUE"""),"#VALUE!")</f>
        <v>#VALUE!</v>
      </c>
      <c r="CG107" t="str">
        <f ca="1">IFERROR(__xludf.DUMMYFUNCTION("""COMPUTED_VALUE"""),"#VALUE!")</f>
        <v>#VALUE!</v>
      </c>
      <c r="CI107" t="str">
        <f ca="1">IFERROR(__xludf.DUMMYFUNCTION("""COMPUTED_VALUE"""),"#VALUE!")</f>
        <v>#VALUE!</v>
      </c>
      <c r="CK107" t="str">
        <f ca="1">IFERROR(__xludf.DUMMYFUNCTION("""COMPUTED_VALUE"""),"#VALUE!")</f>
        <v>#VALUE!</v>
      </c>
      <c r="CS107" t="str">
        <f ca="1">IFERROR(__xludf.DUMMYFUNCTION("""COMPUTED_VALUE"""),"#VALUE!")</f>
        <v>#VALUE!</v>
      </c>
      <c r="CU107" t="str">
        <f ca="1">IFERROR(__xludf.DUMMYFUNCTION("""COMPUTED_VALUE"""),"#VALUE!")</f>
        <v>#VALUE!</v>
      </c>
      <c r="CW107" t="str">
        <f ca="1">IFERROR(__xludf.DUMMYFUNCTION("""COMPUTED_VALUE"""),"#VALUE!")</f>
        <v>#VALUE!</v>
      </c>
      <c r="CY107" t="str">
        <f ca="1">IFERROR(__xludf.DUMMYFUNCTION("""COMPUTED_VALUE"""),"#VALUE!")</f>
        <v>#VALUE!</v>
      </c>
      <c r="DC107" t="str">
        <f ca="1">IFERROR(__xludf.DUMMYFUNCTION("""COMPUTED_VALUE"""),"#VALUE!")</f>
        <v>#VALUE!</v>
      </c>
      <c r="DE107" t="str">
        <f ca="1">IFERROR(__xludf.DUMMYFUNCTION("""COMPUTED_VALUE"""),"#VALUE!")</f>
        <v>#VALUE!</v>
      </c>
      <c r="DI107" t="str">
        <f ca="1">IFERROR(__xludf.DUMMYFUNCTION("""COMPUTED_VALUE"""),"#VALUE!")</f>
        <v>#VALUE!</v>
      </c>
      <c r="DJ107" t="str">
        <f ca="1">IFERROR(__xludf.DUMMYFUNCTION("""COMPUTED_VALUE"""),"#VALUE!")</f>
        <v>#VALUE!</v>
      </c>
      <c r="DL107" t="str">
        <f ca="1">IFERROR(__xludf.DUMMYFUNCTION("""COMPUTED_VALUE"""),"Davor Salihović")</f>
        <v>Davor Salihović</v>
      </c>
    </row>
    <row r="108" spans="1:116" ht="13.2" x14ac:dyDescent="0.25">
      <c r="A108" t="str">
        <f ca="1">IFERROR(__xludf.DUMMYFUNCTION("""COMPUTED_VALUE"""),"P0109")</f>
        <v>P0109</v>
      </c>
      <c r="B108" t="str">
        <f ca="1">IFERROR(__xludf.DUMMYFUNCTION("""COMPUTED_VALUE"""),"Iohannetus Vachet")</f>
        <v>Iohannetus Vachet</v>
      </c>
      <c r="D108" t="str">
        <f ca="1">IFERROR(__xludf.DUMMYFUNCTION("""COMPUTED_VALUE"""),"#VALUE!")</f>
        <v>#VALUE!</v>
      </c>
      <c r="E108" t="str">
        <f ca="1">IFERROR(__xludf.DUMMYFUNCTION("""COMPUTED_VALUE"""),"Iohannetus")</f>
        <v>Iohannetus</v>
      </c>
      <c r="K108" t="str">
        <f ca="1">IFERROR(__xludf.DUMMYFUNCTION("""COMPUTED_VALUE"""),"Vachet")</f>
        <v>Vachet</v>
      </c>
      <c r="L108" t="str">
        <f ca="1">IFERROR(__xludf.DUMMYFUNCTION("""COMPUTED_VALUE"""),"Vachet")</f>
        <v>Vachet</v>
      </c>
      <c r="S108" t="str">
        <f ca="1">IFERROR(__xludf.DUMMYFUNCTION("""COMPUTED_VALUE"""),"Latin")</f>
        <v>Latin</v>
      </c>
      <c r="T108" t="str">
        <f ca="1">IFERROR(__xludf.DUMMYFUNCTION("""COMPUTED_VALUE"""),"definite")</f>
        <v>definite</v>
      </c>
      <c r="U108" t="str">
        <f ca="1">IFERROR(__xludf.DUMMYFUNCTION("""COMPUTED_VALUE"""),"C2553")</f>
        <v>C2553</v>
      </c>
      <c r="V108" t="str">
        <f ca="1">IFERROR(__xludf.DUMMYFUNCTION("""COMPUTED_VALUE"""),"male")</f>
        <v>male</v>
      </c>
      <c r="Z108" t="str">
        <f ca="1">IFERROR(__xludf.DUMMYFUNCTION("""COMPUTED_VALUE"""),"167")</f>
        <v>167</v>
      </c>
      <c r="AA108" t="str">
        <f ca="1">IFERROR(__xludf.DUMMYFUNCTION("""COMPUTED_VALUE"""),"d")</f>
        <v>d</v>
      </c>
      <c r="AB108" t="str">
        <f ca="1">IFERROR(__xludf.DUMMYFUNCTION("""COMPUTED_VALUE"""),"suspect")</f>
        <v>suspect</v>
      </c>
      <c r="AF108" t="str">
        <f ca="1">IFERROR(__xludf.DUMMYFUNCTION("""COMPUTED_VALUE"""),"#N/A")</f>
        <v>#N/A</v>
      </c>
      <c r="AG108" t="str">
        <f ca="1">IFERROR(__xludf.DUMMYFUNCTION("""COMPUTED_VALUE"""),"#N/A")</f>
        <v>#N/A</v>
      </c>
      <c r="AI108" t="str">
        <f ca="1">IFERROR(__xludf.DUMMYFUNCTION("""COMPUTED_VALUE"""),"#VALUE!")</f>
        <v>#VALUE!</v>
      </c>
      <c r="AK108" t="str">
        <f ca="1">IFERROR(__xludf.DUMMYFUNCTION("""COMPUTED_VALUE"""),"#VALUE!")</f>
        <v>#VALUE!</v>
      </c>
      <c r="AM108" t="str">
        <f ca="1">IFERROR(__xludf.DUMMYFUNCTION("""COMPUTED_VALUE"""),"#VALUE!")</f>
        <v>#VALUE!</v>
      </c>
      <c r="AO108" t="str">
        <f ca="1">IFERROR(__xludf.DUMMYFUNCTION("""COMPUTED_VALUE"""),"#VALUE!")</f>
        <v>#VALUE!</v>
      </c>
      <c r="AQ108" t="str">
        <f ca="1">IFERROR(__xludf.DUMMYFUNCTION("""COMPUTED_VALUE"""),"#VALUE!")</f>
        <v>#VALUE!</v>
      </c>
      <c r="AS108" t="str">
        <f ca="1">IFERROR(__xludf.DUMMYFUNCTION("""COMPUTED_VALUE"""),"#VALUE!")</f>
        <v>#VALUE!</v>
      </c>
      <c r="AU108" t="str">
        <f ca="1">IFERROR(__xludf.DUMMYFUNCTION("""COMPUTED_VALUE"""),"#VALUE!")</f>
        <v>#VALUE!</v>
      </c>
      <c r="AW108" t="str">
        <f ca="1">IFERROR(__xludf.DUMMYFUNCTION("""COMPUTED_VALUE"""),"#VALUE!")</f>
        <v>#VALUE!</v>
      </c>
      <c r="AY108" t="str">
        <f ca="1">IFERROR(__xludf.DUMMYFUNCTION("""COMPUTED_VALUE"""),"#VALUE!")</f>
        <v>#VALUE!</v>
      </c>
      <c r="BA108" t="str">
        <f ca="1">IFERROR(__xludf.DUMMYFUNCTION("""COMPUTED_VALUE"""),"#VALUE!")</f>
        <v>#VALUE!</v>
      </c>
      <c r="BC108" t="str">
        <f ca="1">IFERROR(__xludf.DUMMYFUNCTION("""COMPUTED_VALUE"""),"#VALUE!")</f>
        <v>#VALUE!</v>
      </c>
      <c r="BE108" t="str">
        <f ca="1">IFERROR(__xludf.DUMMYFUNCTION("""COMPUTED_VALUE"""),"#VALUE!")</f>
        <v>#VALUE!</v>
      </c>
      <c r="BG108" t="str">
        <f ca="1">IFERROR(__xludf.DUMMYFUNCTION("""COMPUTED_VALUE"""),"#VALUE!")</f>
        <v>#VALUE!</v>
      </c>
      <c r="BI108" t="str">
        <f ca="1">IFERROR(__xludf.DUMMYFUNCTION("""COMPUTED_VALUE"""),"#VALUE!")</f>
        <v>#VALUE!</v>
      </c>
      <c r="BK108" t="str">
        <f ca="1">IFERROR(__xludf.DUMMYFUNCTION("""COMPUTED_VALUE"""),"#VALUE!")</f>
        <v>#VALUE!</v>
      </c>
      <c r="BM108" t="str">
        <f ca="1">IFERROR(__xludf.DUMMYFUNCTION("""COMPUTED_VALUE"""),"#VALUE!")</f>
        <v>#VALUE!</v>
      </c>
      <c r="BO108" t="str">
        <f ca="1">IFERROR(__xludf.DUMMYFUNCTION("""COMPUTED_VALUE"""),"#VALUE!")</f>
        <v>#VALUE!</v>
      </c>
      <c r="BQ108" t="str">
        <f ca="1">IFERROR(__xludf.DUMMYFUNCTION("""COMPUTED_VALUE"""),"#VALUE!")</f>
        <v>#VALUE!</v>
      </c>
      <c r="BS108" t="str">
        <f ca="1">IFERROR(__xludf.DUMMYFUNCTION("""COMPUTED_VALUE"""),"#VALUE!")</f>
        <v>#VALUE!</v>
      </c>
      <c r="BU108" t="str">
        <f ca="1">IFERROR(__xludf.DUMMYFUNCTION("""COMPUTED_VALUE"""),"#VALUE!")</f>
        <v>#VALUE!</v>
      </c>
      <c r="BW108" t="str">
        <f ca="1">IFERROR(__xludf.DUMMYFUNCTION("""COMPUTED_VALUE"""),"#VALUE!")</f>
        <v>#VALUE!</v>
      </c>
      <c r="BY108" t="str">
        <f ca="1">IFERROR(__xludf.DUMMYFUNCTION("""COMPUTED_VALUE"""),"#VALUE!")</f>
        <v>#VALUE!</v>
      </c>
      <c r="CA108" t="str">
        <f ca="1">IFERROR(__xludf.DUMMYFUNCTION("""COMPUTED_VALUE"""),"#VALUE!")</f>
        <v>#VALUE!</v>
      </c>
      <c r="CC108" t="str">
        <f ca="1">IFERROR(__xludf.DUMMYFUNCTION("""COMPUTED_VALUE"""),"#VALUE!")</f>
        <v>#VALUE!</v>
      </c>
      <c r="CE108" t="str">
        <f ca="1">IFERROR(__xludf.DUMMYFUNCTION("""COMPUTED_VALUE"""),"#VALUE!")</f>
        <v>#VALUE!</v>
      </c>
      <c r="CG108" t="str">
        <f ca="1">IFERROR(__xludf.DUMMYFUNCTION("""COMPUTED_VALUE"""),"#VALUE!")</f>
        <v>#VALUE!</v>
      </c>
      <c r="CI108" t="str">
        <f ca="1">IFERROR(__xludf.DUMMYFUNCTION("""COMPUTED_VALUE"""),"#VALUE!")</f>
        <v>#VALUE!</v>
      </c>
      <c r="CK108" t="str">
        <f ca="1">IFERROR(__xludf.DUMMYFUNCTION("""COMPUTED_VALUE"""),"#VALUE!")</f>
        <v>#VALUE!</v>
      </c>
      <c r="CR108" t="str">
        <f ca="1">IFERROR(__xludf.DUMMYFUNCTION("""COMPUTED_VALUE"""),"L0002")</f>
        <v>L0002</v>
      </c>
      <c r="CS108" t="str">
        <f ca="1">IFERROR(__xludf.DUMMYFUNCTION("""COMPUTED_VALUE"""),"Coazze")</f>
        <v>Coazze</v>
      </c>
      <c r="CU108" t="str">
        <f ca="1">IFERROR(__xludf.DUMMYFUNCTION("""COMPUTED_VALUE"""),"#VALUE!")</f>
        <v>#VALUE!</v>
      </c>
      <c r="CW108" t="str">
        <f ca="1">IFERROR(__xludf.DUMMYFUNCTION("""COMPUTED_VALUE"""),"#VALUE!")</f>
        <v>#VALUE!</v>
      </c>
      <c r="CY108" t="str">
        <f ca="1">IFERROR(__xludf.DUMMYFUNCTION("""COMPUTED_VALUE"""),"#VALUE!")</f>
        <v>#VALUE!</v>
      </c>
      <c r="DC108" t="str">
        <f ca="1">IFERROR(__xludf.DUMMYFUNCTION("""COMPUTED_VALUE"""),"#VALUE!")</f>
        <v>#VALUE!</v>
      </c>
      <c r="DE108" t="str">
        <f ca="1">IFERROR(__xludf.DUMMYFUNCTION("""COMPUTED_VALUE"""),"#VALUE!")</f>
        <v>#VALUE!</v>
      </c>
      <c r="DI108" t="str">
        <f ca="1">IFERROR(__xludf.DUMMYFUNCTION("""COMPUTED_VALUE"""),"#VALUE!")</f>
        <v>#VALUE!</v>
      </c>
      <c r="DJ108" t="str">
        <f ca="1">IFERROR(__xludf.DUMMYFUNCTION("""COMPUTED_VALUE"""),"#VALUE!")</f>
        <v>#VALUE!</v>
      </c>
      <c r="DL108" t="str">
        <f ca="1">IFERROR(__xludf.DUMMYFUNCTION("""COMPUTED_VALUE"""),"Davor Salihović")</f>
        <v>Davor Salihović</v>
      </c>
    </row>
    <row r="109" spans="1:116" ht="13.2" x14ac:dyDescent="0.25">
      <c r="A109" t="str">
        <f ca="1">IFERROR(__xludf.DUMMYFUNCTION("""COMPUTED_VALUE"""),"P0110")</f>
        <v>P0110</v>
      </c>
      <c r="B109" t="str">
        <f ca="1">IFERROR(__xludf.DUMMYFUNCTION("""COMPUTED_VALUE"""),"Iohannes Trippa")</f>
        <v>Iohannes Trippa</v>
      </c>
      <c r="D109" t="str">
        <f ca="1">IFERROR(__xludf.DUMMYFUNCTION("""COMPUTED_VALUE"""),"#VALUE!")</f>
        <v>#VALUE!</v>
      </c>
      <c r="E109" t="str">
        <f ca="1">IFERROR(__xludf.DUMMYFUNCTION("""COMPUTED_VALUE"""),"Iohannes")</f>
        <v>Iohannes</v>
      </c>
      <c r="K109" t="str">
        <f ca="1">IFERROR(__xludf.DUMMYFUNCTION("""COMPUTED_VALUE"""),"Trippa")</f>
        <v>Trippa</v>
      </c>
      <c r="L109" t="str">
        <f ca="1">IFERROR(__xludf.DUMMYFUNCTION("""COMPUTED_VALUE"""),"Trippa")</f>
        <v>Trippa</v>
      </c>
      <c r="S109" t="str">
        <f ca="1">IFERROR(__xludf.DUMMYFUNCTION("""COMPUTED_VALUE"""),"Latin")</f>
        <v>Latin</v>
      </c>
      <c r="T109" t="str">
        <f ca="1">IFERROR(__xludf.DUMMYFUNCTION("""COMPUTED_VALUE"""),"definite")</f>
        <v>definite</v>
      </c>
      <c r="U109" t="str">
        <f ca="1">IFERROR(__xludf.DUMMYFUNCTION("""COMPUTED_VALUE"""),"C2553")</f>
        <v>C2553</v>
      </c>
      <c r="V109" t="str">
        <f ca="1">IFERROR(__xludf.DUMMYFUNCTION("""COMPUTED_VALUE"""),"male")</f>
        <v>male</v>
      </c>
      <c r="Z109" t="str">
        <f ca="1">IFERROR(__xludf.DUMMYFUNCTION("""COMPUTED_VALUE"""),"167")</f>
        <v>167</v>
      </c>
      <c r="AA109" t="str">
        <f ca="1">IFERROR(__xludf.DUMMYFUNCTION("""COMPUTED_VALUE"""),"o")</f>
        <v>o</v>
      </c>
      <c r="AB109" t="str">
        <f ca="1">IFERROR(__xludf.DUMMYFUNCTION("""COMPUTED_VALUE"""),"informer")</f>
        <v>informer</v>
      </c>
      <c r="AD109" t="str">
        <f ca="1">IFERROR(__xludf.DUMMYFUNCTION("""COMPUTED_VALUE"""),"C3287")</f>
        <v>C3287</v>
      </c>
      <c r="AE109" t="str">
        <f ca="1">IFERROR(__xludf.DUMMYFUNCTION("""COMPUTED_VALUE"""),"alive")</f>
        <v>alive</v>
      </c>
      <c r="AF109" t="str">
        <f ca="1">IFERROR(__xludf.DUMMYFUNCTION("""COMPUTED_VALUE"""),"C1753")</f>
        <v>C1753</v>
      </c>
      <c r="AG109" t="str">
        <f ca="1">IFERROR(__xludf.DUMMYFUNCTION("""COMPUTED_VALUE"""),"1335-01-20")</f>
        <v>1335-01-20</v>
      </c>
      <c r="AI109" t="str">
        <f ca="1">IFERROR(__xludf.DUMMYFUNCTION("""COMPUTED_VALUE"""),"#VALUE!")</f>
        <v>#VALUE!</v>
      </c>
      <c r="AK109" t="str">
        <f ca="1">IFERROR(__xludf.DUMMYFUNCTION("""COMPUTED_VALUE"""),"#VALUE!")</f>
        <v>#VALUE!</v>
      </c>
      <c r="AM109" t="str">
        <f ca="1">IFERROR(__xludf.DUMMYFUNCTION("""COMPUTED_VALUE"""),"#VALUE!")</f>
        <v>#VALUE!</v>
      </c>
      <c r="AO109" t="str">
        <f ca="1">IFERROR(__xludf.DUMMYFUNCTION("""COMPUTED_VALUE"""),"#VALUE!")</f>
        <v>#VALUE!</v>
      </c>
      <c r="AQ109" t="str">
        <f ca="1">IFERROR(__xludf.DUMMYFUNCTION("""COMPUTED_VALUE"""),"#VALUE!")</f>
        <v>#VALUE!</v>
      </c>
      <c r="AS109" t="str">
        <f ca="1">IFERROR(__xludf.DUMMYFUNCTION("""COMPUTED_VALUE"""),"#VALUE!")</f>
        <v>#VALUE!</v>
      </c>
      <c r="AU109" t="str">
        <f ca="1">IFERROR(__xludf.DUMMYFUNCTION("""COMPUTED_VALUE"""),"#VALUE!")</f>
        <v>#VALUE!</v>
      </c>
      <c r="AW109" t="str">
        <f ca="1">IFERROR(__xludf.DUMMYFUNCTION("""COMPUTED_VALUE"""),"#VALUE!")</f>
        <v>#VALUE!</v>
      </c>
      <c r="AY109" t="str">
        <f ca="1">IFERROR(__xludf.DUMMYFUNCTION("""COMPUTED_VALUE"""),"#VALUE!")</f>
        <v>#VALUE!</v>
      </c>
      <c r="BA109" t="str">
        <f ca="1">IFERROR(__xludf.DUMMYFUNCTION("""COMPUTED_VALUE"""),"#VALUE!")</f>
        <v>#VALUE!</v>
      </c>
      <c r="BC109" t="str">
        <f ca="1">IFERROR(__xludf.DUMMYFUNCTION("""COMPUTED_VALUE"""),"#VALUE!")</f>
        <v>#VALUE!</v>
      </c>
      <c r="BE109" t="str">
        <f ca="1">IFERROR(__xludf.DUMMYFUNCTION("""COMPUTED_VALUE"""),"#VALUE!")</f>
        <v>#VALUE!</v>
      </c>
      <c r="BG109" t="str">
        <f ca="1">IFERROR(__xludf.DUMMYFUNCTION("""COMPUTED_VALUE"""),"#VALUE!")</f>
        <v>#VALUE!</v>
      </c>
      <c r="BI109" t="str">
        <f ca="1">IFERROR(__xludf.DUMMYFUNCTION("""COMPUTED_VALUE"""),"#VALUE!")</f>
        <v>#VALUE!</v>
      </c>
      <c r="BK109" t="str">
        <f ca="1">IFERROR(__xludf.DUMMYFUNCTION("""COMPUTED_VALUE"""),"#VALUE!")</f>
        <v>#VALUE!</v>
      </c>
      <c r="BM109" t="str">
        <f ca="1">IFERROR(__xludf.DUMMYFUNCTION("""COMPUTED_VALUE"""),"#VALUE!")</f>
        <v>#VALUE!</v>
      </c>
      <c r="BO109" t="str">
        <f ca="1">IFERROR(__xludf.DUMMYFUNCTION("""COMPUTED_VALUE"""),"#VALUE!")</f>
        <v>#VALUE!</v>
      </c>
      <c r="BQ109" t="str">
        <f ca="1">IFERROR(__xludf.DUMMYFUNCTION("""COMPUTED_VALUE"""),"#VALUE!")</f>
        <v>#VALUE!</v>
      </c>
      <c r="BS109" t="str">
        <f ca="1">IFERROR(__xludf.DUMMYFUNCTION("""COMPUTED_VALUE"""),"#VALUE!")</f>
        <v>#VALUE!</v>
      </c>
      <c r="BU109" t="str">
        <f ca="1">IFERROR(__xludf.DUMMYFUNCTION("""COMPUTED_VALUE"""),"#VALUE!")</f>
        <v>#VALUE!</v>
      </c>
      <c r="BW109" t="str">
        <f ca="1">IFERROR(__xludf.DUMMYFUNCTION("""COMPUTED_VALUE"""),"#VALUE!")</f>
        <v>#VALUE!</v>
      </c>
      <c r="BY109" t="str">
        <f ca="1">IFERROR(__xludf.DUMMYFUNCTION("""COMPUTED_VALUE"""),"#VALUE!")</f>
        <v>#VALUE!</v>
      </c>
      <c r="CA109" t="str">
        <f ca="1">IFERROR(__xludf.DUMMYFUNCTION("""COMPUTED_VALUE"""),"#VALUE!")</f>
        <v>#VALUE!</v>
      </c>
      <c r="CC109" t="str">
        <f ca="1">IFERROR(__xludf.DUMMYFUNCTION("""COMPUTED_VALUE"""),"#VALUE!")</f>
        <v>#VALUE!</v>
      </c>
      <c r="CE109" t="str">
        <f ca="1">IFERROR(__xludf.DUMMYFUNCTION("""COMPUTED_VALUE"""),"#VALUE!")</f>
        <v>#VALUE!</v>
      </c>
      <c r="CG109" t="str">
        <f ca="1">IFERROR(__xludf.DUMMYFUNCTION("""COMPUTED_VALUE"""),"#VALUE!")</f>
        <v>#VALUE!</v>
      </c>
      <c r="CI109" t="str">
        <f ca="1">IFERROR(__xludf.DUMMYFUNCTION("""COMPUTED_VALUE"""),"#VALUE!")</f>
        <v>#VALUE!</v>
      </c>
      <c r="CK109" t="str">
        <f ca="1">IFERROR(__xludf.DUMMYFUNCTION("""COMPUTED_VALUE"""),"#VALUE!")</f>
        <v>#VALUE!</v>
      </c>
      <c r="CS109" t="str">
        <f ca="1">IFERROR(__xludf.DUMMYFUNCTION("""COMPUTED_VALUE"""),"#VALUE!")</f>
        <v>#VALUE!</v>
      </c>
      <c r="CU109" t="str">
        <f ca="1">IFERROR(__xludf.DUMMYFUNCTION("""COMPUTED_VALUE"""),"#VALUE!")</f>
        <v>#VALUE!</v>
      </c>
      <c r="CW109" t="str">
        <f ca="1">IFERROR(__xludf.DUMMYFUNCTION("""COMPUTED_VALUE"""),"#VALUE!")</f>
        <v>#VALUE!</v>
      </c>
      <c r="CY109" t="str">
        <f ca="1">IFERROR(__xludf.DUMMYFUNCTION("""COMPUTED_VALUE"""),"#VALUE!")</f>
        <v>#VALUE!</v>
      </c>
      <c r="DC109" t="str">
        <f ca="1">IFERROR(__xludf.DUMMYFUNCTION("""COMPUTED_VALUE"""),"#VALUE!")</f>
        <v>#VALUE!</v>
      </c>
      <c r="DE109" t="str">
        <f ca="1">IFERROR(__xludf.DUMMYFUNCTION("""COMPUTED_VALUE"""),"#VALUE!")</f>
        <v>#VALUE!</v>
      </c>
      <c r="DI109" t="str">
        <f ca="1">IFERROR(__xludf.DUMMYFUNCTION("""COMPUTED_VALUE"""),"#VALUE!")</f>
        <v>#VALUE!</v>
      </c>
      <c r="DJ109" t="str">
        <f ca="1">IFERROR(__xludf.DUMMYFUNCTION("""COMPUTED_VALUE"""),"#VALUE!")</f>
        <v>#VALUE!</v>
      </c>
      <c r="DL109" t="str">
        <f ca="1">IFERROR(__xludf.DUMMYFUNCTION("""COMPUTED_VALUE"""),"Davor Salihović")</f>
        <v>Davor Salihović</v>
      </c>
    </row>
    <row r="110" spans="1:116" ht="13.2" x14ac:dyDescent="0.25">
      <c r="A110" t="str">
        <f ca="1">IFERROR(__xludf.DUMMYFUNCTION("""COMPUTED_VALUE"""),"P0111")</f>
        <v>P0111</v>
      </c>
      <c r="B110" t="str">
        <f ca="1">IFERROR(__xludf.DUMMYFUNCTION("""COMPUTED_VALUE"""),"Domenicus Mulinerii")</f>
        <v>Domenicus Mulinerii</v>
      </c>
      <c r="D110" t="str">
        <f ca="1">IFERROR(__xludf.DUMMYFUNCTION("""COMPUTED_VALUE"""),"#VALUE!")</f>
        <v>#VALUE!</v>
      </c>
      <c r="E110" t="str">
        <f ca="1">IFERROR(__xludf.DUMMYFUNCTION("""COMPUTED_VALUE"""),"Domenicus")</f>
        <v>Domenicus</v>
      </c>
      <c r="K110" t="str">
        <f ca="1">IFERROR(__xludf.DUMMYFUNCTION("""COMPUTED_VALUE"""),"Mulinerii")</f>
        <v>Mulinerii</v>
      </c>
      <c r="L110" t="str">
        <f ca="1">IFERROR(__xludf.DUMMYFUNCTION("""COMPUTED_VALUE"""),"Mulinerii")</f>
        <v>Mulinerii</v>
      </c>
      <c r="S110" t="str">
        <f ca="1">IFERROR(__xludf.DUMMYFUNCTION("""COMPUTED_VALUE"""),"Latin")</f>
        <v>Latin</v>
      </c>
      <c r="T110" t="str">
        <f ca="1">IFERROR(__xludf.DUMMYFUNCTION("""COMPUTED_VALUE"""),"definite")</f>
        <v>definite</v>
      </c>
      <c r="U110" t="str">
        <f ca="1">IFERROR(__xludf.DUMMYFUNCTION("""COMPUTED_VALUE"""),"C2553")</f>
        <v>C2553</v>
      </c>
      <c r="V110" t="str">
        <f ca="1">IFERROR(__xludf.DUMMYFUNCTION("""COMPUTED_VALUE"""),"male")</f>
        <v>male</v>
      </c>
      <c r="Z110" t="str">
        <f ca="1">IFERROR(__xludf.DUMMYFUNCTION("""COMPUTED_VALUE"""),"168, 183, 210")</f>
        <v>168, 183, 210</v>
      </c>
      <c r="AA110" t="str">
        <f ca="1">IFERROR(__xludf.DUMMYFUNCTION("""COMPUTED_VALUE"""),"d")</f>
        <v>d</v>
      </c>
      <c r="AB110" t="str">
        <f ca="1">IFERROR(__xludf.DUMMYFUNCTION("""COMPUTED_VALUE"""),"informer")</f>
        <v>informer</v>
      </c>
      <c r="AD110" t="str">
        <f ca="1">IFERROR(__xludf.DUMMYFUNCTION("""COMPUTED_VALUE"""),"C3287")</f>
        <v>C3287</v>
      </c>
      <c r="AE110" t="str">
        <f ca="1">IFERROR(__xludf.DUMMYFUNCTION("""COMPUTED_VALUE"""),"alive")</f>
        <v>alive</v>
      </c>
      <c r="AF110" t="str">
        <f ca="1">IFERROR(__xludf.DUMMYFUNCTION("""COMPUTED_VALUE"""),"C1753")</f>
        <v>C1753</v>
      </c>
      <c r="AG110" t="str">
        <f ca="1">IFERROR(__xludf.DUMMYFUNCTION("""COMPUTED_VALUE"""),"1335-01-20")</f>
        <v>1335-01-20</v>
      </c>
      <c r="AI110" t="str">
        <f ca="1">IFERROR(__xludf.DUMMYFUNCTION("""COMPUTED_VALUE"""),"#VALUE!")</f>
        <v>#VALUE!</v>
      </c>
      <c r="AK110" t="str">
        <f ca="1">IFERROR(__xludf.DUMMYFUNCTION("""COMPUTED_VALUE"""),"#VALUE!")</f>
        <v>#VALUE!</v>
      </c>
      <c r="AM110" t="str">
        <f ca="1">IFERROR(__xludf.DUMMYFUNCTION("""COMPUTED_VALUE"""),"#VALUE!")</f>
        <v>#VALUE!</v>
      </c>
      <c r="AO110" t="str">
        <f ca="1">IFERROR(__xludf.DUMMYFUNCTION("""COMPUTED_VALUE"""),"#VALUE!")</f>
        <v>#VALUE!</v>
      </c>
      <c r="AQ110" t="str">
        <f ca="1">IFERROR(__xludf.DUMMYFUNCTION("""COMPUTED_VALUE"""),"#VALUE!")</f>
        <v>#VALUE!</v>
      </c>
      <c r="AS110" t="str">
        <f ca="1">IFERROR(__xludf.DUMMYFUNCTION("""COMPUTED_VALUE"""),"#VALUE!")</f>
        <v>#VALUE!</v>
      </c>
      <c r="AU110" t="str">
        <f ca="1">IFERROR(__xludf.DUMMYFUNCTION("""COMPUTED_VALUE"""),"#VALUE!")</f>
        <v>#VALUE!</v>
      </c>
      <c r="AW110" t="str">
        <f ca="1">IFERROR(__xludf.DUMMYFUNCTION("""COMPUTED_VALUE"""),"#VALUE!")</f>
        <v>#VALUE!</v>
      </c>
      <c r="AY110" t="str">
        <f ca="1">IFERROR(__xludf.DUMMYFUNCTION("""COMPUTED_VALUE"""),"#VALUE!")</f>
        <v>#VALUE!</v>
      </c>
      <c r="BA110" t="str">
        <f ca="1">IFERROR(__xludf.DUMMYFUNCTION("""COMPUTED_VALUE"""),"#VALUE!")</f>
        <v>#VALUE!</v>
      </c>
      <c r="BC110" t="str">
        <f ca="1">IFERROR(__xludf.DUMMYFUNCTION("""COMPUTED_VALUE"""),"#VALUE!")</f>
        <v>#VALUE!</v>
      </c>
      <c r="BE110" t="str">
        <f ca="1">IFERROR(__xludf.DUMMYFUNCTION("""COMPUTED_VALUE"""),"#VALUE!")</f>
        <v>#VALUE!</v>
      </c>
      <c r="BG110" t="str">
        <f ca="1">IFERROR(__xludf.DUMMYFUNCTION("""COMPUTED_VALUE"""),"#VALUE!")</f>
        <v>#VALUE!</v>
      </c>
      <c r="BI110" t="str">
        <f ca="1">IFERROR(__xludf.DUMMYFUNCTION("""COMPUTED_VALUE"""),"#VALUE!")</f>
        <v>#VALUE!</v>
      </c>
      <c r="BK110" t="str">
        <f ca="1">IFERROR(__xludf.DUMMYFUNCTION("""COMPUTED_VALUE"""),"#VALUE!")</f>
        <v>#VALUE!</v>
      </c>
      <c r="BM110" t="str">
        <f ca="1">IFERROR(__xludf.DUMMYFUNCTION("""COMPUTED_VALUE"""),"#VALUE!")</f>
        <v>#VALUE!</v>
      </c>
      <c r="BO110" t="str">
        <f ca="1">IFERROR(__xludf.DUMMYFUNCTION("""COMPUTED_VALUE"""),"#VALUE!")</f>
        <v>#VALUE!</v>
      </c>
      <c r="BQ110" t="str">
        <f ca="1">IFERROR(__xludf.DUMMYFUNCTION("""COMPUTED_VALUE"""),"#VALUE!")</f>
        <v>#VALUE!</v>
      </c>
      <c r="BS110" t="str">
        <f ca="1">IFERROR(__xludf.DUMMYFUNCTION("""COMPUTED_VALUE"""),"#VALUE!")</f>
        <v>#VALUE!</v>
      </c>
      <c r="BU110" t="str">
        <f ca="1">IFERROR(__xludf.DUMMYFUNCTION("""COMPUTED_VALUE"""),"#VALUE!")</f>
        <v>#VALUE!</v>
      </c>
      <c r="BW110" t="str">
        <f ca="1">IFERROR(__xludf.DUMMYFUNCTION("""COMPUTED_VALUE"""),"#VALUE!")</f>
        <v>#VALUE!</v>
      </c>
      <c r="BY110" t="str">
        <f ca="1">IFERROR(__xludf.DUMMYFUNCTION("""COMPUTED_VALUE"""),"#VALUE!")</f>
        <v>#VALUE!</v>
      </c>
      <c r="CA110" t="str">
        <f ca="1">IFERROR(__xludf.DUMMYFUNCTION("""COMPUTED_VALUE"""),"#VALUE!")</f>
        <v>#VALUE!</v>
      </c>
      <c r="CC110" t="str">
        <f ca="1">IFERROR(__xludf.DUMMYFUNCTION("""COMPUTED_VALUE"""),"#VALUE!")</f>
        <v>#VALUE!</v>
      </c>
      <c r="CE110" t="str">
        <f ca="1">IFERROR(__xludf.DUMMYFUNCTION("""COMPUTED_VALUE"""),"#VALUE!")</f>
        <v>#VALUE!</v>
      </c>
      <c r="CG110" t="str">
        <f ca="1">IFERROR(__xludf.DUMMYFUNCTION("""COMPUTED_VALUE"""),"#VALUE!")</f>
        <v>#VALUE!</v>
      </c>
      <c r="CI110" t="str">
        <f ca="1">IFERROR(__xludf.DUMMYFUNCTION("""COMPUTED_VALUE"""),"#VALUE!")</f>
        <v>#VALUE!</v>
      </c>
      <c r="CK110" t="str">
        <f ca="1">IFERROR(__xludf.DUMMYFUNCTION("""COMPUTED_VALUE"""),"#VALUE!")</f>
        <v>#VALUE!</v>
      </c>
      <c r="CS110" t="str">
        <f ca="1">IFERROR(__xludf.DUMMYFUNCTION("""COMPUTED_VALUE"""),"#VALUE!")</f>
        <v>#VALUE!</v>
      </c>
      <c r="CU110" t="str">
        <f ca="1">IFERROR(__xludf.DUMMYFUNCTION("""COMPUTED_VALUE"""),"#VALUE!")</f>
        <v>#VALUE!</v>
      </c>
      <c r="CW110" t="str">
        <f ca="1">IFERROR(__xludf.DUMMYFUNCTION("""COMPUTED_VALUE"""),"#VALUE!")</f>
        <v>#VALUE!</v>
      </c>
      <c r="CY110" t="str">
        <f ca="1">IFERROR(__xludf.DUMMYFUNCTION("""COMPUTED_VALUE"""),"#VALUE!")</f>
        <v>#VALUE!</v>
      </c>
      <c r="DC110" t="str">
        <f ca="1">IFERROR(__xludf.DUMMYFUNCTION("""COMPUTED_VALUE"""),"#VALUE!")</f>
        <v>#VALUE!</v>
      </c>
      <c r="DE110" t="str">
        <f ca="1">IFERROR(__xludf.DUMMYFUNCTION("""COMPUTED_VALUE"""),"#VALUE!")</f>
        <v>#VALUE!</v>
      </c>
      <c r="DI110" t="str">
        <f ca="1">IFERROR(__xludf.DUMMYFUNCTION("""COMPUTED_VALUE"""),"#VALUE!")</f>
        <v>#VALUE!</v>
      </c>
      <c r="DJ110" t="str">
        <f ca="1">IFERROR(__xludf.DUMMYFUNCTION("""COMPUTED_VALUE"""),"#VALUE!")</f>
        <v>#VALUE!</v>
      </c>
      <c r="DL110" t="str">
        <f ca="1">IFERROR(__xludf.DUMMYFUNCTION("""COMPUTED_VALUE"""),"Davor Salihović")</f>
        <v>Davor Salihović</v>
      </c>
    </row>
    <row r="111" spans="1:116" ht="13.2" x14ac:dyDescent="0.25">
      <c r="A111" t="str">
        <f ca="1">IFERROR(__xludf.DUMMYFUNCTION("""COMPUTED_VALUE"""),"P0112")</f>
        <v>P0112</v>
      </c>
      <c r="B111" t="str">
        <f ca="1">IFERROR(__xludf.DUMMYFUNCTION("""COMPUTED_VALUE"""),"Agnexona Ficheta")</f>
        <v>Agnexona Ficheta</v>
      </c>
      <c r="D111" t="str">
        <f ca="1">IFERROR(__xludf.DUMMYFUNCTION("""COMPUTED_VALUE"""),"#VALUE!")</f>
        <v>#VALUE!</v>
      </c>
      <c r="E111" t="str">
        <f ca="1">IFERROR(__xludf.DUMMYFUNCTION("""COMPUTED_VALUE"""),"Agnexona")</f>
        <v>Agnexona</v>
      </c>
      <c r="F111" t="str">
        <f ca="1">IFERROR(__xludf.DUMMYFUNCTION("""COMPUTED_VALUE"""),"Agnesina")</f>
        <v>Agnesina</v>
      </c>
      <c r="K111" t="str">
        <f ca="1">IFERROR(__xludf.DUMMYFUNCTION("""COMPUTED_VALUE"""),"Ficheta")</f>
        <v>Ficheta</v>
      </c>
      <c r="L111" t="str">
        <f ca="1">IFERROR(__xludf.DUMMYFUNCTION("""COMPUTED_VALUE"""),"Ficheta")</f>
        <v>Ficheta</v>
      </c>
      <c r="S111" t="str">
        <f ca="1">IFERROR(__xludf.DUMMYFUNCTION("""COMPUTED_VALUE"""),"Latin")</f>
        <v>Latin</v>
      </c>
      <c r="T111" t="str">
        <f ca="1">IFERROR(__xludf.DUMMYFUNCTION("""COMPUTED_VALUE"""),"definite")</f>
        <v>definite</v>
      </c>
      <c r="U111" t="str">
        <f ca="1">IFERROR(__xludf.DUMMYFUNCTION("""COMPUTED_VALUE"""),"C2552")</f>
        <v>C2552</v>
      </c>
      <c r="V111" t="str">
        <f ca="1">IFERROR(__xludf.DUMMYFUNCTION("""COMPUTED_VALUE"""),"female")</f>
        <v>female</v>
      </c>
      <c r="Z111" t="str">
        <f ca="1">IFERROR(__xludf.DUMMYFUNCTION("""COMPUTED_VALUE"""),"168, 177")</f>
        <v>168, 177</v>
      </c>
      <c r="AA111" t="str">
        <f ca="1">IFERROR(__xludf.DUMMYFUNCTION("""COMPUTED_VALUE"""),"d")</f>
        <v>d</v>
      </c>
      <c r="AB111" t="str">
        <f ca="1">IFERROR(__xludf.DUMMYFUNCTION("""COMPUTED_VALUE"""),"suspect")</f>
        <v>suspect</v>
      </c>
      <c r="AF111" t="str">
        <f ca="1">IFERROR(__xludf.DUMMYFUNCTION("""COMPUTED_VALUE"""),"#N/A")</f>
        <v>#N/A</v>
      </c>
      <c r="AG111" t="str">
        <f ca="1">IFERROR(__xludf.DUMMYFUNCTION("""COMPUTED_VALUE"""),"#N/A")</f>
        <v>#N/A</v>
      </c>
      <c r="AI111" t="str">
        <f ca="1">IFERROR(__xludf.DUMMYFUNCTION("""COMPUTED_VALUE"""),"#VALUE!")</f>
        <v>#VALUE!</v>
      </c>
      <c r="AK111" t="str">
        <f ca="1">IFERROR(__xludf.DUMMYFUNCTION("""COMPUTED_VALUE"""),"#VALUE!")</f>
        <v>#VALUE!</v>
      </c>
      <c r="AM111" t="str">
        <f ca="1">IFERROR(__xludf.DUMMYFUNCTION("""COMPUTED_VALUE"""),"#VALUE!")</f>
        <v>#VALUE!</v>
      </c>
      <c r="AO111" t="str">
        <f ca="1">IFERROR(__xludf.DUMMYFUNCTION("""COMPUTED_VALUE"""),"#VALUE!")</f>
        <v>#VALUE!</v>
      </c>
      <c r="AQ111" t="str">
        <f ca="1">IFERROR(__xludf.DUMMYFUNCTION("""COMPUTED_VALUE"""),"#VALUE!")</f>
        <v>#VALUE!</v>
      </c>
      <c r="AS111" t="str">
        <f ca="1">IFERROR(__xludf.DUMMYFUNCTION("""COMPUTED_VALUE"""),"#VALUE!")</f>
        <v>#VALUE!</v>
      </c>
      <c r="AU111" t="str">
        <f ca="1">IFERROR(__xludf.DUMMYFUNCTION("""COMPUTED_VALUE"""),"#VALUE!")</f>
        <v>#VALUE!</v>
      </c>
      <c r="AW111" t="str">
        <f ca="1">IFERROR(__xludf.DUMMYFUNCTION("""COMPUTED_VALUE"""),"#VALUE!")</f>
        <v>#VALUE!</v>
      </c>
      <c r="AY111" t="str">
        <f ca="1">IFERROR(__xludf.DUMMYFUNCTION("""COMPUTED_VALUE"""),"#VALUE!")</f>
        <v>#VALUE!</v>
      </c>
      <c r="BA111" t="str">
        <f ca="1">IFERROR(__xludf.DUMMYFUNCTION("""COMPUTED_VALUE"""),"#VALUE!")</f>
        <v>#VALUE!</v>
      </c>
      <c r="BC111" t="str">
        <f ca="1">IFERROR(__xludf.DUMMYFUNCTION("""COMPUTED_VALUE"""),"#VALUE!")</f>
        <v>#VALUE!</v>
      </c>
      <c r="BE111" t="str">
        <f ca="1">IFERROR(__xludf.DUMMYFUNCTION("""COMPUTED_VALUE"""),"#VALUE!")</f>
        <v>#VALUE!</v>
      </c>
      <c r="BG111" t="str">
        <f ca="1">IFERROR(__xludf.DUMMYFUNCTION("""COMPUTED_VALUE"""),"#VALUE!")</f>
        <v>#VALUE!</v>
      </c>
      <c r="BI111" t="str">
        <f ca="1">IFERROR(__xludf.DUMMYFUNCTION("""COMPUTED_VALUE"""),"#VALUE!")</f>
        <v>#VALUE!</v>
      </c>
      <c r="BK111" t="str">
        <f ca="1">IFERROR(__xludf.DUMMYFUNCTION("""COMPUTED_VALUE"""),"#VALUE!")</f>
        <v>#VALUE!</v>
      </c>
      <c r="BM111" t="str">
        <f ca="1">IFERROR(__xludf.DUMMYFUNCTION("""COMPUTED_VALUE"""),"#VALUE!")</f>
        <v>#VALUE!</v>
      </c>
      <c r="BO111" t="str">
        <f ca="1">IFERROR(__xludf.DUMMYFUNCTION("""COMPUTED_VALUE"""),"#VALUE!")</f>
        <v>#VALUE!</v>
      </c>
      <c r="BQ111" t="str">
        <f ca="1">IFERROR(__xludf.DUMMYFUNCTION("""COMPUTED_VALUE"""),"#VALUE!")</f>
        <v>#VALUE!</v>
      </c>
      <c r="BS111" t="str">
        <f ca="1">IFERROR(__xludf.DUMMYFUNCTION("""COMPUTED_VALUE"""),"#VALUE!")</f>
        <v>#VALUE!</v>
      </c>
      <c r="BU111" t="str">
        <f ca="1">IFERROR(__xludf.DUMMYFUNCTION("""COMPUTED_VALUE"""),"#VALUE!")</f>
        <v>#VALUE!</v>
      </c>
      <c r="BW111" t="str">
        <f ca="1">IFERROR(__xludf.DUMMYFUNCTION("""COMPUTED_VALUE"""),"#VALUE!")</f>
        <v>#VALUE!</v>
      </c>
      <c r="BY111" t="str">
        <f ca="1">IFERROR(__xludf.DUMMYFUNCTION("""COMPUTED_VALUE"""),"#VALUE!")</f>
        <v>#VALUE!</v>
      </c>
      <c r="CA111" t="str">
        <f ca="1">IFERROR(__xludf.DUMMYFUNCTION("""COMPUTED_VALUE"""),"#VALUE!")</f>
        <v>#VALUE!</v>
      </c>
      <c r="CC111" t="str">
        <f ca="1">IFERROR(__xludf.DUMMYFUNCTION("""COMPUTED_VALUE"""),"#VALUE!")</f>
        <v>#VALUE!</v>
      </c>
      <c r="CD111" t="str">
        <f ca="1">IFERROR(__xludf.DUMMYFUNCTION("""COMPUTED_VALUE"""),"C3598")</f>
        <v>C3598</v>
      </c>
      <c r="CE111" t="str">
        <f ca="1">IFERROR(__xludf.DUMMYFUNCTION("""COMPUTED_VALUE"""),"location of congregation")</f>
        <v>location of congregation</v>
      </c>
      <c r="CF111" t="str">
        <f ca="1">IFERROR(__xludf.DUMMYFUNCTION("""COMPUTED_VALUE"""),"L0069")</f>
        <v>L0069</v>
      </c>
      <c r="CG111" t="str">
        <f ca="1">IFERROR(__xludf.DUMMYFUNCTION("""COMPUTED_VALUE"""),"domus Iohannis Martini")</f>
        <v>domus Iohannis Martini</v>
      </c>
      <c r="CI111" t="str">
        <f ca="1">IFERROR(__xludf.DUMMYFUNCTION("""COMPUTED_VALUE"""),"#VALUE!")</f>
        <v>#VALUE!</v>
      </c>
      <c r="CK111" t="str">
        <f ca="1">IFERROR(__xludf.DUMMYFUNCTION("""COMPUTED_VALUE"""),"#VALUE!")</f>
        <v>#VALUE!</v>
      </c>
      <c r="CS111" t="str">
        <f ca="1">IFERROR(__xludf.DUMMYFUNCTION("""COMPUTED_VALUE"""),"#VALUE!")</f>
        <v>#VALUE!</v>
      </c>
      <c r="CU111" t="str">
        <f ca="1">IFERROR(__xludf.DUMMYFUNCTION("""COMPUTED_VALUE"""),"#VALUE!")</f>
        <v>#VALUE!</v>
      </c>
      <c r="CW111" t="str">
        <f ca="1">IFERROR(__xludf.DUMMYFUNCTION("""COMPUTED_VALUE"""),"#VALUE!")</f>
        <v>#VALUE!</v>
      </c>
      <c r="CY111" t="str">
        <f ca="1">IFERROR(__xludf.DUMMYFUNCTION("""COMPUTED_VALUE"""),"#VALUE!")</f>
        <v>#VALUE!</v>
      </c>
      <c r="DC111" t="str">
        <f ca="1">IFERROR(__xludf.DUMMYFUNCTION("""COMPUTED_VALUE"""),"#VALUE!")</f>
        <v>#VALUE!</v>
      </c>
      <c r="DE111" t="str">
        <f ca="1">IFERROR(__xludf.DUMMYFUNCTION("""COMPUTED_VALUE"""),"#VALUE!")</f>
        <v>#VALUE!</v>
      </c>
      <c r="DH111" t="str">
        <f ca="1">IFERROR(__xludf.DUMMYFUNCTION("""COMPUTED_VALUE"""),"L0069")</f>
        <v>L0069</v>
      </c>
      <c r="DI111" t="str">
        <f ca="1">IFERROR(__xludf.DUMMYFUNCTION("""COMPUTED_VALUE"""),"domus Iohannis Martini")</f>
        <v>domus Iohannis Martini</v>
      </c>
      <c r="DJ111" t="str">
        <f ca="1">IFERROR(__xludf.DUMMYFUNCTION("""COMPUTED_VALUE"""),"domus")</f>
        <v>domus</v>
      </c>
      <c r="DL111" t="str">
        <f ca="1">IFERROR(__xludf.DUMMYFUNCTION("""COMPUTED_VALUE"""),"Davor Salihović")</f>
        <v>Davor Salihović</v>
      </c>
    </row>
    <row r="112" spans="1:116" ht="13.2" x14ac:dyDescent="0.25">
      <c r="A112" t="str">
        <f ca="1">IFERROR(__xludf.DUMMYFUNCTION("""COMPUTED_VALUE"""),"P0113")</f>
        <v>P0113</v>
      </c>
      <c r="B112" t="str">
        <f ca="1">IFERROR(__xludf.DUMMYFUNCTION("""COMPUTED_VALUE"""),"Iohannes Martini")</f>
        <v>Iohannes Martini</v>
      </c>
      <c r="D112" t="str">
        <f ca="1">IFERROR(__xludf.DUMMYFUNCTION("""COMPUTED_VALUE"""),"#VALUE!")</f>
        <v>#VALUE!</v>
      </c>
      <c r="E112" t="str">
        <f ca="1">IFERROR(__xludf.DUMMYFUNCTION("""COMPUTED_VALUE"""),"Iohannes")</f>
        <v>Iohannes</v>
      </c>
      <c r="K112" t="str">
        <f ca="1">IFERROR(__xludf.DUMMYFUNCTION("""COMPUTED_VALUE"""),"Martini")</f>
        <v>Martini</v>
      </c>
      <c r="L112" t="str">
        <f ca="1">IFERROR(__xludf.DUMMYFUNCTION("""COMPUTED_VALUE"""),"Martini")</f>
        <v>Martini</v>
      </c>
      <c r="S112" t="str">
        <f ca="1">IFERROR(__xludf.DUMMYFUNCTION("""COMPUTED_VALUE"""),"Latin")</f>
        <v>Latin</v>
      </c>
      <c r="T112" t="str">
        <f ca="1">IFERROR(__xludf.DUMMYFUNCTION("""COMPUTED_VALUE"""),"definite")</f>
        <v>definite</v>
      </c>
      <c r="U112" t="str">
        <f ca="1">IFERROR(__xludf.DUMMYFUNCTION("""COMPUTED_VALUE"""),"C2553")</f>
        <v>C2553</v>
      </c>
      <c r="V112" t="str">
        <f ca="1">IFERROR(__xludf.DUMMYFUNCTION("""COMPUTED_VALUE"""),"male")</f>
        <v>male</v>
      </c>
      <c r="Z112" t="str">
        <f ca="1">IFERROR(__xludf.DUMMYFUNCTION("""COMPUTED_VALUE"""),"168, 177, 179, 182, 198, 208, 232, 233, 234, 244")</f>
        <v>168, 177, 179, 182, 198, 208, 232, 233, 234, 244</v>
      </c>
      <c r="AA112" t="str">
        <f ca="1">IFERROR(__xludf.DUMMYFUNCTION("""COMPUTED_VALUE"""),"d")</f>
        <v>d</v>
      </c>
      <c r="AB112" t="str">
        <f ca="1">IFERROR(__xludf.DUMMYFUNCTION("""COMPUTED_VALUE"""),"suspect")</f>
        <v>suspect</v>
      </c>
      <c r="AD112" t="str">
        <f ca="1">IFERROR(__xludf.DUMMYFUNCTION("""COMPUTED_VALUE"""),"C3287")</f>
        <v>C3287</v>
      </c>
      <c r="AE112" t="str">
        <f ca="1">IFERROR(__xludf.DUMMYFUNCTION("""COMPUTED_VALUE"""),"alive")</f>
        <v>alive</v>
      </c>
      <c r="AF112" t="str">
        <f ca="1">IFERROR(__xludf.DUMMYFUNCTION("""COMPUTED_VALUE"""),"C1753")</f>
        <v>C1753</v>
      </c>
      <c r="AG112" t="str">
        <f ca="1">IFERROR(__xludf.DUMMYFUNCTION("""COMPUTED_VALUE"""),"1335-01-20")</f>
        <v>1335-01-20</v>
      </c>
      <c r="AH112" t="str">
        <f ca="1">IFERROR(__xludf.DUMMYFUNCTION("""COMPUTED_VALUE"""),"C2348")</f>
        <v>C2348</v>
      </c>
      <c r="AI112" t="str">
        <f ca="1">IFERROR(__xludf.DUMMYFUNCTION("""COMPUTED_VALUE"""),"wife")</f>
        <v>wife</v>
      </c>
      <c r="AJ112" t="str">
        <f ca="1">IFERROR(__xludf.DUMMYFUNCTION("""COMPUTED_VALUE"""),"P0114")</f>
        <v>P0114</v>
      </c>
      <c r="AK112" t="str">
        <f ca="1">IFERROR(__xludf.DUMMYFUNCTION("""COMPUTED_VALUE"""),"uxor Iohannis Martini")</f>
        <v>uxor Iohannis Martini</v>
      </c>
      <c r="AL112" t="str">
        <f ca="1">IFERROR(__xludf.DUMMYFUNCTION("""COMPUTED_VALUE"""),"C3041")</f>
        <v>C3041</v>
      </c>
      <c r="AM112" t="str">
        <f ca="1">IFERROR(__xludf.DUMMYFUNCTION("""COMPUTED_VALUE"""),"household")</f>
        <v>household</v>
      </c>
      <c r="AN112" t="str">
        <f ca="1">IFERROR(__xludf.DUMMYFUNCTION("""COMPUTED_VALUE"""),"G0031")</f>
        <v>G0031</v>
      </c>
      <c r="AO112" t="str">
        <f ca="1">IFERROR(__xludf.DUMMYFUNCTION("""COMPUTED_VALUE"""),"hospitium Iohannis Martini")</f>
        <v>hospitium Iohannis Martini</v>
      </c>
      <c r="AP112" t="str">
        <f ca="1">IFERROR(__xludf.DUMMYFUNCTION("""COMPUTED_VALUE"""),"C0718")</f>
        <v>C0718</v>
      </c>
      <c r="AQ112" t="str">
        <f ca="1">IFERROR(__xludf.DUMMYFUNCTION("""COMPUTED_VALUE"""),"familia")</f>
        <v>familia</v>
      </c>
      <c r="AR112" t="str">
        <f ca="1">IFERROR(__xludf.DUMMYFUNCTION("""COMPUTED_VALUE"""),"G0041")</f>
        <v>G0041</v>
      </c>
      <c r="AS112" t="str">
        <f ca="1">IFERROR(__xludf.DUMMYFUNCTION("""COMPUTED_VALUE"""),"familia Iohannis Martini")</f>
        <v>familia Iohannis Martini</v>
      </c>
      <c r="AT112" t="str">
        <f ca="1">IFERROR(__xludf.DUMMYFUNCTION("""COMPUTED_VALUE"""),"C0147")</f>
        <v>C0147</v>
      </c>
      <c r="AU112" t="str">
        <f ca="1">IFERROR(__xludf.DUMMYFUNCTION("""COMPUTED_VALUE"""),"warrantor")</f>
        <v>warrantor</v>
      </c>
      <c r="AV112" t="str">
        <f ca="1">IFERROR(__xludf.DUMMYFUNCTION("""COMPUTED_VALUE"""),"P0076")</f>
        <v>P0076</v>
      </c>
      <c r="AW112" t="str">
        <f ca="1">IFERROR(__xludf.DUMMYFUNCTION("""COMPUTED_VALUE"""),"Martinus Ysabellanus")</f>
        <v>Martinus Ysabellanus</v>
      </c>
      <c r="AX112" t="str">
        <f ca="1">IFERROR(__xludf.DUMMYFUNCTION("""COMPUTED_VALUE"""),"C0147")</f>
        <v>C0147</v>
      </c>
      <c r="AY112" t="str">
        <f ca="1">IFERROR(__xludf.DUMMYFUNCTION("""COMPUTED_VALUE"""),"warrantor")</f>
        <v>warrantor</v>
      </c>
      <c r="AZ112" t="str">
        <f ca="1">IFERROR(__xludf.DUMMYFUNCTION("""COMPUTED_VALUE"""),"P0396")</f>
        <v>P0396</v>
      </c>
      <c r="BA112" t="str">
        <f ca="1">IFERROR(__xludf.DUMMYFUNCTION("""COMPUTED_VALUE"""),"Petrus de Guigo")</f>
        <v>Petrus de Guigo</v>
      </c>
      <c r="BC112" t="str">
        <f ca="1">IFERROR(__xludf.DUMMYFUNCTION("""COMPUTED_VALUE"""),"#VALUE!")</f>
        <v>#VALUE!</v>
      </c>
      <c r="BE112" t="str">
        <f ca="1">IFERROR(__xludf.DUMMYFUNCTION("""COMPUTED_VALUE"""),"#VALUE!")</f>
        <v>#VALUE!</v>
      </c>
      <c r="BG112" t="str">
        <f ca="1">IFERROR(__xludf.DUMMYFUNCTION("""COMPUTED_VALUE"""),"#VALUE!")</f>
        <v>#VALUE!</v>
      </c>
      <c r="BI112" t="str">
        <f ca="1">IFERROR(__xludf.DUMMYFUNCTION("""COMPUTED_VALUE"""),"#VALUE!")</f>
        <v>#VALUE!</v>
      </c>
      <c r="BK112" t="str">
        <f ca="1">IFERROR(__xludf.DUMMYFUNCTION("""COMPUTED_VALUE"""),"#VALUE!")</f>
        <v>#VALUE!</v>
      </c>
      <c r="BM112" t="str">
        <f ca="1">IFERROR(__xludf.DUMMYFUNCTION("""COMPUTED_VALUE"""),"#VALUE!")</f>
        <v>#VALUE!</v>
      </c>
      <c r="BO112" t="str">
        <f ca="1">IFERROR(__xludf.DUMMYFUNCTION("""COMPUTED_VALUE"""),"#VALUE!")</f>
        <v>#VALUE!</v>
      </c>
      <c r="BQ112" t="str">
        <f ca="1">IFERROR(__xludf.DUMMYFUNCTION("""COMPUTED_VALUE"""),"#VALUE!")</f>
        <v>#VALUE!</v>
      </c>
      <c r="BS112" t="str">
        <f ca="1">IFERROR(__xludf.DUMMYFUNCTION("""COMPUTED_VALUE"""),"#VALUE!")</f>
        <v>#VALUE!</v>
      </c>
      <c r="BU112" t="str">
        <f ca="1">IFERROR(__xludf.DUMMYFUNCTION("""COMPUTED_VALUE"""),"#VALUE!")</f>
        <v>#VALUE!</v>
      </c>
      <c r="BW112" t="str">
        <f ca="1">IFERROR(__xludf.DUMMYFUNCTION("""COMPUTED_VALUE"""),"#VALUE!")</f>
        <v>#VALUE!</v>
      </c>
      <c r="BY112" t="str">
        <f ca="1">IFERROR(__xludf.DUMMYFUNCTION("""COMPUTED_VALUE"""),"#VALUE!")</f>
        <v>#VALUE!</v>
      </c>
      <c r="CA112" t="str">
        <f ca="1">IFERROR(__xludf.DUMMYFUNCTION("""COMPUTED_VALUE"""),"#VALUE!")</f>
        <v>#VALUE!</v>
      </c>
      <c r="CC112" t="str">
        <f ca="1">IFERROR(__xludf.DUMMYFUNCTION("""COMPUTED_VALUE"""),"#VALUE!")</f>
        <v>#VALUE!</v>
      </c>
      <c r="CD112" t="str">
        <f ca="1">IFERROR(__xludf.DUMMYFUNCTION("""COMPUTED_VALUE"""),"C3598")</f>
        <v>C3598</v>
      </c>
      <c r="CE112" t="str">
        <f ca="1">IFERROR(__xludf.DUMMYFUNCTION("""COMPUTED_VALUE"""),"location of congregation")</f>
        <v>location of congregation</v>
      </c>
      <c r="CF112" t="str">
        <f ca="1">IFERROR(__xludf.DUMMYFUNCTION("""COMPUTED_VALUE"""),"L0069#L0065")</f>
        <v>L0069#L0065</v>
      </c>
      <c r="CG112" t="str">
        <f ca="1">IFERROR(__xludf.DUMMYFUNCTION("""COMPUTED_VALUE"""),"domus Iohannis Martini #domus Iohannis de Castagno de Giaveno")</f>
        <v>domus Iohannis Martini #domus Iohannis de Castagno de Giaveno</v>
      </c>
      <c r="CH112" t="str">
        <f ca="1">IFERROR(__xludf.DUMMYFUNCTION("""COMPUTED_VALUE"""),"P0076#P0396")</f>
        <v>P0076#P0396</v>
      </c>
      <c r="CI112" t="str">
        <f ca="1">IFERROR(__xludf.DUMMYFUNCTION("""COMPUTED_VALUE"""),"Martinus Ysabellanus #Petrus de Guigo")</f>
        <v>Martinus Ysabellanus #Petrus de Guigo</v>
      </c>
      <c r="CJ112" t="str">
        <f ca="1">IFERROR(__xludf.DUMMYFUNCTION("""COMPUTED_VALUE"""),"P0229#P0055")</f>
        <v>P0229#P0055</v>
      </c>
      <c r="CK112" t="str">
        <f ca="1">IFERROR(__xludf.DUMMYFUNCTION("""COMPUTED_VALUE"""),"Marguerita Borsseta #Petrus Rupphini")</f>
        <v>Marguerita Borsseta #Petrus Rupphini</v>
      </c>
      <c r="CS112" t="str">
        <f ca="1">IFERROR(__xludf.DUMMYFUNCTION("""COMPUTED_VALUE"""),"#VALUE!")</f>
        <v>#VALUE!</v>
      </c>
      <c r="CU112" t="str">
        <f ca="1">IFERROR(__xludf.DUMMYFUNCTION("""COMPUTED_VALUE"""),"#VALUE!")</f>
        <v>#VALUE!</v>
      </c>
      <c r="CV112" t="str">
        <f ca="1">IFERROR(__xludf.DUMMYFUNCTION("""COMPUTED_VALUE"""),"L0001")</f>
        <v>L0001</v>
      </c>
      <c r="CW112" t="str">
        <f ca="1">IFERROR(__xludf.DUMMYFUNCTION("""COMPUTED_VALUE"""),"Giaveno")</f>
        <v>Giaveno</v>
      </c>
      <c r="CY112" t="str">
        <f ca="1">IFERROR(__xludf.DUMMYFUNCTION("""COMPUTED_VALUE"""),"#VALUE!")</f>
        <v>#VALUE!</v>
      </c>
      <c r="DC112" t="str">
        <f ca="1">IFERROR(__xludf.DUMMYFUNCTION("""COMPUTED_VALUE"""),"#VALUE!")</f>
        <v>#VALUE!</v>
      </c>
      <c r="DE112" t="str">
        <f ca="1">IFERROR(__xludf.DUMMYFUNCTION("""COMPUTED_VALUE"""),"#VALUE!")</f>
        <v>#VALUE!</v>
      </c>
      <c r="DF112" t="str">
        <f ca="1">IFERROR(__xludf.DUMMYFUNCTION("""COMPUTED_VALUE"""),"y")</f>
        <v>y</v>
      </c>
      <c r="DG112" t="str">
        <f ca="1">IFERROR(__xludf.DUMMYFUNCTION("""COMPUTED_VALUE"""),"182, 232")</f>
        <v>182, 232</v>
      </c>
      <c r="DH112" t="str">
        <f ca="1">IFERROR(__xludf.DUMMYFUNCTION("""COMPUTED_VALUE"""),"L0069#L0065")</f>
        <v>L0069#L0065</v>
      </c>
      <c r="DI112" t="str">
        <f ca="1">IFERROR(__xludf.DUMMYFUNCTION("""COMPUTED_VALUE"""),"domus Iohannis Martini #domus Iohannis de Castagno de Giaveno")</f>
        <v>domus Iohannis Martini #domus Iohannis de Castagno de Giaveno</v>
      </c>
      <c r="DJ112" t="str">
        <f ca="1">IFERROR(__xludf.DUMMYFUNCTION("""COMPUTED_VALUE"""),"domus #domus")</f>
        <v>domus #domus</v>
      </c>
      <c r="DL112" t="str">
        <f ca="1">IFERROR(__xludf.DUMMYFUNCTION("""COMPUTED_VALUE"""),"Davor Salihović")</f>
        <v>Davor Salihović</v>
      </c>
    </row>
    <row r="113" spans="1:116" ht="13.2" x14ac:dyDescent="0.25">
      <c r="A113" t="str">
        <f ca="1">IFERROR(__xludf.DUMMYFUNCTION("""COMPUTED_VALUE"""),"P0114")</f>
        <v>P0114</v>
      </c>
      <c r="B113" t="str">
        <f ca="1">IFERROR(__xludf.DUMMYFUNCTION("""COMPUTED_VALUE"""),"uxor Iohannis Martini")</f>
        <v>uxor Iohannis Martini</v>
      </c>
      <c r="D113" t="str">
        <f ca="1">IFERROR(__xludf.DUMMYFUNCTION("""COMPUTED_VALUE"""),"#VALUE!")</f>
        <v>#VALUE!</v>
      </c>
      <c r="E113" t="str">
        <f ca="1">IFERROR(__xludf.DUMMYFUNCTION("""COMPUTED_VALUE"""),"uxor Iohannis Martini")</f>
        <v>uxor Iohannis Martini</v>
      </c>
      <c r="S113" t="str">
        <f ca="1">IFERROR(__xludf.DUMMYFUNCTION("""COMPUTED_VALUE"""),"Latin")</f>
        <v>Latin</v>
      </c>
      <c r="T113" t="str">
        <f ca="1">IFERROR(__xludf.DUMMYFUNCTION("""COMPUTED_VALUE"""),"definite")</f>
        <v>definite</v>
      </c>
      <c r="U113" t="str">
        <f ca="1">IFERROR(__xludf.DUMMYFUNCTION("""COMPUTED_VALUE"""),"C2552")</f>
        <v>C2552</v>
      </c>
      <c r="V113" t="str">
        <f ca="1">IFERROR(__xludf.DUMMYFUNCTION("""COMPUTED_VALUE"""),"female")</f>
        <v>female</v>
      </c>
      <c r="Z113" t="str">
        <f ca="1">IFERROR(__xludf.DUMMYFUNCTION("""COMPUTED_VALUE"""),"168, 177, 234")</f>
        <v>168, 177, 234</v>
      </c>
      <c r="AA113" t="str">
        <f ca="1">IFERROR(__xludf.DUMMYFUNCTION("""COMPUTED_VALUE"""),"d")</f>
        <v>d</v>
      </c>
      <c r="AB113" t="str">
        <f ca="1">IFERROR(__xludf.DUMMYFUNCTION("""COMPUTED_VALUE"""),"suspect")</f>
        <v>suspect</v>
      </c>
      <c r="AF113" t="str">
        <f ca="1">IFERROR(__xludf.DUMMYFUNCTION("""COMPUTED_VALUE"""),"#N/A")</f>
        <v>#N/A</v>
      </c>
      <c r="AG113" t="str">
        <f ca="1">IFERROR(__xludf.DUMMYFUNCTION("""COMPUTED_VALUE"""),"#N/A")</f>
        <v>#N/A</v>
      </c>
      <c r="AI113" t="str">
        <f ca="1">IFERROR(__xludf.DUMMYFUNCTION("""COMPUTED_VALUE"""),"#VALUE!")</f>
        <v>#VALUE!</v>
      </c>
      <c r="AK113" t="str">
        <f ca="1">IFERROR(__xludf.DUMMYFUNCTION("""COMPUTED_VALUE"""),"#VALUE!")</f>
        <v>#VALUE!</v>
      </c>
      <c r="AM113" t="str">
        <f ca="1">IFERROR(__xludf.DUMMYFUNCTION("""COMPUTED_VALUE"""),"#VALUE!")</f>
        <v>#VALUE!</v>
      </c>
      <c r="AO113" t="str">
        <f ca="1">IFERROR(__xludf.DUMMYFUNCTION("""COMPUTED_VALUE"""),"#VALUE!")</f>
        <v>#VALUE!</v>
      </c>
      <c r="AQ113" t="str">
        <f ca="1">IFERROR(__xludf.DUMMYFUNCTION("""COMPUTED_VALUE"""),"#VALUE!")</f>
        <v>#VALUE!</v>
      </c>
      <c r="AS113" t="str">
        <f ca="1">IFERROR(__xludf.DUMMYFUNCTION("""COMPUTED_VALUE"""),"#VALUE!")</f>
        <v>#VALUE!</v>
      </c>
      <c r="AU113" t="str">
        <f ca="1">IFERROR(__xludf.DUMMYFUNCTION("""COMPUTED_VALUE"""),"#VALUE!")</f>
        <v>#VALUE!</v>
      </c>
      <c r="AW113" t="str">
        <f ca="1">IFERROR(__xludf.DUMMYFUNCTION("""COMPUTED_VALUE"""),"#VALUE!")</f>
        <v>#VALUE!</v>
      </c>
      <c r="AY113" t="str">
        <f ca="1">IFERROR(__xludf.DUMMYFUNCTION("""COMPUTED_VALUE"""),"#VALUE!")</f>
        <v>#VALUE!</v>
      </c>
      <c r="BA113" t="str">
        <f ca="1">IFERROR(__xludf.DUMMYFUNCTION("""COMPUTED_VALUE"""),"#VALUE!")</f>
        <v>#VALUE!</v>
      </c>
      <c r="BC113" t="str">
        <f ca="1">IFERROR(__xludf.DUMMYFUNCTION("""COMPUTED_VALUE"""),"#VALUE!")</f>
        <v>#VALUE!</v>
      </c>
      <c r="BE113" t="str">
        <f ca="1">IFERROR(__xludf.DUMMYFUNCTION("""COMPUTED_VALUE"""),"#VALUE!")</f>
        <v>#VALUE!</v>
      </c>
      <c r="BG113" t="str">
        <f ca="1">IFERROR(__xludf.DUMMYFUNCTION("""COMPUTED_VALUE"""),"#VALUE!")</f>
        <v>#VALUE!</v>
      </c>
      <c r="BI113" t="str">
        <f ca="1">IFERROR(__xludf.DUMMYFUNCTION("""COMPUTED_VALUE"""),"#VALUE!")</f>
        <v>#VALUE!</v>
      </c>
      <c r="BK113" t="str">
        <f ca="1">IFERROR(__xludf.DUMMYFUNCTION("""COMPUTED_VALUE"""),"#VALUE!")</f>
        <v>#VALUE!</v>
      </c>
      <c r="BM113" t="str">
        <f ca="1">IFERROR(__xludf.DUMMYFUNCTION("""COMPUTED_VALUE"""),"#VALUE!")</f>
        <v>#VALUE!</v>
      </c>
      <c r="BO113" t="str">
        <f ca="1">IFERROR(__xludf.DUMMYFUNCTION("""COMPUTED_VALUE"""),"#VALUE!")</f>
        <v>#VALUE!</v>
      </c>
      <c r="BQ113" t="str">
        <f ca="1">IFERROR(__xludf.DUMMYFUNCTION("""COMPUTED_VALUE"""),"#VALUE!")</f>
        <v>#VALUE!</v>
      </c>
      <c r="BS113" t="str">
        <f ca="1">IFERROR(__xludf.DUMMYFUNCTION("""COMPUTED_VALUE"""),"#VALUE!")</f>
        <v>#VALUE!</v>
      </c>
      <c r="BU113" t="str">
        <f ca="1">IFERROR(__xludf.DUMMYFUNCTION("""COMPUTED_VALUE"""),"#VALUE!")</f>
        <v>#VALUE!</v>
      </c>
      <c r="BW113" t="str">
        <f ca="1">IFERROR(__xludf.DUMMYFUNCTION("""COMPUTED_VALUE"""),"#VALUE!")</f>
        <v>#VALUE!</v>
      </c>
      <c r="BY113" t="str">
        <f ca="1">IFERROR(__xludf.DUMMYFUNCTION("""COMPUTED_VALUE"""),"#VALUE!")</f>
        <v>#VALUE!</v>
      </c>
      <c r="CA113" t="str">
        <f ca="1">IFERROR(__xludf.DUMMYFUNCTION("""COMPUTED_VALUE"""),"#VALUE!")</f>
        <v>#VALUE!</v>
      </c>
      <c r="CC113" t="str">
        <f ca="1">IFERROR(__xludf.DUMMYFUNCTION("""COMPUTED_VALUE"""),"#VALUE!")</f>
        <v>#VALUE!</v>
      </c>
      <c r="CD113" t="str">
        <f ca="1">IFERROR(__xludf.DUMMYFUNCTION("""COMPUTED_VALUE"""),"C3598")</f>
        <v>C3598</v>
      </c>
      <c r="CE113" t="str">
        <f ca="1">IFERROR(__xludf.DUMMYFUNCTION("""COMPUTED_VALUE"""),"location of congregation")</f>
        <v>location of congregation</v>
      </c>
      <c r="CF113" t="str">
        <f ca="1">IFERROR(__xludf.DUMMYFUNCTION("""COMPUTED_VALUE"""),"L0069#L0065")</f>
        <v>L0069#L0065</v>
      </c>
      <c r="CG113" t="str">
        <f ca="1">IFERROR(__xludf.DUMMYFUNCTION("""COMPUTED_VALUE"""),"domus Iohannis Martini #domus Iohannis de Castagno de Giaveno")</f>
        <v>domus Iohannis Martini #domus Iohannis de Castagno de Giaveno</v>
      </c>
      <c r="CI113" t="str">
        <f ca="1">IFERROR(__xludf.DUMMYFUNCTION("""COMPUTED_VALUE"""),"#VALUE!")</f>
        <v>#VALUE!</v>
      </c>
      <c r="CK113" t="str">
        <f ca="1">IFERROR(__xludf.DUMMYFUNCTION("""COMPUTED_VALUE"""),"#VALUE!")</f>
        <v>#VALUE!</v>
      </c>
      <c r="CS113" t="str">
        <f ca="1">IFERROR(__xludf.DUMMYFUNCTION("""COMPUTED_VALUE"""),"#VALUE!")</f>
        <v>#VALUE!</v>
      </c>
      <c r="CU113" t="str">
        <f ca="1">IFERROR(__xludf.DUMMYFUNCTION("""COMPUTED_VALUE"""),"#VALUE!")</f>
        <v>#VALUE!</v>
      </c>
      <c r="CW113" t="str">
        <f ca="1">IFERROR(__xludf.DUMMYFUNCTION("""COMPUTED_VALUE"""),"#VALUE!")</f>
        <v>#VALUE!</v>
      </c>
      <c r="CY113" t="str">
        <f ca="1">IFERROR(__xludf.DUMMYFUNCTION("""COMPUTED_VALUE"""),"#VALUE!")</f>
        <v>#VALUE!</v>
      </c>
      <c r="DC113" t="str">
        <f ca="1">IFERROR(__xludf.DUMMYFUNCTION("""COMPUTED_VALUE"""),"#VALUE!")</f>
        <v>#VALUE!</v>
      </c>
      <c r="DE113" t="str">
        <f ca="1">IFERROR(__xludf.DUMMYFUNCTION("""COMPUTED_VALUE"""),"#VALUE!")</f>
        <v>#VALUE!</v>
      </c>
      <c r="DH113" t="str">
        <f ca="1">IFERROR(__xludf.DUMMYFUNCTION("""COMPUTED_VALUE"""),"L0069#L0065")</f>
        <v>L0069#L0065</v>
      </c>
      <c r="DI113" t="str">
        <f ca="1">IFERROR(__xludf.DUMMYFUNCTION("""COMPUTED_VALUE"""),"domus Iohannis Martini #domus Iohannis de Castagno de Giaveno")</f>
        <v>domus Iohannis Martini #domus Iohannis de Castagno de Giaveno</v>
      </c>
      <c r="DJ113" t="str">
        <f ca="1">IFERROR(__xludf.DUMMYFUNCTION("""COMPUTED_VALUE"""),"domus #domus")</f>
        <v>domus #domus</v>
      </c>
      <c r="DL113" t="str">
        <f ca="1">IFERROR(__xludf.DUMMYFUNCTION("""COMPUTED_VALUE"""),"Davor Salihović")</f>
        <v>Davor Salihović</v>
      </c>
    </row>
    <row r="114" spans="1:116" ht="13.2" x14ac:dyDescent="0.25">
      <c r="A114" t="str">
        <f ca="1">IFERROR(__xludf.DUMMYFUNCTION("""COMPUTED_VALUE"""),"P0115")</f>
        <v>P0115</v>
      </c>
      <c r="B114" t="str">
        <f ca="1">IFERROR(__xludf.DUMMYFUNCTION("""COMPUTED_VALUE"""),"Iacometa, uxor Iohannis Castaygni")</f>
        <v>Iacometa, uxor Iohannis Castaygni</v>
      </c>
      <c r="D114" t="str">
        <f ca="1">IFERROR(__xludf.DUMMYFUNCTION("""COMPUTED_VALUE"""),"#VALUE!")</f>
        <v>#VALUE!</v>
      </c>
      <c r="E114" t="str">
        <f ca="1">IFERROR(__xludf.DUMMYFUNCTION("""COMPUTED_VALUE"""),"Iacometa ")</f>
        <v xml:space="preserve">Iacometa </v>
      </c>
      <c r="F114" t="str">
        <f ca="1">IFERROR(__xludf.DUMMYFUNCTION("""COMPUTED_VALUE"""),"Iacobeta")</f>
        <v>Iacobeta</v>
      </c>
      <c r="Q114" t="str">
        <f ca="1">IFERROR(__xludf.DUMMYFUNCTION("""COMPUTED_VALUE"""),"uxor Iohannis Castaygni")</f>
        <v>uxor Iohannis Castaygni</v>
      </c>
      <c r="S114" t="str">
        <f ca="1">IFERROR(__xludf.DUMMYFUNCTION("""COMPUTED_VALUE"""),"Latin")</f>
        <v>Latin</v>
      </c>
      <c r="T114" t="str">
        <f ca="1">IFERROR(__xludf.DUMMYFUNCTION("""COMPUTED_VALUE"""),"definite")</f>
        <v>definite</v>
      </c>
      <c r="U114" t="str">
        <f ca="1">IFERROR(__xludf.DUMMYFUNCTION("""COMPUTED_VALUE"""),"C2552")</f>
        <v>C2552</v>
      </c>
      <c r="V114" t="str">
        <f ca="1">IFERROR(__xludf.DUMMYFUNCTION("""COMPUTED_VALUE"""),"female")</f>
        <v>female</v>
      </c>
      <c r="Z114" t="str">
        <f ca="1">IFERROR(__xludf.DUMMYFUNCTION("""COMPUTED_VALUE"""),"168, 169, 171, 177, 192, 233, 234")</f>
        <v>168, 169, 171, 177, 192, 233, 234</v>
      </c>
      <c r="AA114" t="str">
        <f ca="1">IFERROR(__xludf.DUMMYFUNCTION("""COMPUTED_VALUE"""),"d")</f>
        <v>d</v>
      </c>
      <c r="AB114" t="str">
        <f ca="1">IFERROR(__xludf.DUMMYFUNCTION("""COMPUTED_VALUE"""),"suspect")</f>
        <v>suspect</v>
      </c>
      <c r="AF114" t="str">
        <f ca="1">IFERROR(__xludf.DUMMYFUNCTION("""COMPUTED_VALUE"""),"#N/A")</f>
        <v>#N/A</v>
      </c>
      <c r="AG114" t="str">
        <f ca="1">IFERROR(__xludf.DUMMYFUNCTION("""COMPUTED_VALUE"""),"#N/A")</f>
        <v>#N/A</v>
      </c>
      <c r="AH114" t="str">
        <f ca="1">IFERROR(__xludf.DUMMYFUNCTION("""COMPUTED_VALUE"""),"C2336")</f>
        <v>C2336</v>
      </c>
      <c r="AI114" t="str">
        <f ca="1">IFERROR(__xludf.DUMMYFUNCTION("""COMPUTED_VALUE"""),"son")</f>
        <v>son</v>
      </c>
      <c r="AJ114" t="str">
        <f ca="1">IFERROR(__xludf.DUMMYFUNCTION("""COMPUTED_VALUE"""),"P0207")</f>
        <v>P0207</v>
      </c>
      <c r="AK114" t="str">
        <f ca="1">IFERROR(__xludf.DUMMYFUNCTION("""COMPUTED_VALUE"""),"Iacobinus, filius Iohannis de Castaygno")</f>
        <v>Iacobinus, filius Iohannis de Castaygno</v>
      </c>
      <c r="AM114" t="str">
        <f ca="1">IFERROR(__xludf.DUMMYFUNCTION("""COMPUTED_VALUE"""),"#VALUE!")</f>
        <v>#VALUE!</v>
      </c>
      <c r="AO114" t="str">
        <f ca="1">IFERROR(__xludf.DUMMYFUNCTION("""COMPUTED_VALUE"""),"#VALUE!")</f>
        <v>#VALUE!</v>
      </c>
      <c r="AQ114" t="str">
        <f ca="1">IFERROR(__xludf.DUMMYFUNCTION("""COMPUTED_VALUE"""),"#VALUE!")</f>
        <v>#VALUE!</v>
      </c>
      <c r="AS114" t="str">
        <f ca="1">IFERROR(__xludf.DUMMYFUNCTION("""COMPUTED_VALUE"""),"#VALUE!")</f>
        <v>#VALUE!</v>
      </c>
      <c r="AU114" t="str">
        <f ca="1">IFERROR(__xludf.DUMMYFUNCTION("""COMPUTED_VALUE"""),"#VALUE!")</f>
        <v>#VALUE!</v>
      </c>
      <c r="AW114" t="str">
        <f ca="1">IFERROR(__xludf.DUMMYFUNCTION("""COMPUTED_VALUE"""),"#VALUE!")</f>
        <v>#VALUE!</v>
      </c>
      <c r="AY114" t="str">
        <f ca="1">IFERROR(__xludf.DUMMYFUNCTION("""COMPUTED_VALUE"""),"#VALUE!")</f>
        <v>#VALUE!</v>
      </c>
      <c r="BA114" t="str">
        <f ca="1">IFERROR(__xludf.DUMMYFUNCTION("""COMPUTED_VALUE"""),"#VALUE!")</f>
        <v>#VALUE!</v>
      </c>
      <c r="BC114" t="str">
        <f ca="1">IFERROR(__xludf.DUMMYFUNCTION("""COMPUTED_VALUE"""),"#VALUE!")</f>
        <v>#VALUE!</v>
      </c>
      <c r="BE114" t="str">
        <f ca="1">IFERROR(__xludf.DUMMYFUNCTION("""COMPUTED_VALUE"""),"#VALUE!")</f>
        <v>#VALUE!</v>
      </c>
      <c r="BG114" t="str">
        <f ca="1">IFERROR(__xludf.DUMMYFUNCTION("""COMPUTED_VALUE"""),"#VALUE!")</f>
        <v>#VALUE!</v>
      </c>
      <c r="BI114" t="str">
        <f ca="1">IFERROR(__xludf.DUMMYFUNCTION("""COMPUTED_VALUE"""),"#VALUE!")</f>
        <v>#VALUE!</v>
      </c>
      <c r="BK114" t="str">
        <f ca="1">IFERROR(__xludf.DUMMYFUNCTION("""COMPUTED_VALUE"""),"#VALUE!")</f>
        <v>#VALUE!</v>
      </c>
      <c r="BM114" t="str">
        <f ca="1">IFERROR(__xludf.DUMMYFUNCTION("""COMPUTED_VALUE"""),"#VALUE!")</f>
        <v>#VALUE!</v>
      </c>
      <c r="BO114" t="str">
        <f ca="1">IFERROR(__xludf.DUMMYFUNCTION("""COMPUTED_VALUE"""),"#VALUE!")</f>
        <v>#VALUE!</v>
      </c>
      <c r="BQ114" t="str">
        <f ca="1">IFERROR(__xludf.DUMMYFUNCTION("""COMPUTED_VALUE"""),"#VALUE!")</f>
        <v>#VALUE!</v>
      </c>
      <c r="BS114" t="str">
        <f ca="1">IFERROR(__xludf.DUMMYFUNCTION("""COMPUTED_VALUE"""),"#VALUE!")</f>
        <v>#VALUE!</v>
      </c>
      <c r="BU114" t="str">
        <f ca="1">IFERROR(__xludf.DUMMYFUNCTION("""COMPUTED_VALUE"""),"#VALUE!")</f>
        <v>#VALUE!</v>
      </c>
      <c r="BW114" t="str">
        <f ca="1">IFERROR(__xludf.DUMMYFUNCTION("""COMPUTED_VALUE"""),"#VALUE!")</f>
        <v>#VALUE!</v>
      </c>
      <c r="BY114" t="str">
        <f ca="1">IFERROR(__xludf.DUMMYFUNCTION("""COMPUTED_VALUE"""),"#VALUE!")</f>
        <v>#VALUE!</v>
      </c>
      <c r="CA114" t="str">
        <f ca="1">IFERROR(__xludf.DUMMYFUNCTION("""COMPUTED_VALUE"""),"#VALUE!")</f>
        <v>#VALUE!</v>
      </c>
      <c r="CC114" t="str">
        <f ca="1">IFERROR(__xludf.DUMMYFUNCTION("""COMPUTED_VALUE"""),"#VALUE!")</f>
        <v>#VALUE!</v>
      </c>
      <c r="CD114" t="str">
        <f ca="1">IFERROR(__xludf.DUMMYFUNCTION("""COMPUTED_VALUE"""),"C3598")</f>
        <v>C3598</v>
      </c>
      <c r="CE114" t="str">
        <f ca="1">IFERROR(__xludf.DUMMYFUNCTION("""COMPUTED_VALUE"""),"location of congregation")</f>
        <v>location of congregation</v>
      </c>
      <c r="CF114" t="str">
        <f ca="1">IFERROR(__xludf.DUMMYFUNCTION("""COMPUTED_VALUE"""),"L0069#L0065")</f>
        <v>L0069#L0065</v>
      </c>
      <c r="CG114" t="str">
        <f ca="1">IFERROR(__xludf.DUMMYFUNCTION("""COMPUTED_VALUE"""),"domus Iohannis Martini #domus Iohannis de Castagno de Giaveno")</f>
        <v>domus Iohannis Martini #domus Iohannis de Castagno de Giaveno</v>
      </c>
      <c r="CI114" t="str">
        <f ca="1">IFERROR(__xludf.DUMMYFUNCTION("""COMPUTED_VALUE"""),"#VALUE!")</f>
        <v>#VALUE!</v>
      </c>
      <c r="CK114" t="str">
        <f ca="1">IFERROR(__xludf.DUMMYFUNCTION("""COMPUTED_VALUE"""),"#VALUE!")</f>
        <v>#VALUE!</v>
      </c>
      <c r="CS114" t="str">
        <f ca="1">IFERROR(__xludf.DUMMYFUNCTION("""COMPUTED_VALUE"""),"#VALUE!")</f>
        <v>#VALUE!</v>
      </c>
      <c r="CU114" t="str">
        <f ca="1">IFERROR(__xludf.DUMMYFUNCTION("""COMPUTED_VALUE"""),"#VALUE!")</f>
        <v>#VALUE!</v>
      </c>
      <c r="CW114" t="str">
        <f ca="1">IFERROR(__xludf.DUMMYFUNCTION("""COMPUTED_VALUE"""),"#VALUE!")</f>
        <v>#VALUE!</v>
      </c>
      <c r="CY114" t="str">
        <f ca="1">IFERROR(__xludf.DUMMYFUNCTION("""COMPUTED_VALUE"""),"#VALUE!")</f>
        <v>#VALUE!</v>
      </c>
      <c r="DC114" t="str">
        <f ca="1">IFERROR(__xludf.DUMMYFUNCTION("""COMPUTED_VALUE"""),"#VALUE!")</f>
        <v>#VALUE!</v>
      </c>
      <c r="DE114" t="str">
        <f ca="1">IFERROR(__xludf.DUMMYFUNCTION("""COMPUTED_VALUE"""),"#VALUE!")</f>
        <v>#VALUE!</v>
      </c>
      <c r="DH114" t="str">
        <f ca="1">IFERROR(__xludf.DUMMYFUNCTION("""COMPUTED_VALUE"""),"L0069#L0065")</f>
        <v>L0069#L0065</v>
      </c>
      <c r="DI114" t="str">
        <f ca="1">IFERROR(__xludf.DUMMYFUNCTION("""COMPUTED_VALUE"""),"domus Iohannis Martini #domus Iohannis de Castagno de Giaveno")</f>
        <v>domus Iohannis Martini #domus Iohannis de Castagno de Giaveno</v>
      </c>
      <c r="DJ114" t="str">
        <f ca="1">IFERROR(__xludf.DUMMYFUNCTION("""COMPUTED_VALUE"""),"domus #domus")</f>
        <v>domus #domus</v>
      </c>
      <c r="DL114" t="str">
        <f ca="1">IFERROR(__xludf.DUMMYFUNCTION("""COMPUTED_VALUE"""),"Davor Salihović")</f>
        <v>Davor Salihović</v>
      </c>
    </row>
    <row r="115" spans="1:116" ht="13.2" x14ac:dyDescent="0.25">
      <c r="A115" t="str">
        <f ca="1">IFERROR(__xludf.DUMMYFUNCTION("""COMPUTED_VALUE"""),"P0116")</f>
        <v>P0116</v>
      </c>
      <c r="B115" t="str">
        <f ca="1">IFERROR(__xludf.DUMMYFUNCTION("""COMPUTED_VALUE"""),"Iohannes de Castaygno")</f>
        <v>Iohannes de Castaygno</v>
      </c>
      <c r="D115" t="str">
        <f ca="1">IFERROR(__xludf.DUMMYFUNCTION("""COMPUTED_VALUE"""),"#VALUE!")</f>
        <v>#VALUE!</v>
      </c>
      <c r="E115" t="str">
        <f ca="1">IFERROR(__xludf.DUMMYFUNCTION("""COMPUTED_VALUE"""),"Iohannes")</f>
        <v>Iohannes</v>
      </c>
      <c r="J115" t="str">
        <f ca="1">IFERROR(__xludf.DUMMYFUNCTION("""COMPUTED_VALUE"""),"de")</f>
        <v>de</v>
      </c>
      <c r="K115" t="str">
        <f ca="1">IFERROR(__xludf.DUMMYFUNCTION("""COMPUTED_VALUE"""),"Castaygno")</f>
        <v>Castaygno</v>
      </c>
      <c r="L115" t="str">
        <f ca="1">IFERROR(__xludf.DUMMYFUNCTION("""COMPUTED_VALUE"""),"de Castaygno")</f>
        <v>de Castaygno</v>
      </c>
      <c r="S115" t="str">
        <f ca="1">IFERROR(__xludf.DUMMYFUNCTION("""COMPUTED_VALUE"""),"Latin")</f>
        <v>Latin</v>
      </c>
      <c r="T115" t="str">
        <f ca="1">IFERROR(__xludf.DUMMYFUNCTION("""COMPUTED_VALUE"""),"definite")</f>
        <v>definite</v>
      </c>
      <c r="U115" t="str">
        <f ca="1">IFERROR(__xludf.DUMMYFUNCTION("""COMPUTED_VALUE"""),"C2553")</f>
        <v>C2553</v>
      </c>
      <c r="V115" t="str">
        <f ca="1">IFERROR(__xludf.DUMMYFUNCTION("""COMPUTED_VALUE"""),"male")</f>
        <v>male</v>
      </c>
      <c r="Z115" t="str">
        <f ca="1">IFERROR(__xludf.DUMMYFUNCTION("""COMPUTED_VALUE"""),"168, 169, 171, 172, 174, 177, 178, 183, 184, 188, 190, 192, 223, 232, 233, 234, 235, 236, 239, 248, 249, 250")</f>
        <v>168, 169, 171, 172, 174, 177, 178, 183, 184, 188, 190, 192, 223, 232, 233, 234, 235, 236, 239, 248, 249, 250</v>
      </c>
      <c r="AA115" t="str">
        <f ca="1">IFERROR(__xludf.DUMMYFUNCTION("""COMPUTED_VALUE"""),"d")</f>
        <v>d</v>
      </c>
      <c r="AB115" t="str">
        <f ca="1">IFERROR(__xludf.DUMMYFUNCTION("""COMPUTED_VALUE"""),"suspect")</f>
        <v>suspect</v>
      </c>
      <c r="AD115" t="str">
        <f ca="1">IFERROR(__xludf.DUMMYFUNCTION("""COMPUTED_VALUE"""),"C3287")</f>
        <v>C3287</v>
      </c>
      <c r="AE115" t="str">
        <f ca="1">IFERROR(__xludf.DUMMYFUNCTION("""COMPUTED_VALUE"""),"alive")</f>
        <v>alive</v>
      </c>
      <c r="AF115" t="str">
        <f ca="1">IFERROR(__xludf.DUMMYFUNCTION("""COMPUTED_VALUE"""),"C1753")</f>
        <v>C1753</v>
      </c>
      <c r="AG115" t="str">
        <f ca="1">IFERROR(__xludf.DUMMYFUNCTION("""COMPUTED_VALUE"""),"1335-01-20")</f>
        <v>1335-01-20</v>
      </c>
      <c r="AH115" t="str">
        <f ca="1">IFERROR(__xludf.DUMMYFUNCTION("""COMPUTED_VALUE"""),"C2348")</f>
        <v>C2348</v>
      </c>
      <c r="AI115" t="str">
        <f ca="1">IFERROR(__xludf.DUMMYFUNCTION("""COMPUTED_VALUE"""),"wife")</f>
        <v>wife</v>
      </c>
      <c r="AJ115" t="str">
        <f ca="1">IFERROR(__xludf.DUMMYFUNCTION("""COMPUTED_VALUE"""),"P0115")</f>
        <v>P0115</v>
      </c>
      <c r="AK115" t="str">
        <f ca="1">IFERROR(__xludf.DUMMYFUNCTION("""COMPUTED_VALUE"""),"Iacometa, uxor Iohannis Castaygni")</f>
        <v>Iacometa, uxor Iohannis Castaygni</v>
      </c>
      <c r="AL115" t="str">
        <f ca="1">IFERROR(__xludf.DUMMYFUNCTION("""COMPUTED_VALUE"""),"C2336")</f>
        <v>C2336</v>
      </c>
      <c r="AM115" t="str">
        <f ca="1">IFERROR(__xludf.DUMMYFUNCTION("""COMPUTED_VALUE"""),"son")</f>
        <v>son</v>
      </c>
      <c r="AN115" t="str">
        <f ca="1">IFERROR(__xludf.DUMMYFUNCTION("""COMPUTED_VALUE"""),"P0207")</f>
        <v>P0207</v>
      </c>
      <c r="AO115" t="str">
        <f ca="1">IFERROR(__xludf.DUMMYFUNCTION("""COMPUTED_VALUE"""),"Iacobinus, filius Iohannis de Castaygno")</f>
        <v>Iacobinus, filius Iohannis de Castaygno</v>
      </c>
      <c r="AP115" t="str">
        <f ca="1">IFERROR(__xludf.DUMMYFUNCTION("""COMPUTED_VALUE"""),"C2335")</f>
        <v>C2335</v>
      </c>
      <c r="AQ115" t="str">
        <f ca="1">IFERROR(__xludf.DUMMYFUNCTION("""COMPUTED_VALUE"""),"daughter")</f>
        <v>daughter</v>
      </c>
      <c r="AR115" t="str">
        <f ca="1">IFERROR(__xludf.DUMMYFUNCTION("""COMPUTED_VALUE"""),"P0395")</f>
        <v>P0395</v>
      </c>
      <c r="AS115" t="str">
        <f ca="1">IFERROR(__xludf.DUMMYFUNCTION("""COMPUTED_VALUE"""),"Iacobina, filia Iohannis de Castaygno")</f>
        <v>Iacobina, filia Iohannis de Castaygno</v>
      </c>
      <c r="AT115" t="str">
        <f ca="1">IFERROR(__xludf.DUMMYFUNCTION("""COMPUTED_VALUE"""),"C0718")</f>
        <v>C0718</v>
      </c>
      <c r="AU115" t="str">
        <f ca="1">IFERROR(__xludf.DUMMYFUNCTION("""COMPUTED_VALUE"""),"familia")</f>
        <v>familia</v>
      </c>
      <c r="AV115" t="str">
        <f ca="1">IFERROR(__xludf.DUMMYFUNCTION("""COMPUTED_VALUE"""),"G0020")</f>
        <v>G0020</v>
      </c>
      <c r="AW115" t="str">
        <f ca="1">IFERROR(__xludf.DUMMYFUNCTION("""COMPUTED_VALUE"""),"familia Iohannis de Castaygno")</f>
        <v>familia Iohannis de Castaygno</v>
      </c>
      <c r="AX115" t="str">
        <f ca="1">IFERROR(__xludf.DUMMYFUNCTION("""COMPUTED_VALUE"""),"C3041")</f>
        <v>C3041</v>
      </c>
      <c r="AY115" t="str">
        <f ca="1">IFERROR(__xludf.DUMMYFUNCTION("""COMPUTED_VALUE"""),"household")</f>
        <v>household</v>
      </c>
      <c r="AZ115" t="str">
        <f ca="1">IFERROR(__xludf.DUMMYFUNCTION("""COMPUTED_VALUE"""),"G0032")</f>
        <v>G0032</v>
      </c>
      <c r="BA115" t="str">
        <f ca="1">IFERROR(__xludf.DUMMYFUNCTION("""COMPUTED_VALUE"""),"hospitium Iohannis de Castaygno")</f>
        <v>hospitium Iohannis de Castaygno</v>
      </c>
      <c r="BB115" t="str">
        <f ca="1">IFERROR(__xludf.DUMMYFUNCTION("""COMPUTED_VALUE"""),"C3041")</f>
        <v>C3041</v>
      </c>
      <c r="BC115" t="str">
        <f ca="1">IFERROR(__xludf.DUMMYFUNCTION("""COMPUTED_VALUE"""),"household")</f>
        <v>household</v>
      </c>
      <c r="BD115" t="str">
        <f ca="1">IFERROR(__xludf.DUMMYFUNCTION("""COMPUTED_VALUE"""),"G0037")</f>
        <v>G0037</v>
      </c>
      <c r="BE115" t="str">
        <f ca="1">IFERROR(__xludf.DUMMYFUNCTION("""COMPUTED_VALUE"""),"illi de domo Iohannis de Castaygno")</f>
        <v>illi de domo Iohannis de Castaygno</v>
      </c>
      <c r="BF115" t="str">
        <f ca="1">IFERROR(__xludf.DUMMYFUNCTION("""COMPUTED_VALUE"""),"C0147")</f>
        <v>C0147</v>
      </c>
      <c r="BG115" t="str">
        <f ca="1">IFERROR(__xludf.DUMMYFUNCTION("""COMPUTED_VALUE"""),"warrantor")</f>
        <v>warrantor</v>
      </c>
      <c r="BH115" t="str">
        <f ca="1">IFERROR(__xludf.DUMMYFUNCTION("""COMPUTED_VALUE"""),"P0177")</f>
        <v>P0177</v>
      </c>
      <c r="BI115" t="str">
        <f ca="1">IFERROR(__xludf.DUMMYFUNCTION("""COMPUTED_VALUE"""),"Aymonetus de Valle Iudea")</f>
        <v>Aymonetus de Valle Iudea</v>
      </c>
      <c r="BK115" t="str">
        <f ca="1">IFERROR(__xludf.DUMMYFUNCTION("""COMPUTED_VALUE"""),"#VALUE!")</f>
        <v>#VALUE!</v>
      </c>
      <c r="BM115" t="str">
        <f ca="1">IFERROR(__xludf.DUMMYFUNCTION("""COMPUTED_VALUE"""),"#VALUE!")</f>
        <v>#VALUE!</v>
      </c>
      <c r="BO115" t="str">
        <f ca="1">IFERROR(__xludf.DUMMYFUNCTION("""COMPUTED_VALUE"""),"#VALUE!")</f>
        <v>#VALUE!</v>
      </c>
      <c r="BQ115" t="str">
        <f ca="1">IFERROR(__xludf.DUMMYFUNCTION("""COMPUTED_VALUE"""),"#VALUE!")</f>
        <v>#VALUE!</v>
      </c>
      <c r="BS115" t="str">
        <f ca="1">IFERROR(__xludf.DUMMYFUNCTION("""COMPUTED_VALUE"""),"#VALUE!")</f>
        <v>#VALUE!</v>
      </c>
      <c r="BU115" t="str">
        <f ca="1">IFERROR(__xludf.DUMMYFUNCTION("""COMPUTED_VALUE"""),"#VALUE!")</f>
        <v>#VALUE!</v>
      </c>
      <c r="BW115" t="str">
        <f ca="1">IFERROR(__xludf.DUMMYFUNCTION("""COMPUTED_VALUE"""),"#VALUE!")</f>
        <v>#VALUE!</v>
      </c>
      <c r="BY115" t="str">
        <f ca="1">IFERROR(__xludf.DUMMYFUNCTION("""COMPUTED_VALUE"""),"#VALUE!")</f>
        <v>#VALUE!</v>
      </c>
      <c r="CA115" t="str">
        <f ca="1">IFERROR(__xludf.DUMMYFUNCTION("""COMPUTED_VALUE"""),"#VALUE!")</f>
        <v>#VALUE!</v>
      </c>
      <c r="CC115" t="str">
        <f ca="1">IFERROR(__xludf.DUMMYFUNCTION("""COMPUTED_VALUE"""),"#VALUE!")</f>
        <v>#VALUE!</v>
      </c>
      <c r="CD115" t="str">
        <f ca="1">IFERROR(__xludf.DUMMYFUNCTION("""COMPUTED_VALUE"""),"C3598")</f>
        <v>C3598</v>
      </c>
      <c r="CE115" t="str">
        <f ca="1">IFERROR(__xludf.DUMMYFUNCTION("""COMPUTED_VALUE"""),"location of congregation")</f>
        <v>location of congregation</v>
      </c>
      <c r="CF115" t="str">
        <f ca="1">IFERROR(__xludf.DUMMYFUNCTION("""COMPUTED_VALUE"""),"L0065#L0069#L0066#L0136")</f>
        <v>L0065#L0069#L0066#L0136</v>
      </c>
      <c r="CG115" t="str">
        <f ca="1">IFERROR(__xludf.DUMMYFUNCTION("""COMPUTED_VALUE"""),"domus Iohannis de Castagno de Giaveno #domus Iohannis Martini #domus Bernardi de Rosseto #domus Petri David")</f>
        <v>domus Iohannis de Castagno de Giaveno #domus Iohannis Martini #domus Bernardi de Rosseto #domus Petri David</v>
      </c>
      <c r="CH115" t="str">
        <f ca="1">IFERROR(__xludf.DUMMYFUNCTION("""COMPUTED_VALUE"""),"P0177")</f>
        <v>P0177</v>
      </c>
      <c r="CI115" t="str">
        <f ca="1">IFERROR(__xludf.DUMMYFUNCTION("""COMPUTED_VALUE"""),"Aymonetus de Valle Iudea")</f>
        <v>Aymonetus de Valle Iudea</v>
      </c>
      <c r="CJ115" t="str">
        <f ca="1">IFERROR(__xludf.DUMMYFUNCTION("""COMPUTED_VALUE"""),"P0229")</f>
        <v>P0229</v>
      </c>
      <c r="CK115" t="str">
        <f ca="1">IFERROR(__xludf.DUMMYFUNCTION("""COMPUTED_VALUE"""),"Marguerita Borsseta")</f>
        <v>Marguerita Borsseta</v>
      </c>
      <c r="CS115" t="str">
        <f ca="1">IFERROR(__xludf.DUMMYFUNCTION("""COMPUTED_VALUE"""),"#VALUE!")</f>
        <v>#VALUE!</v>
      </c>
      <c r="CU115" t="str">
        <f ca="1">IFERROR(__xludf.DUMMYFUNCTION("""COMPUTED_VALUE"""),"#VALUE!")</f>
        <v>#VALUE!</v>
      </c>
      <c r="CV115" t="str">
        <f ca="1">IFERROR(__xludf.DUMMYFUNCTION("""COMPUTED_VALUE"""),"L0001")</f>
        <v>L0001</v>
      </c>
      <c r="CW115" t="str">
        <f ca="1">IFERROR(__xludf.DUMMYFUNCTION("""COMPUTED_VALUE"""),"Giaveno")</f>
        <v>Giaveno</v>
      </c>
      <c r="CY115" t="str">
        <f ca="1">IFERROR(__xludf.DUMMYFUNCTION("""COMPUTED_VALUE"""),"#VALUE!")</f>
        <v>#VALUE!</v>
      </c>
      <c r="DC115" t="str">
        <f ca="1">IFERROR(__xludf.DUMMYFUNCTION("""COMPUTED_VALUE"""),"#VALUE!")</f>
        <v>#VALUE!</v>
      </c>
      <c r="DE115" t="str">
        <f ca="1">IFERROR(__xludf.DUMMYFUNCTION("""COMPUTED_VALUE"""),"#VALUE!")</f>
        <v>#VALUE!</v>
      </c>
      <c r="DF115" t="str">
        <f ca="1">IFERROR(__xludf.DUMMYFUNCTION("""COMPUTED_VALUE"""),"y")</f>
        <v>y</v>
      </c>
      <c r="DG115" t="str">
        <f ca="1">IFERROR(__xludf.DUMMYFUNCTION("""COMPUTED_VALUE"""),"174, 234")</f>
        <v>174, 234</v>
      </c>
      <c r="DH115" t="str">
        <f ca="1">IFERROR(__xludf.DUMMYFUNCTION("""COMPUTED_VALUE"""),"L0065#L0069#L0066#L0136")</f>
        <v>L0065#L0069#L0066#L0136</v>
      </c>
      <c r="DI115" t="str">
        <f ca="1">IFERROR(__xludf.DUMMYFUNCTION("""COMPUTED_VALUE"""),"domus Iohannis de Castagno de Giaveno #domus Iohannis Martini #domus Bernardi de Rosseto #domus Petri David")</f>
        <v>domus Iohannis de Castagno de Giaveno #domus Iohannis Martini #domus Bernardi de Rosseto #domus Petri David</v>
      </c>
      <c r="DJ115" t="str">
        <f ca="1">IFERROR(__xludf.DUMMYFUNCTION("""COMPUTED_VALUE"""),"domus #domus #domus #domus")</f>
        <v>domus #domus #domus #domus</v>
      </c>
      <c r="DL115" t="str">
        <f ca="1">IFERROR(__xludf.DUMMYFUNCTION("""COMPUTED_VALUE"""),"Davor Salihović")</f>
        <v>Davor Salihović</v>
      </c>
    </row>
    <row r="116" spans="1:116" ht="13.2" x14ac:dyDescent="0.25">
      <c r="A116" t="str">
        <f ca="1">IFERROR(__xludf.DUMMYFUNCTION("""COMPUTED_VALUE"""),"P0117")</f>
        <v>P0117</v>
      </c>
      <c r="B116" t="str">
        <f ca="1">IFERROR(__xludf.DUMMYFUNCTION("""COMPUTED_VALUE"""),"Iohannes Scapiner")</f>
        <v>Iohannes Scapiner</v>
      </c>
      <c r="D116" t="str">
        <f ca="1">IFERROR(__xludf.DUMMYFUNCTION("""COMPUTED_VALUE"""),"#VALUE!")</f>
        <v>#VALUE!</v>
      </c>
      <c r="E116" t="str">
        <f ca="1">IFERROR(__xludf.DUMMYFUNCTION("""COMPUTED_VALUE"""),"Iohannes")</f>
        <v>Iohannes</v>
      </c>
      <c r="K116" t="str">
        <f ca="1">IFERROR(__xludf.DUMMYFUNCTION("""COMPUTED_VALUE"""),"Scapiner")</f>
        <v>Scapiner</v>
      </c>
      <c r="L116" t="str">
        <f ca="1">IFERROR(__xludf.DUMMYFUNCTION("""COMPUTED_VALUE"""),"Scapiner")</f>
        <v>Scapiner</v>
      </c>
      <c r="S116" t="str">
        <f ca="1">IFERROR(__xludf.DUMMYFUNCTION("""COMPUTED_VALUE"""),"Latin")</f>
        <v>Latin</v>
      </c>
      <c r="T116" t="str">
        <f ca="1">IFERROR(__xludf.DUMMYFUNCTION("""COMPUTED_VALUE"""),"definite")</f>
        <v>definite</v>
      </c>
      <c r="U116" t="str">
        <f ca="1">IFERROR(__xludf.DUMMYFUNCTION("""COMPUTED_VALUE"""),"C2553")</f>
        <v>C2553</v>
      </c>
      <c r="V116" t="str">
        <f ca="1">IFERROR(__xludf.DUMMYFUNCTION("""COMPUTED_VALUE"""),"male")</f>
        <v>male</v>
      </c>
      <c r="Z116" t="str">
        <f ca="1">IFERROR(__xludf.DUMMYFUNCTION("""COMPUTED_VALUE"""),"168")</f>
        <v>168</v>
      </c>
      <c r="AA116" t="str">
        <f ca="1">IFERROR(__xludf.DUMMYFUNCTION("""COMPUTED_VALUE"""),"o")</f>
        <v>o</v>
      </c>
      <c r="AB116" t="str">
        <f ca="1">IFERROR(__xludf.DUMMYFUNCTION("""COMPUTED_VALUE"""),"informer")</f>
        <v>informer</v>
      </c>
      <c r="AD116" t="str">
        <f ca="1">IFERROR(__xludf.DUMMYFUNCTION("""COMPUTED_VALUE"""),"C3287")</f>
        <v>C3287</v>
      </c>
      <c r="AE116" t="str">
        <f ca="1">IFERROR(__xludf.DUMMYFUNCTION("""COMPUTED_VALUE"""),"alive")</f>
        <v>alive</v>
      </c>
      <c r="AF116" t="str">
        <f ca="1">IFERROR(__xludf.DUMMYFUNCTION("""COMPUTED_VALUE"""),"C1753")</f>
        <v>C1753</v>
      </c>
      <c r="AG116" t="str">
        <f ca="1">IFERROR(__xludf.DUMMYFUNCTION("""COMPUTED_VALUE"""),"1335-01-20")</f>
        <v>1335-01-20</v>
      </c>
      <c r="AI116" t="str">
        <f ca="1">IFERROR(__xludf.DUMMYFUNCTION("""COMPUTED_VALUE"""),"#VALUE!")</f>
        <v>#VALUE!</v>
      </c>
      <c r="AK116" t="str">
        <f ca="1">IFERROR(__xludf.DUMMYFUNCTION("""COMPUTED_VALUE"""),"#VALUE!")</f>
        <v>#VALUE!</v>
      </c>
      <c r="AM116" t="str">
        <f ca="1">IFERROR(__xludf.DUMMYFUNCTION("""COMPUTED_VALUE"""),"#VALUE!")</f>
        <v>#VALUE!</v>
      </c>
      <c r="AO116" t="str">
        <f ca="1">IFERROR(__xludf.DUMMYFUNCTION("""COMPUTED_VALUE"""),"#VALUE!")</f>
        <v>#VALUE!</v>
      </c>
      <c r="AQ116" t="str">
        <f ca="1">IFERROR(__xludf.DUMMYFUNCTION("""COMPUTED_VALUE"""),"#VALUE!")</f>
        <v>#VALUE!</v>
      </c>
      <c r="AS116" t="str">
        <f ca="1">IFERROR(__xludf.DUMMYFUNCTION("""COMPUTED_VALUE"""),"#VALUE!")</f>
        <v>#VALUE!</v>
      </c>
      <c r="AU116" t="str">
        <f ca="1">IFERROR(__xludf.DUMMYFUNCTION("""COMPUTED_VALUE"""),"#VALUE!")</f>
        <v>#VALUE!</v>
      </c>
      <c r="AW116" t="str">
        <f ca="1">IFERROR(__xludf.DUMMYFUNCTION("""COMPUTED_VALUE"""),"#VALUE!")</f>
        <v>#VALUE!</v>
      </c>
      <c r="AY116" t="str">
        <f ca="1">IFERROR(__xludf.DUMMYFUNCTION("""COMPUTED_VALUE"""),"#VALUE!")</f>
        <v>#VALUE!</v>
      </c>
      <c r="BA116" t="str">
        <f ca="1">IFERROR(__xludf.DUMMYFUNCTION("""COMPUTED_VALUE"""),"#VALUE!")</f>
        <v>#VALUE!</v>
      </c>
      <c r="BC116" t="str">
        <f ca="1">IFERROR(__xludf.DUMMYFUNCTION("""COMPUTED_VALUE"""),"#VALUE!")</f>
        <v>#VALUE!</v>
      </c>
      <c r="BE116" t="str">
        <f ca="1">IFERROR(__xludf.DUMMYFUNCTION("""COMPUTED_VALUE"""),"#VALUE!")</f>
        <v>#VALUE!</v>
      </c>
      <c r="BG116" t="str">
        <f ca="1">IFERROR(__xludf.DUMMYFUNCTION("""COMPUTED_VALUE"""),"#VALUE!")</f>
        <v>#VALUE!</v>
      </c>
      <c r="BI116" t="str">
        <f ca="1">IFERROR(__xludf.DUMMYFUNCTION("""COMPUTED_VALUE"""),"#VALUE!")</f>
        <v>#VALUE!</v>
      </c>
      <c r="BK116" t="str">
        <f ca="1">IFERROR(__xludf.DUMMYFUNCTION("""COMPUTED_VALUE"""),"#VALUE!")</f>
        <v>#VALUE!</v>
      </c>
      <c r="BM116" t="str">
        <f ca="1">IFERROR(__xludf.DUMMYFUNCTION("""COMPUTED_VALUE"""),"#VALUE!")</f>
        <v>#VALUE!</v>
      </c>
      <c r="BO116" t="str">
        <f ca="1">IFERROR(__xludf.DUMMYFUNCTION("""COMPUTED_VALUE"""),"#VALUE!")</f>
        <v>#VALUE!</v>
      </c>
      <c r="BQ116" t="str">
        <f ca="1">IFERROR(__xludf.DUMMYFUNCTION("""COMPUTED_VALUE"""),"#VALUE!")</f>
        <v>#VALUE!</v>
      </c>
      <c r="BS116" t="str">
        <f ca="1">IFERROR(__xludf.DUMMYFUNCTION("""COMPUTED_VALUE"""),"#VALUE!")</f>
        <v>#VALUE!</v>
      </c>
      <c r="BU116" t="str">
        <f ca="1">IFERROR(__xludf.DUMMYFUNCTION("""COMPUTED_VALUE"""),"#VALUE!")</f>
        <v>#VALUE!</v>
      </c>
      <c r="BW116" t="str">
        <f ca="1">IFERROR(__xludf.DUMMYFUNCTION("""COMPUTED_VALUE"""),"#VALUE!")</f>
        <v>#VALUE!</v>
      </c>
      <c r="BY116" t="str">
        <f ca="1">IFERROR(__xludf.DUMMYFUNCTION("""COMPUTED_VALUE"""),"#VALUE!")</f>
        <v>#VALUE!</v>
      </c>
      <c r="CA116" t="str">
        <f ca="1">IFERROR(__xludf.DUMMYFUNCTION("""COMPUTED_VALUE"""),"#VALUE!")</f>
        <v>#VALUE!</v>
      </c>
      <c r="CC116" t="str">
        <f ca="1">IFERROR(__xludf.DUMMYFUNCTION("""COMPUTED_VALUE"""),"#VALUE!")</f>
        <v>#VALUE!</v>
      </c>
      <c r="CE116" t="str">
        <f ca="1">IFERROR(__xludf.DUMMYFUNCTION("""COMPUTED_VALUE"""),"#VALUE!")</f>
        <v>#VALUE!</v>
      </c>
      <c r="CG116" t="str">
        <f ca="1">IFERROR(__xludf.DUMMYFUNCTION("""COMPUTED_VALUE"""),"#VALUE!")</f>
        <v>#VALUE!</v>
      </c>
      <c r="CI116" t="str">
        <f ca="1">IFERROR(__xludf.DUMMYFUNCTION("""COMPUTED_VALUE"""),"#VALUE!")</f>
        <v>#VALUE!</v>
      </c>
      <c r="CK116" t="str">
        <f ca="1">IFERROR(__xludf.DUMMYFUNCTION("""COMPUTED_VALUE"""),"#VALUE!")</f>
        <v>#VALUE!</v>
      </c>
      <c r="CS116" t="str">
        <f ca="1">IFERROR(__xludf.DUMMYFUNCTION("""COMPUTED_VALUE"""),"#VALUE!")</f>
        <v>#VALUE!</v>
      </c>
      <c r="CU116" t="str">
        <f ca="1">IFERROR(__xludf.DUMMYFUNCTION("""COMPUTED_VALUE"""),"#VALUE!")</f>
        <v>#VALUE!</v>
      </c>
      <c r="CW116" t="str">
        <f ca="1">IFERROR(__xludf.DUMMYFUNCTION("""COMPUTED_VALUE"""),"#VALUE!")</f>
        <v>#VALUE!</v>
      </c>
      <c r="CY116" t="str">
        <f ca="1">IFERROR(__xludf.DUMMYFUNCTION("""COMPUTED_VALUE"""),"#VALUE!")</f>
        <v>#VALUE!</v>
      </c>
      <c r="DC116" t="str">
        <f ca="1">IFERROR(__xludf.DUMMYFUNCTION("""COMPUTED_VALUE"""),"#VALUE!")</f>
        <v>#VALUE!</v>
      </c>
      <c r="DE116" t="str">
        <f ca="1">IFERROR(__xludf.DUMMYFUNCTION("""COMPUTED_VALUE"""),"#VALUE!")</f>
        <v>#VALUE!</v>
      </c>
      <c r="DI116" t="str">
        <f ca="1">IFERROR(__xludf.DUMMYFUNCTION("""COMPUTED_VALUE"""),"#VALUE!")</f>
        <v>#VALUE!</v>
      </c>
      <c r="DJ116" t="str">
        <f ca="1">IFERROR(__xludf.DUMMYFUNCTION("""COMPUTED_VALUE"""),"#VALUE!")</f>
        <v>#VALUE!</v>
      </c>
      <c r="DL116" t="str">
        <f ca="1">IFERROR(__xludf.DUMMYFUNCTION("""COMPUTED_VALUE"""),"Davor Salihović")</f>
        <v>Davor Salihović</v>
      </c>
    </row>
    <row r="117" spans="1:116" ht="13.2" x14ac:dyDescent="0.25">
      <c r="A117" t="str">
        <f ca="1">IFERROR(__xludf.DUMMYFUNCTION("""COMPUTED_VALUE"""),"P0118")</f>
        <v>P0118</v>
      </c>
      <c r="B117" t="str">
        <f ca="1">IFERROR(__xludf.DUMMYFUNCTION("""COMPUTED_VALUE"""),"claudus")</f>
        <v>claudus</v>
      </c>
      <c r="D117" t="str">
        <f ca="1">IFERROR(__xludf.DUMMYFUNCTION("""COMPUTED_VALUE"""),"#VALUE!")</f>
        <v>#VALUE!</v>
      </c>
      <c r="E117" t="str">
        <f ca="1">IFERROR(__xludf.DUMMYFUNCTION("""COMPUTED_VALUE"""),"claudus")</f>
        <v>claudus</v>
      </c>
      <c r="S117" t="str">
        <f ca="1">IFERROR(__xludf.DUMMYFUNCTION("""COMPUTED_VALUE"""),"Latin")</f>
        <v>Latin</v>
      </c>
      <c r="T117" t="str">
        <f ca="1">IFERROR(__xludf.DUMMYFUNCTION("""COMPUTED_VALUE"""),"indefinite")</f>
        <v>indefinite</v>
      </c>
      <c r="U117" t="str">
        <f ca="1">IFERROR(__xludf.DUMMYFUNCTION("""COMPUTED_VALUE"""),"C2553")</f>
        <v>C2553</v>
      </c>
      <c r="V117" t="str">
        <f ca="1">IFERROR(__xludf.DUMMYFUNCTION("""COMPUTED_VALUE"""),"male")</f>
        <v>male</v>
      </c>
      <c r="Z117" t="str">
        <f ca="1">IFERROR(__xludf.DUMMYFUNCTION("""COMPUTED_VALUE"""),"168")</f>
        <v>168</v>
      </c>
      <c r="AA117" t="str">
        <f ca="1">IFERROR(__xludf.DUMMYFUNCTION("""COMPUTED_VALUE"""),"d")</f>
        <v>d</v>
      </c>
      <c r="AB117" t="str">
        <f ca="1">IFERROR(__xludf.DUMMYFUNCTION("""COMPUTED_VALUE"""),"NA")</f>
        <v>NA</v>
      </c>
      <c r="AF117" t="str">
        <f ca="1">IFERROR(__xludf.DUMMYFUNCTION("""COMPUTED_VALUE"""),"#N/A")</f>
        <v>#N/A</v>
      </c>
      <c r="AG117" t="str">
        <f ca="1">IFERROR(__xludf.DUMMYFUNCTION("""COMPUTED_VALUE"""),"#N/A")</f>
        <v>#N/A</v>
      </c>
      <c r="AI117" t="str">
        <f ca="1">IFERROR(__xludf.DUMMYFUNCTION("""COMPUTED_VALUE"""),"#VALUE!")</f>
        <v>#VALUE!</v>
      </c>
      <c r="AK117" t="str">
        <f ca="1">IFERROR(__xludf.DUMMYFUNCTION("""COMPUTED_VALUE"""),"#VALUE!")</f>
        <v>#VALUE!</v>
      </c>
      <c r="AM117" t="str">
        <f ca="1">IFERROR(__xludf.DUMMYFUNCTION("""COMPUTED_VALUE"""),"#VALUE!")</f>
        <v>#VALUE!</v>
      </c>
      <c r="AO117" t="str">
        <f ca="1">IFERROR(__xludf.DUMMYFUNCTION("""COMPUTED_VALUE"""),"#VALUE!")</f>
        <v>#VALUE!</v>
      </c>
      <c r="AQ117" t="str">
        <f ca="1">IFERROR(__xludf.DUMMYFUNCTION("""COMPUTED_VALUE"""),"#VALUE!")</f>
        <v>#VALUE!</v>
      </c>
      <c r="AS117" t="str">
        <f ca="1">IFERROR(__xludf.DUMMYFUNCTION("""COMPUTED_VALUE"""),"#VALUE!")</f>
        <v>#VALUE!</v>
      </c>
      <c r="AU117" t="str">
        <f ca="1">IFERROR(__xludf.DUMMYFUNCTION("""COMPUTED_VALUE"""),"#VALUE!")</f>
        <v>#VALUE!</v>
      </c>
      <c r="AW117" t="str">
        <f ca="1">IFERROR(__xludf.DUMMYFUNCTION("""COMPUTED_VALUE"""),"#VALUE!")</f>
        <v>#VALUE!</v>
      </c>
      <c r="AY117" t="str">
        <f ca="1">IFERROR(__xludf.DUMMYFUNCTION("""COMPUTED_VALUE"""),"#VALUE!")</f>
        <v>#VALUE!</v>
      </c>
      <c r="BA117" t="str">
        <f ca="1">IFERROR(__xludf.DUMMYFUNCTION("""COMPUTED_VALUE"""),"#VALUE!")</f>
        <v>#VALUE!</v>
      </c>
      <c r="BC117" t="str">
        <f ca="1">IFERROR(__xludf.DUMMYFUNCTION("""COMPUTED_VALUE"""),"#VALUE!")</f>
        <v>#VALUE!</v>
      </c>
      <c r="BE117" t="str">
        <f ca="1">IFERROR(__xludf.DUMMYFUNCTION("""COMPUTED_VALUE"""),"#VALUE!")</f>
        <v>#VALUE!</v>
      </c>
      <c r="BG117" t="str">
        <f ca="1">IFERROR(__xludf.DUMMYFUNCTION("""COMPUTED_VALUE"""),"#VALUE!")</f>
        <v>#VALUE!</v>
      </c>
      <c r="BI117" t="str">
        <f ca="1">IFERROR(__xludf.DUMMYFUNCTION("""COMPUTED_VALUE"""),"#VALUE!")</f>
        <v>#VALUE!</v>
      </c>
      <c r="BK117" t="str">
        <f ca="1">IFERROR(__xludf.DUMMYFUNCTION("""COMPUTED_VALUE"""),"#VALUE!")</f>
        <v>#VALUE!</v>
      </c>
      <c r="BM117" t="str">
        <f ca="1">IFERROR(__xludf.DUMMYFUNCTION("""COMPUTED_VALUE"""),"#VALUE!")</f>
        <v>#VALUE!</v>
      </c>
      <c r="BO117" t="str">
        <f ca="1">IFERROR(__xludf.DUMMYFUNCTION("""COMPUTED_VALUE"""),"#VALUE!")</f>
        <v>#VALUE!</v>
      </c>
      <c r="BQ117" t="str">
        <f ca="1">IFERROR(__xludf.DUMMYFUNCTION("""COMPUTED_VALUE"""),"#VALUE!")</f>
        <v>#VALUE!</v>
      </c>
      <c r="BS117" t="str">
        <f ca="1">IFERROR(__xludf.DUMMYFUNCTION("""COMPUTED_VALUE"""),"#VALUE!")</f>
        <v>#VALUE!</v>
      </c>
      <c r="BU117" t="str">
        <f ca="1">IFERROR(__xludf.DUMMYFUNCTION("""COMPUTED_VALUE"""),"#VALUE!")</f>
        <v>#VALUE!</v>
      </c>
      <c r="BW117" t="str">
        <f ca="1">IFERROR(__xludf.DUMMYFUNCTION("""COMPUTED_VALUE"""),"#VALUE!")</f>
        <v>#VALUE!</v>
      </c>
      <c r="BY117" t="str">
        <f ca="1">IFERROR(__xludf.DUMMYFUNCTION("""COMPUTED_VALUE"""),"#VALUE!")</f>
        <v>#VALUE!</v>
      </c>
      <c r="CA117" t="str">
        <f ca="1">IFERROR(__xludf.DUMMYFUNCTION("""COMPUTED_VALUE"""),"#VALUE!")</f>
        <v>#VALUE!</v>
      </c>
      <c r="CC117" t="str">
        <f ca="1">IFERROR(__xludf.DUMMYFUNCTION("""COMPUTED_VALUE"""),"#VALUE!")</f>
        <v>#VALUE!</v>
      </c>
      <c r="CE117" t="str">
        <f ca="1">IFERROR(__xludf.DUMMYFUNCTION("""COMPUTED_VALUE"""),"#VALUE!")</f>
        <v>#VALUE!</v>
      </c>
      <c r="CG117" t="str">
        <f ca="1">IFERROR(__xludf.DUMMYFUNCTION("""COMPUTED_VALUE"""),"#VALUE!")</f>
        <v>#VALUE!</v>
      </c>
      <c r="CI117" t="str">
        <f ca="1">IFERROR(__xludf.DUMMYFUNCTION("""COMPUTED_VALUE"""),"#VALUE!")</f>
        <v>#VALUE!</v>
      </c>
      <c r="CK117" t="str">
        <f ca="1">IFERROR(__xludf.DUMMYFUNCTION("""COMPUTED_VALUE"""),"#VALUE!")</f>
        <v>#VALUE!</v>
      </c>
      <c r="CS117" t="str">
        <f ca="1">IFERROR(__xludf.DUMMYFUNCTION("""COMPUTED_VALUE"""),"#VALUE!")</f>
        <v>#VALUE!</v>
      </c>
      <c r="CU117" t="str">
        <f ca="1">IFERROR(__xludf.DUMMYFUNCTION("""COMPUTED_VALUE"""),"#VALUE!")</f>
        <v>#VALUE!</v>
      </c>
      <c r="CV117" t="str">
        <f ca="1">IFERROR(__xludf.DUMMYFUNCTION("""COMPUTED_VALUE"""),"L0010")</f>
        <v>L0010</v>
      </c>
      <c r="CW117" t="str">
        <f ca="1">IFERROR(__xludf.DUMMYFUNCTION("""COMPUTED_VALUE"""),"Buffa")</f>
        <v>Buffa</v>
      </c>
      <c r="CY117" t="str">
        <f ca="1">IFERROR(__xludf.DUMMYFUNCTION("""COMPUTED_VALUE"""),"#VALUE!")</f>
        <v>#VALUE!</v>
      </c>
      <c r="DC117" t="str">
        <f ca="1">IFERROR(__xludf.DUMMYFUNCTION("""COMPUTED_VALUE"""),"#VALUE!")</f>
        <v>#VALUE!</v>
      </c>
      <c r="DE117" t="str">
        <f ca="1">IFERROR(__xludf.DUMMYFUNCTION("""COMPUTED_VALUE"""),"#VALUE!")</f>
        <v>#VALUE!</v>
      </c>
      <c r="DI117" t="str">
        <f ca="1">IFERROR(__xludf.DUMMYFUNCTION("""COMPUTED_VALUE"""),"#VALUE!")</f>
        <v>#VALUE!</v>
      </c>
      <c r="DJ117" t="str">
        <f ca="1">IFERROR(__xludf.DUMMYFUNCTION("""COMPUTED_VALUE"""),"#VALUE!")</f>
        <v>#VALUE!</v>
      </c>
      <c r="DK117" t="str">
        <f ca="1">IFERROR(__xludf.DUMMYFUNCTION("""COMPUTED_VALUE"""),"Possibly referring to Guillelmus Goytro")</f>
        <v>Possibly referring to Guillelmus Goytro</v>
      </c>
      <c r="DL117" t="str">
        <f ca="1">IFERROR(__xludf.DUMMYFUNCTION("""COMPUTED_VALUE"""),"Davor Salihović")</f>
        <v>Davor Salihović</v>
      </c>
    </row>
    <row r="118" spans="1:116" ht="13.2" x14ac:dyDescent="0.25">
      <c r="A118" t="str">
        <f ca="1">IFERROR(__xludf.DUMMYFUNCTION("""COMPUTED_VALUE"""),"P0119")</f>
        <v>P0119</v>
      </c>
      <c r="B118" t="str">
        <f ca="1">IFERROR(__xludf.DUMMYFUNCTION("""COMPUTED_VALUE"""),"Iohannes de Hugonino de Giaveno")</f>
        <v>Iohannes de Hugonino de Giaveno</v>
      </c>
      <c r="D118" t="str">
        <f ca="1">IFERROR(__xludf.DUMMYFUNCTION("""COMPUTED_VALUE"""),"#VALUE!")</f>
        <v>#VALUE!</v>
      </c>
      <c r="E118" t="str">
        <f ca="1">IFERROR(__xludf.DUMMYFUNCTION("""COMPUTED_VALUE"""),"Iohannes")</f>
        <v>Iohannes</v>
      </c>
      <c r="G118" t="str">
        <f ca="1">IFERROR(__xludf.DUMMYFUNCTION("""COMPUTED_VALUE"""),"de")</f>
        <v>de</v>
      </c>
      <c r="H118" t="str">
        <f ca="1">IFERROR(__xludf.DUMMYFUNCTION("""COMPUTED_VALUE"""),"Hugonino")</f>
        <v>Hugonino</v>
      </c>
      <c r="I118" t="str">
        <f ca="1">IFERROR(__xludf.DUMMYFUNCTION("""COMPUTED_VALUE"""),"de Hugonino")</f>
        <v>de Hugonino</v>
      </c>
      <c r="J118" t="str">
        <f ca="1">IFERROR(__xludf.DUMMYFUNCTION("""COMPUTED_VALUE"""),"de")</f>
        <v>de</v>
      </c>
      <c r="K118" t="str">
        <f ca="1">IFERROR(__xludf.DUMMYFUNCTION("""COMPUTED_VALUE"""),"Giaveno")</f>
        <v>Giaveno</v>
      </c>
      <c r="L118" t="str">
        <f ca="1">IFERROR(__xludf.DUMMYFUNCTION("""COMPUTED_VALUE"""),"de Giaveno")</f>
        <v>de Giaveno</v>
      </c>
      <c r="S118" t="str">
        <f ca="1">IFERROR(__xludf.DUMMYFUNCTION("""COMPUTED_VALUE"""),"Latin")</f>
        <v>Latin</v>
      </c>
      <c r="T118" t="str">
        <f ca="1">IFERROR(__xludf.DUMMYFUNCTION("""COMPUTED_VALUE"""),"definite")</f>
        <v>definite</v>
      </c>
      <c r="U118" t="str">
        <f ca="1">IFERROR(__xludf.DUMMYFUNCTION("""COMPUTED_VALUE"""),"C2553")</f>
        <v>C2553</v>
      </c>
      <c r="V118" t="str">
        <f ca="1">IFERROR(__xludf.DUMMYFUNCTION("""COMPUTED_VALUE"""),"male")</f>
        <v>male</v>
      </c>
      <c r="Z118" t="str">
        <f ca="1">IFERROR(__xludf.DUMMYFUNCTION("""COMPUTED_VALUE"""),"168, 171")</f>
        <v>168, 171</v>
      </c>
      <c r="AA118" t="str">
        <f ca="1">IFERROR(__xludf.DUMMYFUNCTION("""COMPUTED_VALUE"""),"d")</f>
        <v>d</v>
      </c>
      <c r="AB118" t="str">
        <f ca="1">IFERROR(__xludf.DUMMYFUNCTION("""COMPUTED_VALUE"""),"suspect")</f>
        <v>suspect</v>
      </c>
      <c r="AF118" t="str">
        <f ca="1">IFERROR(__xludf.DUMMYFUNCTION("""COMPUTED_VALUE"""),"#N/A")</f>
        <v>#N/A</v>
      </c>
      <c r="AG118" t="str">
        <f ca="1">IFERROR(__xludf.DUMMYFUNCTION("""COMPUTED_VALUE"""),"#N/A")</f>
        <v>#N/A</v>
      </c>
      <c r="AH118" t="str">
        <f ca="1">IFERROR(__xludf.DUMMYFUNCTION("""COMPUTED_VALUE"""),"C2335")</f>
        <v>C2335</v>
      </c>
      <c r="AI118" t="str">
        <f ca="1">IFERROR(__xludf.DUMMYFUNCTION("""COMPUTED_VALUE"""),"daughter")</f>
        <v>daughter</v>
      </c>
      <c r="AJ118" t="str">
        <f ca="1">IFERROR(__xludf.DUMMYFUNCTION("""COMPUTED_VALUE"""),"P0159")</f>
        <v>P0159</v>
      </c>
      <c r="AK118" t="str">
        <f ca="1">IFERROR(__xludf.DUMMYFUNCTION("""COMPUTED_VALUE"""),"Aleysina, filia Iohannis de Hugonino")</f>
        <v>Aleysina, filia Iohannis de Hugonino</v>
      </c>
      <c r="AM118" t="str">
        <f ca="1">IFERROR(__xludf.DUMMYFUNCTION("""COMPUTED_VALUE"""),"#VALUE!")</f>
        <v>#VALUE!</v>
      </c>
      <c r="AO118" t="str">
        <f ca="1">IFERROR(__xludf.DUMMYFUNCTION("""COMPUTED_VALUE"""),"#VALUE!")</f>
        <v>#VALUE!</v>
      </c>
      <c r="AQ118" t="str">
        <f ca="1">IFERROR(__xludf.DUMMYFUNCTION("""COMPUTED_VALUE"""),"#VALUE!")</f>
        <v>#VALUE!</v>
      </c>
      <c r="AS118" t="str">
        <f ca="1">IFERROR(__xludf.DUMMYFUNCTION("""COMPUTED_VALUE"""),"#VALUE!")</f>
        <v>#VALUE!</v>
      </c>
      <c r="AU118" t="str">
        <f ca="1">IFERROR(__xludf.DUMMYFUNCTION("""COMPUTED_VALUE"""),"#VALUE!")</f>
        <v>#VALUE!</v>
      </c>
      <c r="AW118" t="str">
        <f ca="1">IFERROR(__xludf.DUMMYFUNCTION("""COMPUTED_VALUE"""),"#VALUE!")</f>
        <v>#VALUE!</v>
      </c>
      <c r="AY118" t="str">
        <f ca="1">IFERROR(__xludf.DUMMYFUNCTION("""COMPUTED_VALUE"""),"#VALUE!")</f>
        <v>#VALUE!</v>
      </c>
      <c r="BA118" t="str">
        <f ca="1">IFERROR(__xludf.DUMMYFUNCTION("""COMPUTED_VALUE"""),"#VALUE!")</f>
        <v>#VALUE!</v>
      </c>
      <c r="BC118" t="str">
        <f ca="1">IFERROR(__xludf.DUMMYFUNCTION("""COMPUTED_VALUE"""),"#VALUE!")</f>
        <v>#VALUE!</v>
      </c>
      <c r="BE118" t="str">
        <f ca="1">IFERROR(__xludf.DUMMYFUNCTION("""COMPUTED_VALUE"""),"#VALUE!")</f>
        <v>#VALUE!</v>
      </c>
      <c r="BG118" t="str">
        <f ca="1">IFERROR(__xludf.DUMMYFUNCTION("""COMPUTED_VALUE"""),"#VALUE!")</f>
        <v>#VALUE!</v>
      </c>
      <c r="BI118" t="str">
        <f ca="1">IFERROR(__xludf.DUMMYFUNCTION("""COMPUTED_VALUE"""),"#VALUE!")</f>
        <v>#VALUE!</v>
      </c>
      <c r="BK118" t="str">
        <f ca="1">IFERROR(__xludf.DUMMYFUNCTION("""COMPUTED_VALUE"""),"#VALUE!")</f>
        <v>#VALUE!</v>
      </c>
      <c r="BM118" t="str">
        <f ca="1">IFERROR(__xludf.DUMMYFUNCTION("""COMPUTED_VALUE"""),"#VALUE!")</f>
        <v>#VALUE!</v>
      </c>
      <c r="BO118" t="str">
        <f ca="1">IFERROR(__xludf.DUMMYFUNCTION("""COMPUTED_VALUE"""),"#VALUE!")</f>
        <v>#VALUE!</v>
      </c>
      <c r="BQ118" t="str">
        <f ca="1">IFERROR(__xludf.DUMMYFUNCTION("""COMPUTED_VALUE"""),"#VALUE!")</f>
        <v>#VALUE!</v>
      </c>
      <c r="BS118" t="str">
        <f ca="1">IFERROR(__xludf.DUMMYFUNCTION("""COMPUTED_VALUE"""),"#VALUE!")</f>
        <v>#VALUE!</v>
      </c>
      <c r="BU118" t="str">
        <f ca="1">IFERROR(__xludf.DUMMYFUNCTION("""COMPUTED_VALUE"""),"#VALUE!")</f>
        <v>#VALUE!</v>
      </c>
      <c r="BW118" t="str">
        <f ca="1">IFERROR(__xludf.DUMMYFUNCTION("""COMPUTED_VALUE"""),"#VALUE!")</f>
        <v>#VALUE!</v>
      </c>
      <c r="BY118" t="str">
        <f ca="1">IFERROR(__xludf.DUMMYFUNCTION("""COMPUTED_VALUE"""),"#VALUE!")</f>
        <v>#VALUE!</v>
      </c>
      <c r="CA118" t="str">
        <f ca="1">IFERROR(__xludf.DUMMYFUNCTION("""COMPUTED_VALUE"""),"#VALUE!")</f>
        <v>#VALUE!</v>
      </c>
      <c r="CC118" t="str">
        <f ca="1">IFERROR(__xludf.DUMMYFUNCTION("""COMPUTED_VALUE"""),"#VALUE!")</f>
        <v>#VALUE!</v>
      </c>
      <c r="CE118" t="str">
        <f ca="1">IFERROR(__xludf.DUMMYFUNCTION("""COMPUTED_VALUE"""),"#VALUE!")</f>
        <v>#VALUE!</v>
      </c>
      <c r="CG118" t="str">
        <f ca="1">IFERROR(__xludf.DUMMYFUNCTION("""COMPUTED_VALUE"""),"#VALUE!")</f>
        <v>#VALUE!</v>
      </c>
      <c r="CI118" t="str">
        <f ca="1">IFERROR(__xludf.DUMMYFUNCTION("""COMPUTED_VALUE"""),"#VALUE!")</f>
        <v>#VALUE!</v>
      </c>
      <c r="CK118" t="str">
        <f ca="1">IFERROR(__xludf.DUMMYFUNCTION("""COMPUTED_VALUE"""),"#VALUE!")</f>
        <v>#VALUE!</v>
      </c>
      <c r="CR118" t="str">
        <f ca="1">IFERROR(__xludf.DUMMYFUNCTION("""COMPUTED_VALUE"""),"L0001")</f>
        <v>L0001</v>
      </c>
      <c r="CS118" t="str">
        <f ca="1">IFERROR(__xludf.DUMMYFUNCTION("""COMPUTED_VALUE"""),"Giaveno")</f>
        <v>Giaveno</v>
      </c>
      <c r="CU118" t="str">
        <f ca="1">IFERROR(__xludf.DUMMYFUNCTION("""COMPUTED_VALUE"""),"#VALUE!")</f>
        <v>#VALUE!</v>
      </c>
      <c r="CW118" t="str">
        <f ca="1">IFERROR(__xludf.DUMMYFUNCTION("""COMPUTED_VALUE"""),"#VALUE!")</f>
        <v>#VALUE!</v>
      </c>
      <c r="CY118" t="str">
        <f ca="1">IFERROR(__xludf.DUMMYFUNCTION("""COMPUTED_VALUE"""),"#VALUE!")</f>
        <v>#VALUE!</v>
      </c>
      <c r="DC118" t="str">
        <f ca="1">IFERROR(__xludf.DUMMYFUNCTION("""COMPUTED_VALUE"""),"#VALUE!")</f>
        <v>#VALUE!</v>
      </c>
      <c r="DE118" t="str">
        <f ca="1">IFERROR(__xludf.DUMMYFUNCTION("""COMPUTED_VALUE"""),"#VALUE!")</f>
        <v>#VALUE!</v>
      </c>
      <c r="DI118" t="str">
        <f ca="1">IFERROR(__xludf.DUMMYFUNCTION("""COMPUTED_VALUE"""),"#VALUE!")</f>
        <v>#VALUE!</v>
      </c>
      <c r="DJ118" t="str">
        <f ca="1">IFERROR(__xludf.DUMMYFUNCTION("""COMPUTED_VALUE"""),"#VALUE!")</f>
        <v>#VALUE!</v>
      </c>
      <c r="DL118" t="str">
        <f ca="1">IFERROR(__xludf.DUMMYFUNCTION("""COMPUTED_VALUE"""),"Davor Salihović")</f>
        <v>Davor Salihović</v>
      </c>
    </row>
    <row r="119" spans="1:116" ht="13.2" x14ac:dyDescent="0.25">
      <c r="A119" t="str">
        <f ca="1">IFERROR(__xludf.DUMMYFUNCTION("""COMPUTED_VALUE"""),"P0121")</f>
        <v>P0121</v>
      </c>
      <c r="B119" t="str">
        <f ca="1">IFERROR(__xludf.DUMMYFUNCTION("""COMPUTED_VALUE"""),"Philiponus, sartor")</f>
        <v>Philiponus, sartor</v>
      </c>
      <c r="D119" t="str">
        <f ca="1">IFERROR(__xludf.DUMMYFUNCTION("""COMPUTED_VALUE"""),"#VALUE!")</f>
        <v>#VALUE!</v>
      </c>
      <c r="E119" t="str">
        <f ca="1">IFERROR(__xludf.DUMMYFUNCTION("""COMPUTED_VALUE"""),"Philiponus")</f>
        <v>Philiponus</v>
      </c>
      <c r="Q119" t="str">
        <f ca="1">IFERROR(__xludf.DUMMYFUNCTION("""COMPUTED_VALUE"""),"sartor")</f>
        <v>sartor</v>
      </c>
      <c r="S119" t="str">
        <f ca="1">IFERROR(__xludf.DUMMYFUNCTION("""COMPUTED_VALUE"""),"Latin")</f>
        <v>Latin</v>
      </c>
      <c r="T119" t="str">
        <f ca="1">IFERROR(__xludf.DUMMYFUNCTION("""COMPUTED_VALUE"""),"definite")</f>
        <v>definite</v>
      </c>
      <c r="U119" t="str">
        <f ca="1">IFERROR(__xludf.DUMMYFUNCTION("""COMPUTED_VALUE"""),"C2553")</f>
        <v>C2553</v>
      </c>
      <c r="V119" t="str">
        <f ca="1">IFERROR(__xludf.DUMMYFUNCTION("""COMPUTED_VALUE"""),"male")</f>
        <v>male</v>
      </c>
      <c r="Z119" t="str">
        <f ca="1">IFERROR(__xludf.DUMMYFUNCTION("""COMPUTED_VALUE"""),"168")</f>
        <v>168</v>
      </c>
      <c r="AA119" t="str">
        <f ca="1">IFERROR(__xludf.DUMMYFUNCTION("""COMPUTED_VALUE"""),"o")</f>
        <v>o</v>
      </c>
      <c r="AB119" t="str">
        <f ca="1">IFERROR(__xludf.DUMMYFUNCTION("""COMPUTED_VALUE"""),"informer")</f>
        <v>informer</v>
      </c>
      <c r="AD119" t="str">
        <f ca="1">IFERROR(__xludf.DUMMYFUNCTION("""COMPUTED_VALUE"""),"C3287")</f>
        <v>C3287</v>
      </c>
      <c r="AE119" t="str">
        <f ca="1">IFERROR(__xludf.DUMMYFUNCTION("""COMPUTED_VALUE"""),"alive")</f>
        <v>alive</v>
      </c>
      <c r="AF119" t="str">
        <f ca="1">IFERROR(__xludf.DUMMYFUNCTION("""COMPUTED_VALUE"""),"C1753")</f>
        <v>C1753</v>
      </c>
      <c r="AG119" t="str">
        <f ca="1">IFERROR(__xludf.DUMMYFUNCTION("""COMPUTED_VALUE"""),"1335-01-20")</f>
        <v>1335-01-20</v>
      </c>
      <c r="AI119" t="str">
        <f ca="1">IFERROR(__xludf.DUMMYFUNCTION("""COMPUTED_VALUE"""),"#VALUE!")</f>
        <v>#VALUE!</v>
      </c>
      <c r="AK119" t="str">
        <f ca="1">IFERROR(__xludf.DUMMYFUNCTION("""COMPUTED_VALUE"""),"#VALUE!")</f>
        <v>#VALUE!</v>
      </c>
      <c r="AM119" t="str">
        <f ca="1">IFERROR(__xludf.DUMMYFUNCTION("""COMPUTED_VALUE"""),"#VALUE!")</f>
        <v>#VALUE!</v>
      </c>
      <c r="AO119" t="str">
        <f ca="1">IFERROR(__xludf.DUMMYFUNCTION("""COMPUTED_VALUE"""),"#VALUE!")</f>
        <v>#VALUE!</v>
      </c>
      <c r="AQ119" t="str">
        <f ca="1">IFERROR(__xludf.DUMMYFUNCTION("""COMPUTED_VALUE"""),"#VALUE!")</f>
        <v>#VALUE!</v>
      </c>
      <c r="AS119" t="str">
        <f ca="1">IFERROR(__xludf.DUMMYFUNCTION("""COMPUTED_VALUE"""),"#VALUE!")</f>
        <v>#VALUE!</v>
      </c>
      <c r="AU119" t="str">
        <f ca="1">IFERROR(__xludf.DUMMYFUNCTION("""COMPUTED_VALUE"""),"#VALUE!")</f>
        <v>#VALUE!</v>
      </c>
      <c r="AW119" t="str">
        <f ca="1">IFERROR(__xludf.DUMMYFUNCTION("""COMPUTED_VALUE"""),"#VALUE!")</f>
        <v>#VALUE!</v>
      </c>
      <c r="AY119" t="str">
        <f ca="1">IFERROR(__xludf.DUMMYFUNCTION("""COMPUTED_VALUE"""),"#VALUE!")</f>
        <v>#VALUE!</v>
      </c>
      <c r="BA119" t="str">
        <f ca="1">IFERROR(__xludf.DUMMYFUNCTION("""COMPUTED_VALUE"""),"#VALUE!")</f>
        <v>#VALUE!</v>
      </c>
      <c r="BC119" t="str">
        <f ca="1">IFERROR(__xludf.DUMMYFUNCTION("""COMPUTED_VALUE"""),"#VALUE!")</f>
        <v>#VALUE!</v>
      </c>
      <c r="BE119" t="str">
        <f ca="1">IFERROR(__xludf.DUMMYFUNCTION("""COMPUTED_VALUE"""),"#VALUE!")</f>
        <v>#VALUE!</v>
      </c>
      <c r="BG119" t="str">
        <f ca="1">IFERROR(__xludf.DUMMYFUNCTION("""COMPUTED_VALUE"""),"#VALUE!")</f>
        <v>#VALUE!</v>
      </c>
      <c r="BI119" t="str">
        <f ca="1">IFERROR(__xludf.DUMMYFUNCTION("""COMPUTED_VALUE"""),"#VALUE!")</f>
        <v>#VALUE!</v>
      </c>
      <c r="BK119" t="str">
        <f ca="1">IFERROR(__xludf.DUMMYFUNCTION("""COMPUTED_VALUE"""),"#VALUE!")</f>
        <v>#VALUE!</v>
      </c>
      <c r="BM119" t="str">
        <f ca="1">IFERROR(__xludf.DUMMYFUNCTION("""COMPUTED_VALUE"""),"#VALUE!")</f>
        <v>#VALUE!</v>
      </c>
      <c r="BO119" t="str">
        <f ca="1">IFERROR(__xludf.DUMMYFUNCTION("""COMPUTED_VALUE"""),"#VALUE!")</f>
        <v>#VALUE!</v>
      </c>
      <c r="BQ119" t="str">
        <f ca="1">IFERROR(__xludf.DUMMYFUNCTION("""COMPUTED_VALUE"""),"#VALUE!")</f>
        <v>#VALUE!</v>
      </c>
      <c r="BS119" t="str">
        <f ca="1">IFERROR(__xludf.DUMMYFUNCTION("""COMPUTED_VALUE"""),"#VALUE!")</f>
        <v>#VALUE!</v>
      </c>
      <c r="BU119" t="str">
        <f ca="1">IFERROR(__xludf.DUMMYFUNCTION("""COMPUTED_VALUE"""),"#VALUE!")</f>
        <v>#VALUE!</v>
      </c>
      <c r="BW119" t="str">
        <f ca="1">IFERROR(__xludf.DUMMYFUNCTION("""COMPUTED_VALUE"""),"#VALUE!")</f>
        <v>#VALUE!</v>
      </c>
      <c r="BY119" t="str">
        <f ca="1">IFERROR(__xludf.DUMMYFUNCTION("""COMPUTED_VALUE"""),"#VALUE!")</f>
        <v>#VALUE!</v>
      </c>
      <c r="CA119" t="str">
        <f ca="1">IFERROR(__xludf.DUMMYFUNCTION("""COMPUTED_VALUE"""),"#VALUE!")</f>
        <v>#VALUE!</v>
      </c>
      <c r="CC119" t="str">
        <f ca="1">IFERROR(__xludf.DUMMYFUNCTION("""COMPUTED_VALUE"""),"#VALUE!")</f>
        <v>#VALUE!</v>
      </c>
      <c r="CE119" t="str">
        <f ca="1">IFERROR(__xludf.DUMMYFUNCTION("""COMPUTED_VALUE"""),"#VALUE!")</f>
        <v>#VALUE!</v>
      </c>
      <c r="CG119" t="str">
        <f ca="1">IFERROR(__xludf.DUMMYFUNCTION("""COMPUTED_VALUE"""),"#VALUE!")</f>
        <v>#VALUE!</v>
      </c>
      <c r="CI119" t="str">
        <f ca="1">IFERROR(__xludf.DUMMYFUNCTION("""COMPUTED_VALUE"""),"#VALUE!")</f>
        <v>#VALUE!</v>
      </c>
      <c r="CK119" t="str">
        <f ca="1">IFERROR(__xludf.DUMMYFUNCTION("""COMPUTED_VALUE"""),"#VALUE!")</f>
        <v>#VALUE!</v>
      </c>
      <c r="CR119" t="str">
        <f ca="1">IFERROR(__xludf.DUMMYFUNCTION("""COMPUTED_VALUE"""),"L0001")</f>
        <v>L0001</v>
      </c>
      <c r="CS119" t="str">
        <f ca="1">IFERROR(__xludf.DUMMYFUNCTION("""COMPUTED_VALUE"""),"Giaveno")</f>
        <v>Giaveno</v>
      </c>
      <c r="CU119" t="str">
        <f ca="1">IFERROR(__xludf.DUMMYFUNCTION("""COMPUTED_VALUE"""),"#VALUE!")</f>
        <v>#VALUE!</v>
      </c>
      <c r="CW119" t="str">
        <f ca="1">IFERROR(__xludf.DUMMYFUNCTION("""COMPUTED_VALUE"""),"#VALUE!")</f>
        <v>#VALUE!</v>
      </c>
      <c r="CX119" t="str">
        <f ca="1">IFERROR(__xludf.DUMMYFUNCTION("""COMPUTED_VALUE"""),"C2821")</f>
        <v>C2821</v>
      </c>
      <c r="CY119" t="str">
        <f ca="1">IFERROR(__xludf.DUMMYFUNCTION("""COMPUTED_VALUE"""),"sartor")</f>
        <v>sartor</v>
      </c>
      <c r="DA119" t="str">
        <f ca="1">IFERROR(__xludf.DUMMYFUNCTION("""COMPUTED_VALUE"""),"craftsman")</f>
        <v>craftsman</v>
      </c>
      <c r="DB119" t="str">
        <f ca="1">IFERROR(__xludf.DUMMYFUNCTION("""COMPUTED_VALUE"""),"C2821")</f>
        <v>C2821</v>
      </c>
      <c r="DC119" t="str">
        <f ca="1">IFERROR(__xludf.DUMMYFUNCTION("""COMPUTED_VALUE"""),"sartor")</f>
        <v>sartor</v>
      </c>
      <c r="DE119" t="str">
        <f ca="1">IFERROR(__xludf.DUMMYFUNCTION("""COMPUTED_VALUE"""),"#VALUE!")</f>
        <v>#VALUE!</v>
      </c>
      <c r="DI119" t="str">
        <f ca="1">IFERROR(__xludf.DUMMYFUNCTION("""COMPUTED_VALUE"""),"#VALUE!")</f>
        <v>#VALUE!</v>
      </c>
      <c r="DJ119" t="str">
        <f ca="1">IFERROR(__xludf.DUMMYFUNCTION("""COMPUTED_VALUE"""),"#VALUE!")</f>
        <v>#VALUE!</v>
      </c>
      <c r="DL119" t="str">
        <f ca="1">IFERROR(__xludf.DUMMYFUNCTION("""COMPUTED_VALUE"""),"Davor Salihović")</f>
        <v>Davor Salihović</v>
      </c>
    </row>
    <row r="120" spans="1:116" ht="13.2" x14ac:dyDescent="0.25">
      <c r="A120" t="str">
        <f ca="1">IFERROR(__xludf.DUMMYFUNCTION("""COMPUTED_VALUE"""),"P0122")</f>
        <v>P0122</v>
      </c>
      <c r="B120" t="str">
        <f ca="1">IFERROR(__xludf.DUMMYFUNCTION("""COMPUTED_VALUE"""),"soror uxoris Henrici Bonini")</f>
        <v>soror uxoris Henrici Bonini</v>
      </c>
      <c r="D120" t="str">
        <f ca="1">IFERROR(__xludf.DUMMYFUNCTION("""COMPUTED_VALUE"""),"#VALUE!")</f>
        <v>#VALUE!</v>
      </c>
      <c r="E120" t="str">
        <f ca="1">IFERROR(__xludf.DUMMYFUNCTION("""COMPUTED_VALUE"""),"soror uxoris Henrici Bonini")</f>
        <v>soror uxoris Henrici Bonini</v>
      </c>
      <c r="Q120" t="str">
        <f ca="1">IFERROR(__xludf.DUMMYFUNCTION("""COMPUTED_VALUE"""),"soror uxoris Henrici Bonini")</f>
        <v>soror uxoris Henrici Bonini</v>
      </c>
      <c r="S120" t="str">
        <f ca="1">IFERROR(__xludf.DUMMYFUNCTION("""COMPUTED_VALUE"""),"Latin")</f>
        <v>Latin</v>
      </c>
      <c r="T120" t="str">
        <f ca="1">IFERROR(__xludf.DUMMYFUNCTION("""COMPUTED_VALUE"""),"indefinite")</f>
        <v>indefinite</v>
      </c>
      <c r="U120" t="str">
        <f ca="1">IFERROR(__xludf.DUMMYFUNCTION("""COMPUTED_VALUE"""),"C2552")</f>
        <v>C2552</v>
      </c>
      <c r="V120" t="str">
        <f ca="1">IFERROR(__xludf.DUMMYFUNCTION("""COMPUTED_VALUE"""),"female")</f>
        <v>female</v>
      </c>
      <c r="Z120" t="str">
        <f ca="1">IFERROR(__xludf.DUMMYFUNCTION("""COMPUTED_VALUE"""),"168")</f>
        <v>168</v>
      </c>
      <c r="AA120" t="str">
        <f ca="1">IFERROR(__xludf.DUMMYFUNCTION("""COMPUTED_VALUE"""),"o")</f>
        <v>o</v>
      </c>
      <c r="AB120" t="str">
        <f ca="1">IFERROR(__xludf.DUMMYFUNCTION("""COMPUTED_VALUE"""),"NA")</f>
        <v>NA</v>
      </c>
      <c r="AE120" t="str">
        <f ca="1">IFERROR(__xludf.DUMMYFUNCTION("""COMPUTED_VALUE"""),"#VALUE!")</f>
        <v>#VALUE!</v>
      </c>
      <c r="AF120" t="str">
        <f ca="1">IFERROR(__xludf.DUMMYFUNCTION("""COMPUTED_VALUE"""),"#N/A")</f>
        <v>#N/A</v>
      </c>
      <c r="AG120" t="str">
        <f ca="1">IFERROR(__xludf.DUMMYFUNCTION("""COMPUTED_VALUE"""),"#N/A")</f>
        <v>#N/A</v>
      </c>
      <c r="AI120" t="str">
        <f ca="1">IFERROR(__xludf.DUMMYFUNCTION("""COMPUTED_VALUE"""),"#VALUE!")</f>
        <v>#VALUE!</v>
      </c>
      <c r="AK120" t="str">
        <f ca="1">IFERROR(__xludf.DUMMYFUNCTION("""COMPUTED_VALUE"""),"#VALUE!")</f>
        <v>#VALUE!</v>
      </c>
      <c r="AM120" t="str">
        <f ca="1">IFERROR(__xludf.DUMMYFUNCTION("""COMPUTED_VALUE"""),"#VALUE!")</f>
        <v>#VALUE!</v>
      </c>
      <c r="AO120" t="str">
        <f ca="1">IFERROR(__xludf.DUMMYFUNCTION("""COMPUTED_VALUE"""),"#VALUE!")</f>
        <v>#VALUE!</v>
      </c>
      <c r="AQ120" t="str">
        <f ca="1">IFERROR(__xludf.DUMMYFUNCTION("""COMPUTED_VALUE"""),"#VALUE!")</f>
        <v>#VALUE!</v>
      </c>
      <c r="AS120" t="str">
        <f ca="1">IFERROR(__xludf.DUMMYFUNCTION("""COMPUTED_VALUE"""),"#VALUE!")</f>
        <v>#VALUE!</v>
      </c>
      <c r="AU120" t="str">
        <f ca="1">IFERROR(__xludf.DUMMYFUNCTION("""COMPUTED_VALUE"""),"#VALUE!")</f>
        <v>#VALUE!</v>
      </c>
      <c r="AW120" t="str">
        <f ca="1">IFERROR(__xludf.DUMMYFUNCTION("""COMPUTED_VALUE"""),"#VALUE!")</f>
        <v>#VALUE!</v>
      </c>
      <c r="AY120" t="str">
        <f ca="1">IFERROR(__xludf.DUMMYFUNCTION("""COMPUTED_VALUE"""),"#VALUE!")</f>
        <v>#VALUE!</v>
      </c>
      <c r="BA120" t="str">
        <f ca="1">IFERROR(__xludf.DUMMYFUNCTION("""COMPUTED_VALUE"""),"#VALUE!")</f>
        <v>#VALUE!</v>
      </c>
      <c r="BC120" t="str">
        <f ca="1">IFERROR(__xludf.DUMMYFUNCTION("""COMPUTED_VALUE"""),"#VALUE!")</f>
        <v>#VALUE!</v>
      </c>
      <c r="BE120" t="str">
        <f ca="1">IFERROR(__xludf.DUMMYFUNCTION("""COMPUTED_VALUE"""),"#VALUE!")</f>
        <v>#VALUE!</v>
      </c>
      <c r="BG120" t="str">
        <f ca="1">IFERROR(__xludf.DUMMYFUNCTION("""COMPUTED_VALUE"""),"#VALUE!")</f>
        <v>#VALUE!</v>
      </c>
      <c r="BI120" t="str">
        <f ca="1">IFERROR(__xludf.DUMMYFUNCTION("""COMPUTED_VALUE"""),"#VALUE!")</f>
        <v>#VALUE!</v>
      </c>
      <c r="BK120" t="str">
        <f ca="1">IFERROR(__xludf.DUMMYFUNCTION("""COMPUTED_VALUE"""),"#VALUE!")</f>
        <v>#VALUE!</v>
      </c>
      <c r="BM120" t="str">
        <f ca="1">IFERROR(__xludf.DUMMYFUNCTION("""COMPUTED_VALUE"""),"#VALUE!")</f>
        <v>#VALUE!</v>
      </c>
      <c r="BO120" t="str">
        <f ca="1">IFERROR(__xludf.DUMMYFUNCTION("""COMPUTED_VALUE"""),"#VALUE!")</f>
        <v>#VALUE!</v>
      </c>
      <c r="BQ120" t="str">
        <f ca="1">IFERROR(__xludf.DUMMYFUNCTION("""COMPUTED_VALUE"""),"#VALUE!")</f>
        <v>#VALUE!</v>
      </c>
      <c r="BS120" t="str">
        <f ca="1">IFERROR(__xludf.DUMMYFUNCTION("""COMPUTED_VALUE"""),"#VALUE!")</f>
        <v>#VALUE!</v>
      </c>
      <c r="BU120" t="str">
        <f ca="1">IFERROR(__xludf.DUMMYFUNCTION("""COMPUTED_VALUE"""),"#VALUE!")</f>
        <v>#VALUE!</v>
      </c>
      <c r="BW120" t="str">
        <f ca="1">IFERROR(__xludf.DUMMYFUNCTION("""COMPUTED_VALUE"""),"#VALUE!")</f>
        <v>#VALUE!</v>
      </c>
      <c r="BY120" t="str">
        <f ca="1">IFERROR(__xludf.DUMMYFUNCTION("""COMPUTED_VALUE"""),"#VALUE!")</f>
        <v>#VALUE!</v>
      </c>
      <c r="CA120" t="str">
        <f ca="1">IFERROR(__xludf.DUMMYFUNCTION("""COMPUTED_VALUE"""),"#VALUE!")</f>
        <v>#VALUE!</v>
      </c>
      <c r="CC120" t="str">
        <f ca="1">IFERROR(__xludf.DUMMYFUNCTION("""COMPUTED_VALUE"""),"#VALUE!")</f>
        <v>#VALUE!</v>
      </c>
      <c r="CE120" t="str">
        <f ca="1">IFERROR(__xludf.DUMMYFUNCTION("""COMPUTED_VALUE"""),"#VALUE!")</f>
        <v>#VALUE!</v>
      </c>
      <c r="CG120" t="str">
        <f ca="1">IFERROR(__xludf.DUMMYFUNCTION("""COMPUTED_VALUE"""),"#VALUE!")</f>
        <v>#VALUE!</v>
      </c>
      <c r="CI120" t="str">
        <f ca="1">IFERROR(__xludf.DUMMYFUNCTION("""COMPUTED_VALUE"""),"#VALUE!")</f>
        <v>#VALUE!</v>
      </c>
      <c r="CK120" t="str">
        <f ca="1">IFERROR(__xludf.DUMMYFUNCTION("""COMPUTED_VALUE"""),"#VALUE!")</f>
        <v>#VALUE!</v>
      </c>
      <c r="CS120" t="str">
        <f ca="1">IFERROR(__xludf.DUMMYFUNCTION("""COMPUTED_VALUE"""),"#VALUE!")</f>
        <v>#VALUE!</v>
      </c>
      <c r="CU120" t="str">
        <f ca="1">IFERROR(__xludf.DUMMYFUNCTION("""COMPUTED_VALUE"""),"#VALUE!")</f>
        <v>#VALUE!</v>
      </c>
      <c r="CW120" t="str">
        <f ca="1">IFERROR(__xludf.DUMMYFUNCTION("""COMPUTED_VALUE"""),"#VALUE!")</f>
        <v>#VALUE!</v>
      </c>
      <c r="CY120" t="str">
        <f ca="1">IFERROR(__xludf.DUMMYFUNCTION("""COMPUTED_VALUE"""),"#VALUE!")</f>
        <v>#VALUE!</v>
      </c>
      <c r="DC120" t="str">
        <f ca="1">IFERROR(__xludf.DUMMYFUNCTION("""COMPUTED_VALUE"""),"#VALUE!")</f>
        <v>#VALUE!</v>
      </c>
      <c r="DE120" t="str">
        <f ca="1">IFERROR(__xludf.DUMMYFUNCTION("""COMPUTED_VALUE"""),"#VALUE!")</f>
        <v>#VALUE!</v>
      </c>
      <c r="DI120" t="str">
        <f ca="1">IFERROR(__xludf.DUMMYFUNCTION("""COMPUTED_VALUE"""),"#VALUE!")</f>
        <v>#VALUE!</v>
      </c>
      <c r="DJ120" t="str">
        <f ca="1">IFERROR(__xludf.DUMMYFUNCTION("""COMPUTED_VALUE"""),"#VALUE!")</f>
        <v>#VALUE!</v>
      </c>
      <c r="DL120" t="str">
        <f ca="1">IFERROR(__xludf.DUMMYFUNCTION("""COMPUTED_VALUE"""),"Davor Salihović")</f>
        <v>Davor Salihović</v>
      </c>
    </row>
    <row r="121" spans="1:116" ht="13.2" x14ac:dyDescent="0.25">
      <c r="A121" t="str">
        <f ca="1">IFERROR(__xludf.DUMMYFUNCTION("""COMPUTED_VALUE"""),"P0123")</f>
        <v>P0123</v>
      </c>
      <c r="B121" t="str">
        <f ca="1">IFERROR(__xludf.DUMMYFUNCTION("""COMPUTED_VALUE"""),"Petrus Baronus")</f>
        <v>Petrus Baronus</v>
      </c>
      <c r="D121" t="str">
        <f ca="1">IFERROR(__xludf.DUMMYFUNCTION("""COMPUTED_VALUE"""),"#VALUE!")</f>
        <v>#VALUE!</v>
      </c>
      <c r="E121" t="str">
        <f ca="1">IFERROR(__xludf.DUMMYFUNCTION("""COMPUTED_VALUE"""),"Petrus")</f>
        <v>Petrus</v>
      </c>
      <c r="K121" t="str">
        <f ca="1">IFERROR(__xludf.DUMMYFUNCTION("""COMPUTED_VALUE"""),"Baronus")</f>
        <v>Baronus</v>
      </c>
      <c r="L121" t="str">
        <f ca="1">IFERROR(__xludf.DUMMYFUNCTION("""COMPUTED_VALUE"""),"Baronus")</f>
        <v>Baronus</v>
      </c>
      <c r="S121" t="str">
        <f ca="1">IFERROR(__xludf.DUMMYFUNCTION("""COMPUTED_VALUE"""),"Latin")</f>
        <v>Latin</v>
      </c>
      <c r="T121" t="str">
        <f ca="1">IFERROR(__xludf.DUMMYFUNCTION("""COMPUTED_VALUE"""),"definite")</f>
        <v>definite</v>
      </c>
      <c r="U121" t="str">
        <f ca="1">IFERROR(__xludf.DUMMYFUNCTION("""COMPUTED_VALUE"""),"C2553")</f>
        <v>C2553</v>
      </c>
      <c r="V121" t="str">
        <f ca="1">IFERROR(__xludf.DUMMYFUNCTION("""COMPUTED_VALUE"""),"male")</f>
        <v>male</v>
      </c>
      <c r="Z121" t="str">
        <f ca="1">IFERROR(__xludf.DUMMYFUNCTION("""COMPUTED_VALUE"""),"168")</f>
        <v>168</v>
      </c>
      <c r="AA121" t="str">
        <f ca="1">IFERROR(__xludf.DUMMYFUNCTION("""COMPUTED_VALUE"""),"o")</f>
        <v>o</v>
      </c>
      <c r="AB121" t="str">
        <f ca="1">IFERROR(__xludf.DUMMYFUNCTION("""COMPUTED_VALUE"""),"NA")</f>
        <v>NA</v>
      </c>
      <c r="AE121" t="str">
        <f ca="1">IFERROR(__xludf.DUMMYFUNCTION("""COMPUTED_VALUE"""),"#VALUE!")</f>
        <v>#VALUE!</v>
      </c>
      <c r="AF121" t="str">
        <f ca="1">IFERROR(__xludf.DUMMYFUNCTION("""COMPUTED_VALUE"""),"#N/A")</f>
        <v>#N/A</v>
      </c>
      <c r="AG121" t="str">
        <f ca="1">IFERROR(__xludf.DUMMYFUNCTION("""COMPUTED_VALUE"""),"#N/A")</f>
        <v>#N/A</v>
      </c>
      <c r="AI121" t="str">
        <f ca="1">IFERROR(__xludf.DUMMYFUNCTION("""COMPUTED_VALUE"""),"#VALUE!")</f>
        <v>#VALUE!</v>
      </c>
      <c r="AK121" t="str">
        <f ca="1">IFERROR(__xludf.DUMMYFUNCTION("""COMPUTED_VALUE"""),"#VALUE!")</f>
        <v>#VALUE!</v>
      </c>
      <c r="AM121" t="str">
        <f ca="1">IFERROR(__xludf.DUMMYFUNCTION("""COMPUTED_VALUE"""),"#VALUE!")</f>
        <v>#VALUE!</v>
      </c>
      <c r="AO121" t="str">
        <f ca="1">IFERROR(__xludf.DUMMYFUNCTION("""COMPUTED_VALUE"""),"#VALUE!")</f>
        <v>#VALUE!</v>
      </c>
      <c r="AQ121" t="str">
        <f ca="1">IFERROR(__xludf.DUMMYFUNCTION("""COMPUTED_VALUE"""),"#VALUE!")</f>
        <v>#VALUE!</v>
      </c>
      <c r="AS121" t="str">
        <f ca="1">IFERROR(__xludf.DUMMYFUNCTION("""COMPUTED_VALUE"""),"#VALUE!")</f>
        <v>#VALUE!</v>
      </c>
      <c r="AU121" t="str">
        <f ca="1">IFERROR(__xludf.DUMMYFUNCTION("""COMPUTED_VALUE"""),"#VALUE!")</f>
        <v>#VALUE!</v>
      </c>
      <c r="AW121" t="str">
        <f ca="1">IFERROR(__xludf.DUMMYFUNCTION("""COMPUTED_VALUE"""),"#VALUE!")</f>
        <v>#VALUE!</v>
      </c>
      <c r="AY121" t="str">
        <f ca="1">IFERROR(__xludf.DUMMYFUNCTION("""COMPUTED_VALUE"""),"#VALUE!")</f>
        <v>#VALUE!</v>
      </c>
      <c r="BA121" t="str">
        <f ca="1">IFERROR(__xludf.DUMMYFUNCTION("""COMPUTED_VALUE"""),"#VALUE!")</f>
        <v>#VALUE!</v>
      </c>
      <c r="BC121" t="str">
        <f ca="1">IFERROR(__xludf.DUMMYFUNCTION("""COMPUTED_VALUE"""),"#VALUE!")</f>
        <v>#VALUE!</v>
      </c>
      <c r="BE121" t="str">
        <f ca="1">IFERROR(__xludf.DUMMYFUNCTION("""COMPUTED_VALUE"""),"#VALUE!")</f>
        <v>#VALUE!</v>
      </c>
      <c r="BG121" t="str">
        <f ca="1">IFERROR(__xludf.DUMMYFUNCTION("""COMPUTED_VALUE"""),"#VALUE!")</f>
        <v>#VALUE!</v>
      </c>
      <c r="BI121" t="str">
        <f ca="1">IFERROR(__xludf.DUMMYFUNCTION("""COMPUTED_VALUE"""),"#VALUE!")</f>
        <v>#VALUE!</v>
      </c>
      <c r="BK121" t="str">
        <f ca="1">IFERROR(__xludf.DUMMYFUNCTION("""COMPUTED_VALUE"""),"#VALUE!")</f>
        <v>#VALUE!</v>
      </c>
      <c r="BM121" t="str">
        <f ca="1">IFERROR(__xludf.DUMMYFUNCTION("""COMPUTED_VALUE"""),"#VALUE!")</f>
        <v>#VALUE!</v>
      </c>
      <c r="BO121" t="str">
        <f ca="1">IFERROR(__xludf.DUMMYFUNCTION("""COMPUTED_VALUE"""),"#VALUE!")</f>
        <v>#VALUE!</v>
      </c>
      <c r="BQ121" t="str">
        <f ca="1">IFERROR(__xludf.DUMMYFUNCTION("""COMPUTED_VALUE"""),"#VALUE!")</f>
        <v>#VALUE!</v>
      </c>
      <c r="BS121" t="str">
        <f ca="1">IFERROR(__xludf.DUMMYFUNCTION("""COMPUTED_VALUE"""),"#VALUE!")</f>
        <v>#VALUE!</v>
      </c>
      <c r="BU121" t="str">
        <f ca="1">IFERROR(__xludf.DUMMYFUNCTION("""COMPUTED_VALUE"""),"#VALUE!")</f>
        <v>#VALUE!</v>
      </c>
      <c r="BW121" t="str">
        <f ca="1">IFERROR(__xludf.DUMMYFUNCTION("""COMPUTED_VALUE"""),"#VALUE!")</f>
        <v>#VALUE!</v>
      </c>
      <c r="BY121" t="str">
        <f ca="1">IFERROR(__xludf.DUMMYFUNCTION("""COMPUTED_VALUE"""),"#VALUE!")</f>
        <v>#VALUE!</v>
      </c>
      <c r="CA121" t="str">
        <f ca="1">IFERROR(__xludf.DUMMYFUNCTION("""COMPUTED_VALUE"""),"#VALUE!")</f>
        <v>#VALUE!</v>
      </c>
      <c r="CC121" t="str">
        <f ca="1">IFERROR(__xludf.DUMMYFUNCTION("""COMPUTED_VALUE"""),"#VALUE!")</f>
        <v>#VALUE!</v>
      </c>
      <c r="CE121" t="str">
        <f ca="1">IFERROR(__xludf.DUMMYFUNCTION("""COMPUTED_VALUE"""),"#VALUE!")</f>
        <v>#VALUE!</v>
      </c>
      <c r="CG121" t="str">
        <f ca="1">IFERROR(__xludf.DUMMYFUNCTION("""COMPUTED_VALUE"""),"#VALUE!")</f>
        <v>#VALUE!</v>
      </c>
      <c r="CI121" t="str">
        <f ca="1">IFERROR(__xludf.DUMMYFUNCTION("""COMPUTED_VALUE"""),"#VALUE!")</f>
        <v>#VALUE!</v>
      </c>
      <c r="CK121" t="str">
        <f ca="1">IFERROR(__xludf.DUMMYFUNCTION("""COMPUTED_VALUE"""),"#VALUE!")</f>
        <v>#VALUE!</v>
      </c>
      <c r="CS121" t="str">
        <f ca="1">IFERROR(__xludf.DUMMYFUNCTION("""COMPUTED_VALUE"""),"#VALUE!")</f>
        <v>#VALUE!</v>
      </c>
      <c r="CU121" t="str">
        <f ca="1">IFERROR(__xludf.DUMMYFUNCTION("""COMPUTED_VALUE"""),"#VALUE!")</f>
        <v>#VALUE!</v>
      </c>
      <c r="CW121" t="str">
        <f ca="1">IFERROR(__xludf.DUMMYFUNCTION("""COMPUTED_VALUE"""),"#VALUE!")</f>
        <v>#VALUE!</v>
      </c>
      <c r="CY121" t="str">
        <f ca="1">IFERROR(__xludf.DUMMYFUNCTION("""COMPUTED_VALUE"""),"#VALUE!")</f>
        <v>#VALUE!</v>
      </c>
      <c r="DC121" t="str">
        <f ca="1">IFERROR(__xludf.DUMMYFUNCTION("""COMPUTED_VALUE"""),"#VALUE!")</f>
        <v>#VALUE!</v>
      </c>
      <c r="DE121" t="str">
        <f ca="1">IFERROR(__xludf.DUMMYFUNCTION("""COMPUTED_VALUE"""),"#VALUE!")</f>
        <v>#VALUE!</v>
      </c>
      <c r="DI121" t="str">
        <f ca="1">IFERROR(__xludf.DUMMYFUNCTION("""COMPUTED_VALUE"""),"#VALUE!")</f>
        <v>#VALUE!</v>
      </c>
      <c r="DJ121" t="str">
        <f ca="1">IFERROR(__xludf.DUMMYFUNCTION("""COMPUTED_VALUE"""),"#VALUE!")</f>
        <v>#VALUE!</v>
      </c>
      <c r="DL121" t="str">
        <f ca="1">IFERROR(__xludf.DUMMYFUNCTION("""COMPUTED_VALUE"""),"Davor Salihović")</f>
        <v>Davor Salihović</v>
      </c>
    </row>
    <row r="122" spans="1:116" ht="13.2" x14ac:dyDescent="0.25">
      <c r="A122" t="str">
        <f ca="1">IFERROR(__xludf.DUMMYFUNCTION("""COMPUTED_VALUE"""),"P0124")</f>
        <v>P0124</v>
      </c>
      <c r="B122" t="str">
        <f ca="1">IFERROR(__xludf.DUMMYFUNCTION("""COMPUTED_VALUE"""),"Iacobus Filioli")</f>
        <v>Iacobus Filioli</v>
      </c>
      <c r="D122" t="str">
        <f ca="1">IFERROR(__xludf.DUMMYFUNCTION("""COMPUTED_VALUE"""),"#VALUE!")</f>
        <v>#VALUE!</v>
      </c>
      <c r="E122" t="str">
        <f ca="1">IFERROR(__xludf.DUMMYFUNCTION("""COMPUTED_VALUE"""),"Iacobus ")</f>
        <v xml:space="preserve">Iacobus </v>
      </c>
      <c r="K122" t="str">
        <f ca="1">IFERROR(__xludf.DUMMYFUNCTION("""COMPUTED_VALUE"""),"Filioli")</f>
        <v>Filioli</v>
      </c>
      <c r="L122" t="str">
        <f ca="1">IFERROR(__xludf.DUMMYFUNCTION("""COMPUTED_VALUE"""),"Filioli")</f>
        <v>Filioli</v>
      </c>
      <c r="S122" t="str">
        <f ca="1">IFERROR(__xludf.DUMMYFUNCTION("""COMPUTED_VALUE"""),"Latin")</f>
        <v>Latin</v>
      </c>
      <c r="T122" t="str">
        <f ca="1">IFERROR(__xludf.DUMMYFUNCTION("""COMPUTED_VALUE"""),"definite")</f>
        <v>definite</v>
      </c>
      <c r="U122" t="str">
        <f ca="1">IFERROR(__xludf.DUMMYFUNCTION("""COMPUTED_VALUE"""),"C2553")</f>
        <v>C2553</v>
      </c>
      <c r="V122" t="str">
        <f ca="1">IFERROR(__xludf.DUMMYFUNCTION("""COMPUTED_VALUE"""),"male")</f>
        <v>male</v>
      </c>
      <c r="Z122" t="str">
        <f ca="1">IFERROR(__xludf.DUMMYFUNCTION("""COMPUTED_VALUE"""),"168, 184, 193, 197, 216, 222, 223, 227, 228, 237, 255")</f>
        <v>168, 184, 193, 197, 216, 222, 223, 227, 228, 237, 255</v>
      </c>
      <c r="AA122" t="str">
        <f ca="1">IFERROR(__xludf.DUMMYFUNCTION("""COMPUTED_VALUE"""),"d")</f>
        <v>d</v>
      </c>
      <c r="AB122" t="str">
        <f ca="1">IFERROR(__xludf.DUMMYFUNCTION("""COMPUTED_VALUE"""),"suspect")</f>
        <v>suspect</v>
      </c>
      <c r="AE122" t="str">
        <f ca="1">IFERROR(__xludf.DUMMYFUNCTION("""COMPUTED_VALUE"""),"#VALUE!")</f>
        <v>#VALUE!</v>
      </c>
      <c r="AF122" t="str">
        <f ca="1">IFERROR(__xludf.DUMMYFUNCTION("""COMPUTED_VALUE"""),"#N/A")</f>
        <v>#N/A</v>
      </c>
      <c r="AG122" t="str">
        <f ca="1">IFERROR(__xludf.DUMMYFUNCTION("""COMPUTED_VALUE"""),"#N/A")</f>
        <v>#N/A</v>
      </c>
      <c r="AH122" t="str">
        <f ca="1">IFERROR(__xludf.DUMMYFUNCTION("""COMPUTED_VALUE"""),"C2388")</f>
        <v>C2388</v>
      </c>
      <c r="AI122" t="str">
        <f ca="1">IFERROR(__xludf.DUMMYFUNCTION("""COMPUTED_VALUE"""),"granddaughter")</f>
        <v>granddaughter</v>
      </c>
      <c r="AJ122" t="str">
        <f ca="1">IFERROR(__xludf.DUMMYFUNCTION("""COMPUTED_VALUE"""),"P0307")</f>
        <v>P0307</v>
      </c>
      <c r="AK122" t="str">
        <f ca="1">IFERROR(__xludf.DUMMYFUNCTION("""COMPUTED_VALUE"""),"Aleyseta Filiola")</f>
        <v>Aleyseta Filiola</v>
      </c>
      <c r="AL122" t="str">
        <f ca="1">IFERROR(__xludf.DUMMYFUNCTION("""COMPUTED_VALUE"""),"C2348")</f>
        <v>C2348</v>
      </c>
      <c r="AM122" t="str">
        <f ca="1">IFERROR(__xludf.DUMMYFUNCTION("""COMPUTED_VALUE"""),"wife")</f>
        <v>wife</v>
      </c>
      <c r="AN122" t="str">
        <f ca="1">IFERROR(__xludf.DUMMYFUNCTION("""COMPUTED_VALUE"""),"P0384")</f>
        <v>P0384</v>
      </c>
      <c r="AO122" t="str">
        <f ca="1">IFERROR(__xludf.DUMMYFUNCTION("""COMPUTED_VALUE"""),"Colonba, amica Aleysete Filiole")</f>
        <v>Colonba, amica Aleysete Filiole</v>
      </c>
      <c r="AQ122" t="str">
        <f ca="1">IFERROR(__xludf.DUMMYFUNCTION("""COMPUTED_VALUE"""),"#VALUE!")</f>
        <v>#VALUE!</v>
      </c>
      <c r="AS122" t="str">
        <f ca="1">IFERROR(__xludf.DUMMYFUNCTION("""COMPUTED_VALUE"""),"#VALUE!")</f>
        <v>#VALUE!</v>
      </c>
      <c r="AU122" t="str">
        <f ca="1">IFERROR(__xludf.DUMMYFUNCTION("""COMPUTED_VALUE"""),"#VALUE!")</f>
        <v>#VALUE!</v>
      </c>
      <c r="AW122" t="str">
        <f ca="1">IFERROR(__xludf.DUMMYFUNCTION("""COMPUTED_VALUE"""),"#VALUE!")</f>
        <v>#VALUE!</v>
      </c>
      <c r="AY122" t="str">
        <f ca="1">IFERROR(__xludf.DUMMYFUNCTION("""COMPUTED_VALUE"""),"#VALUE!")</f>
        <v>#VALUE!</v>
      </c>
      <c r="BA122" t="str">
        <f ca="1">IFERROR(__xludf.DUMMYFUNCTION("""COMPUTED_VALUE"""),"#VALUE!")</f>
        <v>#VALUE!</v>
      </c>
      <c r="BC122" t="str">
        <f ca="1">IFERROR(__xludf.DUMMYFUNCTION("""COMPUTED_VALUE"""),"#VALUE!")</f>
        <v>#VALUE!</v>
      </c>
      <c r="BE122" t="str">
        <f ca="1">IFERROR(__xludf.DUMMYFUNCTION("""COMPUTED_VALUE"""),"#VALUE!")</f>
        <v>#VALUE!</v>
      </c>
      <c r="BG122" t="str">
        <f ca="1">IFERROR(__xludf.DUMMYFUNCTION("""COMPUTED_VALUE"""),"#VALUE!")</f>
        <v>#VALUE!</v>
      </c>
      <c r="BI122" t="str">
        <f ca="1">IFERROR(__xludf.DUMMYFUNCTION("""COMPUTED_VALUE"""),"#VALUE!")</f>
        <v>#VALUE!</v>
      </c>
      <c r="BK122" t="str">
        <f ca="1">IFERROR(__xludf.DUMMYFUNCTION("""COMPUTED_VALUE"""),"#VALUE!")</f>
        <v>#VALUE!</v>
      </c>
      <c r="BM122" t="str">
        <f ca="1">IFERROR(__xludf.DUMMYFUNCTION("""COMPUTED_VALUE"""),"#VALUE!")</f>
        <v>#VALUE!</v>
      </c>
      <c r="BO122" t="str">
        <f ca="1">IFERROR(__xludf.DUMMYFUNCTION("""COMPUTED_VALUE"""),"#VALUE!")</f>
        <v>#VALUE!</v>
      </c>
      <c r="BQ122" t="str">
        <f ca="1">IFERROR(__xludf.DUMMYFUNCTION("""COMPUTED_VALUE"""),"#VALUE!")</f>
        <v>#VALUE!</v>
      </c>
      <c r="BS122" t="str">
        <f ca="1">IFERROR(__xludf.DUMMYFUNCTION("""COMPUTED_VALUE"""),"#VALUE!")</f>
        <v>#VALUE!</v>
      </c>
      <c r="BU122" t="str">
        <f ca="1">IFERROR(__xludf.DUMMYFUNCTION("""COMPUTED_VALUE"""),"#VALUE!")</f>
        <v>#VALUE!</v>
      </c>
      <c r="BW122" t="str">
        <f ca="1">IFERROR(__xludf.DUMMYFUNCTION("""COMPUTED_VALUE"""),"#VALUE!")</f>
        <v>#VALUE!</v>
      </c>
      <c r="BY122" t="str">
        <f ca="1">IFERROR(__xludf.DUMMYFUNCTION("""COMPUTED_VALUE"""),"#VALUE!")</f>
        <v>#VALUE!</v>
      </c>
      <c r="CA122" t="str">
        <f ca="1">IFERROR(__xludf.DUMMYFUNCTION("""COMPUTED_VALUE"""),"#VALUE!")</f>
        <v>#VALUE!</v>
      </c>
      <c r="CC122" t="str">
        <f ca="1">IFERROR(__xludf.DUMMYFUNCTION("""COMPUTED_VALUE"""),"#VALUE!")</f>
        <v>#VALUE!</v>
      </c>
      <c r="CD122" t="str">
        <f ca="1">IFERROR(__xludf.DUMMYFUNCTION("""COMPUTED_VALUE"""),"C3598")</f>
        <v>C3598</v>
      </c>
      <c r="CE122" t="str">
        <f ca="1">IFERROR(__xludf.DUMMYFUNCTION("""COMPUTED_VALUE"""),"location of congregation")</f>
        <v>location of congregation</v>
      </c>
      <c r="CF122" t="str">
        <f ca="1">IFERROR(__xludf.DUMMYFUNCTION("""COMPUTED_VALUE"""),"L0034")</f>
        <v>L0034</v>
      </c>
      <c r="CG122" t="str">
        <f ca="1">IFERROR(__xludf.DUMMYFUNCTION("""COMPUTED_VALUE"""),"domus Iacobi Filioli")</f>
        <v>domus Iacobi Filioli</v>
      </c>
      <c r="CI122" t="str">
        <f ca="1">IFERROR(__xludf.DUMMYFUNCTION("""COMPUTED_VALUE"""),"#VALUE!")</f>
        <v>#VALUE!</v>
      </c>
      <c r="CK122" t="str">
        <f ca="1">IFERROR(__xludf.DUMMYFUNCTION("""COMPUTED_VALUE"""),"#VALUE!")</f>
        <v>#VALUE!</v>
      </c>
      <c r="CS122" t="str">
        <f ca="1">IFERROR(__xludf.DUMMYFUNCTION("""COMPUTED_VALUE"""),"#VALUE!")</f>
        <v>#VALUE!</v>
      </c>
      <c r="CU122" t="str">
        <f ca="1">IFERROR(__xludf.DUMMYFUNCTION("""COMPUTED_VALUE"""),"#VALUE!")</f>
        <v>#VALUE!</v>
      </c>
      <c r="CV122" t="str">
        <f ca="1">IFERROR(__xludf.DUMMYFUNCTION("""COMPUTED_VALUE"""),"L0024")</f>
        <v>L0024</v>
      </c>
      <c r="CW122" t="str">
        <f ca="1">IFERROR(__xludf.DUMMYFUNCTION("""COMPUTED_VALUE"""),"Villanova")</f>
        <v>Villanova</v>
      </c>
      <c r="CY122" t="str">
        <f ca="1">IFERROR(__xludf.DUMMYFUNCTION("""COMPUTED_VALUE"""),"#VALUE!")</f>
        <v>#VALUE!</v>
      </c>
      <c r="DC122" t="str">
        <f ca="1">IFERROR(__xludf.DUMMYFUNCTION("""COMPUTED_VALUE"""),"#VALUE!")</f>
        <v>#VALUE!</v>
      </c>
      <c r="DE122" t="str">
        <f ca="1">IFERROR(__xludf.DUMMYFUNCTION("""COMPUTED_VALUE"""),"#VALUE!")</f>
        <v>#VALUE!</v>
      </c>
      <c r="DH122" t="str">
        <f ca="1">IFERROR(__xludf.DUMMYFUNCTION("""COMPUTED_VALUE"""),"L0034")</f>
        <v>L0034</v>
      </c>
      <c r="DI122" t="str">
        <f ca="1">IFERROR(__xludf.DUMMYFUNCTION("""COMPUTED_VALUE"""),"domus Iacobi Filioli")</f>
        <v>domus Iacobi Filioli</v>
      </c>
      <c r="DJ122" t="str">
        <f ca="1">IFERROR(__xludf.DUMMYFUNCTION("""COMPUTED_VALUE"""),"domus")</f>
        <v>domus</v>
      </c>
      <c r="DL122" t="str">
        <f ca="1">IFERROR(__xludf.DUMMYFUNCTION("""COMPUTED_VALUE"""),"Davor Salihović")</f>
        <v>Davor Salihović</v>
      </c>
    </row>
    <row r="123" spans="1:116" ht="13.2" x14ac:dyDescent="0.25">
      <c r="A123" t="str">
        <f ca="1">IFERROR(__xludf.DUMMYFUNCTION("""COMPUTED_VALUE"""),"P0125")</f>
        <v>P0125</v>
      </c>
      <c r="B123" t="str">
        <f ca="1">IFERROR(__xludf.DUMMYFUNCTION("""COMPUTED_VALUE"""),"Iacominus Bonerii")</f>
        <v>Iacominus Bonerii</v>
      </c>
      <c r="D123" t="str">
        <f ca="1">IFERROR(__xludf.DUMMYFUNCTION("""COMPUTED_VALUE"""),"#VALUE!")</f>
        <v>#VALUE!</v>
      </c>
      <c r="E123" t="str">
        <f ca="1">IFERROR(__xludf.DUMMYFUNCTION("""COMPUTED_VALUE"""),"Iacominus")</f>
        <v>Iacominus</v>
      </c>
      <c r="K123" t="str">
        <f ca="1">IFERROR(__xludf.DUMMYFUNCTION("""COMPUTED_VALUE"""),"Bonerii")</f>
        <v>Bonerii</v>
      </c>
      <c r="L123" t="str">
        <f ca="1">IFERROR(__xludf.DUMMYFUNCTION("""COMPUTED_VALUE"""),"Bonerii")</f>
        <v>Bonerii</v>
      </c>
      <c r="S123" t="str">
        <f ca="1">IFERROR(__xludf.DUMMYFUNCTION("""COMPUTED_VALUE"""),"Latin")</f>
        <v>Latin</v>
      </c>
      <c r="T123" t="str">
        <f ca="1">IFERROR(__xludf.DUMMYFUNCTION("""COMPUTED_VALUE"""),"definite")</f>
        <v>definite</v>
      </c>
      <c r="U123" t="str">
        <f ca="1">IFERROR(__xludf.DUMMYFUNCTION("""COMPUTED_VALUE"""),"C2553")</f>
        <v>C2553</v>
      </c>
      <c r="V123" t="str">
        <f ca="1">IFERROR(__xludf.DUMMYFUNCTION("""COMPUTED_VALUE"""),"male")</f>
        <v>male</v>
      </c>
      <c r="Z123" t="str">
        <f ca="1">IFERROR(__xludf.DUMMYFUNCTION("""COMPUTED_VALUE"""),"168")</f>
        <v>168</v>
      </c>
      <c r="AA123" t="str">
        <f ca="1">IFERROR(__xludf.DUMMYFUNCTION("""COMPUTED_VALUE"""),"d")</f>
        <v>d</v>
      </c>
      <c r="AB123" t="str">
        <f ca="1">IFERROR(__xludf.DUMMYFUNCTION("""COMPUTED_VALUE"""),"suspect")</f>
        <v>suspect</v>
      </c>
      <c r="AE123" t="str">
        <f ca="1">IFERROR(__xludf.DUMMYFUNCTION("""COMPUTED_VALUE"""),"#VALUE!")</f>
        <v>#VALUE!</v>
      </c>
      <c r="AF123" t="str">
        <f ca="1">IFERROR(__xludf.DUMMYFUNCTION("""COMPUTED_VALUE"""),"#N/A")</f>
        <v>#N/A</v>
      </c>
      <c r="AG123" t="str">
        <f ca="1">IFERROR(__xludf.DUMMYFUNCTION("""COMPUTED_VALUE"""),"#N/A")</f>
        <v>#N/A</v>
      </c>
      <c r="AI123" t="str">
        <f ca="1">IFERROR(__xludf.DUMMYFUNCTION("""COMPUTED_VALUE"""),"#VALUE!")</f>
        <v>#VALUE!</v>
      </c>
      <c r="AK123" t="str">
        <f ca="1">IFERROR(__xludf.DUMMYFUNCTION("""COMPUTED_VALUE"""),"#VALUE!")</f>
        <v>#VALUE!</v>
      </c>
      <c r="AM123" t="str">
        <f ca="1">IFERROR(__xludf.DUMMYFUNCTION("""COMPUTED_VALUE"""),"#VALUE!")</f>
        <v>#VALUE!</v>
      </c>
      <c r="AO123" t="str">
        <f ca="1">IFERROR(__xludf.DUMMYFUNCTION("""COMPUTED_VALUE"""),"#VALUE!")</f>
        <v>#VALUE!</v>
      </c>
      <c r="AQ123" t="str">
        <f ca="1">IFERROR(__xludf.DUMMYFUNCTION("""COMPUTED_VALUE"""),"#VALUE!")</f>
        <v>#VALUE!</v>
      </c>
      <c r="AS123" t="str">
        <f ca="1">IFERROR(__xludf.DUMMYFUNCTION("""COMPUTED_VALUE"""),"#VALUE!")</f>
        <v>#VALUE!</v>
      </c>
      <c r="AU123" t="str">
        <f ca="1">IFERROR(__xludf.DUMMYFUNCTION("""COMPUTED_VALUE"""),"#VALUE!")</f>
        <v>#VALUE!</v>
      </c>
      <c r="AW123" t="str">
        <f ca="1">IFERROR(__xludf.DUMMYFUNCTION("""COMPUTED_VALUE"""),"#VALUE!")</f>
        <v>#VALUE!</v>
      </c>
      <c r="AY123" t="str">
        <f ca="1">IFERROR(__xludf.DUMMYFUNCTION("""COMPUTED_VALUE"""),"#VALUE!")</f>
        <v>#VALUE!</v>
      </c>
      <c r="BA123" t="str">
        <f ca="1">IFERROR(__xludf.DUMMYFUNCTION("""COMPUTED_VALUE"""),"#VALUE!")</f>
        <v>#VALUE!</v>
      </c>
      <c r="BC123" t="str">
        <f ca="1">IFERROR(__xludf.DUMMYFUNCTION("""COMPUTED_VALUE"""),"#VALUE!")</f>
        <v>#VALUE!</v>
      </c>
      <c r="BE123" t="str">
        <f ca="1">IFERROR(__xludf.DUMMYFUNCTION("""COMPUTED_VALUE"""),"#VALUE!")</f>
        <v>#VALUE!</v>
      </c>
      <c r="BG123" t="str">
        <f ca="1">IFERROR(__xludf.DUMMYFUNCTION("""COMPUTED_VALUE"""),"#VALUE!")</f>
        <v>#VALUE!</v>
      </c>
      <c r="BI123" t="str">
        <f ca="1">IFERROR(__xludf.DUMMYFUNCTION("""COMPUTED_VALUE"""),"#VALUE!")</f>
        <v>#VALUE!</v>
      </c>
      <c r="BK123" t="str">
        <f ca="1">IFERROR(__xludf.DUMMYFUNCTION("""COMPUTED_VALUE"""),"#VALUE!")</f>
        <v>#VALUE!</v>
      </c>
      <c r="BM123" t="str">
        <f ca="1">IFERROR(__xludf.DUMMYFUNCTION("""COMPUTED_VALUE"""),"#VALUE!")</f>
        <v>#VALUE!</v>
      </c>
      <c r="BO123" t="str">
        <f ca="1">IFERROR(__xludf.DUMMYFUNCTION("""COMPUTED_VALUE"""),"#VALUE!")</f>
        <v>#VALUE!</v>
      </c>
      <c r="BQ123" t="str">
        <f ca="1">IFERROR(__xludf.DUMMYFUNCTION("""COMPUTED_VALUE"""),"#VALUE!")</f>
        <v>#VALUE!</v>
      </c>
      <c r="BS123" t="str">
        <f ca="1">IFERROR(__xludf.DUMMYFUNCTION("""COMPUTED_VALUE"""),"#VALUE!")</f>
        <v>#VALUE!</v>
      </c>
      <c r="BU123" t="str">
        <f ca="1">IFERROR(__xludf.DUMMYFUNCTION("""COMPUTED_VALUE"""),"#VALUE!")</f>
        <v>#VALUE!</v>
      </c>
      <c r="BW123" t="str">
        <f ca="1">IFERROR(__xludf.DUMMYFUNCTION("""COMPUTED_VALUE"""),"#VALUE!")</f>
        <v>#VALUE!</v>
      </c>
      <c r="BY123" t="str">
        <f ca="1">IFERROR(__xludf.DUMMYFUNCTION("""COMPUTED_VALUE"""),"#VALUE!")</f>
        <v>#VALUE!</v>
      </c>
      <c r="CA123" t="str">
        <f ca="1">IFERROR(__xludf.DUMMYFUNCTION("""COMPUTED_VALUE"""),"#VALUE!")</f>
        <v>#VALUE!</v>
      </c>
      <c r="CC123" t="str">
        <f ca="1">IFERROR(__xludf.DUMMYFUNCTION("""COMPUTED_VALUE"""),"#VALUE!")</f>
        <v>#VALUE!</v>
      </c>
      <c r="CD123" t="str">
        <f ca="1">IFERROR(__xludf.DUMMYFUNCTION("""COMPUTED_VALUE"""),"C3598")</f>
        <v>C3598</v>
      </c>
      <c r="CE123" t="str">
        <f ca="1">IFERROR(__xludf.DUMMYFUNCTION("""COMPUTED_VALUE"""),"location of congregation")</f>
        <v>location of congregation</v>
      </c>
      <c r="CF123" t="str">
        <f ca="1">IFERROR(__xludf.DUMMYFUNCTION("""COMPUTED_VALUE"""),"L0034")</f>
        <v>L0034</v>
      </c>
      <c r="CG123" t="str">
        <f ca="1">IFERROR(__xludf.DUMMYFUNCTION("""COMPUTED_VALUE"""),"domus Iacobi Filioli")</f>
        <v>domus Iacobi Filioli</v>
      </c>
      <c r="CI123" t="str">
        <f ca="1">IFERROR(__xludf.DUMMYFUNCTION("""COMPUTED_VALUE"""),"#VALUE!")</f>
        <v>#VALUE!</v>
      </c>
      <c r="CK123" t="str">
        <f ca="1">IFERROR(__xludf.DUMMYFUNCTION("""COMPUTED_VALUE"""),"#VALUE!")</f>
        <v>#VALUE!</v>
      </c>
      <c r="CS123" t="str">
        <f ca="1">IFERROR(__xludf.DUMMYFUNCTION("""COMPUTED_VALUE"""),"#VALUE!")</f>
        <v>#VALUE!</v>
      </c>
      <c r="CU123" t="str">
        <f ca="1">IFERROR(__xludf.DUMMYFUNCTION("""COMPUTED_VALUE"""),"#VALUE!")</f>
        <v>#VALUE!</v>
      </c>
      <c r="CW123" t="str">
        <f ca="1">IFERROR(__xludf.DUMMYFUNCTION("""COMPUTED_VALUE"""),"#VALUE!")</f>
        <v>#VALUE!</v>
      </c>
      <c r="CY123" t="str">
        <f ca="1">IFERROR(__xludf.DUMMYFUNCTION("""COMPUTED_VALUE"""),"#VALUE!")</f>
        <v>#VALUE!</v>
      </c>
      <c r="DC123" t="str">
        <f ca="1">IFERROR(__xludf.DUMMYFUNCTION("""COMPUTED_VALUE"""),"#VALUE!")</f>
        <v>#VALUE!</v>
      </c>
      <c r="DE123" t="str">
        <f ca="1">IFERROR(__xludf.DUMMYFUNCTION("""COMPUTED_VALUE"""),"#VALUE!")</f>
        <v>#VALUE!</v>
      </c>
      <c r="DH123" t="str">
        <f ca="1">IFERROR(__xludf.DUMMYFUNCTION("""COMPUTED_VALUE"""),"L0034")</f>
        <v>L0034</v>
      </c>
      <c r="DI123" t="str">
        <f ca="1">IFERROR(__xludf.DUMMYFUNCTION("""COMPUTED_VALUE"""),"domus Iacobi Filioli")</f>
        <v>domus Iacobi Filioli</v>
      </c>
      <c r="DJ123" t="str">
        <f ca="1">IFERROR(__xludf.DUMMYFUNCTION("""COMPUTED_VALUE"""),"domus")</f>
        <v>domus</v>
      </c>
      <c r="DL123" t="str">
        <f ca="1">IFERROR(__xludf.DUMMYFUNCTION("""COMPUTED_VALUE"""),"Davor Salihović")</f>
        <v>Davor Salihović</v>
      </c>
    </row>
    <row r="124" spans="1:116" ht="13.2" x14ac:dyDescent="0.25">
      <c r="A124" t="str">
        <f ca="1">IFERROR(__xludf.DUMMYFUNCTION("""COMPUTED_VALUE"""),"P0126")</f>
        <v>P0126</v>
      </c>
      <c r="B124" t="str">
        <f ca="1">IFERROR(__xludf.DUMMYFUNCTION("""COMPUTED_VALUE"""),"Aymonetus Tarterii")</f>
        <v>Aymonetus Tarterii</v>
      </c>
      <c r="D124" t="str">
        <f ca="1">IFERROR(__xludf.DUMMYFUNCTION("""COMPUTED_VALUE"""),"#VALUE!")</f>
        <v>#VALUE!</v>
      </c>
      <c r="E124" t="str">
        <f ca="1">IFERROR(__xludf.DUMMYFUNCTION("""COMPUTED_VALUE"""),"Aymonetus")</f>
        <v>Aymonetus</v>
      </c>
      <c r="K124" t="str">
        <f ca="1">IFERROR(__xludf.DUMMYFUNCTION("""COMPUTED_VALUE"""),"Tarterii")</f>
        <v>Tarterii</v>
      </c>
      <c r="L124" t="str">
        <f ca="1">IFERROR(__xludf.DUMMYFUNCTION("""COMPUTED_VALUE"""),"Tarterii")</f>
        <v>Tarterii</v>
      </c>
      <c r="S124" t="str">
        <f ca="1">IFERROR(__xludf.DUMMYFUNCTION("""COMPUTED_VALUE"""),"Latin")</f>
        <v>Latin</v>
      </c>
      <c r="T124" t="str">
        <f ca="1">IFERROR(__xludf.DUMMYFUNCTION("""COMPUTED_VALUE"""),"definite")</f>
        <v>definite</v>
      </c>
      <c r="U124" t="str">
        <f ca="1">IFERROR(__xludf.DUMMYFUNCTION("""COMPUTED_VALUE"""),"C2553")</f>
        <v>C2553</v>
      </c>
      <c r="V124" t="str">
        <f ca="1">IFERROR(__xludf.DUMMYFUNCTION("""COMPUTED_VALUE"""),"male")</f>
        <v>male</v>
      </c>
      <c r="Z124" t="str">
        <f ca="1">IFERROR(__xludf.DUMMYFUNCTION("""COMPUTED_VALUE"""),"168")</f>
        <v>168</v>
      </c>
      <c r="AA124" t="str">
        <f ca="1">IFERROR(__xludf.DUMMYFUNCTION("""COMPUTED_VALUE"""),"o")</f>
        <v>o</v>
      </c>
      <c r="AB124" t="str">
        <f ca="1">IFERROR(__xludf.DUMMYFUNCTION("""COMPUTED_VALUE"""),"informer")</f>
        <v>informer</v>
      </c>
      <c r="AD124" t="str">
        <f ca="1">IFERROR(__xludf.DUMMYFUNCTION("""COMPUTED_VALUE"""),"C3287")</f>
        <v>C3287</v>
      </c>
      <c r="AE124" t="str">
        <f ca="1">IFERROR(__xludf.DUMMYFUNCTION("""COMPUTED_VALUE"""),"alive")</f>
        <v>alive</v>
      </c>
      <c r="AF124" t="str">
        <f ca="1">IFERROR(__xludf.DUMMYFUNCTION("""COMPUTED_VALUE"""),"C1753")</f>
        <v>C1753</v>
      </c>
      <c r="AG124" t="str">
        <f ca="1">IFERROR(__xludf.DUMMYFUNCTION("""COMPUTED_VALUE"""),"1335-01-20")</f>
        <v>1335-01-20</v>
      </c>
      <c r="AI124" t="str">
        <f ca="1">IFERROR(__xludf.DUMMYFUNCTION("""COMPUTED_VALUE"""),"#VALUE!")</f>
        <v>#VALUE!</v>
      </c>
      <c r="AK124" t="str">
        <f ca="1">IFERROR(__xludf.DUMMYFUNCTION("""COMPUTED_VALUE"""),"#VALUE!")</f>
        <v>#VALUE!</v>
      </c>
      <c r="AM124" t="str">
        <f ca="1">IFERROR(__xludf.DUMMYFUNCTION("""COMPUTED_VALUE"""),"#VALUE!")</f>
        <v>#VALUE!</v>
      </c>
      <c r="AO124" t="str">
        <f ca="1">IFERROR(__xludf.DUMMYFUNCTION("""COMPUTED_VALUE"""),"#VALUE!")</f>
        <v>#VALUE!</v>
      </c>
      <c r="AQ124" t="str">
        <f ca="1">IFERROR(__xludf.DUMMYFUNCTION("""COMPUTED_VALUE"""),"#VALUE!")</f>
        <v>#VALUE!</v>
      </c>
      <c r="AS124" t="str">
        <f ca="1">IFERROR(__xludf.DUMMYFUNCTION("""COMPUTED_VALUE"""),"#VALUE!")</f>
        <v>#VALUE!</v>
      </c>
      <c r="AU124" t="str">
        <f ca="1">IFERROR(__xludf.DUMMYFUNCTION("""COMPUTED_VALUE"""),"#VALUE!")</f>
        <v>#VALUE!</v>
      </c>
      <c r="AW124" t="str">
        <f ca="1">IFERROR(__xludf.DUMMYFUNCTION("""COMPUTED_VALUE"""),"#VALUE!")</f>
        <v>#VALUE!</v>
      </c>
      <c r="AY124" t="str">
        <f ca="1">IFERROR(__xludf.DUMMYFUNCTION("""COMPUTED_VALUE"""),"#VALUE!")</f>
        <v>#VALUE!</v>
      </c>
      <c r="BA124" t="str">
        <f ca="1">IFERROR(__xludf.DUMMYFUNCTION("""COMPUTED_VALUE"""),"#VALUE!")</f>
        <v>#VALUE!</v>
      </c>
      <c r="BC124" t="str">
        <f ca="1">IFERROR(__xludf.DUMMYFUNCTION("""COMPUTED_VALUE"""),"#VALUE!")</f>
        <v>#VALUE!</v>
      </c>
      <c r="BE124" t="str">
        <f ca="1">IFERROR(__xludf.DUMMYFUNCTION("""COMPUTED_VALUE"""),"#VALUE!")</f>
        <v>#VALUE!</v>
      </c>
      <c r="BG124" t="str">
        <f ca="1">IFERROR(__xludf.DUMMYFUNCTION("""COMPUTED_VALUE"""),"#VALUE!")</f>
        <v>#VALUE!</v>
      </c>
      <c r="BI124" t="str">
        <f ca="1">IFERROR(__xludf.DUMMYFUNCTION("""COMPUTED_VALUE"""),"#VALUE!")</f>
        <v>#VALUE!</v>
      </c>
      <c r="BK124" t="str">
        <f ca="1">IFERROR(__xludf.DUMMYFUNCTION("""COMPUTED_VALUE"""),"#VALUE!")</f>
        <v>#VALUE!</v>
      </c>
      <c r="BM124" t="str">
        <f ca="1">IFERROR(__xludf.DUMMYFUNCTION("""COMPUTED_VALUE"""),"#VALUE!")</f>
        <v>#VALUE!</v>
      </c>
      <c r="BO124" t="str">
        <f ca="1">IFERROR(__xludf.DUMMYFUNCTION("""COMPUTED_VALUE"""),"#VALUE!")</f>
        <v>#VALUE!</v>
      </c>
      <c r="BQ124" t="str">
        <f ca="1">IFERROR(__xludf.DUMMYFUNCTION("""COMPUTED_VALUE"""),"#VALUE!")</f>
        <v>#VALUE!</v>
      </c>
      <c r="BS124" t="str">
        <f ca="1">IFERROR(__xludf.DUMMYFUNCTION("""COMPUTED_VALUE"""),"#VALUE!")</f>
        <v>#VALUE!</v>
      </c>
      <c r="BU124" t="str">
        <f ca="1">IFERROR(__xludf.DUMMYFUNCTION("""COMPUTED_VALUE"""),"#VALUE!")</f>
        <v>#VALUE!</v>
      </c>
      <c r="BW124" t="str">
        <f ca="1">IFERROR(__xludf.DUMMYFUNCTION("""COMPUTED_VALUE"""),"#VALUE!")</f>
        <v>#VALUE!</v>
      </c>
      <c r="BY124" t="str">
        <f ca="1">IFERROR(__xludf.DUMMYFUNCTION("""COMPUTED_VALUE"""),"#VALUE!")</f>
        <v>#VALUE!</v>
      </c>
      <c r="CA124" t="str">
        <f ca="1">IFERROR(__xludf.DUMMYFUNCTION("""COMPUTED_VALUE"""),"#VALUE!")</f>
        <v>#VALUE!</v>
      </c>
      <c r="CC124" t="str">
        <f ca="1">IFERROR(__xludf.DUMMYFUNCTION("""COMPUTED_VALUE"""),"#VALUE!")</f>
        <v>#VALUE!</v>
      </c>
      <c r="CE124" t="str">
        <f ca="1">IFERROR(__xludf.DUMMYFUNCTION("""COMPUTED_VALUE"""),"#VALUE!")</f>
        <v>#VALUE!</v>
      </c>
      <c r="CG124" t="str">
        <f ca="1">IFERROR(__xludf.DUMMYFUNCTION("""COMPUTED_VALUE"""),"#VALUE!")</f>
        <v>#VALUE!</v>
      </c>
      <c r="CI124" t="str">
        <f ca="1">IFERROR(__xludf.DUMMYFUNCTION("""COMPUTED_VALUE"""),"#VALUE!")</f>
        <v>#VALUE!</v>
      </c>
      <c r="CK124" t="str">
        <f ca="1">IFERROR(__xludf.DUMMYFUNCTION("""COMPUTED_VALUE"""),"#VALUE!")</f>
        <v>#VALUE!</v>
      </c>
      <c r="CS124" t="str">
        <f ca="1">IFERROR(__xludf.DUMMYFUNCTION("""COMPUTED_VALUE"""),"#VALUE!")</f>
        <v>#VALUE!</v>
      </c>
      <c r="CU124" t="str">
        <f ca="1">IFERROR(__xludf.DUMMYFUNCTION("""COMPUTED_VALUE"""),"#VALUE!")</f>
        <v>#VALUE!</v>
      </c>
      <c r="CW124" t="str">
        <f ca="1">IFERROR(__xludf.DUMMYFUNCTION("""COMPUTED_VALUE"""),"#VALUE!")</f>
        <v>#VALUE!</v>
      </c>
      <c r="CY124" t="str">
        <f ca="1">IFERROR(__xludf.DUMMYFUNCTION("""COMPUTED_VALUE"""),"#VALUE!")</f>
        <v>#VALUE!</v>
      </c>
      <c r="DC124" t="str">
        <f ca="1">IFERROR(__xludf.DUMMYFUNCTION("""COMPUTED_VALUE"""),"#VALUE!")</f>
        <v>#VALUE!</v>
      </c>
      <c r="DE124" t="str">
        <f ca="1">IFERROR(__xludf.DUMMYFUNCTION("""COMPUTED_VALUE"""),"#VALUE!")</f>
        <v>#VALUE!</v>
      </c>
      <c r="DI124" t="str">
        <f ca="1">IFERROR(__xludf.DUMMYFUNCTION("""COMPUTED_VALUE"""),"#VALUE!")</f>
        <v>#VALUE!</v>
      </c>
      <c r="DJ124" t="str">
        <f ca="1">IFERROR(__xludf.DUMMYFUNCTION("""COMPUTED_VALUE"""),"#VALUE!")</f>
        <v>#VALUE!</v>
      </c>
      <c r="DL124" t="str">
        <f ca="1">IFERROR(__xludf.DUMMYFUNCTION("""COMPUTED_VALUE"""),"Davor Salihović")</f>
        <v>Davor Salihović</v>
      </c>
    </row>
    <row r="125" spans="1:116" ht="13.2" x14ac:dyDescent="0.25">
      <c r="A125" t="str">
        <f ca="1">IFERROR(__xludf.DUMMYFUNCTION("""COMPUTED_VALUE"""),"P0127")</f>
        <v>P0127</v>
      </c>
      <c r="B125" t="str">
        <f ca="1">IFERROR(__xludf.DUMMYFUNCTION("""COMPUTED_VALUE"""),"Roxeta, uxor Michaelis de Valle Iudea")</f>
        <v>Roxeta, uxor Michaelis de Valle Iudea</v>
      </c>
      <c r="D125" t="str">
        <f ca="1">IFERROR(__xludf.DUMMYFUNCTION("""COMPUTED_VALUE"""),"#VALUE!")</f>
        <v>#VALUE!</v>
      </c>
      <c r="E125" t="str">
        <f ca="1">IFERROR(__xludf.DUMMYFUNCTION("""COMPUTED_VALUE"""),"Roxeta")</f>
        <v>Roxeta</v>
      </c>
      <c r="F125" t="str">
        <f ca="1">IFERROR(__xludf.DUMMYFUNCTION("""COMPUTED_VALUE"""),"Roseta")</f>
        <v>Roseta</v>
      </c>
      <c r="Q125" t="str">
        <f ca="1">IFERROR(__xludf.DUMMYFUNCTION("""COMPUTED_VALUE"""),"uxor Michaelis de Valle Iudea")</f>
        <v>uxor Michaelis de Valle Iudea</v>
      </c>
      <c r="S125" t="str">
        <f ca="1">IFERROR(__xludf.DUMMYFUNCTION("""COMPUTED_VALUE"""),"Latin")</f>
        <v>Latin</v>
      </c>
      <c r="T125" t="str">
        <f ca="1">IFERROR(__xludf.DUMMYFUNCTION("""COMPUTED_VALUE"""),"definite")</f>
        <v>definite</v>
      </c>
      <c r="U125" t="str">
        <f ca="1">IFERROR(__xludf.DUMMYFUNCTION("""COMPUTED_VALUE"""),"C2552")</f>
        <v>C2552</v>
      </c>
      <c r="V125" t="str">
        <f ca="1">IFERROR(__xludf.DUMMYFUNCTION("""COMPUTED_VALUE"""),"female")</f>
        <v>female</v>
      </c>
      <c r="Z125" t="str">
        <f ca="1">IFERROR(__xludf.DUMMYFUNCTION("""COMPUTED_VALUE"""),"168, 171")</f>
        <v>168, 171</v>
      </c>
      <c r="AA125" t="str">
        <f ca="1">IFERROR(__xludf.DUMMYFUNCTION("""COMPUTED_VALUE"""),"d")</f>
        <v>d</v>
      </c>
      <c r="AB125" t="str">
        <f ca="1">IFERROR(__xludf.DUMMYFUNCTION("""COMPUTED_VALUE"""),"suspect")</f>
        <v>suspect</v>
      </c>
      <c r="AD125" t="str">
        <f ca="1">IFERROR(__xludf.DUMMYFUNCTION("""COMPUTED_VALUE"""),"C3287")</f>
        <v>C3287</v>
      </c>
      <c r="AE125" t="str">
        <f ca="1">IFERROR(__xludf.DUMMYFUNCTION("""COMPUTED_VALUE"""),"alive")</f>
        <v>alive</v>
      </c>
      <c r="AF125" t="str">
        <f ca="1">IFERROR(__xludf.DUMMYFUNCTION("""COMPUTED_VALUE"""),"C1753")</f>
        <v>C1753</v>
      </c>
      <c r="AG125" t="str">
        <f ca="1">IFERROR(__xludf.DUMMYFUNCTION("""COMPUTED_VALUE"""),"1335-01-20")</f>
        <v>1335-01-20</v>
      </c>
      <c r="AI125" t="str">
        <f ca="1">IFERROR(__xludf.DUMMYFUNCTION("""COMPUTED_VALUE"""),"#VALUE!")</f>
        <v>#VALUE!</v>
      </c>
      <c r="AK125" t="str">
        <f ca="1">IFERROR(__xludf.DUMMYFUNCTION("""COMPUTED_VALUE"""),"#VALUE!")</f>
        <v>#VALUE!</v>
      </c>
      <c r="AM125" t="str">
        <f ca="1">IFERROR(__xludf.DUMMYFUNCTION("""COMPUTED_VALUE"""),"#VALUE!")</f>
        <v>#VALUE!</v>
      </c>
      <c r="AO125" t="str">
        <f ca="1">IFERROR(__xludf.DUMMYFUNCTION("""COMPUTED_VALUE"""),"#VALUE!")</f>
        <v>#VALUE!</v>
      </c>
      <c r="AQ125" t="str">
        <f ca="1">IFERROR(__xludf.DUMMYFUNCTION("""COMPUTED_VALUE"""),"#VALUE!")</f>
        <v>#VALUE!</v>
      </c>
      <c r="AS125" t="str">
        <f ca="1">IFERROR(__xludf.DUMMYFUNCTION("""COMPUTED_VALUE"""),"#VALUE!")</f>
        <v>#VALUE!</v>
      </c>
      <c r="AU125" t="str">
        <f ca="1">IFERROR(__xludf.DUMMYFUNCTION("""COMPUTED_VALUE"""),"#VALUE!")</f>
        <v>#VALUE!</v>
      </c>
      <c r="AW125" t="str">
        <f ca="1">IFERROR(__xludf.DUMMYFUNCTION("""COMPUTED_VALUE"""),"#VALUE!")</f>
        <v>#VALUE!</v>
      </c>
      <c r="AY125" t="str">
        <f ca="1">IFERROR(__xludf.DUMMYFUNCTION("""COMPUTED_VALUE"""),"#VALUE!")</f>
        <v>#VALUE!</v>
      </c>
      <c r="BA125" t="str">
        <f ca="1">IFERROR(__xludf.DUMMYFUNCTION("""COMPUTED_VALUE"""),"#VALUE!")</f>
        <v>#VALUE!</v>
      </c>
      <c r="BC125" t="str">
        <f ca="1">IFERROR(__xludf.DUMMYFUNCTION("""COMPUTED_VALUE"""),"#VALUE!")</f>
        <v>#VALUE!</v>
      </c>
      <c r="BE125" t="str">
        <f ca="1">IFERROR(__xludf.DUMMYFUNCTION("""COMPUTED_VALUE"""),"#VALUE!")</f>
        <v>#VALUE!</v>
      </c>
      <c r="BG125" t="str">
        <f ca="1">IFERROR(__xludf.DUMMYFUNCTION("""COMPUTED_VALUE"""),"#VALUE!")</f>
        <v>#VALUE!</v>
      </c>
      <c r="BI125" t="str">
        <f ca="1">IFERROR(__xludf.DUMMYFUNCTION("""COMPUTED_VALUE"""),"#VALUE!")</f>
        <v>#VALUE!</v>
      </c>
      <c r="BK125" t="str">
        <f ca="1">IFERROR(__xludf.DUMMYFUNCTION("""COMPUTED_VALUE"""),"#VALUE!")</f>
        <v>#VALUE!</v>
      </c>
      <c r="BM125" t="str">
        <f ca="1">IFERROR(__xludf.DUMMYFUNCTION("""COMPUTED_VALUE"""),"#VALUE!")</f>
        <v>#VALUE!</v>
      </c>
      <c r="BO125" t="str">
        <f ca="1">IFERROR(__xludf.DUMMYFUNCTION("""COMPUTED_VALUE"""),"#VALUE!")</f>
        <v>#VALUE!</v>
      </c>
      <c r="BQ125" t="str">
        <f ca="1">IFERROR(__xludf.DUMMYFUNCTION("""COMPUTED_VALUE"""),"#VALUE!")</f>
        <v>#VALUE!</v>
      </c>
      <c r="BS125" t="str">
        <f ca="1">IFERROR(__xludf.DUMMYFUNCTION("""COMPUTED_VALUE"""),"#VALUE!")</f>
        <v>#VALUE!</v>
      </c>
      <c r="BU125" t="str">
        <f ca="1">IFERROR(__xludf.DUMMYFUNCTION("""COMPUTED_VALUE"""),"#VALUE!")</f>
        <v>#VALUE!</v>
      </c>
      <c r="BW125" t="str">
        <f ca="1">IFERROR(__xludf.DUMMYFUNCTION("""COMPUTED_VALUE"""),"#VALUE!")</f>
        <v>#VALUE!</v>
      </c>
      <c r="BY125" t="str">
        <f ca="1">IFERROR(__xludf.DUMMYFUNCTION("""COMPUTED_VALUE"""),"#VALUE!")</f>
        <v>#VALUE!</v>
      </c>
      <c r="CA125" t="str">
        <f ca="1">IFERROR(__xludf.DUMMYFUNCTION("""COMPUTED_VALUE"""),"#VALUE!")</f>
        <v>#VALUE!</v>
      </c>
      <c r="CC125" t="str">
        <f ca="1">IFERROR(__xludf.DUMMYFUNCTION("""COMPUTED_VALUE"""),"#VALUE!")</f>
        <v>#VALUE!</v>
      </c>
      <c r="CE125" t="str">
        <f ca="1">IFERROR(__xludf.DUMMYFUNCTION("""COMPUTED_VALUE"""),"#VALUE!")</f>
        <v>#VALUE!</v>
      </c>
      <c r="CG125" t="str">
        <f ca="1">IFERROR(__xludf.DUMMYFUNCTION("""COMPUTED_VALUE"""),"#VALUE!")</f>
        <v>#VALUE!</v>
      </c>
      <c r="CI125" t="str">
        <f ca="1">IFERROR(__xludf.DUMMYFUNCTION("""COMPUTED_VALUE"""),"#VALUE!")</f>
        <v>#VALUE!</v>
      </c>
      <c r="CK125" t="str">
        <f ca="1">IFERROR(__xludf.DUMMYFUNCTION("""COMPUTED_VALUE"""),"#VALUE!")</f>
        <v>#VALUE!</v>
      </c>
      <c r="CS125" t="str">
        <f ca="1">IFERROR(__xludf.DUMMYFUNCTION("""COMPUTED_VALUE"""),"#VALUE!")</f>
        <v>#VALUE!</v>
      </c>
      <c r="CU125" t="str">
        <f ca="1">IFERROR(__xludf.DUMMYFUNCTION("""COMPUTED_VALUE"""),"#VALUE!")</f>
        <v>#VALUE!</v>
      </c>
      <c r="CW125" t="str">
        <f ca="1">IFERROR(__xludf.DUMMYFUNCTION("""COMPUTED_VALUE"""),"#VALUE!")</f>
        <v>#VALUE!</v>
      </c>
      <c r="CY125" t="str">
        <f ca="1">IFERROR(__xludf.DUMMYFUNCTION("""COMPUTED_VALUE"""),"#VALUE!")</f>
        <v>#VALUE!</v>
      </c>
      <c r="DC125" t="str">
        <f ca="1">IFERROR(__xludf.DUMMYFUNCTION("""COMPUTED_VALUE"""),"#VALUE!")</f>
        <v>#VALUE!</v>
      </c>
      <c r="DE125" t="str">
        <f ca="1">IFERROR(__xludf.DUMMYFUNCTION("""COMPUTED_VALUE"""),"#VALUE!")</f>
        <v>#VALUE!</v>
      </c>
      <c r="DF125" t="str">
        <f ca="1">IFERROR(__xludf.DUMMYFUNCTION("""COMPUTED_VALUE"""),"y")</f>
        <v>y</v>
      </c>
      <c r="DG125" t="str">
        <f ca="1">IFERROR(__xludf.DUMMYFUNCTION("""COMPUTED_VALUE"""),"171")</f>
        <v>171</v>
      </c>
      <c r="DI125" t="str">
        <f ca="1">IFERROR(__xludf.DUMMYFUNCTION("""COMPUTED_VALUE"""),"#VALUE!")</f>
        <v>#VALUE!</v>
      </c>
      <c r="DJ125" t="str">
        <f ca="1">IFERROR(__xludf.DUMMYFUNCTION("""COMPUTED_VALUE"""),"#VALUE!")</f>
        <v>#VALUE!</v>
      </c>
      <c r="DL125" t="str">
        <f ca="1">IFERROR(__xludf.DUMMYFUNCTION("""COMPUTED_VALUE"""),"Davor Salihović")</f>
        <v>Davor Salihović</v>
      </c>
    </row>
    <row r="126" spans="1:116" ht="13.2" x14ac:dyDescent="0.25">
      <c r="A126" t="str">
        <f ca="1">IFERROR(__xludf.DUMMYFUNCTION("""COMPUTED_VALUE"""),"P0128")</f>
        <v>P0128</v>
      </c>
      <c r="B126" t="str">
        <f ca="1">IFERROR(__xludf.DUMMYFUNCTION("""COMPUTED_VALUE"""),"Michael de Valle Iudea")</f>
        <v>Michael de Valle Iudea</v>
      </c>
      <c r="D126" t="str">
        <f ca="1">IFERROR(__xludf.DUMMYFUNCTION("""COMPUTED_VALUE"""),"#VALUE!")</f>
        <v>#VALUE!</v>
      </c>
      <c r="E126" t="str">
        <f ca="1">IFERROR(__xludf.DUMMYFUNCTION("""COMPUTED_VALUE"""),"Michael")</f>
        <v>Michael</v>
      </c>
      <c r="J126" t="str">
        <f ca="1">IFERROR(__xludf.DUMMYFUNCTION("""COMPUTED_VALUE"""),"de")</f>
        <v>de</v>
      </c>
      <c r="K126" t="str">
        <f ca="1">IFERROR(__xludf.DUMMYFUNCTION("""COMPUTED_VALUE"""),"Valle Iudea")</f>
        <v>Valle Iudea</v>
      </c>
      <c r="L126" t="str">
        <f ca="1">IFERROR(__xludf.DUMMYFUNCTION("""COMPUTED_VALUE"""),"de Valle Iudea")</f>
        <v>de Valle Iudea</v>
      </c>
      <c r="S126" t="str">
        <f ca="1">IFERROR(__xludf.DUMMYFUNCTION("""COMPUTED_VALUE"""),"Latin")</f>
        <v>Latin</v>
      </c>
      <c r="T126" t="str">
        <f ca="1">IFERROR(__xludf.DUMMYFUNCTION("""COMPUTED_VALUE"""),"definite")</f>
        <v>definite</v>
      </c>
      <c r="U126" t="str">
        <f ca="1">IFERROR(__xludf.DUMMYFUNCTION("""COMPUTED_VALUE"""),"C2553")</f>
        <v>C2553</v>
      </c>
      <c r="V126" t="str">
        <f ca="1">IFERROR(__xludf.DUMMYFUNCTION("""COMPUTED_VALUE"""),"male")</f>
        <v>male</v>
      </c>
      <c r="Z126" t="str">
        <f ca="1">IFERROR(__xludf.DUMMYFUNCTION("""COMPUTED_VALUE"""),"168")</f>
        <v>168</v>
      </c>
      <c r="AA126" t="str">
        <f ca="1">IFERROR(__xludf.DUMMYFUNCTION("""COMPUTED_VALUE"""),"d")</f>
        <v>d</v>
      </c>
      <c r="AB126" t="str">
        <f ca="1">IFERROR(__xludf.DUMMYFUNCTION("""COMPUTED_VALUE"""),"NA")</f>
        <v>NA</v>
      </c>
      <c r="AE126" t="str">
        <f ca="1">IFERROR(__xludf.DUMMYFUNCTION("""COMPUTED_VALUE"""),"#VALUE!")</f>
        <v>#VALUE!</v>
      </c>
      <c r="AF126" t="str">
        <f ca="1">IFERROR(__xludf.DUMMYFUNCTION("""COMPUTED_VALUE"""),"#N/A")</f>
        <v>#N/A</v>
      </c>
      <c r="AG126" t="str">
        <f ca="1">IFERROR(__xludf.DUMMYFUNCTION("""COMPUTED_VALUE"""),"#N/A")</f>
        <v>#N/A</v>
      </c>
      <c r="AH126" t="str">
        <f ca="1">IFERROR(__xludf.DUMMYFUNCTION("""COMPUTED_VALUE"""),"C2348")</f>
        <v>C2348</v>
      </c>
      <c r="AI126" t="str">
        <f ca="1">IFERROR(__xludf.DUMMYFUNCTION("""COMPUTED_VALUE"""),"wife")</f>
        <v>wife</v>
      </c>
      <c r="AJ126" t="str">
        <f ca="1">IFERROR(__xludf.DUMMYFUNCTION("""COMPUTED_VALUE"""),"P0127")</f>
        <v>P0127</v>
      </c>
      <c r="AK126" t="str">
        <f ca="1">IFERROR(__xludf.DUMMYFUNCTION("""COMPUTED_VALUE"""),"Roxeta, uxor Michaelis de Valle Iudea")</f>
        <v>Roxeta, uxor Michaelis de Valle Iudea</v>
      </c>
      <c r="AM126" t="str">
        <f ca="1">IFERROR(__xludf.DUMMYFUNCTION("""COMPUTED_VALUE"""),"#VALUE!")</f>
        <v>#VALUE!</v>
      </c>
      <c r="AO126" t="str">
        <f ca="1">IFERROR(__xludf.DUMMYFUNCTION("""COMPUTED_VALUE"""),"#VALUE!")</f>
        <v>#VALUE!</v>
      </c>
      <c r="AQ126" t="str">
        <f ca="1">IFERROR(__xludf.DUMMYFUNCTION("""COMPUTED_VALUE"""),"#VALUE!")</f>
        <v>#VALUE!</v>
      </c>
      <c r="AS126" t="str">
        <f ca="1">IFERROR(__xludf.DUMMYFUNCTION("""COMPUTED_VALUE"""),"#VALUE!")</f>
        <v>#VALUE!</v>
      </c>
      <c r="AU126" t="str">
        <f ca="1">IFERROR(__xludf.DUMMYFUNCTION("""COMPUTED_VALUE"""),"#VALUE!")</f>
        <v>#VALUE!</v>
      </c>
      <c r="AW126" t="str">
        <f ca="1">IFERROR(__xludf.DUMMYFUNCTION("""COMPUTED_VALUE"""),"#VALUE!")</f>
        <v>#VALUE!</v>
      </c>
      <c r="AY126" t="str">
        <f ca="1">IFERROR(__xludf.DUMMYFUNCTION("""COMPUTED_VALUE"""),"#VALUE!")</f>
        <v>#VALUE!</v>
      </c>
      <c r="BA126" t="str">
        <f ca="1">IFERROR(__xludf.DUMMYFUNCTION("""COMPUTED_VALUE"""),"#VALUE!")</f>
        <v>#VALUE!</v>
      </c>
      <c r="BC126" t="str">
        <f ca="1">IFERROR(__xludf.DUMMYFUNCTION("""COMPUTED_VALUE"""),"#VALUE!")</f>
        <v>#VALUE!</v>
      </c>
      <c r="BE126" t="str">
        <f ca="1">IFERROR(__xludf.DUMMYFUNCTION("""COMPUTED_VALUE"""),"#VALUE!")</f>
        <v>#VALUE!</v>
      </c>
      <c r="BG126" t="str">
        <f ca="1">IFERROR(__xludf.DUMMYFUNCTION("""COMPUTED_VALUE"""),"#VALUE!")</f>
        <v>#VALUE!</v>
      </c>
      <c r="BI126" t="str">
        <f ca="1">IFERROR(__xludf.DUMMYFUNCTION("""COMPUTED_VALUE"""),"#VALUE!")</f>
        <v>#VALUE!</v>
      </c>
      <c r="BK126" t="str">
        <f ca="1">IFERROR(__xludf.DUMMYFUNCTION("""COMPUTED_VALUE"""),"#VALUE!")</f>
        <v>#VALUE!</v>
      </c>
      <c r="BM126" t="str">
        <f ca="1">IFERROR(__xludf.DUMMYFUNCTION("""COMPUTED_VALUE"""),"#VALUE!")</f>
        <v>#VALUE!</v>
      </c>
      <c r="BO126" t="str">
        <f ca="1">IFERROR(__xludf.DUMMYFUNCTION("""COMPUTED_VALUE"""),"#VALUE!")</f>
        <v>#VALUE!</v>
      </c>
      <c r="BQ126" t="str">
        <f ca="1">IFERROR(__xludf.DUMMYFUNCTION("""COMPUTED_VALUE"""),"#VALUE!")</f>
        <v>#VALUE!</v>
      </c>
      <c r="BS126" t="str">
        <f ca="1">IFERROR(__xludf.DUMMYFUNCTION("""COMPUTED_VALUE"""),"#VALUE!")</f>
        <v>#VALUE!</v>
      </c>
      <c r="BU126" t="str">
        <f ca="1">IFERROR(__xludf.DUMMYFUNCTION("""COMPUTED_VALUE"""),"#VALUE!")</f>
        <v>#VALUE!</v>
      </c>
      <c r="BW126" t="str">
        <f ca="1">IFERROR(__xludf.DUMMYFUNCTION("""COMPUTED_VALUE"""),"#VALUE!")</f>
        <v>#VALUE!</v>
      </c>
      <c r="BY126" t="str">
        <f ca="1">IFERROR(__xludf.DUMMYFUNCTION("""COMPUTED_VALUE"""),"#VALUE!")</f>
        <v>#VALUE!</v>
      </c>
      <c r="CA126" t="str">
        <f ca="1">IFERROR(__xludf.DUMMYFUNCTION("""COMPUTED_VALUE"""),"#VALUE!")</f>
        <v>#VALUE!</v>
      </c>
      <c r="CC126" t="str">
        <f ca="1">IFERROR(__xludf.DUMMYFUNCTION("""COMPUTED_VALUE"""),"#VALUE!")</f>
        <v>#VALUE!</v>
      </c>
      <c r="CE126" t="str">
        <f ca="1">IFERROR(__xludf.DUMMYFUNCTION("""COMPUTED_VALUE"""),"#VALUE!")</f>
        <v>#VALUE!</v>
      </c>
      <c r="CG126" t="str">
        <f ca="1">IFERROR(__xludf.DUMMYFUNCTION("""COMPUTED_VALUE"""),"#VALUE!")</f>
        <v>#VALUE!</v>
      </c>
      <c r="CI126" t="str">
        <f ca="1">IFERROR(__xludf.DUMMYFUNCTION("""COMPUTED_VALUE"""),"#VALUE!")</f>
        <v>#VALUE!</v>
      </c>
      <c r="CK126" t="str">
        <f ca="1">IFERROR(__xludf.DUMMYFUNCTION("""COMPUTED_VALUE"""),"#VALUE!")</f>
        <v>#VALUE!</v>
      </c>
      <c r="CR126" t="str">
        <f ca="1">IFERROR(__xludf.DUMMYFUNCTION("""COMPUTED_VALUE"""),"L0005")</f>
        <v>L0005</v>
      </c>
      <c r="CS126" t="str">
        <f ca="1">IFERROR(__xludf.DUMMYFUNCTION("""COMPUTED_VALUE"""),"Valgioie")</f>
        <v>Valgioie</v>
      </c>
      <c r="CU126" t="str">
        <f ca="1">IFERROR(__xludf.DUMMYFUNCTION("""COMPUTED_VALUE"""),"#VALUE!")</f>
        <v>#VALUE!</v>
      </c>
      <c r="CW126" t="str">
        <f ca="1">IFERROR(__xludf.DUMMYFUNCTION("""COMPUTED_VALUE"""),"#VALUE!")</f>
        <v>#VALUE!</v>
      </c>
      <c r="CY126" t="str">
        <f ca="1">IFERROR(__xludf.DUMMYFUNCTION("""COMPUTED_VALUE"""),"#VALUE!")</f>
        <v>#VALUE!</v>
      </c>
      <c r="DC126" t="str">
        <f ca="1">IFERROR(__xludf.DUMMYFUNCTION("""COMPUTED_VALUE"""),"#VALUE!")</f>
        <v>#VALUE!</v>
      </c>
      <c r="DE126" t="str">
        <f ca="1">IFERROR(__xludf.DUMMYFUNCTION("""COMPUTED_VALUE"""),"#VALUE!")</f>
        <v>#VALUE!</v>
      </c>
      <c r="DI126" t="str">
        <f ca="1">IFERROR(__xludf.DUMMYFUNCTION("""COMPUTED_VALUE"""),"#VALUE!")</f>
        <v>#VALUE!</v>
      </c>
      <c r="DJ126" t="str">
        <f ca="1">IFERROR(__xludf.DUMMYFUNCTION("""COMPUTED_VALUE"""),"#VALUE!")</f>
        <v>#VALUE!</v>
      </c>
      <c r="DL126" t="str">
        <f ca="1">IFERROR(__xludf.DUMMYFUNCTION("""COMPUTED_VALUE"""),"Davor Salihović")</f>
        <v>Davor Salihović</v>
      </c>
    </row>
    <row r="127" spans="1:116" ht="13.2" x14ac:dyDescent="0.25">
      <c r="A127" t="str">
        <f ca="1">IFERROR(__xludf.DUMMYFUNCTION("""COMPUTED_VALUE"""),"P0129")</f>
        <v>P0129</v>
      </c>
      <c r="B127" t="str">
        <f ca="1">IFERROR(__xludf.DUMMYFUNCTION("""COMPUTED_VALUE"""),"Nicoletus de Boteto")</f>
        <v>Nicoletus de Boteto</v>
      </c>
      <c r="D127" t="str">
        <f ca="1">IFERROR(__xludf.DUMMYFUNCTION("""COMPUTED_VALUE"""),"#VALUE!")</f>
        <v>#VALUE!</v>
      </c>
      <c r="E127" t="str">
        <f ca="1">IFERROR(__xludf.DUMMYFUNCTION("""COMPUTED_VALUE"""),"Nicoletus")</f>
        <v>Nicoletus</v>
      </c>
      <c r="J127" t="str">
        <f ca="1">IFERROR(__xludf.DUMMYFUNCTION("""COMPUTED_VALUE"""),"de")</f>
        <v>de</v>
      </c>
      <c r="K127" t="str">
        <f ca="1">IFERROR(__xludf.DUMMYFUNCTION("""COMPUTED_VALUE"""),"Boteto")</f>
        <v>Boteto</v>
      </c>
      <c r="L127" t="str">
        <f ca="1">IFERROR(__xludf.DUMMYFUNCTION("""COMPUTED_VALUE"""),"de Boteto")</f>
        <v>de Boteto</v>
      </c>
      <c r="P127" t="str">
        <f ca="1">IFERROR(__xludf.DUMMYFUNCTION("""COMPUTED_VALUE"""),"de Laterio")</f>
        <v>de Laterio</v>
      </c>
      <c r="Q127" t="str">
        <f ca="1">IFERROR(__xludf.DUMMYFUNCTION("""COMPUTED_VALUE"""),"Bastardus")</f>
        <v>Bastardus</v>
      </c>
      <c r="S127" t="str">
        <f ca="1">IFERROR(__xludf.DUMMYFUNCTION("""COMPUTED_VALUE"""),"Latin")</f>
        <v>Latin</v>
      </c>
      <c r="T127" t="str">
        <f ca="1">IFERROR(__xludf.DUMMYFUNCTION("""COMPUTED_VALUE"""),"definite")</f>
        <v>definite</v>
      </c>
      <c r="U127" t="str">
        <f ca="1">IFERROR(__xludf.DUMMYFUNCTION("""COMPUTED_VALUE"""),"C2553")</f>
        <v>C2553</v>
      </c>
      <c r="V127" t="str">
        <f ca="1">IFERROR(__xludf.DUMMYFUNCTION("""COMPUTED_VALUE"""),"male")</f>
        <v>male</v>
      </c>
      <c r="Z127" t="str">
        <f ca="1">IFERROR(__xludf.DUMMYFUNCTION("""COMPUTED_VALUE"""),"168, 171")</f>
        <v>168, 171</v>
      </c>
      <c r="AA127" t="str">
        <f ca="1">IFERROR(__xludf.DUMMYFUNCTION("""COMPUTED_VALUE"""),"d")</f>
        <v>d</v>
      </c>
      <c r="AB127" t="str">
        <f ca="1">IFERROR(__xludf.DUMMYFUNCTION("""COMPUTED_VALUE"""),"suspect")</f>
        <v>suspect</v>
      </c>
      <c r="AD127" t="str">
        <f ca="1">IFERROR(__xludf.DUMMYFUNCTION("""COMPUTED_VALUE"""),"C3287")</f>
        <v>C3287</v>
      </c>
      <c r="AE127" t="str">
        <f ca="1">IFERROR(__xludf.DUMMYFUNCTION("""COMPUTED_VALUE"""),"alive")</f>
        <v>alive</v>
      </c>
      <c r="AF127" t="str">
        <f ca="1">IFERROR(__xludf.DUMMYFUNCTION("""COMPUTED_VALUE"""),"C1753")</f>
        <v>C1753</v>
      </c>
      <c r="AG127" t="str">
        <f ca="1">IFERROR(__xludf.DUMMYFUNCTION("""COMPUTED_VALUE"""),"1335-01-20")</f>
        <v>1335-01-20</v>
      </c>
      <c r="AI127" t="str">
        <f ca="1">IFERROR(__xludf.DUMMYFUNCTION("""COMPUTED_VALUE"""),"#VALUE!")</f>
        <v>#VALUE!</v>
      </c>
      <c r="AK127" t="str">
        <f ca="1">IFERROR(__xludf.DUMMYFUNCTION("""COMPUTED_VALUE"""),"#VALUE!")</f>
        <v>#VALUE!</v>
      </c>
      <c r="AM127" t="str">
        <f ca="1">IFERROR(__xludf.DUMMYFUNCTION("""COMPUTED_VALUE"""),"#VALUE!")</f>
        <v>#VALUE!</v>
      </c>
      <c r="AO127" t="str">
        <f ca="1">IFERROR(__xludf.DUMMYFUNCTION("""COMPUTED_VALUE"""),"#VALUE!")</f>
        <v>#VALUE!</v>
      </c>
      <c r="AQ127" t="str">
        <f ca="1">IFERROR(__xludf.DUMMYFUNCTION("""COMPUTED_VALUE"""),"#VALUE!")</f>
        <v>#VALUE!</v>
      </c>
      <c r="AS127" t="str">
        <f ca="1">IFERROR(__xludf.DUMMYFUNCTION("""COMPUTED_VALUE"""),"#VALUE!")</f>
        <v>#VALUE!</v>
      </c>
      <c r="AU127" t="str">
        <f ca="1">IFERROR(__xludf.DUMMYFUNCTION("""COMPUTED_VALUE"""),"#VALUE!")</f>
        <v>#VALUE!</v>
      </c>
      <c r="AW127" t="str">
        <f ca="1">IFERROR(__xludf.DUMMYFUNCTION("""COMPUTED_VALUE"""),"#VALUE!")</f>
        <v>#VALUE!</v>
      </c>
      <c r="AY127" t="str">
        <f ca="1">IFERROR(__xludf.DUMMYFUNCTION("""COMPUTED_VALUE"""),"#VALUE!")</f>
        <v>#VALUE!</v>
      </c>
      <c r="BA127" t="str">
        <f ca="1">IFERROR(__xludf.DUMMYFUNCTION("""COMPUTED_VALUE"""),"#VALUE!")</f>
        <v>#VALUE!</v>
      </c>
      <c r="BC127" t="str">
        <f ca="1">IFERROR(__xludf.DUMMYFUNCTION("""COMPUTED_VALUE"""),"#VALUE!")</f>
        <v>#VALUE!</v>
      </c>
      <c r="BE127" t="str">
        <f ca="1">IFERROR(__xludf.DUMMYFUNCTION("""COMPUTED_VALUE"""),"#VALUE!")</f>
        <v>#VALUE!</v>
      </c>
      <c r="BG127" t="str">
        <f ca="1">IFERROR(__xludf.DUMMYFUNCTION("""COMPUTED_VALUE"""),"#VALUE!")</f>
        <v>#VALUE!</v>
      </c>
      <c r="BI127" t="str">
        <f ca="1">IFERROR(__xludf.DUMMYFUNCTION("""COMPUTED_VALUE"""),"#VALUE!")</f>
        <v>#VALUE!</v>
      </c>
      <c r="BK127" t="str">
        <f ca="1">IFERROR(__xludf.DUMMYFUNCTION("""COMPUTED_VALUE"""),"#VALUE!")</f>
        <v>#VALUE!</v>
      </c>
      <c r="BM127" t="str">
        <f ca="1">IFERROR(__xludf.DUMMYFUNCTION("""COMPUTED_VALUE"""),"#VALUE!")</f>
        <v>#VALUE!</v>
      </c>
      <c r="BO127" t="str">
        <f ca="1">IFERROR(__xludf.DUMMYFUNCTION("""COMPUTED_VALUE"""),"#VALUE!")</f>
        <v>#VALUE!</v>
      </c>
      <c r="BQ127" t="str">
        <f ca="1">IFERROR(__xludf.DUMMYFUNCTION("""COMPUTED_VALUE"""),"#VALUE!")</f>
        <v>#VALUE!</v>
      </c>
      <c r="BS127" t="str">
        <f ca="1">IFERROR(__xludf.DUMMYFUNCTION("""COMPUTED_VALUE"""),"#VALUE!")</f>
        <v>#VALUE!</v>
      </c>
      <c r="BU127" t="str">
        <f ca="1">IFERROR(__xludf.DUMMYFUNCTION("""COMPUTED_VALUE"""),"#VALUE!")</f>
        <v>#VALUE!</v>
      </c>
      <c r="BW127" t="str">
        <f ca="1">IFERROR(__xludf.DUMMYFUNCTION("""COMPUTED_VALUE"""),"#VALUE!")</f>
        <v>#VALUE!</v>
      </c>
      <c r="BY127" t="str">
        <f ca="1">IFERROR(__xludf.DUMMYFUNCTION("""COMPUTED_VALUE"""),"#VALUE!")</f>
        <v>#VALUE!</v>
      </c>
      <c r="CA127" t="str">
        <f ca="1">IFERROR(__xludf.DUMMYFUNCTION("""COMPUTED_VALUE"""),"#VALUE!")</f>
        <v>#VALUE!</v>
      </c>
      <c r="CC127" t="str">
        <f ca="1">IFERROR(__xludf.DUMMYFUNCTION("""COMPUTED_VALUE"""),"#VALUE!")</f>
        <v>#VALUE!</v>
      </c>
      <c r="CE127" t="str">
        <f ca="1">IFERROR(__xludf.DUMMYFUNCTION("""COMPUTED_VALUE"""),"#VALUE!")</f>
        <v>#VALUE!</v>
      </c>
      <c r="CG127" t="str">
        <f ca="1">IFERROR(__xludf.DUMMYFUNCTION("""COMPUTED_VALUE"""),"#VALUE!")</f>
        <v>#VALUE!</v>
      </c>
      <c r="CI127" t="str">
        <f ca="1">IFERROR(__xludf.DUMMYFUNCTION("""COMPUTED_VALUE"""),"#VALUE!")</f>
        <v>#VALUE!</v>
      </c>
      <c r="CK127" t="str">
        <f ca="1">IFERROR(__xludf.DUMMYFUNCTION("""COMPUTED_VALUE"""),"#VALUE!")</f>
        <v>#VALUE!</v>
      </c>
      <c r="CL127" t="str">
        <f ca="1">IFERROR(__xludf.DUMMYFUNCTION("""COMPUTED_VALUE"""),"de")</f>
        <v>de</v>
      </c>
      <c r="CO127" t="str">
        <f ca="1">IFERROR(__xludf.DUMMYFUNCTION("""COMPUTED_VALUE"""),"Laterio")</f>
        <v>Laterio</v>
      </c>
      <c r="CS127" t="str">
        <f ca="1">IFERROR(__xludf.DUMMYFUNCTION("""COMPUTED_VALUE"""),"#VALUE!")</f>
        <v>#VALUE!</v>
      </c>
      <c r="CU127" t="str">
        <f ca="1">IFERROR(__xludf.DUMMYFUNCTION("""COMPUTED_VALUE"""),"#VALUE!")</f>
        <v>#VALUE!</v>
      </c>
      <c r="CW127" t="str">
        <f ca="1">IFERROR(__xludf.DUMMYFUNCTION("""COMPUTED_VALUE"""),"#VALUE!")</f>
        <v>#VALUE!</v>
      </c>
      <c r="CY127" t="str">
        <f ca="1">IFERROR(__xludf.DUMMYFUNCTION("""COMPUTED_VALUE"""),"#VALUE!")</f>
        <v>#VALUE!</v>
      </c>
      <c r="DC127" t="str">
        <f ca="1">IFERROR(__xludf.DUMMYFUNCTION("""COMPUTED_VALUE"""),"#VALUE!")</f>
        <v>#VALUE!</v>
      </c>
      <c r="DE127" t="str">
        <f ca="1">IFERROR(__xludf.DUMMYFUNCTION("""COMPUTED_VALUE"""),"#VALUE!")</f>
        <v>#VALUE!</v>
      </c>
      <c r="DF127" t="str">
        <f ca="1">IFERROR(__xludf.DUMMYFUNCTION("""COMPUTED_VALUE"""),"y")</f>
        <v>y</v>
      </c>
      <c r="DG127" t="str">
        <f ca="1">IFERROR(__xludf.DUMMYFUNCTION("""COMPUTED_VALUE"""),"171")</f>
        <v>171</v>
      </c>
      <c r="DI127" t="str">
        <f ca="1">IFERROR(__xludf.DUMMYFUNCTION("""COMPUTED_VALUE"""),"#VALUE!")</f>
        <v>#VALUE!</v>
      </c>
      <c r="DJ127" t="str">
        <f ca="1">IFERROR(__xludf.DUMMYFUNCTION("""COMPUTED_VALUE"""),"#VALUE!")</f>
        <v>#VALUE!</v>
      </c>
      <c r="DL127" t="str">
        <f ca="1">IFERROR(__xludf.DUMMYFUNCTION("""COMPUTED_VALUE"""),"Davor Salihović")</f>
        <v>Davor Salihović</v>
      </c>
    </row>
    <row r="128" spans="1:116" ht="13.2" x14ac:dyDescent="0.25">
      <c r="A128" t="str">
        <f ca="1">IFERROR(__xludf.DUMMYFUNCTION("""COMPUTED_VALUE"""),"P0130")</f>
        <v>P0130</v>
      </c>
      <c r="B128" t="str">
        <f ca="1">IFERROR(__xludf.DUMMYFUNCTION("""COMPUTED_VALUE"""),"Iacobinus Bernardi")</f>
        <v>Iacobinus Bernardi</v>
      </c>
      <c r="D128" t="str">
        <f ca="1">IFERROR(__xludf.DUMMYFUNCTION("""COMPUTED_VALUE"""),"#VALUE!")</f>
        <v>#VALUE!</v>
      </c>
      <c r="E128" t="str">
        <f ca="1">IFERROR(__xludf.DUMMYFUNCTION("""COMPUTED_VALUE"""),"Iacobinus")</f>
        <v>Iacobinus</v>
      </c>
      <c r="F128" t="str">
        <f ca="1">IFERROR(__xludf.DUMMYFUNCTION("""COMPUTED_VALUE"""),"Iacobus")</f>
        <v>Iacobus</v>
      </c>
      <c r="K128" t="str">
        <f ca="1">IFERROR(__xludf.DUMMYFUNCTION("""COMPUTED_VALUE"""),"Bernardi")</f>
        <v>Bernardi</v>
      </c>
      <c r="L128" t="str">
        <f ca="1">IFERROR(__xludf.DUMMYFUNCTION("""COMPUTED_VALUE"""),"Bernardi")</f>
        <v>Bernardi</v>
      </c>
      <c r="P128" t="str">
        <f ca="1">IFERROR(__xludf.DUMMYFUNCTION("""COMPUTED_VALUE"""),"de Bernardo")</f>
        <v>de Bernardo</v>
      </c>
      <c r="S128" t="str">
        <f ca="1">IFERROR(__xludf.DUMMYFUNCTION("""COMPUTED_VALUE"""),"Latin")</f>
        <v>Latin</v>
      </c>
      <c r="T128" t="str">
        <f ca="1">IFERROR(__xludf.DUMMYFUNCTION("""COMPUTED_VALUE"""),"definite")</f>
        <v>definite</v>
      </c>
      <c r="U128" t="str">
        <f ca="1">IFERROR(__xludf.DUMMYFUNCTION("""COMPUTED_VALUE"""),"C2553")</f>
        <v>C2553</v>
      </c>
      <c r="V128" t="str">
        <f ca="1">IFERROR(__xludf.DUMMYFUNCTION("""COMPUTED_VALUE"""),"male")</f>
        <v>male</v>
      </c>
      <c r="Z128" t="str">
        <f ca="1">IFERROR(__xludf.DUMMYFUNCTION("""COMPUTED_VALUE"""),"168, 178, 179, 180, 188, 196, 199, 200, 201, 202, 203, 204, 205, 207, 222, 223, 228, 237, 240, 250, 253, 255")</f>
        <v>168, 178, 179, 180, 188, 196, 199, 200, 201, 202, 203, 204, 205, 207, 222, 223, 228, 237, 240, 250, 253, 255</v>
      </c>
      <c r="AA128" t="str">
        <f ca="1">IFERROR(__xludf.DUMMYFUNCTION("""COMPUTED_VALUE"""),"d")</f>
        <v>d</v>
      </c>
      <c r="AB128" t="str">
        <f ca="1">IFERROR(__xludf.DUMMYFUNCTION("""COMPUTED_VALUE"""),"suspect")</f>
        <v>suspect</v>
      </c>
      <c r="AD128" t="str">
        <f ca="1">IFERROR(__xludf.DUMMYFUNCTION("""COMPUTED_VALUE"""),"C3287")</f>
        <v>C3287</v>
      </c>
      <c r="AE128" t="str">
        <f ca="1">IFERROR(__xludf.DUMMYFUNCTION("""COMPUTED_VALUE"""),"alive")</f>
        <v>alive</v>
      </c>
      <c r="AF128" t="str">
        <f ca="1">IFERROR(__xludf.DUMMYFUNCTION("""COMPUTED_VALUE"""),"C1753")</f>
        <v>C1753</v>
      </c>
      <c r="AG128" t="str">
        <f ca="1">IFERROR(__xludf.DUMMYFUNCTION("""COMPUTED_VALUE"""),"1335-01-20")</f>
        <v>1335-01-20</v>
      </c>
      <c r="AH128" t="str">
        <f ca="1">IFERROR(__xludf.DUMMYFUNCTION("""COMPUTED_VALUE"""),"C2337")</f>
        <v>C2337</v>
      </c>
      <c r="AI128" t="str">
        <f ca="1">IFERROR(__xludf.DUMMYFUNCTION("""COMPUTED_VALUE"""),"brother")</f>
        <v>brother</v>
      </c>
      <c r="AJ128" t="str">
        <f ca="1">IFERROR(__xludf.DUMMYFUNCTION("""COMPUTED_VALUE"""),"P0209")</f>
        <v>P0209</v>
      </c>
      <c r="AK128" t="str">
        <f ca="1">IFERROR(__xludf.DUMMYFUNCTION("""COMPUTED_VALUE"""),"Iohannes Bernardi")</f>
        <v>Iohannes Bernardi</v>
      </c>
      <c r="AL128" t="str">
        <f ca="1">IFERROR(__xludf.DUMMYFUNCTION("""COMPUTED_VALUE"""),"C2348")</f>
        <v>C2348</v>
      </c>
      <c r="AM128" t="str">
        <f ca="1">IFERROR(__xludf.DUMMYFUNCTION("""COMPUTED_VALUE"""),"wife")</f>
        <v>wife</v>
      </c>
      <c r="AN128" t="str">
        <f ca="1">IFERROR(__xludf.DUMMYFUNCTION("""COMPUTED_VALUE"""),"P0273")</f>
        <v>P0273</v>
      </c>
      <c r="AO128" t="str">
        <f ca="1">IFERROR(__xludf.DUMMYFUNCTION("""COMPUTED_VALUE"""),"Broxia, uxor Iacobini Bernardi")</f>
        <v>Broxia, uxor Iacobini Bernardi</v>
      </c>
      <c r="AP128" t="str">
        <f ca="1">IFERROR(__xludf.DUMMYFUNCTION("""COMPUTED_VALUE"""),"C0147")</f>
        <v>C0147</v>
      </c>
      <c r="AQ128" t="str">
        <f ca="1">IFERROR(__xludf.DUMMYFUNCTION("""COMPUTED_VALUE"""),"warrantor")</f>
        <v>warrantor</v>
      </c>
      <c r="AR128" t="str">
        <f ca="1">IFERROR(__xludf.DUMMYFUNCTION("""COMPUTED_VALUE"""),"P0209")</f>
        <v>P0209</v>
      </c>
      <c r="AS128" t="str">
        <f ca="1">IFERROR(__xludf.DUMMYFUNCTION("""COMPUTED_VALUE"""),"Iohannes Bernardi")</f>
        <v>Iohannes Bernardi</v>
      </c>
      <c r="AU128" t="str">
        <f ca="1">IFERROR(__xludf.DUMMYFUNCTION("""COMPUTED_VALUE"""),"#VALUE!")</f>
        <v>#VALUE!</v>
      </c>
      <c r="AW128" t="str">
        <f ca="1">IFERROR(__xludf.DUMMYFUNCTION("""COMPUTED_VALUE"""),"#VALUE!")</f>
        <v>#VALUE!</v>
      </c>
      <c r="AY128" t="str">
        <f ca="1">IFERROR(__xludf.DUMMYFUNCTION("""COMPUTED_VALUE"""),"#VALUE!")</f>
        <v>#VALUE!</v>
      </c>
      <c r="BA128" t="str">
        <f ca="1">IFERROR(__xludf.DUMMYFUNCTION("""COMPUTED_VALUE"""),"#VALUE!")</f>
        <v>#VALUE!</v>
      </c>
      <c r="BC128" t="str">
        <f ca="1">IFERROR(__xludf.DUMMYFUNCTION("""COMPUTED_VALUE"""),"#VALUE!")</f>
        <v>#VALUE!</v>
      </c>
      <c r="BE128" t="str">
        <f ca="1">IFERROR(__xludf.DUMMYFUNCTION("""COMPUTED_VALUE"""),"#VALUE!")</f>
        <v>#VALUE!</v>
      </c>
      <c r="BG128" t="str">
        <f ca="1">IFERROR(__xludf.DUMMYFUNCTION("""COMPUTED_VALUE"""),"#VALUE!")</f>
        <v>#VALUE!</v>
      </c>
      <c r="BI128" t="str">
        <f ca="1">IFERROR(__xludf.DUMMYFUNCTION("""COMPUTED_VALUE"""),"#VALUE!")</f>
        <v>#VALUE!</v>
      </c>
      <c r="BK128" t="str">
        <f ca="1">IFERROR(__xludf.DUMMYFUNCTION("""COMPUTED_VALUE"""),"#VALUE!")</f>
        <v>#VALUE!</v>
      </c>
      <c r="BM128" t="str">
        <f ca="1">IFERROR(__xludf.DUMMYFUNCTION("""COMPUTED_VALUE"""),"#VALUE!")</f>
        <v>#VALUE!</v>
      </c>
      <c r="BO128" t="str">
        <f ca="1">IFERROR(__xludf.DUMMYFUNCTION("""COMPUTED_VALUE"""),"#VALUE!")</f>
        <v>#VALUE!</v>
      </c>
      <c r="BQ128" t="str">
        <f ca="1">IFERROR(__xludf.DUMMYFUNCTION("""COMPUTED_VALUE"""),"#VALUE!")</f>
        <v>#VALUE!</v>
      </c>
      <c r="BS128" t="str">
        <f ca="1">IFERROR(__xludf.DUMMYFUNCTION("""COMPUTED_VALUE"""),"#VALUE!")</f>
        <v>#VALUE!</v>
      </c>
      <c r="BU128" t="str">
        <f ca="1">IFERROR(__xludf.DUMMYFUNCTION("""COMPUTED_VALUE"""),"#VALUE!")</f>
        <v>#VALUE!</v>
      </c>
      <c r="BW128" t="str">
        <f ca="1">IFERROR(__xludf.DUMMYFUNCTION("""COMPUTED_VALUE"""),"#VALUE!")</f>
        <v>#VALUE!</v>
      </c>
      <c r="BY128" t="str">
        <f ca="1">IFERROR(__xludf.DUMMYFUNCTION("""COMPUTED_VALUE"""),"#VALUE!")</f>
        <v>#VALUE!</v>
      </c>
      <c r="CA128" t="str">
        <f ca="1">IFERROR(__xludf.DUMMYFUNCTION("""COMPUTED_VALUE"""),"#VALUE!")</f>
        <v>#VALUE!</v>
      </c>
      <c r="CC128" t="str">
        <f ca="1">IFERROR(__xludf.DUMMYFUNCTION("""COMPUTED_VALUE"""),"#VALUE!")</f>
        <v>#VALUE!</v>
      </c>
      <c r="CD128" t="str">
        <f ca="1">IFERROR(__xludf.DUMMYFUNCTION("""COMPUTED_VALUE"""),"C3598")</f>
        <v>C3598</v>
      </c>
      <c r="CE128" t="str">
        <f ca="1">IFERROR(__xludf.DUMMYFUNCTION("""COMPUTED_VALUE"""),"location of congregation")</f>
        <v>location of congregation</v>
      </c>
      <c r="CF128" t="str">
        <f ca="1">IFERROR(__xludf.DUMMYFUNCTION("""COMPUTED_VALUE"""),"L0082#L0079#L0032#L0084")</f>
        <v>L0082#L0079#L0032#L0084</v>
      </c>
      <c r="CG128" t="str">
        <f ca="1">IFERROR(__xludf.DUMMYFUNCTION("""COMPUTED_VALUE"""),"domus Iacobi Bernardi de Villanova #domus Martinii Dominici #domus Villelmi de Oddo #domus Boneti de Girardo")</f>
        <v>domus Iacobi Bernardi de Villanova #domus Martinii Dominici #domus Villelmi de Oddo #domus Boneti de Girardo</v>
      </c>
      <c r="CH128" t="str">
        <f ca="1">IFERROR(__xludf.DUMMYFUNCTION("""COMPUTED_VALUE"""),"P0209")</f>
        <v>P0209</v>
      </c>
      <c r="CI128" t="str">
        <f ca="1">IFERROR(__xludf.DUMMYFUNCTION("""COMPUTED_VALUE"""),"Iohannes Bernardi")</f>
        <v>Iohannes Bernardi</v>
      </c>
      <c r="CK128" t="str">
        <f ca="1">IFERROR(__xludf.DUMMYFUNCTION("""COMPUTED_VALUE"""),"#VALUE!")</f>
        <v>#VALUE!</v>
      </c>
      <c r="CL128" t="str">
        <f ca="1">IFERROR(__xludf.DUMMYFUNCTION("""COMPUTED_VALUE"""),"de")</f>
        <v>de</v>
      </c>
      <c r="CO128" t="str">
        <f ca="1">IFERROR(__xludf.DUMMYFUNCTION("""COMPUTED_VALUE"""),"Bernardo")</f>
        <v>Bernardo</v>
      </c>
      <c r="CR128" t="str">
        <f ca="1">IFERROR(__xludf.DUMMYFUNCTION("""COMPUTED_VALUE"""),"L0024")</f>
        <v>L0024</v>
      </c>
      <c r="CS128" t="str">
        <f ca="1">IFERROR(__xludf.DUMMYFUNCTION("""COMPUTED_VALUE"""),"Villanova")</f>
        <v>Villanova</v>
      </c>
      <c r="CU128" t="str">
        <f ca="1">IFERROR(__xludf.DUMMYFUNCTION("""COMPUTED_VALUE"""),"#VALUE!")</f>
        <v>#VALUE!</v>
      </c>
      <c r="CW128" t="str">
        <f ca="1">IFERROR(__xludf.DUMMYFUNCTION("""COMPUTED_VALUE"""),"#VALUE!")</f>
        <v>#VALUE!</v>
      </c>
      <c r="CY128" t="str">
        <f ca="1">IFERROR(__xludf.DUMMYFUNCTION("""COMPUTED_VALUE"""),"#VALUE!")</f>
        <v>#VALUE!</v>
      </c>
      <c r="DC128" t="str">
        <f ca="1">IFERROR(__xludf.DUMMYFUNCTION("""COMPUTED_VALUE"""),"#VALUE!")</f>
        <v>#VALUE!</v>
      </c>
      <c r="DE128" t="str">
        <f ca="1">IFERROR(__xludf.DUMMYFUNCTION("""COMPUTED_VALUE"""),"#VALUE!")</f>
        <v>#VALUE!</v>
      </c>
      <c r="DF128" t="str">
        <f ca="1">IFERROR(__xludf.DUMMYFUNCTION("""COMPUTED_VALUE"""),"y")</f>
        <v>y</v>
      </c>
      <c r="DG128" t="str">
        <f ca="1">IFERROR(__xludf.DUMMYFUNCTION("""COMPUTED_VALUE"""),"180")</f>
        <v>180</v>
      </c>
      <c r="DH128" t="str">
        <f ca="1">IFERROR(__xludf.DUMMYFUNCTION("""COMPUTED_VALUE"""),"L0082#L0079#L0032#L0084")</f>
        <v>L0082#L0079#L0032#L0084</v>
      </c>
      <c r="DI128" t="str">
        <f ca="1">IFERROR(__xludf.DUMMYFUNCTION("""COMPUTED_VALUE"""),"domus Iacobi Bernardi de Villanova #domus Martinii Dominici #domus Villelmi de Oddo #domus Boneti de Girardo")</f>
        <v>domus Iacobi Bernardi de Villanova #domus Martinii Dominici #domus Villelmi de Oddo #domus Boneti de Girardo</v>
      </c>
      <c r="DJ128" t="str">
        <f ca="1">IFERROR(__xludf.DUMMYFUNCTION("""COMPUTED_VALUE"""),"domus #domus #domus #domus")</f>
        <v>domus #domus #domus #domus</v>
      </c>
      <c r="DL128" t="str">
        <f ca="1">IFERROR(__xludf.DUMMYFUNCTION("""COMPUTED_VALUE"""),"Davor Salihović")</f>
        <v>Davor Salihović</v>
      </c>
    </row>
    <row r="129" spans="1:116" ht="13.2" x14ac:dyDescent="0.25">
      <c r="A129" t="str">
        <f ca="1">IFERROR(__xludf.DUMMYFUNCTION("""COMPUTED_VALUE"""),"P0131")</f>
        <v>P0131</v>
      </c>
      <c r="B129" t="str">
        <f ca="1">IFERROR(__xludf.DUMMYFUNCTION("""COMPUTED_VALUE"""),"Villelmus de Salamone")</f>
        <v>Villelmus de Salamone</v>
      </c>
      <c r="D129" t="str">
        <f ca="1">IFERROR(__xludf.DUMMYFUNCTION("""COMPUTED_VALUE"""),"#VALUE!")</f>
        <v>#VALUE!</v>
      </c>
      <c r="E129" t="str">
        <f ca="1">IFERROR(__xludf.DUMMYFUNCTION("""COMPUTED_VALUE"""),"Villelmus")</f>
        <v>Villelmus</v>
      </c>
      <c r="J129" t="str">
        <f ca="1">IFERROR(__xludf.DUMMYFUNCTION("""COMPUTED_VALUE"""),"de")</f>
        <v>de</v>
      </c>
      <c r="K129" t="str">
        <f ca="1">IFERROR(__xludf.DUMMYFUNCTION("""COMPUTED_VALUE"""),"Salamone")</f>
        <v>Salamone</v>
      </c>
      <c r="L129" t="str">
        <f ca="1">IFERROR(__xludf.DUMMYFUNCTION("""COMPUTED_VALUE"""),"de Salamone")</f>
        <v>de Salamone</v>
      </c>
      <c r="S129" t="str">
        <f ca="1">IFERROR(__xludf.DUMMYFUNCTION("""COMPUTED_VALUE"""),"Latin")</f>
        <v>Latin</v>
      </c>
      <c r="T129" t="str">
        <f ca="1">IFERROR(__xludf.DUMMYFUNCTION("""COMPUTED_VALUE"""),"definite")</f>
        <v>definite</v>
      </c>
      <c r="U129" t="str">
        <f ca="1">IFERROR(__xludf.DUMMYFUNCTION("""COMPUTED_VALUE"""),"C2553")</f>
        <v>C2553</v>
      </c>
      <c r="V129" t="str">
        <f ca="1">IFERROR(__xludf.DUMMYFUNCTION("""COMPUTED_VALUE"""),"male")</f>
        <v>male</v>
      </c>
      <c r="Z129" t="str">
        <f ca="1">IFERROR(__xludf.DUMMYFUNCTION("""COMPUTED_VALUE"""),"169")</f>
        <v>169</v>
      </c>
      <c r="AA129" t="str">
        <f ca="1">IFERROR(__xludf.DUMMYFUNCTION("""COMPUTED_VALUE"""),"o")</f>
        <v>o</v>
      </c>
      <c r="AB129" t="str">
        <f ca="1">IFERROR(__xludf.DUMMYFUNCTION("""COMPUTED_VALUE"""),"informer")</f>
        <v>informer</v>
      </c>
      <c r="AD129" t="str">
        <f ca="1">IFERROR(__xludf.DUMMYFUNCTION("""COMPUTED_VALUE"""),"C3287")</f>
        <v>C3287</v>
      </c>
      <c r="AE129" t="str">
        <f ca="1">IFERROR(__xludf.DUMMYFUNCTION("""COMPUTED_VALUE"""),"alive")</f>
        <v>alive</v>
      </c>
      <c r="AF129" t="str">
        <f ca="1">IFERROR(__xludf.DUMMYFUNCTION("""COMPUTED_VALUE"""),"C1753")</f>
        <v>C1753</v>
      </c>
      <c r="AG129" t="str">
        <f ca="1">IFERROR(__xludf.DUMMYFUNCTION("""COMPUTED_VALUE"""),"1335-01-20")</f>
        <v>1335-01-20</v>
      </c>
      <c r="AI129" t="str">
        <f ca="1">IFERROR(__xludf.DUMMYFUNCTION("""COMPUTED_VALUE"""),"#VALUE!")</f>
        <v>#VALUE!</v>
      </c>
      <c r="AK129" t="str">
        <f ca="1">IFERROR(__xludf.DUMMYFUNCTION("""COMPUTED_VALUE"""),"#VALUE!")</f>
        <v>#VALUE!</v>
      </c>
      <c r="AM129" t="str">
        <f ca="1">IFERROR(__xludf.DUMMYFUNCTION("""COMPUTED_VALUE"""),"#VALUE!")</f>
        <v>#VALUE!</v>
      </c>
      <c r="AO129" t="str">
        <f ca="1">IFERROR(__xludf.DUMMYFUNCTION("""COMPUTED_VALUE"""),"#VALUE!")</f>
        <v>#VALUE!</v>
      </c>
      <c r="AQ129" t="str">
        <f ca="1">IFERROR(__xludf.DUMMYFUNCTION("""COMPUTED_VALUE"""),"#VALUE!")</f>
        <v>#VALUE!</v>
      </c>
      <c r="AS129" t="str">
        <f ca="1">IFERROR(__xludf.DUMMYFUNCTION("""COMPUTED_VALUE"""),"#VALUE!")</f>
        <v>#VALUE!</v>
      </c>
      <c r="AU129" t="str">
        <f ca="1">IFERROR(__xludf.DUMMYFUNCTION("""COMPUTED_VALUE"""),"#VALUE!")</f>
        <v>#VALUE!</v>
      </c>
      <c r="AW129" t="str">
        <f ca="1">IFERROR(__xludf.DUMMYFUNCTION("""COMPUTED_VALUE"""),"#VALUE!")</f>
        <v>#VALUE!</v>
      </c>
      <c r="AY129" t="str">
        <f ca="1">IFERROR(__xludf.DUMMYFUNCTION("""COMPUTED_VALUE"""),"#VALUE!")</f>
        <v>#VALUE!</v>
      </c>
      <c r="BA129" t="str">
        <f ca="1">IFERROR(__xludf.DUMMYFUNCTION("""COMPUTED_VALUE"""),"#VALUE!")</f>
        <v>#VALUE!</v>
      </c>
      <c r="BC129" t="str">
        <f ca="1">IFERROR(__xludf.DUMMYFUNCTION("""COMPUTED_VALUE"""),"#VALUE!")</f>
        <v>#VALUE!</v>
      </c>
      <c r="BE129" t="str">
        <f ca="1">IFERROR(__xludf.DUMMYFUNCTION("""COMPUTED_VALUE"""),"#VALUE!")</f>
        <v>#VALUE!</v>
      </c>
      <c r="BG129" t="str">
        <f ca="1">IFERROR(__xludf.DUMMYFUNCTION("""COMPUTED_VALUE"""),"#VALUE!")</f>
        <v>#VALUE!</v>
      </c>
      <c r="BI129" t="str">
        <f ca="1">IFERROR(__xludf.DUMMYFUNCTION("""COMPUTED_VALUE"""),"#VALUE!")</f>
        <v>#VALUE!</v>
      </c>
      <c r="BK129" t="str">
        <f ca="1">IFERROR(__xludf.DUMMYFUNCTION("""COMPUTED_VALUE"""),"#VALUE!")</f>
        <v>#VALUE!</v>
      </c>
      <c r="BM129" t="str">
        <f ca="1">IFERROR(__xludf.DUMMYFUNCTION("""COMPUTED_VALUE"""),"#VALUE!")</f>
        <v>#VALUE!</v>
      </c>
      <c r="BO129" t="str">
        <f ca="1">IFERROR(__xludf.DUMMYFUNCTION("""COMPUTED_VALUE"""),"#VALUE!")</f>
        <v>#VALUE!</v>
      </c>
      <c r="BQ129" t="str">
        <f ca="1">IFERROR(__xludf.DUMMYFUNCTION("""COMPUTED_VALUE"""),"#VALUE!")</f>
        <v>#VALUE!</v>
      </c>
      <c r="BS129" t="str">
        <f ca="1">IFERROR(__xludf.DUMMYFUNCTION("""COMPUTED_VALUE"""),"#VALUE!")</f>
        <v>#VALUE!</v>
      </c>
      <c r="BU129" t="str">
        <f ca="1">IFERROR(__xludf.DUMMYFUNCTION("""COMPUTED_VALUE"""),"#VALUE!")</f>
        <v>#VALUE!</v>
      </c>
      <c r="BW129" t="str">
        <f ca="1">IFERROR(__xludf.DUMMYFUNCTION("""COMPUTED_VALUE"""),"#VALUE!")</f>
        <v>#VALUE!</v>
      </c>
      <c r="BY129" t="str">
        <f ca="1">IFERROR(__xludf.DUMMYFUNCTION("""COMPUTED_VALUE"""),"#VALUE!")</f>
        <v>#VALUE!</v>
      </c>
      <c r="CA129" t="str">
        <f ca="1">IFERROR(__xludf.DUMMYFUNCTION("""COMPUTED_VALUE"""),"#VALUE!")</f>
        <v>#VALUE!</v>
      </c>
      <c r="CC129" t="str">
        <f ca="1">IFERROR(__xludf.DUMMYFUNCTION("""COMPUTED_VALUE"""),"#VALUE!")</f>
        <v>#VALUE!</v>
      </c>
      <c r="CE129" t="str">
        <f ca="1">IFERROR(__xludf.DUMMYFUNCTION("""COMPUTED_VALUE"""),"#VALUE!")</f>
        <v>#VALUE!</v>
      </c>
      <c r="CG129" t="str">
        <f ca="1">IFERROR(__xludf.DUMMYFUNCTION("""COMPUTED_VALUE"""),"#VALUE!")</f>
        <v>#VALUE!</v>
      </c>
      <c r="CI129" t="str">
        <f ca="1">IFERROR(__xludf.DUMMYFUNCTION("""COMPUTED_VALUE"""),"#VALUE!")</f>
        <v>#VALUE!</v>
      </c>
      <c r="CK129" t="str">
        <f ca="1">IFERROR(__xludf.DUMMYFUNCTION("""COMPUTED_VALUE"""),"#VALUE!")</f>
        <v>#VALUE!</v>
      </c>
      <c r="CS129" t="str">
        <f ca="1">IFERROR(__xludf.DUMMYFUNCTION("""COMPUTED_VALUE"""),"#VALUE!")</f>
        <v>#VALUE!</v>
      </c>
      <c r="CU129" t="str">
        <f ca="1">IFERROR(__xludf.DUMMYFUNCTION("""COMPUTED_VALUE"""),"#VALUE!")</f>
        <v>#VALUE!</v>
      </c>
      <c r="CW129" t="str">
        <f ca="1">IFERROR(__xludf.DUMMYFUNCTION("""COMPUTED_VALUE"""),"#VALUE!")</f>
        <v>#VALUE!</v>
      </c>
      <c r="CY129" t="str">
        <f ca="1">IFERROR(__xludf.DUMMYFUNCTION("""COMPUTED_VALUE"""),"#VALUE!")</f>
        <v>#VALUE!</v>
      </c>
      <c r="DC129" t="str">
        <f ca="1">IFERROR(__xludf.DUMMYFUNCTION("""COMPUTED_VALUE"""),"#VALUE!")</f>
        <v>#VALUE!</v>
      </c>
      <c r="DE129" t="str">
        <f ca="1">IFERROR(__xludf.DUMMYFUNCTION("""COMPUTED_VALUE"""),"#VALUE!")</f>
        <v>#VALUE!</v>
      </c>
      <c r="DI129" t="str">
        <f ca="1">IFERROR(__xludf.DUMMYFUNCTION("""COMPUTED_VALUE"""),"#VALUE!")</f>
        <v>#VALUE!</v>
      </c>
      <c r="DJ129" t="str">
        <f ca="1">IFERROR(__xludf.DUMMYFUNCTION("""COMPUTED_VALUE"""),"#VALUE!")</f>
        <v>#VALUE!</v>
      </c>
      <c r="DL129" t="str">
        <f ca="1">IFERROR(__xludf.DUMMYFUNCTION("""COMPUTED_VALUE"""),"Davor Salihović")</f>
        <v>Davor Salihović</v>
      </c>
    </row>
    <row r="130" spans="1:116" ht="13.2" x14ac:dyDescent="0.25">
      <c r="A130" t="str">
        <f ca="1">IFERROR(__xludf.DUMMYFUNCTION("""COMPUTED_VALUE"""),"P0132")</f>
        <v>P0132</v>
      </c>
      <c r="B130" t="str">
        <f ca="1">IFERROR(__xludf.DUMMYFUNCTION("""COMPUTED_VALUE"""),"Iohanninus Garbil")</f>
        <v>Iohanninus Garbil</v>
      </c>
      <c r="D130" t="str">
        <f ca="1">IFERROR(__xludf.DUMMYFUNCTION("""COMPUTED_VALUE"""),"#VALUE!")</f>
        <v>#VALUE!</v>
      </c>
      <c r="E130" t="str">
        <f ca="1">IFERROR(__xludf.DUMMYFUNCTION("""COMPUTED_VALUE"""),"Iohanninus")</f>
        <v>Iohanninus</v>
      </c>
      <c r="K130" t="str">
        <f ca="1">IFERROR(__xludf.DUMMYFUNCTION("""COMPUTED_VALUE"""),"Garbil")</f>
        <v>Garbil</v>
      </c>
      <c r="L130" t="str">
        <f ca="1">IFERROR(__xludf.DUMMYFUNCTION("""COMPUTED_VALUE"""),"Garbil")</f>
        <v>Garbil</v>
      </c>
      <c r="Q130" t="str">
        <f ca="1">IFERROR(__xludf.DUMMYFUNCTION("""COMPUTED_VALUE"""),"Manderii")</f>
        <v>Manderii</v>
      </c>
      <c r="S130" t="str">
        <f ca="1">IFERROR(__xludf.DUMMYFUNCTION("""COMPUTED_VALUE"""),"Latin")</f>
        <v>Latin</v>
      </c>
      <c r="T130" t="str">
        <f ca="1">IFERROR(__xludf.DUMMYFUNCTION("""COMPUTED_VALUE"""),"definite")</f>
        <v>definite</v>
      </c>
      <c r="U130" t="str">
        <f ca="1">IFERROR(__xludf.DUMMYFUNCTION("""COMPUTED_VALUE"""),"C2553")</f>
        <v>C2553</v>
      </c>
      <c r="V130" t="str">
        <f ca="1">IFERROR(__xludf.DUMMYFUNCTION("""COMPUTED_VALUE"""),"male")</f>
        <v>male</v>
      </c>
      <c r="Z130" t="str">
        <f ca="1">IFERROR(__xludf.DUMMYFUNCTION("""COMPUTED_VALUE"""),"169, 172, 179, 186")</f>
        <v>169, 172, 179, 186</v>
      </c>
      <c r="AA130" t="str">
        <f ca="1">IFERROR(__xludf.DUMMYFUNCTION("""COMPUTED_VALUE"""),"o")</f>
        <v>o</v>
      </c>
      <c r="AB130" t="str">
        <f ca="1">IFERROR(__xludf.DUMMYFUNCTION("""COMPUTED_VALUE"""),"informer")</f>
        <v>informer</v>
      </c>
      <c r="AD130" t="str">
        <f ca="1">IFERROR(__xludf.DUMMYFUNCTION("""COMPUTED_VALUE"""),"C3287")</f>
        <v>C3287</v>
      </c>
      <c r="AE130" t="str">
        <f ca="1">IFERROR(__xludf.DUMMYFUNCTION("""COMPUTED_VALUE"""),"alive")</f>
        <v>alive</v>
      </c>
      <c r="AF130" t="str">
        <f ca="1">IFERROR(__xludf.DUMMYFUNCTION("""COMPUTED_VALUE"""),"C1753")</f>
        <v>C1753</v>
      </c>
      <c r="AG130" t="str">
        <f ca="1">IFERROR(__xludf.DUMMYFUNCTION("""COMPUTED_VALUE"""),"1335-01-20")</f>
        <v>1335-01-20</v>
      </c>
      <c r="AI130" t="str">
        <f ca="1">IFERROR(__xludf.DUMMYFUNCTION("""COMPUTED_VALUE"""),"#VALUE!")</f>
        <v>#VALUE!</v>
      </c>
      <c r="AK130" t="str">
        <f ca="1">IFERROR(__xludf.DUMMYFUNCTION("""COMPUTED_VALUE"""),"#VALUE!")</f>
        <v>#VALUE!</v>
      </c>
      <c r="AM130" t="str">
        <f ca="1">IFERROR(__xludf.DUMMYFUNCTION("""COMPUTED_VALUE"""),"#VALUE!")</f>
        <v>#VALUE!</v>
      </c>
      <c r="AO130" t="str">
        <f ca="1">IFERROR(__xludf.DUMMYFUNCTION("""COMPUTED_VALUE"""),"#VALUE!")</f>
        <v>#VALUE!</v>
      </c>
      <c r="AQ130" t="str">
        <f ca="1">IFERROR(__xludf.DUMMYFUNCTION("""COMPUTED_VALUE"""),"#VALUE!")</f>
        <v>#VALUE!</v>
      </c>
      <c r="AS130" t="str">
        <f ca="1">IFERROR(__xludf.DUMMYFUNCTION("""COMPUTED_VALUE"""),"#VALUE!")</f>
        <v>#VALUE!</v>
      </c>
      <c r="AU130" t="str">
        <f ca="1">IFERROR(__xludf.DUMMYFUNCTION("""COMPUTED_VALUE"""),"#VALUE!")</f>
        <v>#VALUE!</v>
      </c>
      <c r="AW130" t="str">
        <f ca="1">IFERROR(__xludf.DUMMYFUNCTION("""COMPUTED_VALUE"""),"#VALUE!")</f>
        <v>#VALUE!</v>
      </c>
      <c r="AY130" t="str">
        <f ca="1">IFERROR(__xludf.DUMMYFUNCTION("""COMPUTED_VALUE"""),"#VALUE!")</f>
        <v>#VALUE!</v>
      </c>
      <c r="BA130" t="str">
        <f ca="1">IFERROR(__xludf.DUMMYFUNCTION("""COMPUTED_VALUE"""),"#VALUE!")</f>
        <v>#VALUE!</v>
      </c>
      <c r="BC130" t="str">
        <f ca="1">IFERROR(__xludf.DUMMYFUNCTION("""COMPUTED_VALUE"""),"#VALUE!")</f>
        <v>#VALUE!</v>
      </c>
      <c r="BE130" t="str">
        <f ca="1">IFERROR(__xludf.DUMMYFUNCTION("""COMPUTED_VALUE"""),"#VALUE!")</f>
        <v>#VALUE!</v>
      </c>
      <c r="BG130" t="str">
        <f ca="1">IFERROR(__xludf.DUMMYFUNCTION("""COMPUTED_VALUE"""),"#VALUE!")</f>
        <v>#VALUE!</v>
      </c>
      <c r="BI130" t="str">
        <f ca="1">IFERROR(__xludf.DUMMYFUNCTION("""COMPUTED_VALUE"""),"#VALUE!")</f>
        <v>#VALUE!</v>
      </c>
      <c r="BK130" t="str">
        <f ca="1">IFERROR(__xludf.DUMMYFUNCTION("""COMPUTED_VALUE"""),"#VALUE!")</f>
        <v>#VALUE!</v>
      </c>
      <c r="BM130" t="str">
        <f ca="1">IFERROR(__xludf.DUMMYFUNCTION("""COMPUTED_VALUE"""),"#VALUE!")</f>
        <v>#VALUE!</v>
      </c>
      <c r="BO130" t="str">
        <f ca="1">IFERROR(__xludf.DUMMYFUNCTION("""COMPUTED_VALUE"""),"#VALUE!")</f>
        <v>#VALUE!</v>
      </c>
      <c r="BQ130" t="str">
        <f ca="1">IFERROR(__xludf.DUMMYFUNCTION("""COMPUTED_VALUE"""),"#VALUE!")</f>
        <v>#VALUE!</v>
      </c>
      <c r="BS130" t="str">
        <f ca="1">IFERROR(__xludf.DUMMYFUNCTION("""COMPUTED_VALUE"""),"#VALUE!")</f>
        <v>#VALUE!</v>
      </c>
      <c r="BU130" t="str">
        <f ca="1">IFERROR(__xludf.DUMMYFUNCTION("""COMPUTED_VALUE"""),"#VALUE!")</f>
        <v>#VALUE!</v>
      </c>
      <c r="BW130" t="str">
        <f ca="1">IFERROR(__xludf.DUMMYFUNCTION("""COMPUTED_VALUE"""),"#VALUE!")</f>
        <v>#VALUE!</v>
      </c>
      <c r="BY130" t="str">
        <f ca="1">IFERROR(__xludf.DUMMYFUNCTION("""COMPUTED_VALUE"""),"#VALUE!")</f>
        <v>#VALUE!</v>
      </c>
      <c r="CA130" t="str">
        <f ca="1">IFERROR(__xludf.DUMMYFUNCTION("""COMPUTED_VALUE"""),"#VALUE!")</f>
        <v>#VALUE!</v>
      </c>
      <c r="CC130" t="str">
        <f ca="1">IFERROR(__xludf.DUMMYFUNCTION("""COMPUTED_VALUE"""),"#VALUE!")</f>
        <v>#VALUE!</v>
      </c>
      <c r="CE130" t="str">
        <f ca="1">IFERROR(__xludf.DUMMYFUNCTION("""COMPUTED_VALUE"""),"#VALUE!")</f>
        <v>#VALUE!</v>
      </c>
      <c r="CG130" t="str">
        <f ca="1">IFERROR(__xludf.DUMMYFUNCTION("""COMPUTED_VALUE"""),"#VALUE!")</f>
        <v>#VALUE!</v>
      </c>
      <c r="CI130" t="str">
        <f ca="1">IFERROR(__xludf.DUMMYFUNCTION("""COMPUTED_VALUE"""),"#VALUE!")</f>
        <v>#VALUE!</v>
      </c>
      <c r="CK130" t="str">
        <f ca="1">IFERROR(__xludf.DUMMYFUNCTION("""COMPUTED_VALUE"""),"#VALUE!")</f>
        <v>#VALUE!</v>
      </c>
      <c r="CS130" t="str">
        <f ca="1">IFERROR(__xludf.DUMMYFUNCTION("""COMPUTED_VALUE"""),"#VALUE!")</f>
        <v>#VALUE!</v>
      </c>
      <c r="CU130" t="str">
        <f ca="1">IFERROR(__xludf.DUMMYFUNCTION("""COMPUTED_VALUE"""),"#VALUE!")</f>
        <v>#VALUE!</v>
      </c>
      <c r="CV130" t="str">
        <f ca="1">IFERROR(__xludf.DUMMYFUNCTION("""COMPUTED_VALUE"""),"L0002")</f>
        <v>L0002</v>
      </c>
      <c r="CW130" t="str">
        <f ca="1">IFERROR(__xludf.DUMMYFUNCTION("""COMPUTED_VALUE"""),"Coazze")</f>
        <v>Coazze</v>
      </c>
      <c r="CY130" t="str">
        <f ca="1">IFERROR(__xludf.DUMMYFUNCTION("""COMPUTED_VALUE"""),"#VALUE!")</f>
        <v>#VALUE!</v>
      </c>
      <c r="DC130" t="str">
        <f ca="1">IFERROR(__xludf.DUMMYFUNCTION("""COMPUTED_VALUE"""),"#VALUE!")</f>
        <v>#VALUE!</v>
      </c>
      <c r="DE130" t="str">
        <f ca="1">IFERROR(__xludf.DUMMYFUNCTION("""COMPUTED_VALUE"""),"#VALUE!")</f>
        <v>#VALUE!</v>
      </c>
      <c r="DI130" t="str">
        <f ca="1">IFERROR(__xludf.DUMMYFUNCTION("""COMPUTED_VALUE"""),"#VALUE!")</f>
        <v>#VALUE!</v>
      </c>
      <c r="DJ130" t="str">
        <f ca="1">IFERROR(__xludf.DUMMYFUNCTION("""COMPUTED_VALUE"""),"#VALUE!")</f>
        <v>#VALUE!</v>
      </c>
      <c r="DL130" t="str">
        <f ca="1">IFERROR(__xludf.DUMMYFUNCTION("""COMPUTED_VALUE"""),"Davor Salihović")</f>
        <v>Davor Salihović</v>
      </c>
    </row>
    <row r="131" spans="1:116" ht="13.2" x14ac:dyDescent="0.25">
      <c r="A131" t="str">
        <f ca="1">IFERROR(__xludf.DUMMYFUNCTION("""COMPUTED_VALUE"""),"P0133")</f>
        <v>P0133</v>
      </c>
      <c r="B131" t="str">
        <f ca="1">IFERROR(__xludf.DUMMYFUNCTION("""COMPUTED_VALUE"""),"magister Valdenssium de partibus Valpiencensibus")</f>
        <v>magister Valdenssium de partibus Valpiencensibus</v>
      </c>
      <c r="D131" t="str">
        <f ca="1">IFERROR(__xludf.DUMMYFUNCTION("""COMPUTED_VALUE"""),"#VALUE!")</f>
        <v>#VALUE!</v>
      </c>
      <c r="E131" t="str">
        <f ca="1">IFERROR(__xludf.DUMMYFUNCTION("""COMPUTED_VALUE"""),"magister Valdenssium de partibus Valpiencensibus")</f>
        <v>magister Valdenssium de partibus Valpiencensibus</v>
      </c>
      <c r="S131" t="str">
        <f ca="1">IFERROR(__xludf.DUMMYFUNCTION("""COMPUTED_VALUE"""),"Latin")</f>
        <v>Latin</v>
      </c>
      <c r="T131" t="str">
        <f ca="1">IFERROR(__xludf.DUMMYFUNCTION("""COMPUTED_VALUE"""),"indefinite")</f>
        <v>indefinite</v>
      </c>
      <c r="U131" t="str">
        <f ca="1">IFERROR(__xludf.DUMMYFUNCTION("""COMPUTED_VALUE"""),"C2553")</f>
        <v>C2553</v>
      </c>
      <c r="V131" t="str">
        <f ca="1">IFERROR(__xludf.DUMMYFUNCTION("""COMPUTED_VALUE"""),"male")</f>
        <v>male</v>
      </c>
      <c r="Z131" t="str">
        <f ca="1">IFERROR(__xludf.DUMMYFUNCTION("""COMPUTED_VALUE"""),"169")</f>
        <v>169</v>
      </c>
      <c r="AA131" t="str">
        <f ca="1">IFERROR(__xludf.DUMMYFUNCTION("""COMPUTED_VALUE"""),"d")</f>
        <v>d</v>
      </c>
      <c r="AB131" t="str">
        <f ca="1">IFERROR(__xludf.DUMMYFUNCTION("""COMPUTED_VALUE"""),"NA")</f>
        <v>NA</v>
      </c>
      <c r="AE131" t="str">
        <f ca="1">IFERROR(__xludf.DUMMYFUNCTION("""COMPUTED_VALUE"""),"#VALUE!")</f>
        <v>#VALUE!</v>
      </c>
      <c r="AF131" t="str">
        <f ca="1">IFERROR(__xludf.DUMMYFUNCTION("""COMPUTED_VALUE"""),"#N/A")</f>
        <v>#N/A</v>
      </c>
      <c r="AG131" t="str">
        <f ca="1">IFERROR(__xludf.DUMMYFUNCTION("""COMPUTED_VALUE"""),"#N/A")</f>
        <v>#N/A</v>
      </c>
      <c r="AI131" t="str">
        <f ca="1">IFERROR(__xludf.DUMMYFUNCTION("""COMPUTED_VALUE"""),"#VALUE!")</f>
        <v>#VALUE!</v>
      </c>
      <c r="AK131" t="str">
        <f ca="1">IFERROR(__xludf.DUMMYFUNCTION("""COMPUTED_VALUE"""),"#VALUE!")</f>
        <v>#VALUE!</v>
      </c>
      <c r="AM131" t="str">
        <f ca="1">IFERROR(__xludf.DUMMYFUNCTION("""COMPUTED_VALUE"""),"#VALUE!")</f>
        <v>#VALUE!</v>
      </c>
      <c r="AO131" t="str">
        <f ca="1">IFERROR(__xludf.DUMMYFUNCTION("""COMPUTED_VALUE"""),"#VALUE!")</f>
        <v>#VALUE!</v>
      </c>
      <c r="AQ131" t="str">
        <f ca="1">IFERROR(__xludf.DUMMYFUNCTION("""COMPUTED_VALUE"""),"#VALUE!")</f>
        <v>#VALUE!</v>
      </c>
      <c r="AS131" t="str">
        <f ca="1">IFERROR(__xludf.DUMMYFUNCTION("""COMPUTED_VALUE"""),"#VALUE!")</f>
        <v>#VALUE!</v>
      </c>
      <c r="AU131" t="str">
        <f ca="1">IFERROR(__xludf.DUMMYFUNCTION("""COMPUTED_VALUE"""),"#VALUE!")</f>
        <v>#VALUE!</v>
      </c>
      <c r="AW131" t="str">
        <f ca="1">IFERROR(__xludf.DUMMYFUNCTION("""COMPUTED_VALUE"""),"#VALUE!")</f>
        <v>#VALUE!</v>
      </c>
      <c r="AY131" t="str">
        <f ca="1">IFERROR(__xludf.DUMMYFUNCTION("""COMPUTED_VALUE"""),"#VALUE!")</f>
        <v>#VALUE!</v>
      </c>
      <c r="BA131" t="str">
        <f ca="1">IFERROR(__xludf.DUMMYFUNCTION("""COMPUTED_VALUE"""),"#VALUE!")</f>
        <v>#VALUE!</v>
      </c>
      <c r="BC131" t="str">
        <f ca="1">IFERROR(__xludf.DUMMYFUNCTION("""COMPUTED_VALUE"""),"#VALUE!")</f>
        <v>#VALUE!</v>
      </c>
      <c r="BE131" t="str">
        <f ca="1">IFERROR(__xludf.DUMMYFUNCTION("""COMPUTED_VALUE"""),"#VALUE!")</f>
        <v>#VALUE!</v>
      </c>
      <c r="BG131" t="str">
        <f ca="1">IFERROR(__xludf.DUMMYFUNCTION("""COMPUTED_VALUE"""),"#VALUE!")</f>
        <v>#VALUE!</v>
      </c>
      <c r="BI131" t="str">
        <f ca="1">IFERROR(__xludf.DUMMYFUNCTION("""COMPUTED_VALUE"""),"#VALUE!")</f>
        <v>#VALUE!</v>
      </c>
      <c r="BK131" t="str">
        <f ca="1">IFERROR(__xludf.DUMMYFUNCTION("""COMPUTED_VALUE"""),"#VALUE!")</f>
        <v>#VALUE!</v>
      </c>
      <c r="BM131" t="str">
        <f ca="1">IFERROR(__xludf.DUMMYFUNCTION("""COMPUTED_VALUE"""),"#VALUE!")</f>
        <v>#VALUE!</v>
      </c>
      <c r="BO131" t="str">
        <f ca="1">IFERROR(__xludf.DUMMYFUNCTION("""COMPUTED_VALUE"""),"#VALUE!")</f>
        <v>#VALUE!</v>
      </c>
      <c r="BQ131" t="str">
        <f ca="1">IFERROR(__xludf.DUMMYFUNCTION("""COMPUTED_VALUE"""),"#VALUE!")</f>
        <v>#VALUE!</v>
      </c>
      <c r="BS131" t="str">
        <f ca="1">IFERROR(__xludf.DUMMYFUNCTION("""COMPUTED_VALUE"""),"#VALUE!")</f>
        <v>#VALUE!</v>
      </c>
      <c r="BU131" t="str">
        <f ca="1">IFERROR(__xludf.DUMMYFUNCTION("""COMPUTED_VALUE"""),"#VALUE!")</f>
        <v>#VALUE!</v>
      </c>
      <c r="BW131" t="str">
        <f ca="1">IFERROR(__xludf.DUMMYFUNCTION("""COMPUTED_VALUE"""),"#VALUE!")</f>
        <v>#VALUE!</v>
      </c>
      <c r="BY131" t="str">
        <f ca="1">IFERROR(__xludf.DUMMYFUNCTION("""COMPUTED_VALUE"""),"#VALUE!")</f>
        <v>#VALUE!</v>
      </c>
      <c r="CA131" t="str">
        <f ca="1">IFERROR(__xludf.DUMMYFUNCTION("""COMPUTED_VALUE"""),"#VALUE!")</f>
        <v>#VALUE!</v>
      </c>
      <c r="CC131" t="str">
        <f ca="1">IFERROR(__xludf.DUMMYFUNCTION("""COMPUTED_VALUE"""),"#VALUE!")</f>
        <v>#VALUE!</v>
      </c>
      <c r="CD131" t="str">
        <f ca="1">IFERROR(__xludf.DUMMYFUNCTION("""COMPUTED_VALUE"""),"C3598")</f>
        <v>C3598</v>
      </c>
      <c r="CE131" t="str">
        <f ca="1">IFERROR(__xludf.DUMMYFUNCTION("""COMPUTED_VALUE"""),"location of congregation")</f>
        <v>location of congregation</v>
      </c>
      <c r="CF131" t="str">
        <f ca="1">IFERROR(__xludf.DUMMYFUNCTION("""COMPUTED_VALUE"""),"L0025")</f>
        <v>L0025</v>
      </c>
      <c r="CG131" t="str">
        <f ca="1">IFERROR(__xludf.DUMMYFUNCTION("""COMPUTED_VALUE"""),"domus Villelmeti Domenici")</f>
        <v>domus Villelmeti Domenici</v>
      </c>
      <c r="CI131" t="str">
        <f ca="1">IFERROR(__xludf.DUMMYFUNCTION("""COMPUTED_VALUE"""),"#VALUE!")</f>
        <v>#VALUE!</v>
      </c>
      <c r="CK131" t="str">
        <f ca="1">IFERROR(__xludf.DUMMYFUNCTION("""COMPUTED_VALUE"""),"#VALUE!")</f>
        <v>#VALUE!</v>
      </c>
      <c r="CS131" t="str">
        <f ca="1">IFERROR(__xludf.DUMMYFUNCTION("""COMPUTED_VALUE"""),"#VALUE!")</f>
        <v>#VALUE!</v>
      </c>
      <c r="CU131" t="str">
        <f ca="1">IFERROR(__xludf.DUMMYFUNCTION("""COMPUTED_VALUE"""),"#VALUE!")</f>
        <v>#VALUE!</v>
      </c>
      <c r="CW131" t="str">
        <f ca="1">IFERROR(__xludf.DUMMYFUNCTION("""COMPUTED_VALUE"""),"#VALUE!")</f>
        <v>#VALUE!</v>
      </c>
      <c r="CX131" t="str">
        <f ca="1">IFERROR(__xludf.DUMMYFUNCTION("""COMPUTED_VALUE"""),"C3193")</f>
        <v>C3193</v>
      </c>
      <c r="CY131" t="str">
        <f ca="1">IFERROR(__xludf.DUMMYFUNCTION("""COMPUTED_VALUE"""),"magister Valdensium")</f>
        <v>magister Valdensium</v>
      </c>
      <c r="DA131" t="str">
        <f ca="1">IFERROR(__xludf.DUMMYFUNCTION("""COMPUTED_VALUE"""),"dissident minister")</f>
        <v>dissident minister</v>
      </c>
      <c r="DC131" t="str">
        <f ca="1">IFERROR(__xludf.DUMMYFUNCTION("""COMPUTED_VALUE"""),"#VALUE!")</f>
        <v>#VALUE!</v>
      </c>
      <c r="DD131" t="str">
        <f ca="1">IFERROR(__xludf.DUMMYFUNCTION("""COMPUTED_VALUE"""),"C3193")</f>
        <v>C3193</v>
      </c>
      <c r="DE131" t="str">
        <f ca="1">IFERROR(__xludf.DUMMYFUNCTION("""COMPUTED_VALUE"""),"magister Valdensium")</f>
        <v>magister Valdensium</v>
      </c>
      <c r="DH131" t="str">
        <f ca="1">IFERROR(__xludf.DUMMYFUNCTION("""COMPUTED_VALUE"""),"L0025")</f>
        <v>L0025</v>
      </c>
      <c r="DI131" t="str">
        <f ca="1">IFERROR(__xludf.DUMMYFUNCTION("""COMPUTED_VALUE"""),"domus Villelmeti Domenici")</f>
        <v>domus Villelmeti Domenici</v>
      </c>
      <c r="DJ131" t="str">
        <f ca="1">IFERROR(__xludf.DUMMYFUNCTION("""COMPUTED_VALUE"""),"domus")</f>
        <v>domus</v>
      </c>
      <c r="DL131" t="str">
        <f ca="1">IFERROR(__xludf.DUMMYFUNCTION("""COMPUTED_VALUE"""),"Davor Salihović")</f>
        <v>Davor Salihović</v>
      </c>
    </row>
    <row r="132" spans="1:116" ht="13.2" x14ac:dyDescent="0.25">
      <c r="A132" t="str">
        <f ca="1">IFERROR(__xludf.DUMMYFUNCTION("""COMPUTED_VALUE"""),"P0134")</f>
        <v>P0134</v>
      </c>
      <c r="B132" t="str">
        <f ca="1">IFERROR(__xludf.DUMMYFUNCTION("""COMPUTED_VALUE"""),"Agnessona Soçça")</f>
        <v>Agnessona Soçça</v>
      </c>
      <c r="D132" t="str">
        <f ca="1">IFERROR(__xludf.DUMMYFUNCTION("""COMPUTED_VALUE"""),"#VALUE!")</f>
        <v>#VALUE!</v>
      </c>
      <c r="E132" t="str">
        <f ca="1">IFERROR(__xludf.DUMMYFUNCTION("""COMPUTED_VALUE"""),"Agnessona")</f>
        <v>Agnessona</v>
      </c>
      <c r="K132" t="str">
        <f ca="1">IFERROR(__xludf.DUMMYFUNCTION("""COMPUTED_VALUE"""),"Soçça")</f>
        <v>Soçça</v>
      </c>
      <c r="L132" t="str">
        <f ca="1">IFERROR(__xludf.DUMMYFUNCTION("""COMPUTED_VALUE"""),"Soçça")</f>
        <v>Soçça</v>
      </c>
      <c r="S132" t="str">
        <f ca="1">IFERROR(__xludf.DUMMYFUNCTION("""COMPUTED_VALUE"""),"Latin")</f>
        <v>Latin</v>
      </c>
      <c r="T132" t="str">
        <f ca="1">IFERROR(__xludf.DUMMYFUNCTION("""COMPUTED_VALUE"""),"definite")</f>
        <v>definite</v>
      </c>
      <c r="U132" t="str">
        <f ca="1">IFERROR(__xludf.DUMMYFUNCTION("""COMPUTED_VALUE"""),"C2552")</f>
        <v>C2552</v>
      </c>
      <c r="V132" t="str">
        <f ca="1">IFERROR(__xludf.DUMMYFUNCTION("""COMPUTED_VALUE"""),"female")</f>
        <v>female</v>
      </c>
      <c r="Z132" t="str">
        <f ca="1">IFERROR(__xludf.DUMMYFUNCTION("""COMPUTED_VALUE"""),"169, 178, 193, 200, 206, 214, 215, 216, 233, 234, 236, 249")</f>
        <v>169, 178, 193, 200, 206, 214, 215, 216, 233, 234, 236, 249</v>
      </c>
      <c r="AA132" t="str">
        <f ca="1">IFERROR(__xludf.DUMMYFUNCTION("""COMPUTED_VALUE"""),"d")</f>
        <v>d</v>
      </c>
      <c r="AB132" t="str">
        <f ca="1">IFERROR(__xludf.DUMMYFUNCTION("""COMPUTED_VALUE"""),"suspect")</f>
        <v>suspect</v>
      </c>
      <c r="AD132" t="str">
        <f ca="1">IFERROR(__xludf.DUMMYFUNCTION("""COMPUTED_VALUE"""),"C3287")</f>
        <v>C3287</v>
      </c>
      <c r="AE132" t="str">
        <f ca="1">IFERROR(__xludf.DUMMYFUNCTION("""COMPUTED_VALUE"""),"alive")</f>
        <v>alive</v>
      </c>
      <c r="AF132" t="str">
        <f ca="1">IFERROR(__xludf.DUMMYFUNCTION("""COMPUTED_VALUE"""),"C1753")</f>
        <v>C1753</v>
      </c>
      <c r="AG132" t="str">
        <f ca="1">IFERROR(__xludf.DUMMYFUNCTION("""COMPUTED_VALUE"""),"1335-01-20")</f>
        <v>1335-01-20</v>
      </c>
      <c r="AH132" t="str">
        <f ca="1">IFERROR(__xludf.DUMMYFUNCTION("""COMPUTED_VALUE"""),"C2337")</f>
        <v>C2337</v>
      </c>
      <c r="AI132" t="str">
        <f ca="1">IFERROR(__xludf.DUMMYFUNCTION("""COMPUTED_VALUE"""),"brother")</f>
        <v>brother</v>
      </c>
      <c r="AJ132" t="str">
        <f ca="1">IFERROR(__xludf.DUMMYFUNCTION("""COMPUTED_VALUE"""),"P0370")</f>
        <v>P0370</v>
      </c>
      <c r="AK132" t="str">
        <f ca="1">IFERROR(__xludf.DUMMYFUNCTION("""COMPUTED_VALUE"""),"Petrus Soç")</f>
        <v>Petrus Soç</v>
      </c>
      <c r="AL132" t="str">
        <f ca="1">IFERROR(__xludf.DUMMYFUNCTION("""COMPUTED_VALUE"""),"C0147")</f>
        <v>C0147</v>
      </c>
      <c r="AM132" t="str">
        <f ca="1">IFERROR(__xludf.DUMMYFUNCTION("""COMPUTED_VALUE"""),"warrantor")</f>
        <v>warrantor</v>
      </c>
      <c r="AN132" t="str">
        <f ca="1">IFERROR(__xludf.DUMMYFUNCTION("""COMPUTED_VALUE"""),"P0370")</f>
        <v>P0370</v>
      </c>
      <c r="AO132" t="str">
        <f ca="1">IFERROR(__xludf.DUMMYFUNCTION("""COMPUTED_VALUE"""),"Petrus Soç")</f>
        <v>Petrus Soç</v>
      </c>
      <c r="AQ132" t="str">
        <f ca="1">IFERROR(__xludf.DUMMYFUNCTION("""COMPUTED_VALUE"""),"#VALUE!")</f>
        <v>#VALUE!</v>
      </c>
      <c r="AS132" t="str">
        <f ca="1">IFERROR(__xludf.DUMMYFUNCTION("""COMPUTED_VALUE"""),"#VALUE!")</f>
        <v>#VALUE!</v>
      </c>
      <c r="AU132" t="str">
        <f ca="1">IFERROR(__xludf.DUMMYFUNCTION("""COMPUTED_VALUE"""),"#VALUE!")</f>
        <v>#VALUE!</v>
      </c>
      <c r="AW132" t="str">
        <f ca="1">IFERROR(__xludf.DUMMYFUNCTION("""COMPUTED_VALUE"""),"#VALUE!")</f>
        <v>#VALUE!</v>
      </c>
      <c r="AY132" t="str">
        <f ca="1">IFERROR(__xludf.DUMMYFUNCTION("""COMPUTED_VALUE"""),"#VALUE!")</f>
        <v>#VALUE!</v>
      </c>
      <c r="BA132" t="str">
        <f ca="1">IFERROR(__xludf.DUMMYFUNCTION("""COMPUTED_VALUE"""),"#VALUE!")</f>
        <v>#VALUE!</v>
      </c>
      <c r="BC132" t="str">
        <f ca="1">IFERROR(__xludf.DUMMYFUNCTION("""COMPUTED_VALUE"""),"#VALUE!")</f>
        <v>#VALUE!</v>
      </c>
      <c r="BE132" t="str">
        <f ca="1">IFERROR(__xludf.DUMMYFUNCTION("""COMPUTED_VALUE"""),"#VALUE!")</f>
        <v>#VALUE!</v>
      </c>
      <c r="BG132" t="str">
        <f ca="1">IFERROR(__xludf.DUMMYFUNCTION("""COMPUTED_VALUE"""),"#VALUE!")</f>
        <v>#VALUE!</v>
      </c>
      <c r="BI132" t="str">
        <f ca="1">IFERROR(__xludf.DUMMYFUNCTION("""COMPUTED_VALUE"""),"#VALUE!")</f>
        <v>#VALUE!</v>
      </c>
      <c r="BK132" t="str">
        <f ca="1">IFERROR(__xludf.DUMMYFUNCTION("""COMPUTED_VALUE"""),"#VALUE!")</f>
        <v>#VALUE!</v>
      </c>
      <c r="BM132" t="str">
        <f ca="1">IFERROR(__xludf.DUMMYFUNCTION("""COMPUTED_VALUE"""),"#VALUE!")</f>
        <v>#VALUE!</v>
      </c>
      <c r="BO132" t="str">
        <f ca="1">IFERROR(__xludf.DUMMYFUNCTION("""COMPUTED_VALUE"""),"#VALUE!")</f>
        <v>#VALUE!</v>
      </c>
      <c r="BQ132" t="str">
        <f ca="1">IFERROR(__xludf.DUMMYFUNCTION("""COMPUTED_VALUE"""),"#VALUE!")</f>
        <v>#VALUE!</v>
      </c>
      <c r="BS132" t="str">
        <f ca="1">IFERROR(__xludf.DUMMYFUNCTION("""COMPUTED_VALUE"""),"#VALUE!")</f>
        <v>#VALUE!</v>
      </c>
      <c r="BU132" t="str">
        <f ca="1">IFERROR(__xludf.DUMMYFUNCTION("""COMPUTED_VALUE"""),"#VALUE!")</f>
        <v>#VALUE!</v>
      </c>
      <c r="BW132" t="str">
        <f ca="1">IFERROR(__xludf.DUMMYFUNCTION("""COMPUTED_VALUE"""),"#VALUE!")</f>
        <v>#VALUE!</v>
      </c>
      <c r="BY132" t="str">
        <f ca="1">IFERROR(__xludf.DUMMYFUNCTION("""COMPUTED_VALUE"""),"#VALUE!")</f>
        <v>#VALUE!</v>
      </c>
      <c r="CA132" t="str">
        <f ca="1">IFERROR(__xludf.DUMMYFUNCTION("""COMPUTED_VALUE"""),"#VALUE!")</f>
        <v>#VALUE!</v>
      </c>
      <c r="CC132" t="str">
        <f ca="1">IFERROR(__xludf.DUMMYFUNCTION("""COMPUTED_VALUE"""),"#VALUE!")</f>
        <v>#VALUE!</v>
      </c>
      <c r="CD132" t="str">
        <f ca="1">IFERROR(__xludf.DUMMYFUNCTION("""COMPUTED_VALUE"""),"C3598")</f>
        <v>C3598</v>
      </c>
      <c r="CE132" t="str">
        <f ca="1">IFERROR(__xludf.DUMMYFUNCTION("""COMPUTED_VALUE"""),"location of congregation")</f>
        <v>location of congregation</v>
      </c>
      <c r="CF132" t="str">
        <f ca="1">IFERROR(__xludf.DUMMYFUNCTION("""COMPUTED_VALUE"""),"L0067#L0080#L0097#L0106#L0065")</f>
        <v>L0067#L0080#L0097#L0106#L0065</v>
      </c>
      <c r="CG132" t="str">
        <f ca="1">IFERROR(__xludf.DUMMYFUNCTION("""COMPUTED_VALUE"""),"domus Petri Rupphini #domus Petrii Burgi #domus Iohannis Borrellati #domus Petri de Boysono #domus Iohannis de Castagno de Giaveno")</f>
        <v>domus Petri Rupphini #domus Petrii Burgi #domus Iohannis Borrellati #domus Petri de Boysono #domus Iohannis de Castagno de Giaveno</v>
      </c>
      <c r="CH132" t="str">
        <f ca="1">IFERROR(__xludf.DUMMYFUNCTION("""COMPUTED_VALUE"""),"P0370")</f>
        <v>P0370</v>
      </c>
      <c r="CI132" t="str">
        <f ca="1">IFERROR(__xludf.DUMMYFUNCTION("""COMPUTED_VALUE"""),"Petrus Soç")</f>
        <v>Petrus Soç</v>
      </c>
      <c r="CJ132" t="str">
        <f ca="1">IFERROR(__xludf.DUMMYFUNCTION("""COMPUTED_VALUE"""),"P0115#P0116")</f>
        <v>P0115#P0116</v>
      </c>
      <c r="CK132" t="str">
        <f ca="1">IFERROR(__xludf.DUMMYFUNCTION("""COMPUTED_VALUE"""),"Iacometa, uxor Iohannis Castaygni #Iohannes de Castaygno")</f>
        <v>Iacometa, uxor Iohannis Castaygni #Iohannes de Castaygno</v>
      </c>
      <c r="CS132" t="str">
        <f ca="1">IFERROR(__xludf.DUMMYFUNCTION("""COMPUTED_VALUE"""),"#VALUE!")</f>
        <v>#VALUE!</v>
      </c>
      <c r="CU132" t="str">
        <f ca="1">IFERROR(__xludf.DUMMYFUNCTION("""COMPUTED_VALUE"""),"#VALUE!")</f>
        <v>#VALUE!</v>
      </c>
      <c r="CW132" t="str">
        <f ca="1">IFERROR(__xludf.DUMMYFUNCTION("""COMPUTED_VALUE"""),"#VALUE!")</f>
        <v>#VALUE!</v>
      </c>
      <c r="CY132" t="str">
        <f ca="1">IFERROR(__xludf.DUMMYFUNCTION("""COMPUTED_VALUE"""),"#VALUE!")</f>
        <v>#VALUE!</v>
      </c>
      <c r="DC132" t="str">
        <f ca="1">IFERROR(__xludf.DUMMYFUNCTION("""COMPUTED_VALUE"""),"#VALUE!")</f>
        <v>#VALUE!</v>
      </c>
      <c r="DE132" t="str">
        <f ca="1">IFERROR(__xludf.DUMMYFUNCTION("""COMPUTED_VALUE"""),"#VALUE!")</f>
        <v>#VALUE!</v>
      </c>
      <c r="DF132" t="str">
        <f ca="1">IFERROR(__xludf.DUMMYFUNCTION("""COMPUTED_VALUE"""),"y")</f>
        <v>y</v>
      </c>
      <c r="DG132" t="str">
        <f ca="1">IFERROR(__xludf.DUMMYFUNCTION("""COMPUTED_VALUE"""),"214, 233")</f>
        <v>214, 233</v>
      </c>
      <c r="DH132" t="str">
        <f ca="1">IFERROR(__xludf.DUMMYFUNCTION("""COMPUTED_VALUE"""),"L0067#L0080#L0097#L0106#L0065")</f>
        <v>L0067#L0080#L0097#L0106#L0065</v>
      </c>
      <c r="DI132" t="str">
        <f ca="1">IFERROR(__xludf.DUMMYFUNCTION("""COMPUTED_VALUE"""),"domus Petri Rupphini #domus Petrii Burgi #domus Iohannis Borrellati #domus Petri de Boysono #domus Iohannis de Castagno de Giaveno")</f>
        <v>domus Petri Rupphini #domus Petrii Burgi #domus Iohannis Borrellati #domus Petri de Boysono #domus Iohannis de Castagno de Giaveno</v>
      </c>
      <c r="DJ132" t="str">
        <f ca="1">IFERROR(__xludf.DUMMYFUNCTION("""COMPUTED_VALUE"""),"domus #domus #domus #domus #domus")</f>
        <v>domus #domus #domus #domus #domus</v>
      </c>
      <c r="DL132" t="str">
        <f ca="1">IFERROR(__xludf.DUMMYFUNCTION("""COMPUTED_VALUE"""),"Davor Salihović")</f>
        <v>Davor Salihović</v>
      </c>
    </row>
    <row r="133" spans="1:116" ht="13.2" x14ac:dyDescent="0.25">
      <c r="A133" t="str">
        <f ca="1">IFERROR(__xludf.DUMMYFUNCTION("""COMPUTED_VALUE"""),"P0135")</f>
        <v>P0135</v>
      </c>
      <c r="B133" t="str">
        <f ca="1">IFERROR(__xludf.DUMMYFUNCTION("""COMPUTED_VALUE"""),"Nicola de Fenestrelis")</f>
        <v>Nicola de Fenestrelis</v>
      </c>
      <c r="D133" t="str">
        <f ca="1">IFERROR(__xludf.DUMMYFUNCTION("""COMPUTED_VALUE"""),"#VALUE!")</f>
        <v>#VALUE!</v>
      </c>
      <c r="E133" t="str">
        <f ca="1">IFERROR(__xludf.DUMMYFUNCTION("""COMPUTED_VALUE"""),"Nicola")</f>
        <v>Nicola</v>
      </c>
      <c r="J133" t="str">
        <f ca="1">IFERROR(__xludf.DUMMYFUNCTION("""COMPUTED_VALUE"""),"de")</f>
        <v>de</v>
      </c>
      <c r="K133" t="str">
        <f ca="1">IFERROR(__xludf.DUMMYFUNCTION("""COMPUTED_VALUE"""),"Fenestrelis")</f>
        <v>Fenestrelis</v>
      </c>
      <c r="L133" t="str">
        <f ca="1">IFERROR(__xludf.DUMMYFUNCTION("""COMPUTED_VALUE"""),"de Fenestrelis")</f>
        <v>de Fenestrelis</v>
      </c>
      <c r="S133" t="str">
        <f ca="1">IFERROR(__xludf.DUMMYFUNCTION("""COMPUTED_VALUE"""),"Latin")</f>
        <v>Latin</v>
      </c>
      <c r="T133" t="str">
        <f ca="1">IFERROR(__xludf.DUMMYFUNCTION("""COMPUTED_VALUE"""),"definite")</f>
        <v>definite</v>
      </c>
      <c r="U133" t="str">
        <f ca="1">IFERROR(__xludf.DUMMYFUNCTION("""COMPUTED_VALUE"""),"C2552")</f>
        <v>C2552</v>
      </c>
      <c r="V133" t="str">
        <f ca="1">IFERROR(__xludf.DUMMYFUNCTION("""COMPUTED_VALUE"""),"female")</f>
        <v>female</v>
      </c>
      <c r="Z133" t="str">
        <f ca="1">IFERROR(__xludf.DUMMYFUNCTION("""COMPUTED_VALUE"""),"169")</f>
        <v>169</v>
      </c>
      <c r="AA133" t="str">
        <f ca="1">IFERROR(__xludf.DUMMYFUNCTION("""COMPUTED_VALUE"""),"d")</f>
        <v>d</v>
      </c>
      <c r="AB133" t="str">
        <f ca="1">IFERROR(__xludf.DUMMYFUNCTION("""COMPUTED_VALUE"""),"suspect")</f>
        <v>suspect</v>
      </c>
      <c r="AE133" t="str">
        <f ca="1">IFERROR(__xludf.DUMMYFUNCTION("""COMPUTED_VALUE"""),"#VALUE!")</f>
        <v>#VALUE!</v>
      </c>
      <c r="AF133" t="str">
        <f ca="1">IFERROR(__xludf.DUMMYFUNCTION("""COMPUTED_VALUE"""),"#N/A")</f>
        <v>#N/A</v>
      </c>
      <c r="AG133" t="str">
        <f ca="1">IFERROR(__xludf.DUMMYFUNCTION("""COMPUTED_VALUE"""),"#N/A")</f>
        <v>#N/A</v>
      </c>
      <c r="AH133" t="str">
        <f ca="1">IFERROR(__xludf.DUMMYFUNCTION("""COMPUTED_VALUE"""),"C2347")</f>
        <v>C2347</v>
      </c>
      <c r="AI133" t="str">
        <f ca="1">IFERROR(__xludf.DUMMYFUNCTION("""COMPUTED_VALUE"""),"sister")</f>
        <v>sister</v>
      </c>
      <c r="AJ133" t="str">
        <f ca="1">IFERROR(__xludf.DUMMYFUNCTION("""COMPUTED_VALUE"""),"P0136")</f>
        <v>P0136</v>
      </c>
      <c r="AK133" t="str">
        <f ca="1">IFERROR(__xludf.DUMMYFUNCTION("""COMPUTED_VALUE"""),"Albana, uxor Iohannis de Falcona")</f>
        <v>Albana, uxor Iohannis de Falcona</v>
      </c>
      <c r="AM133" t="str">
        <f ca="1">IFERROR(__xludf.DUMMYFUNCTION("""COMPUTED_VALUE"""),"#VALUE!")</f>
        <v>#VALUE!</v>
      </c>
      <c r="AO133" t="str">
        <f ca="1">IFERROR(__xludf.DUMMYFUNCTION("""COMPUTED_VALUE"""),"#VALUE!")</f>
        <v>#VALUE!</v>
      </c>
      <c r="AQ133" t="str">
        <f ca="1">IFERROR(__xludf.DUMMYFUNCTION("""COMPUTED_VALUE"""),"#VALUE!")</f>
        <v>#VALUE!</v>
      </c>
      <c r="AS133" t="str">
        <f ca="1">IFERROR(__xludf.DUMMYFUNCTION("""COMPUTED_VALUE"""),"#VALUE!")</f>
        <v>#VALUE!</v>
      </c>
      <c r="AU133" t="str">
        <f ca="1">IFERROR(__xludf.DUMMYFUNCTION("""COMPUTED_VALUE"""),"#VALUE!")</f>
        <v>#VALUE!</v>
      </c>
      <c r="AW133" t="str">
        <f ca="1">IFERROR(__xludf.DUMMYFUNCTION("""COMPUTED_VALUE"""),"#VALUE!")</f>
        <v>#VALUE!</v>
      </c>
      <c r="AY133" t="str">
        <f ca="1">IFERROR(__xludf.DUMMYFUNCTION("""COMPUTED_VALUE"""),"#VALUE!")</f>
        <v>#VALUE!</v>
      </c>
      <c r="BA133" t="str">
        <f ca="1">IFERROR(__xludf.DUMMYFUNCTION("""COMPUTED_VALUE"""),"#VALUE!")</f>
        <v>#VALUE!</v>
      </c>
      <c r="BC133" t="str">
        <f ca="1">IFERROR(__xludf.DUMMYFUNCTION("""COMPUTED_VALUE"""),"#VALUE!")</f>
        <v>#VALUE!</v>
      </c>
      <c r="BE133" t="str">
        <f ca="1">IFERROR(__xludf.DUMMYFUNCTION("""COMPUTED_VALUE"""),"#VALUE!")</f>
        <v>#VALUE!</v>
      </c>
      <c r="BG133" t="str">
        <f ca="1">IFERROR(__xludf.DUMMYFUNCTION("""COMPUTED_VALUE"""),"#VALUE!")</f>
        <v>#VALUE!</v>
      </c>
      <c r="BI133" t="str">
        <f ca="1">IFERROR(__xludf.DUMMYFUNCTION("""COMPUTED_VALUE"""),"#VALUE!")</f>
        <v>#VALUE!</v>
      </c>
      <c r="BK133" t="str">
        <f ca="1">IFERROR(__xludf.DUMMYFUNCTION("""COMPUTED_VALUE"""),"#VALUE!")</f>
        <v>#VALUE!</v>
      </c>
      <c r="BM133" t="str">
        <f ca="1">IFERROR(__xludf.DUMMYFUNCTION("""COMPUTED_VALUE"""),"#VALUE!")</f>
        <v>#VALUE!</v>
      </c>
      <c r="BO133" t="str">
        <f ca="1">IFERROR(__xludf.DUMMYFUNCTION("""COMPUTED_VALUE"""),"#VALUE!")</f>
        <v>#VALUE!</v>
      </c>
      <c r="BQ133" t="str">
        <f ca="1">IFERROR(__xludf.DUMMYFUNCTION("""COMPUTED_VALUE"""),"#VALUE!")</f>
        <v>#VALUE!</v>
      </c>
      <c r="BS133" t="str">
        <f ca="1">IFERROR(__xludf.DUMMYFUNCTION("""COMPUTED_VALUE"""),"#VALUE!")</f>
        <v>#VALUE!</v>
      </c>
      <c r="BU133" t="str">
        <f ca="1">IFERROR(__xludf.DUMMYFUNCTION("""COMPUTED_VALUE"""),"#VALUE!")</f>
        <v>#VALUE!</v>
      </c>
      <c r="BW133" t="str">
        <f ca="1">IFERROR(__xludf.DUMMYFUNCTION("""COMPUTED_VALUE"""),"#VALUE!")</f>
        <v>#VALUE!</v>
      </c>
      <c r="BY133" t="str">
        <f ca="1">IFERROR(__xludf.DUMMYFUNCTION("""COMPUTED_VALUE"""),"#VALUE!")</f>
        <v>#VALUE!</v>
      </c>
      <c r="CA133" t="str">
        <f ca="1">IFERROR(__xludf.DUMMYFUNCTION("""COMPUTED_VALUE"""),"#VALUE!")</f>
        <v>#VALUE!</v>
      </c>
      <c r="CC133" t="str">
        <f ca="1">IFERROR(__xludf.DUMMYFUNCTION("""COMPUTED_VALUE"""),"#VALUE!")</f>
        <v>#VALUE!</v>
      </c>
      <c r="CE133" t="str">
        <f ca="1">IFERROR(__xludf.DUMMYFUNCTION("""COMPUTED_VALUE"""),"#VALUE!")</f>
        <v>#VALUE!</v>
      </c>
      <c r="CG133" t="str">
        <f ca="1">IFERROR(__xludf.DUMMYFUNCTION("""COMPUTED_VALUE"""),"#VALUE!")</f>
        <v>#VALUE!</v>
      </c>
      <c r="CI133" t="str">
        <f ca="1">IFERROR(__xludf.DUMMYFUNCTION("""COMPUTED_VALUE"""),"#VALUE!")</f>
        <v>#VALUE!</v>
      </c>
      <c r="CK133" t="str">
        <f ca="1">IFERROR(__xludf.DUMMYFUNCTION("""COMPUTED_VALUE"""),"#VALUE!")</f>
        <v>#VALUE!</v>
      </c>
      <c r="CS133" t="str">
        <f ca="1">IFERROR(__xludf.DUMMYFUNCTION("""COMPUTED_VALUE"""),"#VALUE!")</f>
        <v>#VALUE!</v>
      </c>
      <c r="CU133" t="str">
        <f ca="1">IFERROR(__xludf.DUMMYFUNCTION("""COMPUTED_VALUE"""),"#VALUE!")</f>
        <v>#VALUE!</v>
      </c>
      <c r="CW133" t="str">
        <f ca="1">IFERROR(__xludf.DUMMYFUNCTION("""COMPUTED_VALUE"""),"#VALUE!")</f>
        <v>#VALUE!</v>
      </c>
      <c r="CY133" t="str">
        <f ca="1">IFERROR(__xludf.DUMMYFUNCTION("""COMPUTED_VALUE"""),"#VALUE!")</f>
        <v>#VALUE!</v>
      </c>
      <c r="DC133" t="str">
        <f ca="1">IFERROR(__xludf.DUMMYFUNCTION("""COMPUTED_VALUE"""),"#VALUE!")</f>
        <v>#VALUE!</v>
      </c>
      <c r="DE133" t="str">
        <f ca="1">IFERROR(__xludf.DUMMYFUNCTION("""COMPUTED_VALUE"""),"#VALUE!")</f>
        <v>#VALUE!</v>
      </c>
      <c r="DI133" t="str">
        <f ca="1">IFERROR(__xludf.DUMMYFUNCTION("""COMPUTED_VALUE"""),"#VALUE!")</f>
        <v>#VALUE!</v>
      </c>
      <c r="DJ133" t="str">
        <f ca="1">IFERROR(__xludf.DUMMYFUNCTION("""COMPUTED_VALUE"""),"#VALUE!")</f>
        <v>#VALUE!</v>
      </c>
      <c r="DL133" t="str">
        <f ca="1">IFERROR(__xludf.DUMMYFUNCTION("""COMPUTED_VALUE"""),"Davor Salihović")</f>
        <v>Davor Salihović</v>
      </c>
    </row>
    <row r="134" spans="1:116" ht="13.2" x14ac:dyDescent="0.25">
      <c r="A134" t="str">
        <f ca="1">IFERROR(__xludf.DUMMYFUNCTION("""COMPUTED_VALUE"""),"P0136")</f>
        <v>P0136</v>
      </c>
      <c r="B134" t="str">
        <f ca="1">IFERROR(__xludf.DUMMYFUNCTION("""COMPUTED_VALUE"""),"Albana, uxor Iohannis de Falcona")</f>
        <v>Albana, uxor Iohannis de Falcona</v>
      </c>
      <c r="D134" t="str">
        <f ca="1">IFERROR(__xludf.DUMMYFUNCTION("""COMPUTED_VALUE"""),"#VALUE!")</f>
        <v>#VALUE!</v>
      </c>
      <c r="E134" t="str">
        <f ca="1">IFERROR(__xludf.DUMMYFUNCTION("""COMPUTED_VALUE"""),"Albana")</f>
        <v>Albana</v>
      </c>
      <c r="Q134" t="str">
        <f ca="1">IFERROR(__xludf.DUMMYFUNCTION("""COMPUTED_VALUE"""),"soror Nicolae de Fenestrelis #uxor Iohannis de Falcona")</f>
        <v>soror Nicolae de Fenestrelis #uxor Iohannis de Falcona</v>
      </c>
      <c r="S134" t="str">
        <f ca="1">IFERROR(__xludf.DUMMYFUNCTION("""COMPUTED_VALUE"""),"Latin")</f>
        <v>Latin</v>
      </c>
      <c r="T134" t="str">
        <f ca="1">IFERROR(__xludf.DUMMYFUNCTION("""COMPUTED_VALUE"""),"definite")</f>
        <v>definite</v>
      </c>
      <c r="U134" t="str">
        <f ca="1">IFERROR(__xludf.DUMMYFUNCTION("""COMPUTED_VALUE"""),"C2552")</f>
        <v>C2552</v>
      </c>
      <c r="V134" t="str">
        <f ca="1">IFERROR(__xludf.DUMMYFUNCTION("""COMPUTED_VALUE"""),"female")</f>
        <v>female</v>
      </c>
      <c r="Z134" t="str">
        <f ca="1">IFERROR(__xludf.DUMMYFUNCTION("""COMPUTED_VALUE"""),"169")</f>
        <v>169</v>
      </c>
      <c r="AA134" t="str">
        <f ca="1">IFERROR(__xludf.DUMMYFUNCTION("""COMPUTED_VALUE"""),"d")</f>
        <v>d</v>
      </c>
      <c r="AB134" t="str">
        <f ca="1">IFERROR(__xludf.DUMMYFUNCTION("""COMPUTED_VALUE"""),"suspect")</f>
        <v>suspect</v>
      </c>
      <c r="AE134" t="str">
        <f ca="1">IFERROR(__xludf.DUMMYFUNCTION("""COMPUTED_VALUE"""),"#VALUE!")</f>
        <v>#VALUE!</v>
      </c>
      <c r="AF134" t="str">
        <f ca="1">IFERROR(__xludf.DUMMYFUNCTION("""COMPUTED_VALUE"""),"#N/A")</f>
        <v>#N/A</v>
      </c>
      <c r="AG134" t="str">
        <f ca="1">IFERROR(__xludf.DUMMYFUNCTION("""COMPUTED_VALUE"""),"#N/A")</f>
        <v>#N/A</v>
      </c>
      <c r="AI134" t="str">
        <f ca="1">IFERROR(__xludf.DUMMYFUNCTION("""COMPUTED_VALUE"""),"#VALUE!")</f>
        <v>#VALUE!</v>
      </c>
      <c r="AK134" t="str">
        <f ca="1">IFERROR(__xludf.DUMMYFUNCTION("""COMPUTED_VALUE"""),"#VALUE!")</f>
        <v>#VALUE!</v>
      </c>
      <c r="AM134" t="str">
        <f ca="1">IFERROR(__xludf.DUMMYFUNCTION("""COMPUTED_VALUE"""),"#VALUE!")</f>
        <v>#VALUE!</v>
      </c>
      <c r="AO134" t="str">
        <f ca="1">IFERROR(__xludf.DUMMYFUNCTION("""COMPUTED_VALUE"""),"#VALUE!")</f>
        <v>#VALUE!</v>
      </c>
      <c r="AQ134" t="str">
        <f ca="1">IFERROR(__xludf.DUMMYFUNCTION("""COMPUTED_VALUE"""),"#VALUE!")</f>
        <v>#VALUE!</v>
      </c>
      <c r="AS134" t="str">
        <f ca="1">IFERROR(__xludf.DUMMYFUNCTION("""COMPUTED_VALUE"""),"#VALUE!")</f>
        <v>#VALUE!</v>
      </c>
      <c r="AU134" t="str">
        <f ca="1">IFERROR(__xludf.DUMMYFUNCTION("""COMPUTED_VALUE"""),"#VALUE!")</f>
        <v>#VALUE!</v>
      </c>
      <c r="AW134" t="str">
        <f ca="1">IFERROR(__xludf.DUMMYFUNCTION("""COMPUTED_VALUE"""),"#VALUE!")</f>
        <v>#VALUE!</v>
      </c>
      <c r="AY134" t="str">
        <f ca="1">IFERROR(__xludf.DUMMYFUNCTION("""COMPUTED_VALUE"""),"#VALUE!")</f>
        <v>#VALUE!</v>
      </c>
      <c r="BA134" t="str">
        <f ca="1">IFERROR(__xludf.DUMMYFUNCTION("""COMPUTED_VALUE"""),"#VALUE!")</f>
        <v>#VALUE!</v>
      </c>
      <c r="BC134" t="str">
        <f ca="1">IFERROR(__xludf.DUMMYFUNCTION("""COMPUTED_VALUE"""),"#VALUE!")</f>
        <v>#VALUE!</v>
      </c>
      <c r="BE134" t="str">
        <f ca="1">IFERROR(__xludf.DUMMYFUNCTION("""COMPUTED_VALUE"""),"#VALUE!")</f>
        <v>#VALUE!</v>
      </c>
      <c r="BG134" t="str">
        <f ca="1">IFERROR(__xludf.DUMMYFUNCTION("""COMPUTED_VALUE"""),"#VALUE!")</f>
        <v>#VALUE!</v>
      </c>
      <c r="BI134" t="str">
        <f ca="1">IFERROR(__xludf.DUMMYFUNCTION("""COMPUTED_VALUE"""),"#VALUE!")</f>
        <v>#VALUE!</v>
      </c>
      <c r="BK134" t="str">
        <f ca="1">IFERROR(__xludf.DUMMYFUNCTION("""COMPUTED_VALUE"""),"#VALUE!")</f>
        <v>#VALUE!</v>
      </c>
      <c r="BM134" t="str">
        <f ca="1">IFERROR(__xludf.DUMMYFUNCTION("""COMPUTED_VALUE"""),"#VALUE!")</f>
        <v>#VALUE!</v>
      </c>
      <c r="BO134" t="str">
        <f ca="1">IFERROR(__xludf.DUMMYFUNCTION("""COMPUTED_VALUE"""),"#VALUE!")</f>
        <v>#VALUE!</v>
      </c>
      <c r="BQ134" t="str">
        <f ca="1">IFERROR(__xludf.DUMMYFUNCTION("""COMPUTED_VALUE"""),"#VALUE!")</f>
        <v>#VALUE!</v>
      </c>
      <c r="BS134" t="str">
        <f ca="1">IFERROR(__xludf.DUMMYFUNCTION("""COMPUTED_VALUE"""),"#VALUE!")</f>
        <v>#VALUE!</v>
      </c>
      <c r="BU134" t="str">
        <f ca="1">IFERROR(__xludf.DUMMYFUNCTION("""COMPUTED_VALUE"""),"#VALUE!")</f>
        <v>#VALUE!</v>
      </c>
      <c r="BW134" t="str">
        <f ca="1">IFERROR(__xludf.DUMMYFUNCTION("""COMPUTED_VALUE"""),"#VALUE!")</f>
        <v>#VALUE!</v>
      </c>
      <c r="BY134" t="str">
        <f ca="1">IFERROR(__xludf.DUMMYFUNCTION("""COMPUTED_VALUE"""),"#VALUE!")</f>
        <v>#VALUE!</v>
      </c>
      <c r="CA134" t="str">
        <f ca="1">IFERROR(__xludf.DUMMYFUNCTION("""COMPUTED_VALUE"""),"#VALUE!")</f>
        <v>#VALUE!</v>
      </c>
      <c r="CC134" t="str">
        <f ca="1">IFERROR(__xludf.DUMMYFUNCTION("""COMPUTED_VALUE"""),"#VALUE!")</f>
        <v>#VALUE!</v>
      </c>
      <c r="CE134" t="str">
        <f ca="1">IFERROR(__xludf.DUMMYFUNCTION("""COMPUTED_VALUE"""),"#VALUE!")</f>
        <v>#VALUE!</v>
      </c>
      <c r="CG134" t="str">
        <f ca="1">IFERROR(__xludf.DUMMYFUNCTION("""COMPUTED_VALUE"""),"#VALUE!")</f>
        <v>#VALUE!</v>
      </c>
      <c r="CI134" t="str">
        <f ca="1">IFERROR(__xludf.DUMMYFUNCTION("""COMPUTED_VALUE"""),"#VALUE!")</f>
        <v>#VALUE!</v>
      </c>
      <c r="CK134" t="str">
        <f ca="1">IFERROR(__xludf.DUMMYFUNCTION("""COMPUTED_VALUE"""),"#VALUE!")</f>
        <v>#VALUE!</v>
      </c>
      <c r="CS134" t="str">
        <f ca="1">IFERROR(__xludf.DUMMYFUNCTION("""COMPUTED_VALUE"""),"#VALUE!")</f>
        <v>#VALUE!</v>
      </c>
      <c r="CU134" t="str">
        <f ca="1">IFERROR(__xludf.DUMMYFUNCTION("""COMPUTED_VALUE"""),"#VALUE!")</f>
        <v>#VALUE!</v>
      </c>
      <c r="CW134" t="str">
        <f ca="1">IFERROR(__xludf.DUMMYFUNCTION("""COMPUTED_VALUE"""),"#VALUE!")</f>
        <v>#VALUE!</v>
      </c>
      <c r="CY134" t="str">
        <f ca="1">IFERROR(__xludf.DUMMYFUNCTION("""COMPUTED_VALUE"""),"#VALUE!")</f>
        <v>#VALUE!</v>
      </c>
      <c r="DC134" t="str">
        <f ca="1">IFERROR(__xludf.DUMMYFUNCTION("""COMPUTED_VALUE"""),"#VALUE!")</f>
        <v>#VALUE!</v>
      </c>
      <c r="DE134" t="str">
        <f ca="1">IFERROR(__xludf.DUMMYFUNCTION("""COMPUTED_VALUE"""),"#VALUE!")</f>
        <v>#VALUE!</v>
      </c>
      <c r="DI134" t="str">
        <f ca="1">IFERROR(__xludf.DUMMYFUNCTION("""COMPUTED_VALUE"""),"#VALUE!")</f>
        <v>#VALUE!</v>
      </c>
      <c r="DJ134" t="str">
        <f ca="1">IFERROR(__xludf.DUMMYFUNCTION("""COMPUTED_VALUE"""),"#VALUE!")</f>
        <v>#VALUE!</v>
      </c>
      <c r="DL134" t="str">
        <f ca="1">IFERROR(__xludf.DUMMYFUNCTION("""COMPUTED_VALUE"""),"Davor Salihović")</f>
        <v>Davor Salihović</v>
      </c>
    </row>
    <row r="135" spans="1:116" ht="13.2" x14ac:dyDescent="0.25">
      <c r="A135" t="str">
        <f ca="1">IFERROR(__xludf.DUMMYFUNCTION("""COMPUTED_VALUE"""),"P0137")</f>
        <v>P0137</v>
      </c>
      <c r="B135" t="str">
        <f ca="1">IFERROR(__xludf.DUMMYFUNCTION("""COMPUTED_VALUE"""),"Iohannes de Falcona")</f>
        <v>Iohannes de Falcona</v>
      </c>
      <c r="D135" t="str">
        <f ca="1">IFERROR(__xludf.DUMMYFUNCTION("""COMPUTED_VALUE"""),"#VALUE!")</f>
        <v>#VALUE!</v>
      </c>
      <c r="E135" t="str">
        <f ca="1">IFERROR(__xludf.DUMMYFUNCTION("""COMPUTED_VALUE"""),"Iohannes")</f>
        <v>Iohannes</v>
      </c>
      <c r="J135" t="str">
        <f ca="1">IFERROR(__xludf.DUMMYFUNCTION("""COMPUTED_VALUE"""),"de")</f>
        <v>de</v>
      </c>
      <c r="K135" t="str">
        <f ca="1">IFERROR(__xludf.DUMMYFUNCTION("""COMPUTED_VALUE"""),"Falcona")</f>
        <v>Falcona</v>
      </c>
      <c r="L135" t="str">
        <f ca="1">IFERROR(__xludf.DUMMYFUNCTION("""COMPUTED_VALUE"""),"de Falcona")</f>
        <v>de Falcona</v>
      </c>
      <c r="S135" t="str">
        <f ca="1">IFERROR(__xludf.DUMMYFUNCTION("""COMPUTED_VALUE"""),"Latin")</f>
        <v>Latin</v>
      </c>
      <c r="T135" t="str">
        <f ca="1">IFERROR(__xludf.DUMMYFUNCTION("""COMPUTED_VALUE"""),"definite")</f>
        <v>definite</v>
      </c>
      <c r="U135" t="str">
        <f ca="1">IFERROR(__xludf.DUMMYFUNCTION("""COMPUTED_VALUE"""),"C2553")</f>
        <v>C2553</v>
      </c>
      <c r="V135" t="str">
        <f ca="1">IFERROR(__xludf.DUMMYFUNCTION("""COMPUTED_VALUE"""),"male")</f>
        <v>male</v>
      </c>
      <c r="Z135" t="str">
        <f ca="1">IFERROR(__xludf.DUMMYFUNCTION("""COMPUTED_VALUE"""),"169, 206, 212")</f>
        <v>169, 206, 212</v>
      </c>
      <c r="AA135" t="str">
        <f ca="1">IFERROR(__xludf.DUMMYFUNCTION("""COMPUTED_VALUE"""),"d")</f>
        <v>d</v>
      </c>
      <c r="AB135" t="str">
        <f ca="1">IFERROR(__xludf.DUMMYFUNCTION("""COMPUTED_VALUE"""),"suspect")</f>
        <v>suspect</v>
      </c>
      <c r="AD135" t="str">
        <f ca="1">IFERROR(__xludf.DUMMYFUNCTION("""COMPUTED_VALUE"""),"C3287")</f>
        <v>C3287</v>
      </c>
      <c r="AE135" t="str">
        <f ca="1">IFERROR(__xludf.DUMMYFUNCTION("""COMPUTED_VALUE"""),"alive")</f>
        <v>alive</v>
      </c>
      <c r="AF135" t="str">
        <f ca="1">IFERROR(__xludf.DUMMYFUNCTION("""COMPUTED_VALUE"""),"C1753")</f>
        <v>C1753</v>
      </c>
      <c r="AG135" t="str">
        <f ca="1">IFERROR(__xludf.DUMMYFUNCTION("""COMPUTED_VALUE"""),"1335-01-20")</f>
        <v>1335-01-20</v>
      </c>
      <c r="AH135" t="str">
        <f ca="1">IFERROR(__xludf.DUMMYFUNCTION("""COMPUTED_VALUE"""),"C2348")</f>
        <v>C2348</v>
      </c>
      <c r="AI135" t="str">
        <f ca="1">IFERROR(__xludf.DUMMYFUNCTION("""COMPUTED_VALUE"""),"wife")</f>
        <v>wife</v>
      </c>
      <c r="AJ135" t="str">
        <f ca="1">IFERROR(__xludf.DUMMYFUNCTION("""COMPUTED_VALUE"""),"P0136")</f>
        <v>P0136</v>
      </c>
      <c r="AK135" t="str">
        <f ca="1">IFERROR(__xludf.DUMMYFUNCTION("""COMPUTED_VALUE"""),"Albana, uxor Iohannis de Falcona")</f>
        <v>Albana, uxor Iohannis de Falcona</v>
      </c>
      <c r="AM135" t="str">
        <f ca="1">IFERROR(__xludf.DUMMYFUNCTION("""COMPUTED_VALUE"""),"#VALUE!")</f>
        <v>#VALUE!</v>
      </c>
      <c r="AO135" t="str">
        <f ca="1">IFERROR(__xludf.DUMMYFUNCTION("""COMPUTED_VALUE"""),"#VALUE!")</f>
        <v>#VALUE!</v>
      </c>
      <c r="AQ135" t="str">
        <f ca="1">IFERROR(__xludf.DUMMYFUNCTION("""COMPUTED_VALUE"""),"#VALUE!")</f>
        <v>#VALUE!</v>
      </c>
      <c r="AS135" t="str">
        <f ca="1">IFERROR(__xludf.DUMMYFUNCTION("""COMPUTED_VALUE"""),"#VALUE!")</f>
        <v>#VALUE!</v>
      </c>
      <c r="AU135" t="str">
        <f ca="1">IFERROR(__xludf.DUMMYFUNCTION("""COMPUTED_VALUE"""),"#VALUE!")</f>
        <v>#VALUE!</v>
      </c>
      <c r="AW135" t="str">
        <f ca="1">IFERROR(__xludf.DUMMYFUNCTION("""COMPUTED_VALUE"""),"#VALUE!")</f>
        <v>#VALUE!</v>
      </c>
      <c r="AY135" t="str">
        <f ca="1">IFERROR(__xludf.DUMMYFUNCTION("""COMPUTED_VALUE"""),"#VALUE!")</f>
        <v>#VALUE!</v>
      </c>
      <c r="BA135" t="str">
        <f ca="1">IFERROR(__xludf.DUMMYFUNCTION("""COMPUTED_VALUE"""),"#VALUE!")</f>
        <v>#VALUE!</v>
      </c>
      <c r="BC135" t="str">
        <f ca="1">IFERROR(__xludf.DUMMYFUNCTION("""COMPUTED_VALUE"""),"#VALUE!")</f>
        <v>#VALUE!</v>
      </c>
      <c r="BE135" t="str">
        <f ca="1">IFERROR(__xludf.DUMMYFUNCTION("""COMPUTED_VALUE"""),"#VALUE!")</f>
        <v>#VALUE!</v>
      </c>
      <c r="BG135" t="str">
        <f ca="1">IFERROR(__xludf.DUMMYFUNCTION("""COMPUTED_VALUE"""),"#VALUE!")</f>
        <v>#VALUE!</v>
      </c>
      <c r="BI135" t="str">
        <f ca="1">IFERROR(__xludf.DUMMYFUNCTION("""COMPUTED_VALUE"""),"#VALUE!")</f>
        <v>#VALUE!</v>
      </c>
      <c r="BK135" t="str">
        <f ca="1">IFERROR(__xludf.DUMMYFUNCTION("""COMPUTED_VALUE"""),"#VALUE!")</f>
        <v>#VALUE!</v>
      </c>
      <c r="BM135" t="str">
        <f ca="1">IFERROR(__xludf.DUMMYFUNCTION("""COMPUTED_VALUE"""),"#VALUE!")</f>
        <v>#VALUE!</v>
      </c>
      <c r="BO135" t="str">
        <f ca="1">IFERROR(__xludf.DUMMYFUNCTION("""COMPUTED_VALUE"""),"#VALUE!")</f>
        <v>#VALUE!</v>
      </c>
      <c r="BQ135" t="str">
        <f ca="1">IFERROR(__xludf.DUMMYFUNCTION("""COMPUTED_VALUE"""),"#VALUE!")</f>
        <v>#VALUE!</v>
      </c>
      <c r="BS135" t="str">
        <f ca="1">IFERROR(__xludf.DUMMYFUNCTION("""COMPUTED_VALUE"""),"#VALUE!")</f>
        <v>#VALUE!</v>
      </c>
      <c r="BU135" t="str">
        <f ca="1">IFERROR(__xludf.DUMMYFUNCTION("""COMPUTED_VALUE"""),"#VALUE!")</f>
        <v>#VALUE!</v>
      </c>
      <c r="BW135" t="str">
        <f ca="1">IFERROR(__xludf.DUMMYFUNCTION("""COMPUTED_VALUE"""),"#VALUE!")</f>
        <v>#VALUE!</v>
      </c>
      <c r="BY135" t="str">
        <f ca="1">IFERROR(__xludf.DUMMYFUNCTION("""COMPUTED_VALUE"""),"#VALUE!")</f>
        <v>#VALUE!</v>
      </c>
      <c r="CA135" t="str">
        <f ca="1">IFERROR(__xludf.DUMMYFUNCTION("""COMPUTED_VALUE"""),"#VALUE!")</f>
        <v>#VALUE!</v>
      </c>
      <c r="CC135" t="str">
        <f ca="1">IFERROR(__xludf.DUMMYFUNCTION("""COMPUTED_VALUE"""),"#VALUE!")</f>
        <v>#VALUE!</v>
      </c>
      <c r="CD135" t="str">
        <f ca="1">IFERROR(__xludf.DUMMYFUNCTION("""COMPUTED_VALUE"""),"C3598")</f>
        <v>C3598</v>
      </c>
      <c r="CE135" t="str">
        <f ca="1">IFERROR(__xludf.DUMMYFUNCTION("""COMPUTED_VALUE"""),"location of congregation")</f>
        <v>location of congregation</v>
      </c>
      <c r="CF135" t="str">
        <f ca="1">IFERROR(__xludf.DUMMYFUNCTION("""COMPUTED_VALUE"""),"L0065")</f>
        <v>L0065</v>
      </c>
      <c r="CG135" t="str">
        <f ca="1">IFERROR(__xludf.DUMMYFUNCTION("""COMPUTED_VALUE"""),"domus Iohannis de Castagno de Giaveno")</f>
        <v>domus Iohannis de Castagno de Giaveno</v>
      </c>
      <c r="CI135" t="str">
        <f ca="1">IFERROR(__xludf.DUMMYFUNCTION("""COMPUTED_VALUE"""),"#VALUE!")</f>
        <v>#VALUE!</v>
      </c>
      <c r="CK135" t="str">
        <f ca="1">IFERROR(__xludf.DUMMYFUNCTION("""COMPUTED_VALUE"""),"#VALUE!")</f>
        <v>#VALUE!</v>
      </c>
      <c r="CS135" t="str">
        <f ca="1">IFERROR(__xludf.DUMMYFUNCTION("""COMPUTED_VALUE"""),"#VALUE!")</f>
        <v>#VALUE!</v>
      </c>
      <c r="CU135" t="str">
        <f ca="1">IFERROR(__xludf.DUMMYFUNCTION("""COMPUTED_VALUE"""),"#VALUE!")</f>
        <v>#VALUE!</v>
      </c>
      <c r="CW135" t="str">
        <f ca="1">IFERROR(__xludf.DUMMYFUNCTION("""COMPUTED_VALUE"""),"#VALUE!")</f>
        <v>#VALUE!</v>
      </c>
      <c r="CY135" t="str">
        <f ca="1">IFERROR(__xludf.DUMMYFUNCTION("""COMPUTED_VALUE"""),"#VALUE!")</f>
        <v>#VALUE!</v>
      </c>
      <c r="DC135" t="str">
        <f ca="1">IFERROR(__xludf.DUMMYFUNCTION("""COMPUTED_VALUE"""),"#VALUE!")</f>
        <v>#VALUE!</v>
      </c>
      <c r="DE135" t="str">
        <f ca="1">IFERROR(__xludf.DUMMYFUNCTION("""COMPUTED_VALUE"""),"#VALUE!")</f>
        <v>#VALUE!</v>
      </c>
      <c r="DF135" t="str">
        <f ca="1">IFERROR(__xludf.DUMMYFUNCTION("""COMPUTED_VALUE"""),"y")</f>
        <v>y</v>
      </c>
      <c r="DG135" t="str">
        <f ca="1">IFERROR(__xludf.DUMMYFUNCTION("""COMPUTED_VALUE"""),"212-213")</f>
        <v>212-213</v>
      </c>
      <c r="DH135" t="str">
        <f ca="1">IFERROR(__xludf.DUMMYFUNCTION("""COMPUTED_VALUE"""),"L0065")</f>
        <v>L0065</v>
      </c>
      <c r="DI135" t="str">
        <f ca="1">IFERROR(__xludf.DUMMYFUNCTION("""COMPUTED_VALUE"""),"domus Iohannis de Castagno de Giaveno")</f>
        <v>domus Iohannis de Castagno de Giaveno</v>
      </c>
      <c r="DJ135" t="str">
        <f ca="1">IFERROR(__xludf.DUMMYFUNCTION("""COMPUTED_VALUE"""),"domus")</f>
        <v>domus</v>
      </c>
      <c r="DL135" t="str">
        <f ca="1">IFERROR(__xludf.DUMMYFUNCTION("""COMPUTED_VALUE"""),"Davor Salihović")</f>
        <v>Davor Salihović</v>
      </c>
    </row>
    <row r="136" spans="1:116" ht="13.2" x14ac:dyDescent="0.25">
      <c r="A136" t="str">
        <f ca="1">IFERROR(__xludf.DUMMYFUNCTION("""COMPUTED_VALUE"""),"P0138")</f>
        <v>P0138</v>
      </c>
      <c r="B136" t="str">
        <f ca="1">IFERROR(__xludf.DUMMYFUNCTION("""COMPUTED_VALUE"""),"Anthonia, uxor Boneti Fabri")</f>
        <v>Anthonia, uxor Boneti Fabri</v>
      </c>
      <c r="D136" t="str">
        <f ca="1">IFERROR(__xludf.DUMMYFUNCTION("""COMPUTED_VALUE"""),"#VALUE!")</f>
        <v>#VALUE!</v>
      </c>
      <c r="E136" t="str">
        <f ca="1">IFERROR(__xludf.DUMMYFUNCTION("""COMPUTED_VALUE"""),"Anthonia")</f>
        <v>Anthonia</v>
      </c>
      <c r="Q136" t="str">
        <f ca="1">IFERROR(__xludf.DUMMYFUNCTION("""COMPUTED_VALUE"""),"uxor Boneti Fabri")</f>
        <v>uxor Boneti Fabri</v>
      </c>
      <c r="S136" t="str">
        <f ca="1">IFERROR(__xludf.DUMMYFUNCTION("""COMPUTED_VALUE"""),"Latin")</f>
        <v>Latin</v>
      </c>
      <c r="T136" t="str">
        <f ca="1">IFERROR(__xludf.DUMMYFUNCTION("""COMPUTED_VALUE"""),"definite")</f>
        <v>definite</v>
      </c>
      <c r="U136" t="str">
        <f ca="1">IFERROR(__xludf.DUMMYFUNCTION("""COMPUTED_VALUE"""),"C2552")</f>
        <v>C2552</v>
      </c>
      <c r="V136" t="str">
        <f ca="1">IFERROR(__xludf.DUMMYFUNCTION("""COMPUTED_VALUE"""),"female")</f>
        <v>female</v>
      </c>
      <c r="Z136" t="str">
        <f ca="1">IFERROR(__xludf.DUMMYFUNCTION("""COMPUTED_VALUE"""),"169")</f>
        <v>169</v>
      </c>
      <c r="AA136" t="str">
        <f ca="1">IFERROR(__xludf.DUMMYFUNCTION("""COMPUTED_VALUE"""),"d")</f>
        <v>d</v>
      </c>
      <c r="AB136" t="str">
        <f ca="1">IFERROR(__xludf.DUMMYFUNCTION("""COMPUTED_VALUE"""),"suspect")</f>
        <v>suspect</v>
      </c>
      <c r="AE136" t="str">
        <f ca="1">IFERROR(__xludf.DUMMYFUNCTION("""COMPUTED_VALUE"""),"#VALUE!")</f>
        <v>#VALUE!</v>
      </c>
      <c r="AF136" t="str">
        <f ca="1">IFERROR(__xludf.DUMMYFUNCTION("""COMPUTED_VALUE"""),"#N/A")</f>
        <v>#N/A</v>
      </c>
      <c r="AG136" t="str">
        <f ca="1">IFERROR(__xludf.DUMMYFUNCTION("""COMPUTED_VALUE"""),"#N/A")</f>
        <v>#N/A</v>
      </c>
      <c r="AI136" t="str">
        <f ca="1">IFERROR(__xludf.DUMMYFUNCTION("""COMPUTED_VALUE"""),"#VALUE!")</f>
        <v>#VALUE!</v>
      </c>
      <c r="AK136" t="str">
        <f ca="1">IFERROR(__xludf.DUMMYFUNCTION("""COMPUTED_VALUE"""),"#VALUE!")</f>
        <v>#VALUE!</v>
      </c>
      <c r="AM136" t="str">
        <f ca="1">IFERROR(__xludf.DUMMYFUNCTION("""COMPUTED_VALUE"""),"#VALUE!")</f>
        <v>#VALUE!</v>
      </c>
      <c r="AO136" t="str">
        <f ca="1">IFERROR(__xludf.DUMMYFUNCTION("""COMPUTED_VALUE"""),"#VALUE!")</f>
        <v>#VALUE!</v>
      </c>
      <c r="AQ136" t="str">
        <f ca="1">IFERROR(__xludf.DUMMYFUNCTION("""COMPUTED_VALUE"""),"#VALUE!")</f>
        <v>#VALUE!</v>
      </c>
      <c r="AS136" t="str">
        <f ca="1">IFERROR(__xludf.DUMMYFUNCTION("""COMPUTED_VALUE"""),"#VALUE!")</f>
        <v>#VALUE!</v>
      </c>
      <c r="AU136" t="str">
        <f ca="1">IFERROR(__xludf.DUMMYFUNCTION("""COMPUTED_VALUE"""),"#VALUE!")</f>
        <v>#VALUE!</v>
      </c>
      <c r="AW136" t="str">
        <f ca="1">IFERROR(__xludf.DUMMYFUNCTION("""COMPUTED_VALUE"""),"#VALUE!")</f>
        <v>#VALUE!</v>
      </c>
      <c r="AY136" t="str">
        <f ca="1">IFERROR(__xludf.DUMMYFUNCTION("""COMPUTED_VALUE"""),"#VALUE!")</f>
        <v>#VALUE!</v>
      </c>
      <c r="BA136" t="str">
        <f ca="1">IFERROR(__xludf.DUMMYFUNCTION("""COMPUTED_VALUE"""),"#VALUE!")</f>
        <v>#VALUE!</v>
      </c>
      <c r="BC136" t="str">
        <f ca="1">IFERROR(__xludf.DUMMYFUNCTION("""COMPUTED_VALUE"""),"#VALUE!")</f>
        <v>#VALUE!</v>
      </c>
      <c r="BE136" t="str">
        <f ca="1">IFERROR(__xludf.DUMMYFUNCTION("""COMPUTED_VALUE"""),"#VALUE!")</f>
        <v>#VALUE!</v>
      </c>
      <c r="BG136" t="str">
        <f ca="1">IFERROR(__xludf.DUMMYFUNCTION("""COMPUTED_VALUE"""),"#VALUE!")</f>
        <v>#VALUE!</v>
      </c>
      <c r="BI136" t="str">
        <f ca="1">IFERROR(__xludf.DUMMYFUNCTION("""COMPUTED_VALUE"""),"#VALUE!")</f>
        <v>#VALUE!</v>
      </c>
      <c r="BK136" t="str">
        <f ca="1">IFERROR(__xludf.DUMMYFUNCTION("""COMPUTED_VALUE"""),"#VALUE!")</f>
        <v>#VALUE!</v>
      </c>
      <c r="BM136" t="str">
        <f ca="1">IFERROR(__xludf.DUMMYFUNCTION("""COMPUTED_VALUE"""),"#VALUE!")</f>
        <v>#VALUE!</v>
      </c>
      <c r="BO136" t="str">
        <f ca="1">IFERROR(__xludf.DUMMYFUNCTION("""COMPUTED_VALUE"""),"#VALUE!")</f>
        <v>#VALUE!</v>
      </c>
      <c r="BQ136" t="str">
        <f ca="1">IFERROR(__xludf.DUMMYFUNCTION("""COMPUTED_VALUE"""),"#VALUE!")</f>
        <v>#VALUE!</v>
      </c>
      <c r="BS136" t="str">
        <f ca="1">IFERROR(__xludf.DUMMYFUNCTION("""COMPUTED_VALUE"""),"#VALUE!")</f>
        <v>#VALUE!</v>
      </c>
      <c r="BU136" t="str">
        <f ca="1">IFERROR(__xludf.DUMMYFUNCTION("""COMPUTED_VALUE"""),"#VALUE!")</f>
        <v>#VALUE!</v>
      </c>
      <c r="BW136" t="str">
        <f ca="1">IFERROR(__xludf.DUMMYFUNCTION("""COMPUTED_VALUE"""),"#VALUE!")</f>
        <v>#VALUE!</v>
      </c>
      <c r="BY136" t="str">
        <f ca="1">IFERROR(__xludf.DUMMYFUNCTION("""COMPUTED_VALUE"""),"#VALUE!")</f>
        <v>#VALUE!</v>
      </c>
      <c r="CA136" t="str">
        <f ca="1">IFERROR(__xludf.DUMMYFUNCTION("""COMPUTED_VALUE"""),"#VALUE!")</f>
        <v>#VALUE!</v>
      </c>
      <c r="CC136" t="str">
        <f ca="1">IFERROR(__xludf.DUMMYFUNCTION("""COMPUTED_VALUE"""),"#VALUE!")</f>
        <v>#VALUE!</v>
      </c>
      <c r="CE136" t="str">
        <f ca="1">IFERROR(__xludf.DUMMYFUNCTION("""COMPUTED_VALUE"""),"#VALUE!")</f>
        <v>#VALUE!</v>
      </c>
      <c r="CG136" t="str">
        <f ca="1">IFERROR(__xludf.DUMMYFUNCTION("""COMPUTED_VALUE"""),"#VALUE!")</f>
        <v>#VALUE!</v>
      </c>
      <c r="CI136" t="str">
        <f ca="1">IFERROR(__xludf.DUMMYFUNCTION("""COMPUTED_VALUE"""),"#VALUE!")</f>
        <v>#VALUE!</v>
      </c>
      <c r="CK136" t="str">
        <f ca="1">IFERROR(__xludf.DUMMYFUNCTION("""COMPUTED_VALUE"""),"#VALUE!")</f>
        <v>#VALUE!</v>
      </c>
      <c r="CS136" t="str">
        <f ca="1">IFERROR(__xludf.DUMMYFUNCTION("""COMPUTED_VALUE"""),"#VALUE!")</f>
        <v>#VALUE!</v>
      </c>
      <c r="CU136" t="str">
        <f ca="1">IFERROR(__xludf.DUMMYFUNCTION("""COMPUTED_VALUE"""),"#VALUE!")</f>
        <v>#VALUE!</v>
      </c>
      <c r="CW136" t="str">
        <f ca="1">IFERROR(__xludf.DUMMYFUNCTION("""COMPUTED_VALUE"""),"#VALUE!")</f>
        <v>#VALUE!</v>
      </c>
      <c r="CY136" t="str">
        <f ca="1">IFERROR(__xludf.DUMMYFUNCTION("""COMPUTED_VALUE"""),"#VALUE!")</f>
        <v>#VALUE!</v>
      </c>
      <c r="DC136" t="str">
        <f ca="1">IFERROR(__xludf.DUMMYFUNCTION("""COMPUTED_VALUE"""),"#VALUE!")</f>
        <v>#VALUE!</v>
      </c>
      <c r="DE136" t="str">
        <f ca="1">IFERROR(__xludf.DUMMYFUNCTION("""COMPUTED_VALUE"""),"#VALUE!")</f>
        <v>#VALUE!</v>
      </c>
      <c r="DI136" t="str">
        <f ca="1">IFERROR(__xludf.DUMMYFUNCTION("""COMPUTED_VALUE"""),"#VALUE!")</f>
        <v>#VALUE!</v>
      </c>
      <c r="DJ136" t="str">
        <f ca="1">IFERROR(__xludf.DUMMYFUNCTION("""COMPUTED_VALUE"""),"#VALUE!")</f>
        <v>#VALUE!</v>
      </c>
      <c r="DL136" t="str">
        <f ca="1">IFERROR(__xludf.DUMMYFUNCTION("""COMPUTED_VALUE"""),"Davor Salihović")</f>
        <v>Davor Salihović</v>
      </c>
    </row>
    <row r="137" spans="1:116" ht="13.2" x14ac:dyDescent="0.25">
      <c r="A137" t="str">
        <f ca="1">IFERROR(__xludf.DUMMYFUNCTION("""COMPUTED_VALUE"""),"P0139")</f>
        <v>P0139</v>
      </c>
      <c r="B137" t="str">
        <f ca="1">IFERROR(__xludf.DUMMYFUNCTION("""COMPUTED_VALUE"""),"Bonetus Faber")</f>
        <v>Bonetus Faber</v>
      </c>
      <c r="D137" t="str">
        <f ca="1">IFERROR(__xludf.DUMMYFUNCTION("""COMPUTED_VALUE"""),"#VALUE!")</f>
        <v>#VALUE!</v>
      </c>
      <c r="E137" t="str">
        <f ca="1">IFERROR(__xludf.DUMMYFUNCTION("""COMPUTED_VALUE"""),"Bonetus")</f>
        <v>Bonetus</v>
      </c>
      <c r="K137" t="str">
        <f ca="1">IFERROR(__xludf.DUMMYFUNCTION("""COMPUTED_VALUE"""),"Faber")</f>
        <v>Faber</v>
      </c>
      <c r="L137" t="str">
        <f ca="1">IFERROR(__xludf.DUMMYFUNCTION("""COMPUTED_VALUE"""),"Faber")</f>
        <v>Faber</v>
      </c>
      <c r="S137" t="str">
        <f ca="1">IFERROR(__xludf.DUMMYFUNCTION("""COMPUTED_VALUE"""),"Latin")</f>
        <v>Latin</v>
      </c>
      <c r="T137" t="str">
        <f ca="1">IFERROR(__xludf.DUMMYFUNCTION("""COMPUTED_VALUE"""),"definite")</f>
        <v>definite</v>
      </c>
      <c r="U137" t="str">
        <f ca="1">IFERROR(__xludf.DUMMYFUNCTION("""COMPUTED_VALUE"""),"C2553")</f>
        <v>C2553</v>
      </c>
      <c r="V137" t="str">
        <f ca="1">IFERROR(__xludf.DUMMYFUNCTION("""COMPUTED_VALUE"""),"male")</f>
        <v>male</v>
      </c>
      <c r="Z137" t="str">
        <f ca="1">IFERROR(__xludf.DUMMYFUNCTION("""COMPUTED_VALUE"""),"169")</f>
        <v>169</v>
      </c>
      <c r="AA137" t="str">
        <f ca="1">IFERROR(__xludf.DUMMYFUNCTION("""COMPUTED_VALUE"""),"d")</f>
        <v>d</v>
      </c>
      <c r="AB137" t="str">
        <f ca="1">IFERROR(__xludf.DUMMYFUNCTION("""COMPUTED_VALUE"""),"NA")</f>
        <v>NA</v>
      </c>
      <c r="AE137" t="str">
        <f ca="1">IFERROR(__xludf.DUMMYFUNCTION("""COMPUTED_VALUE"""),"#VALUE!")</f>
        <v>#VALUE!</v>
      </c>
      <c r="AF137" t="str">
        <f ca="1">IFERROR(__xludf.DUMMYFUNCTION("""COMPUTED_VALUE"""),"#N/A")</f>
        <v>#N/A</v>
      </c>
      <c r="AG137" t="str">
        <f ca="1">IFERROR(__xludf.DUMMYFUNCTION("""COMPUTED_VALUE"""),"#N/A")</f>
        <v>#N/A</v>
      </c>
      <c r="AH137" t="str">
        <f ca="1">IFERROR(__xludf.DUMMYFUNCTION("""COMPUTED_VALUE"""),"C2348")</f>
        <v>C2348</v>
      </c>
      <c r="AI137" t="str">
        <f ca="1">IFERROR(__xludf.DUMMYFUNCTION("""COMPUTED_VALUE"""),"wife")</f>
        <v>wife</v>
      </c>
      <c r="AJ137" t="str">
        <f ca="1">IFERROR(__xludf.DUMMYFUNCTION("""COMPUTED_VALUE"""),"P0138")</f>
        <v>P0138</v>
      </c>
      <c r="AK137" t="str">
        <f ca="1">IFERROR(__xludf.DUMMYFUNCTION("""COMPUTED_VALUE"""),"Anthonia, uxor Boneti Fabri")</f>
        <v>Anthonia, uxor Boneti Fabri</v>
      </c>
      <c r="AM137" t="str">
        <f ca="1">IFERROR(__xludf.DUMMYFUNCTION("""COMPUTED_VALUE"""),"#VALUE!")</f>
        <v>#VALUE!</v>
      </c>
      <c r="AO137" t="str">
        <f ca="1">IFERROR(__xludf.DUMMYFUNCTION("""COMPUTED_VALUE"""),"#VALUE!")</f>
        <v>#VALUE!</v>
      </c>
      <c r="AQ137" t="str">
        <f ca="1">IFERROR(__xludf.DUMMYFUNCTION("""COMPUTED_VALUE"""),"#VALUE!")</f>
        <v>#VALUE!</v>
      </c>
      <c r="AS137" t="str">
        <f ca="1">IFERROR(__xludf.DUMMYFUNCTION("""COMPUTED_VALUE"""),"#VALUE!")</f>
        <v>#VALUE!</v>
      </c>
      <c r="AU137" t="str">
        <f ca="1">IFERROR(__xludf.DUMMYFUNCTION("""COMPUTED_VALUE"""),"#VALUE!")</f>
        <v>#VALUE!</v>
      </c>
      <c r="AW137" t="str">
        <f ca="1">IFERROR(__xludf.DUMMYFUNCTION("""COMPUTED_VALUE"""),"#VALUE!")</f>
        <v>#VALUE!</v>
      </c>
      <c r="AY137" t="str">
        <f ca="1">IFERROR(__xludf.DUMMYFUNCTION("""COMPUTED_VALUE"""),"#VALUE!")</f>
        <v>#VALUE!</v>
      </c>
      <c r="BA137" t="str">
        <f ca="1">IFERROR(__xludf.DUMMYFUNCTION("""COMPUTED_VALUE"""),"#VALUE!")</f>
        <v>#VALUE!</v>
      </c>
      <c r="BC137" t="str">
        <f ca="1">IFERROR(__xludf.DUMMYFUNCTION("""COMPUTED_VALUE"""),"#VALUE!")</f>
        <v>#VALUE!</v>
      </c>
      <c r="BE137" t="str">
        <f ca="1">IFERROR(__xludf.DUMMYFUNCTION("""COMPUTED_VALUE"""),"#VALUE!")</f>
        <v>#VALUE!</v>
      </c>
      <c r="BG137" t="str">
        <f ca="1">IFERROR(__xludf.DUMMYFUNCTION("""COMPUTED_VALUE"""),"#VALUE!")</f>
        <v>#VALUE!</v>
      </c>
      <c r="BI137" t="str">
        <f ca="1">IFERROR(__xludf.DUMMYFUNCTION("""COMPUTED_VALUE"""),"#VALUE!")</f>
        <v>#VALUE!</v>
      </c>
      <c r="BK137" t="str">
        <f ca="1">IFERROR(__xludf.DUMMYFUNCTION("""COMPUTED_VALUE"""),"#VALUE!")</f>
        <v>#VALUE!</v>
      </c>
      <c r="BM137" t="str">
        <f ca="1">IFERROR(__xludf.DUMMYFUNCTION("""COMPUTED_VALUE"""),"#VALUE!")</f>
        <v>#VALUE!</v>
      </c>
      <c r="BO137" t="str">
        <f ca="1">IFERROR(__xludf.DUMMYFUNCTION("""COMPUTED_VALUE"""),"#VALUE!")</f>
        <v>#VALUE!</v>
      </c>
      <c r="BQ137" t="str">
        <f ca="1">IFERROR(__xludf.DUMMYFUNCTION("""COMPUTED_VALUE"""),"#VALUE!")</f>
        <v>#VALUE!</v>
      </c>
      <c r="BS137" t="str">
        <f ca="1">IFERROR(__xludf.DUMMYFUNCTION("""COMPUTED_VALUE"""),"#VALUE!")</f>
        <v>#VALUE!</v>
      </c>
      <c r="BU137" t="str">
        <f ca="1">IFERROR(__xludf.DUMMYFUNCTION("""COMPUTED_VALUE"""),"#VALUE!")</f>
        <v>#VALUE!</v>
      </c>
      <c r="BW137" t="str">
        <f ca="1">IFERROR(__xludf.DUMMYFUNCTION("""COMPUTED_VALUE"""),"#VALUE!")</f>
        <v>#VALUE!</v>
      </c>
      <c r="BY137" t="str">
        <f ca="1">IFERROR(__xludf.DUMMYFUNCTION("""COMPUTED_VALUE"""),"#VALUE!")</f>
        <v>#VALUE!</v>
      </c>
      <c r="CA137" t="str">
        <f ca="1">IFERROR(__xludf.DUMMYFUNCTION("""COMPUTED_VALUE"""),"#VALUE!")</f>
        <v>#VALUE!</v>
      </c>
      <c r="CC137" t="str">
        <f ca="1">IFERROR(__xludf.DUMMYFUNCTION("""COMPUTED_VALUE"""),"#VALUE!")</f>
        <v>#VALUE!</v>
      </c>
      <c r="CE137" t="str">
        <f ca="1">IFERROR(__xludf.DUMMYFUNCTION("""COMPUTED_VALUE"""),"#VALUE!")</f>
        <v>#VALUE!</v>
      </c>
      <c r="CG137" t="str">
        <f ca="1">IFERROR(__xludf.DUMMYFUNCTION("""COMPUTED_VALUE"""),"#VALUE!")</f>
        <v>#VALUE!</v>
      </c>
      <c r="CI137" t="str">
        <f ca="1">IFERROR(__xludf.DUMMYFUNCTION("""COMPUTED_VALUE"""),"#VALUE!")</f>
        <v>#VALUE!</v>
      </c>
      <c r="CK137" t="str">
        <f ca="1">IFERROR(__xludf.DUMMYFUNCTION("""COMPUTED_VALUE"""),"#VALUE!")</f>
        <v>#VALUE!</v>
      </c>
      <c r="CS137" t="str">
        <f ca="1">IFERROR(__xludf.DUMMYFUNCTION("""COMPUTED_VALUE"""),"#VALUE!")</f>
        <v>#VALUE!</v>
      </c>
      <c r="CU137" t="str">
        <f ca="1">IFERROR(__xludf.DUMMYFUNCTION("""COMPUTED_VALUE"""),"#VALUE!")</f>
        <v>#VALUE!</v>
      </c>
      <c r="CW137" t="str">
        <f ca="1">IFERROR(__xludf.DUMMYFUNCTION("""COMPUTED_VALUE"""),"#VALUE!")</f>
        <v>#VALUE!</v>
      </c>
      <c r="CY137" t="str">
        <f ca="1">IFERROR(__xludf.DUMMYFUNCTION("""COMPUTED_VALUE"""),"#VALUE!")</f>
        <v>#VALUE!</v>
      </c>
      <c r="DC137" t="str">
        <f ca="1">IFERROR(__xludf.DUMMYFUNCTION("""COMPUTED_VALUE"""),"#VALUE!")</f>
        <v>#VALUE!</v>
      </c>
      <c r="DE137" t="str">
        <f ca="1">IFERROR(__xludf.DUMMYFUNCTION("""COMPUTED_VALUE"""),"#VALUE!")</f>
        <v>#VALUE!</v>
      </c>
      <c r="DI137" t="str">
        <f ca="1">IFERROR(__xludf.DUMMYFUNCTION("""COMPUTED_VALUE"""),"#VALUE!")</f>
        <v>#VALUE!</v>
      </c>
      <c r="DJ137" t="str">
        <f ca="1">IFERROR(__xludf.DUMMYFUNCTION("""COMPUTED_VALUE"""),"#VALUE!")</f>
        <v>#VALUE!</v>
      </c>
      <c r="DL137" t="str">
        <f ca="1">IFERROR(__xludf.DUMMYFUNCTION("""COMPUTED_VALUE"""),"Davor Salihović")</f>
        <v>Davor Salihović</v>
      </c>
    </row>
    <row r="138" spans="1:116" ht="13.2" x14ac:dyDescent="0.25">
      <c r="A138" t="str">
        <f ca="1">IFERROR(__xludf.DUMMYFUNCTION("""COMPUTED_VALUE"""),"P0140")</f>
        <v>P0140</v>
      </c>
      <c r="B138" t="str">
        <f ca="1">IFERROR(__xludf.DUMMYFUNCTION("""COMPUTED_VALUE"""),"Hermelina, soror Petri Rupphini")</f>
        <v>Hermelina, soror Petri Rupphini</v>
      </c>
      <c r="D138" t="str">
        <f ca="1">IFERROR(__xludf.DUMMYFUNCTION("""COMPUTED_VALUE"""),"#VALUE!")</f>
        <v>#VALUE!</v>
      </c>
      <c r="E138" t="str">
        <f ca="1">IFERROR(__xludf.DUMMYFUNCTION("""COMPUTED_VALUE"""),"Hermelina")</f>
        <v>Hermelina</v>
      </c>
      <c r="Q138" t="str">
        <f ca="1">IFERROR(__xludf.DUMMYFUNCTION("""COMPUTED_VALUE"""),"soror Petri Rupphini")</f>
        <v>soror Petri Rupphini</v>
      </c>
      <c r="S138" t="str">
        <f ca="1">IFERROR(__xludf.DUMMYFUNCTION("""COMPUTED_VALUE"""),"Latin")</f>
        <v>Latin</v>
      </c>
      <c r="T138" t="str">
        <f ca="1">IFERROR(__xludf.DUMMYFUNCTION("""COMPUTED_VALUE"""),"definite")</f>
        <v>definite</v>
      </c>
      <c r="U138" t="str">
        <f ca="1">IFERROR(__xludf.DUMMYFUNCTION("""COMPUTED_VALUE"""),"C2552")</f>
        <v>C2552</v>
      </c>
      <c r="V138" t="str">
        <f ca="1">IFERROR(__xludf.DUMMYFUNCTION("""COMPUTED_VALUE"""),"female")</f>
        <v>female</v>
      </c>
      <c r="Z138" t="str">
        <f ca="1">IFERROR(__xludf.DUMMYFUNCTION("""COMPUTED_VALUE"""),"169, 192, 193, 233")</f>
        <v>169, 192, 193, 233</v>
      </c>
      <c r="AA138" t="str">
        <f ca="1">IFERROR(__xludf.DUMMYFUNCTION("""COMPUTED_VALUE"""),"d")</f>
        <v>d</v>
      </c>
      <c r="AB138" t="str">
        <f ca="1">IFERROR(__xludf.DUMMYFUNCTION("""COMPUTED_VALUE"""),"suspect")</f>
        <v>suspect</v>
      </c>
      <c r="AE138" t="str">
        <f ca="1">IFERROR(__xludf.DUMMYFUNCTION("""COMPUTED_VALUE"""),"#VALUE!")</f>
        <v>#VALUE!</v>
      </c>
      <c r="AF138" t="str">
        <f ca="1">IFERROR(__xludf.DUMMYFUNCTION("""COMPUTED_VALUE"""),"#N/A")</f>
        <v>#N/A</v>
      </c>
      <c r="AG138" t="str">
        <f ca="1">IFERROR(__xludf.DUMMYFUNCTION("""COMPUTED_VALUE"""),"#N/A")</f>
        <v>#N/A</v>
      </c>
      <c r="AI138" t="str">
        <f ca="1">IFERROR(__xludf.DUMMYFUNCTION("""COMPUTED_VALUE"""),"#VALUE!")</f>
        <v>#VALUE!</v>
      </c>
      <c r="AK138" t="str">
        <f ca="1">IFERROR(__xludf.DUMMYFUNCTION("""COMPUTED_VALUE"""),"#VALUE!")</f>
        <v>#VALUE!</v>
      </c>
      <c r="AM138" t="str">
        <f ca="1">IFERROR(__xludf.DUMMYFUNCTION("""COMPUTED_VALUE"""),"#VALUE!")</f>
        <v>#VALUE!</v>
      </c>
      <c r="AO138" t="str">
        <f ca="1">IFERROR(__xludf.DUMMYFUNCTION("""COMPUTED_VALUE"""),"#VALUE!")</f>
        <v>#VALUE!</v>
      </c>
      <c r="AQ138" t="str">
        <f ca="1">IFERROR(__xludf.DUMMYFUNCTION("""COMPUTED_VALUE"""),"#VALUE!")</f>
        <v>#VALUE!</v>
      </c>
      <c r="AS138" t="str">
        <f ca="1">IFERROR(__xludf.DUMMYFUNCTION("""COMPUTED_VALUE"""),"#VALUE!")</f>
        <v>#VALUE!</v>
      </c>
      <c r="AU138" t="str">
        <f ca="1">IFERROR(__xludf.DUMMYFUNCTION("""COMPUTED_VALUE"""),"#VALUE!")</f>
        <v>#VALUE!</v>
      </c>
      <c r="AW138" t="str">
        <f ca="1">IFERROR(__xludf.DUMMYFUNCTION("""COMPUTED_VALUE"""),"#VALUE!")</f>
        <v>#VALUE!</v>
      </c>
      <c r="AY138" t="str">
        <f ca="1">IFERROR(__xludf.DUMMYFUNCTION("""COMPUTED_VALUE"""),"#VALUE!")</f>
        <v>#VALUE!</v>
      </c>
      <c r="BA138" t="str">
        <f ca="1">IFERROR(__xludf.DUMMYFUNCTION("""COMPUTED_VALUE"""),"#VALUE!")</f>
        <v>#VALUE!</v>
      </c>
      <c r="BC138" t="str">
        <f ca="1">IFERROR(__xludf.DUMMYFUNCTION("""COMPUTED_VALUE"""),"#VALUE!")</f>
        <v>#VALUE!</v>
      </c>
      <c r="BE138" t="str">
        <f ca="1">IFERROR(__xludf.DUMMYFUNCTION("""COMPUTED_VALUE"""),"#VALUE!")</f>
        <v>#VALUE!</v>
      </c>
      <c r="BG138" t="str">
        <f ca="1">IFERROR(__xludf.DUMMYFUNCTION("""COMPUTED_VALUE"""),"#VALUE!")</f>
        <v>#VALUE!</v>
      </c>
      <c r="BI138" t="str">
        <f ca="1">IFERROR(__xludf.DUMMYFUNCTION("""COMPUTED_VALUE"""),"#VALUE!")</f>
        <v>#VALUE!</v>
      </c>
      <c r="BK138" t="str">
        <f ca="1">IFERROR(__xludf.DUMMYFUNCTION("""COMPUTED_VALUE"""),"#VALUE!")</f>
        <v>#VALUE!</v>
      </c>
      <c r="BM138" t="str">
        <f ca="1">IFERROR(__xludf.DUMMYFUNCTION("""COMPUTED_VALUE"""),"#VALUE!")</f>
        <v>#VALUE!</v>
      </c>
      <c r="BO138" t="str">
        <f ca="1">IFERROR(__xludf.DUMMYFUNCTION("""COMPUTED_VALUE"""),"#VALUE!")</f>
        <v>#VALUE!</v>
      </c>
      <c r="BQ138" t="str">
        <f ca="1">IFERROR(__xludf.DUMMYFUNCTION("""COMPUTED_VALUE"""),"#VALUE!")</f>
        <v>#VALUE!</v>
      </c>
      <c r="BS138" t="str">
        <f ca="1">IFERROR(__xludf.DUMMYFUNCTION("""COMPUTED_VALUE"""),"#VALUE!")</f>
        <v>#VALUE!</v>
      </c>
      <c r="BU138" t="str">
        <f ca="1">IFERROR(__xludf.DUMMYFUNCTION("""COMPUTED_VALUE"""),"#VALUE!")</f>
        <v>#VALUE!</v>
      </c>
      <c r="BW138" t="str">
        <f ca="1">IFERROR(__xludf.DUMMYFUNCTION("""COMPUTED_VALUE"""),"#VALUE!")</f>
        <v>#VALUE!</v>
      </c>
      <c r="BY138" t="str">
        <f ca="1">IFERROR(__xludf.DUMMYFUNCTION("""COMPUTED_VALUE"""),"#VALUE!")</f>
        <v>#VALUE!</v>
      </c>
      <c r="CA138" t="str">
        <f ca="1">IFERROR(__xludf.DUMMYFUNCTION("""COMPUTED_VALUE"""),"#VALUE!")</f>
        <v>#VALUE!</v>
      </c>
      <c r="CC138" t="str">
        <f ca="1">IFERROR(__xludf.DUMMYFUNCTION("""COMPUTED_VALUE"""),"#VALUE!")</f>
        <v>#VALUE!</v>
      </c>
      <c r="CD138" t="str">
        <f ca="1">IFERROR(__xludf.DUMMYFUNCTION("""COMPUTED_VALUE"""),"C3598")</f>
        <v>C3598</v>
      </c>
      <c r="CE138" t="str">
        <f ca="1">IFERROR(__xludf.DUMMYFUNCTION("""COMPUTED_VALUE"""),"location of congregation")</f>
        <v>location of congregation</v>
      </c>
      <c r="CF138" t="str">
        <f ca="1">IFERROR(__xludf.DUMMYFUNCTION("""COMPUTED_VALUE"""),"L0067")</f>
        <v>L0067</v>
      </c>
      <c r="CG138" t="str">
        <f ca="1">IFERROR(__xludf.DUMMYFUNCTION("""COMPUTED_VALUE"""),"domus Petri Rupphini")</f>
        <v>domus Petri Rupphini</v>
      </c>
      <c r="CI138" t="str">
        <f ca="1">IFERROR(__xludf.DUMMYFUNCTION("""COMPUTED_VALUE"""),"#VALUE!")</f>
        <v>#VALUE!</v>
      </c>
      <c r="CK138" t="str">
        <f ca="1">IFERROR(__xludf.DUMMYFUNCTION("""COMPUTED_VALUE"""),"#VALUE!")</f>
        <v>#VALUE!</v>
      </c>
      <c r="CS138" t="str">
        <f ca="1">IFERROR(__xludf.DUMMYFUNCTION("""COMPUTED_VALUE"""),"#VALUE!")</f>
        <v>#VALUE!</v>
      </c>
      <c r="CU138" t="str">
        <f ca="1">IFERROR(__xludf.DUMMYFUNCTION("""COMPUTED_VALUE"""),"#VALUE!")</f>
        <v>#VALUE!</v>
      </c>
      <c r="CW138" t="str">
        <f ca="1">IFERROR(__xludf.DUMMYFUNCTION("""COMPUTED_VALUE"""),"#VALUE!")</f>
        <v>#VALUE!</v>
      </c>
      <c r="CY138" t="str">
        <f ca="1">IFERROR(__xludf.DUMMYFUNCTION("""COMPUTED_VALUE"""),"#VALUE!")</f>
        <v>#VALUE!</v>
      </c>
      <c r="DC138" t="str">
        <f ca="1">IFERROR(__xludf.DUMMYFUNCTION("""COMPUTED_VALUE"""),"#VALUE!")</f>
        <v>#VALUE!</v>
      </c>
      <c r="DE138" t="str">
        <f ca="1">IFERROR(__xludf.DUMMYFUNCTION("""COMPUTED_VALUE"""),"#VALUE!")</f>
        <v>#VALUE!</v>
      </c>
      <c r="DH138" t="str">
        <f ca="1">IFERROR(__xludf.DUMMYFUNCTION("""COMPUTED_VALUE"""),"L0067")</f>
        <v>L0067</v>
      </c>
      <c r="DI138" t="str">
        <f ca="1">IFERROR(__xludf.DUMMYFUNCTION("""COMPUTED_VALUE"""),"domus Petri Rupphini")</f>
        <v>domus Petri Rupphini</v>
      </c>
      <c r="DJ138" t="str">
        <f ca="1">IFERROR(__xludf.DUMMYFUNCTION("""COMPUTED_VALUE"""),"domus")</f>
        <v>domus</v>
      </c>
      <c r="DK138" t="str">
        <f ca="1">IFERROR(__xludf.DUMMYFUNCTION("""COMPUTED_VALUE"""),"probably the same as P0056")</f>
        <v>probably the same as P0056</v>
      </c>
      <c r="DL138" t="str">
        <f ca="1">IFERROR(__xludf.DUMMYFUNCTION("""COMPUTED_VALUE"""),"Davor Salihović")</f>
        <v>Davor Salihović</v>
      </c>
    </row>
    <row r="139" spans="1:116" ht="13.2" x14ac:dyDescent="0.25">
      <c r="A139" t="str">
        <f ca="1">IFERROR(__xludf.DUMMYFUNCTION("""COMPUTED_VALUE"""),"P0141")</f>
        <v>P0141</v>
      </c>
      <c r="B139" t="str">
        <f ca="1">IFERROR(__xludf.DUMMYFUNCTION("""COMPUTED_VALUE"""),"Philiponus de Molario")</f>
        <v>Philiponus de Molario</v>
      </c>
      <c r="D139" t="str">
        <f ca="1">IFERROR(__xludf.DUMMYFUNCTION("""COMPUTED_VALUE"""),"#VALUE!")</f>
        <v>#VALUE!</v>
      </c>
      <c r="E139" t="str">
        <f ca="1">IFERROR(__xludf.DUMMYFUNCTION("""COMPUTED_VALUE"""),"Philiponus")</f>
        <v>Philiponus</v>
      </c>
      <c r="J139" t="str">
        <f ca="1">IFERROR(__xludf.DUMMYFUNCTION("""COMPUTED_VALUE"""),"de")</f>
        <v>de</v>
      </c>
      <c r="K139" t="str">
        <f ca="1">IFERROR(__xludf.DUMMYFUNCTION("""COMPUTED_VALUE"""),"Molario")</f>
        <v>Molario</v>
      </c>
      <c r="L139" t="str">
        <f ca="1">IFERROR(__xludf.DUMMYFUNCTION("""COMPUTED_VALUE"""),"de Molario")</f>
        <v>de Molario</v>
      </c>
      <c r="S139" t="str">
        <f ca="1">IFERROR(__xludf.DUMMYFUNCTION("""COMPUTED_VALUE"""),"Latin")</f>
        <v>Latin</v>
      </c>
      <c r="T139" t="str">
        <f ca="1">IFERROR(__xludf.DUMMYFUNCTION("""COMPUTED_VALUE"""),"definite")</f>
        <v>definite</v>
      </c>
      <c r="U139" t="str">
        <f ca="1">IFERROR(__xludf.DUMMYFUNCTION("""COMPUTED_VALUE"""),"C2553")</f>
        <v>C2553</v>
      </c>
      <c r="V139" t="str">
        <f ca="1">IFERROR(__xludf.DUMMYFUNCTION("""COMPUTED_VALUE"""),"male")</f>
        <v>male</v>
      </c>
      <c r="Z139" t="str">
        <f ca="1">IFERROR(__xludf.DUMMYFUNCTION("""COMPUTED_VALUE"""),"170")</f>
        <v>170</v>
      </c>
      <c r="AA139" t="str">
        <f ca="1">IFERROR(__xludf.DUMMYFUNCTION("""COMPUTED_VALUE"""),"d")</f>
        <v>d</v>
      </c>
      <c r="AB139" t="str">
        <f ca="1">IFERROR(__xludf.DUMMYFUNCTION("""COMPUTED_VALUE"""),"informer")</f>
        <v>informer</v>
      </c>
      <c r="AD139" t="str">
        <f ca="1">IFERROR(__xludf.DUMMYFUNCTION("""COMPUTED_VALUE"""),"C3287")</f>
        <v>C3287</v>
      </c>
      <c r="AE139" t="str">
        <f ca="1">IFERROR(__xludf.DUMMYFUNCTION("""COMPUTED_VALUE"""),"alive")</f>
        <v>alive</v>
      </c>
      <c r="AF139" t="str">
        <f ca="1">IFERROR(__xludf.DUMMYFUNCTION("""COMPUTED_VALUE"""),"C1753")</f>
        <v>C1753</v>
      </c>
      <c r="AG139" t="str">
        <f ca="1">IFERROR(__xludf.DUMMYFUNCTION("""COMPUTED_VALUE"""),"1335-01-20")</f>
        <v>1335-01-20</v>
      </c>
      <c r="AI139" t="str">
        <f ca="1">IFERROR(__xludf.DUMMYFUNCTION("""COMPUTED_VALUE"""),"#VALUE!")</f>
        <v>#VALUE!</v>
      </c>
      <c r="AK139" t="str">
        <f ca="1">IFERROR(__xludf.DUMMYFUNCTION("""COMPUTED_VALUE"""),"#VALUE!")</f>
        <v>#VALUE!</v>
      </c>
      <c r="AM139" t="str">
        <f ca="1">IFERROR(__xludf.DUMMYFUNCTION("""COMPUTED_VALUE"""),"#VALUE!")</f>
        <v>#VALUE!</v>
      </c>
      <c r="AO139" t="str">
        <f ca="1">IFERROR(__xludf.DUMMYFUNCTION("""COMPUTED_VALUE"""),"#VALUE!")</f>
        <v>#VALUE!</v>
      </c>
      <c r="AQ139" t="str">
        <f ca="1">IFERROR(__xludf.DUMMYFUNCTION("""COMPUTED_VALUE"""),"#VALUE!")</f>
        <v>#VALUE!</v>
      </c>
      <c r="AS139" t="str">
        <f ca="1">IFERROR(__xludf.DUMMYFUNCTION("""COMPUTED_VALUE"""),"#VALUE!")</f>
        <v>#VALUE!</v>
      </c>
      <c r="AU139" t="str">
        <f ca="1">IFERROR(__xludf.DUMMYFUNCTION("""COMPUTED_VALUE"""),"#VALUE!")</f>
        <v>#VALUE!</v>
      </c>
      <c r="AW139" t="str">
        <f ca="1">IFERROR(__xludf.DUMMYFUNCTION("""COMPUTED_VALUE"""),"#VALUE!")</f>
        <v>#VALUE!</v>
      </c>
      <c r="AY139" t="str">
        <f ca="1">IFERROR(__xludf.DUMMYFUNCTION("""COMPUTED_VALUE"""),"#VALUE!")</f>
        <v>#VALUE!</v>
      </c>
      <c r="BA139" t="str">
        <f ca="1">IFERROR(__xludf.DUMMYFUNCTION("""COMPUTED_VALUE"""),"#VALUE!")</f>
        <v>#VALUE!</v>
      </c>
      <c r="BC139" t="str">
        <f ca="1">IFERROR(__xludf.DUMMYFUNCTION("""COMPUTED_VALUE"""),"#VALUE!")</f>
        <v>#VALUE!</v>
      </c>
      <c r="BE139" t="str">
        <f ca="1">IFERROR(__xludf.DUMMYFUNCTION("""COMPUTED_VALUE"""),"#VALUE!")</f>
        <v>#VALUE!</v>
      </c>
      <c r="BG139" t="str">
        <f ca="1">IFERROR(__xludf.DUMMYFUNCTION("""COMPUTED_VALUE"""),"#VALUE!")</f>
        <v>#VALUE!</v>
      </c>
      <c r="BI139" t="str">
        <f ca="1">IFERROR(__xludf.DUMMYFUNCTION("""COMPUTED_VALUE"""),"#VALUE!")</f>
        <v>#VALUE!</v>
      </c>
      <c r="BK139" t="str">
        <f ca="1">IFERROR(__xludf.DUMMYFUNCTION("""COMPUTED_VALUE"""),"#VALUE!")</f>
        <v>#VALUE!</v>
      </c>
      <c r="BM139" t="str">
        <f ca="1">IFERROR(__xludf.DUMMYFUNCTION("""COMPUTED_VALUE"""),"#VALUE!")</f>
        <v>#VALUE!</v>
      </c>
      <c r="BO139" t="str">
        <f ca="1">IFERROR(__xludf.DUMMYFUNCTION("""COMPUTED_VALUE"""),"#VALUE!")</f>
        <v>#VALUE!</v>
      </c>
      <c r="BQ139" t="str">
        <f ca="1">IFERROR(__xludf.DUMMYFUNCTION("""COMPUTED_VALUE"""),"#VALUE!")</f>
        <v>#VALUE!</v>
      </c>
      <c r="BS139" t="str">
        <f ca="1">IFERROR(__xludf.DUMMYFUNCTION("""COMPUTED_VALUE"""),"#VALUE!")</f>
        <v>#VALUE!</v>
      </c>
      <c r="BU139" t="str">
        <f ca="1">IFERROR(__xludf.DUMMYFUNCTION("""COMPUTED_VALUE"""),"#VALUE!")</f>
        <v>#VALUE!</v>
      </c>
      <c r="BW139" t="str">
        <f ca="1">IFERROR(__xludf.DUMMYFUNCTION("""COMPUTED_VALUE"""),"#VALUE!")</f>
        <v>#VALUE!</v>
      </c>
      <c r="BY139" t="str">
        <f ca="1">IFERROR(__xludf.DUMMYFUNCTION("""COMPUTED_VALUE"""),"#VALUE!")</f>
        <v>#VALUE!</v>
      </c>
      <c r="CA139" t="str">
        <f ca="1">IFERROR(__xludf.DUMMYFUNCTION("""COMPUTED_VALUE"""),"#VALUE!")</f>
        <v>#VALUE!</v>
      </c>
      <c r="CC139" t="str">
        <f ca="1">IFERROR(__xludf.DUMMYFUNCTION("""COMPUTED_VALUE"""),"#VALUE!")</f>
        <v>#VALUE!</v>
      </c>
      <c r="CE139" t="str">
        <f ca="1">IFERROR(__xludf.DUMMYFUNCTION("""COMPUTED_VALUE"""),"#VALUE!")</f>
        <v>#VALUE!</v>
      </c>
      <c r="CG139" t="str">
        <f ca="1">IFERROR(__xludf.DUMMYFUNCTION("""COMPUTED_VALUE"""),"#VALUE!")</f>
        <v>#VALUE!</v>
      </c>
      <c r="CI139" t="str">
        <f ca="1">IFERROR(__xludf.DUMMYFUNCTION("""COMPUTED_VALUE"""),"#VALUE!")</f>
        <v>#VALUE!</v>
      </c>
      <c r="CK139" t="str">
        <f ca="1">IFERROR(__xludf.DUMMYFUNCTION("""COMPUTED_VALUE"""),"#VALUE!")</f>
        <v>#VALUE!</v>
      </c>
      <c r="CR139" t="str">
        <f ca="1">IFERROR(__xludf.DUMMYFUNCTION("""COMPUTED_VALUE"""),"L0018")</f>
        <v>L0018</v>
      </c>
      <c r="CS139" t="str">
        <f ca="1">IFERROR(__xludf.DUMMYFUNCTION("""COMPUTED_VALUE"""),"Mollar")</f>
        <v>Mollar</v>
      </c>
      <c r="CU139" t="str">
        <f ca="1">IFERROR(__xludf.DUMMYFUNCTION("""COMPUTED_VALUE"""),"#VALUE!")</f>
        <v>#VALUE!</v>
      </c>
      <c r="CW139" t="str">
        <f ca="1">IFERROR(__xludf.DUMMYFUNCTION("""COMPUTED_VALUE"""),"#VALUE!")</f>
        <v>#VALUE!</v>
      </c>
      <c r="CX139" t="str">
        <f ca="1">IFERROR(__xludf.DUMMYFUNCTION("""COMPUTED_VALUE"""),"C0062")</f>
        <v>C0062</v>
      </c>
      <c r="CY139" t="str">
        <f ca="1">IFERROR(__xludf.DUMMYFUNCTION("""COMPUTED_VALUE"""),"notarius")</f>
        <v>notarius</v>
      </c>
      <c r="DA139" t="str">
        <f ca="1">IFERROR(__xludf.DUMMYFUNCTION("""COMPUTED_VALUE"""),"official")</f>
        <v>official</v>
      </c>
      <c r="DB139" t="str">
        <f ca="1">IFERROR(__xludf.DUMMYFUNCTION("""COMPUTED_VALUE"""),"C0062")</f>
        <v>C0062</v>
      </c>
      <c r="DC139" t="str">
        <f ca="1">IFERROR(__xludf.DUMMYFUNCTION("""COMPUTED_VALUE"""),"notarius")</f>
        <v>notarius</v>
      </c>
      <c r="DD139" t="str">
        <f ca="1">IFERROR(__xludf.DUMMYFUNCTION("""COMPUTED_VALUE"""),"C0062")</f>
        <v>C0062</v>
      </c>
      <c r="DE139" t="str">
        <f ca="1">IFERROR(__xludf.DUMMYFUNCTION("""COMPUTED_VALUE"""),"notarius")</f>
        <v>notarius</v>
      </c>
      <c r="DI139" t="str">
        <f ca="1">IFERROR(__xludf.DUMMYFUNCTION("""COMPUTED_VALUE"""),"#VALUE!")</f>
        <v>#VALUE!</v>
      </c>
      <c r="DJ139" t="str">
        <f ca="1">IFERROR(__xludf.DUMMYFUNCTION("""COMPUTED_VALUE"""),"#VALUE!")</f>
        <v>#VALUE!</v>
      </c>
      <c r="DL139" t="str">
        <f ca="1">IFERROR(__xludf.DUMMYFUNCTION("""COMPUTED_VALUE"""),"Davor Salihović")</f>
        <v>Davor Salihović</v>
      </c>
    </row>
    <row r="140" spans="1:116" ht="13.2" x14ac:dyDescent="0.25">
      <c r="A140" t="str">
        <f ca="1">IFERROR(__xludf.DUMMYFUNCTION("""COMPUTED_VALUE"""),"P0142")</f>
        <v>P0142</v>
      </c>
      <c r="B140" t="str">
        <f ca="1">IFERROR(__xludf.DUMMYFUNCTION("""COMPUTED_VALUE"""),"Iohanneta Bona")</f>
        <v>Iohanneta Bona</v>
      </c>
      <c r="D140" t="str">
        <f ca="1">IFERROR(__xludf.DUMMYFUNCTION("""COMPUTED_VALUE"""),"#VALUE!")</f>
        <v>#VALUE!</v>
      </c>
      <c r="E140" t="str">
        <f ca="1">IFERROR(__xludf.DUMMYFUNCTION("""COMPUTED_VALUE"""),"Iohanneta")</f>
        <v>Iohanneta</v>
      </c>
      <c r="K140" t="str">
        <f ca="1">IFERROR(__xludf.DUMMYFUNCTION("""COMPUTED_VALUE"""),"Bona")</f>
        <v>Bona</v>
      </c>
      <c r="L140" t="str">
        <f ca="1">IFERROR(__xludf.DUMMYFUNCTION("""COMPUTED_VALUE"""),"Bona")</f>
        <v>Bona</v>
      </c>
      <c r="Q140" t="str">
        <f ca="1">IFERROR(__xludf.DUMMYFUNCTION("""COMPUTED_VALUE"""),"uxor Consulis")</f>
        <v>uxor Consulis</v>
      </c>
      <c r="S140" t="str">
        <f ca="1">IFERROR(__xludf.DUMMYFUNCTION("""COMPUTED_VALUE"""),"Latin")</f>
        <v>Latin</v>
      </c>
      <c r="T140" t="str">
        <f ca="1">IFERROR(__xludf.DUMMYFUNCTION("""COMPUTED_VALUE"""),"definite")</f>
        <v>definite</v>
      </c>
      <c r="U140" t="str">
        <f ca="1">IFERROR(__xludf.DUMMYFUNCTION("""COMPUTED_VALUE"""),"C2552")</f>
        <v>C2552</v>
      </c>
      <c r="V140" t="str">
        <f ca="1">IFERROR(__xludf.DUMMYFUNCTION("""COMPUTED_VALUE"""),"female")</f>
        <v>female</v>
      </c>
      <c r="Z140" t="str">
        <f ca="1">IFERROR(__xludf.DUMMYFUNCTION("""COMPUTED_VALUE"""),"170")</f>
        <v>170</v>
      </c>
      <c r="AA140" t="str">
        <f ca="1">IFERROR(__xludf.DUMMYFUNCTION("""COMPUTED_VALUE"""),"d")</f>
        <v>d</v>
      </c>
      <c r="AB140" t="str">
        <f ca="1">IFERROR(__xludf.DUMMYFUNCTION("""COMPUTED_VALUE"""),"NA")</f>
        <v>NA</v>
      </c>
      <c r="AE140" t="str">
        <f ca="1">IFERROR(__xludf.DUMMYFUNCTION("""COMPUTED_VALUE"""),"#VALUE!")</f>
        <v>#VALUE!</v>
      </c>
      <c r="AF140" t="str">
        <f ca="1">IFERROR(__xludf.DUMMYFUNCTION("""COMPUTED_VALUE"""),"#N/A")</f>
        <v>#N/A</v>
      </c>
      <c r="AG140" t="str">
        <f ca="1">IFERROR(__xludf.DUMMYFUNCTION("""COMPUTED_VALUE"""),"#N/A")</f>
        <v>#N/A</v>
      </c>
      <c r="AI140" t="str">
        <f ca="1">IFERROR(__xludf.DUMMYFUNCTION("""COMPUTED_VALUE"""),"#VALUE!")</f>
        <v>#VALUE!</v>
      </c>
      <c r="AK140" t="str">
        <f ca="1">IFERROR(__xludf.DUMMYFUNCTION("""COMPUTED_VALUE"""),"#VALUE!")</f>
        <v>#VALUE!</v>
      </c>
      <c r="AM140" t="str">
        <f ca="1">IFERROR(__xludf.DUMMYFUNCTION("""COMPUTED_VALUE"""),"#VALUE!")</f>
        <v>#VALUE!</v>
      </c>
      <c r="AO140" t="str">
        <f ca="1">IFERROR(__xludf.DUMMYFUNCTION("""COMPUTED_VALUE"""),"#VALUE!")</f>
        <v>#VALUE!</v>
      </c>
      <c r="AQ140" t="str">
        <f ca="1">IFERROR(__xludf.DUMMYFUNCTION("""COMPUTED_VALUE"""),"#VALUE!")</f>
        <v>#VALUE!</v>
      </c>
      <c r="AS140" t="str">
        <f ca="1">IFERROR(__xludf.DUMMYFUNCTION("""COMPUTED_VALUE"""),"#VALUE!")</f>
        <v>#VALUE!</v>
      </c>
      <c r="AU140" t="str">
        <f ca="1">IFERROR(__xludf.DUMMYFUNCTION("""COMPUTED_VALUE"""),"#VALUE!")</f>
        <v>#VALUE!</v>
      </c>
      <c r="AW140" t="str">
        <f ca="1">IFERROR(__xludf.DUMMYFUNCTION("""COMPUTED_VALUE"""),"#VALUE!")</f>
        <v>#VALUE!</v>
      </c>
      <c r="AY140" t="str">
        <f ca="1">IFERROR(__xludf.DUMMYFUNCTION("""COMPUTED_VALUE"""),"#VALUE!")</f>
        <v>#VALUE!</v>
      </c>
      <c r="BA140" t="str">
        <f ca="1">IFERROR(__xludf.DUMMYFUNCTION("""COMPUTED_VALUE"""),"#VALUE!")</f>
        <v>#VALUE!</v>
      </c>
      <c r="BC140" t="str">
        <f ca="1">IFERROR(__xludf.DUMMYFUNCTION("""COMPUTED_VALUE"""),"#VALUE!")</f>
        <v>#VALUE!</v>
      </c>
      <c r="BE140" t="str">
        <f ca="1">IFERROR(__xludf.DUMMYFUNCTION("""COMPUTED_VALUE"""),"#VALUE!")</f>
        <v>#VALUE!</v>
      </c>
      <c r="BG140" t="str">
        <f ca="1">IFERROR(__xludf.DUMMYFUNCTION("""COMPUTED_VALUE"""),"#VALUE!")</f>
        <v>#VALUE!</v>
      </c>
      <c r="BI140" t="str">
        <f ca="1">IFERROR(__xludf.DUMMYFUNCTION("""COMPUTED_VALUE"""),"#VALUE!")</f>
        <v>#VALUE!</v>
      </c>
      <c r="BK140" t="str">
        <f ca="1">IFERROR(__xludf.DUMMYFUNCTION("""COMPUTED_VALUE"""),"#VALUE!")</f>
        <v>#VALUE!</v>
      </c>
      <c r="BM140" t="str">
        <f ca="1">IFERROR(__xludf.DUMMYFUNCTION("""COMPUTED_VALUE"""),"#VALUE!")</f>
        <v>#VALUE!</v>
      </c>
      <c r="BO140" t="str">
        <f ca="1">IFERROR(__xludf.DUMMYFUNCTION("""COMPUTED_VALUE"""),"#VALUE!")</f>
        <v>#VALUE!</v>
      </c>
      <c r="BQ140" t="str">
        <f ca="1">IFERROR(__xludf.DUMMYFUNCTION("""COMPUTED_VALUE"""),"#VALUE!")</f>
        <v>#VALUE!</v>
      </c>
      <c r="BS140" t="str">
        <f ca="1">IFERROR(__xludf.DUMMYFUNCTION("""COMPUTED_VALUE"""),"#VALUE!")</f>
        <v>#VALUE!</v>
      </c>
      <c r="BU140" t="str">
        <f ca="1">IFERROR(__xludf.DUMMYFUNCTION("""COMPUTED_VALUE"""),"#VALUE!")</f>
        <v>#VALUE!</v>
      </c>
      <c r="BW140" t="str">
        <f ca="1">IFERROR(__xludf.DUMMYFUNCTION("""COMPUTED_VALUE"""),"#VALUE!")</f>
        <v>#VALUE!</v>
      </c>
      <c r="BY140" t="str">
        <f ca="1">IFERROR(__xludf.DUMMYFUNCTION("""COMPUTED_VALUE"""),"#VALUE!")</f>
        <v>#VALUE!</v>
      </c>
      <c r="CA140" t="str">
        <f ca="1">IFERROR(__xludf.DUMMYFUNCTION("""COMPUTED_VALUE"""),"#VALUE!")</f>
        <v>#VALUE!</v>
      </c>
      <c r="CC140" t="str">
        <f ca="1">IFERROR(__xludf.DUMMYFUNCTION("""COMPUTED_VALUE"""),"#VALUE!")</f>
        <v>#VALUE!</v>
      </c>
      <c r="CE140" t="str">
        <f ca="1">IFERROR(__xludf.DUMMYFUNCTION("""COMPUTED_VALUE"""),"#VALUE!")</f>
        <v>#VALUE!</v>
      </c>
      <c r="CG140" t="str">
        <f ca="1">IFERROR(__xludf.DUMMYFUNCTION("""COMPUTED_VALUE"""),"#VALUE!")</f>
        <v>#VALUE!</v>
      </c>
      <c r="CI140" t="str">
        <f ca="1">IFERROR(__xludf.DUMMYFUNCTION("""COMPUTED_VALUE"""),"#VALUE!")</f>
        <v>#VALUE!</v>
      </c>
      <c r="CK140" t="str">
        <f ca="1">IFERROR(__xludf.DUMMYFUNCTION("""COMPUTED_VALUE"""),"#VALUE!")</f>
        <v>#VALUE!</v>
      </c>
      <c r="CS140" t="str">
        <f ca="1">IFERROR(__xludf.DUMMYFUNCTION("""COMPUTED_VALUE"""),"#VALUE!")</f>
        <v>#VALUE!</v>
      </c>
      <c r="CU140" t="str">
        <f ca="1">IFERROR(__xludf.DUMMYFUNCTION("""COMPUTED_VALUE"""),"#VALUE!")</f>
        <v>#VALUE!</v>
      </c>
      <c r="CW140" t="str">
        <f ca="1">IFERROR(__xludf.DUMMYFUNCTION("""COMPUTED_VALUE"""),"#VALUE!")</f>
        <v>#VALUE!</v>
      </c>
      <c r="CY140" t="str">
        <f ca="1">IFERROR(__xludf.DUMMYFUNCTION("""COMPUTED_VALUE"""),"#VALUE!")</f>
        <v>#VALUE!</v>
      </c>
      <c r="DC140" t="str">
        <f ca="1">IFERROR(__xludf.DUMMYFUNCTION("""COMPUTED_VALUE"""),"#VALUE!")</f>
        <v>#VALUE!</v>
      </c>
      <c r="DE140" t="str">
        <f ca="1">IFERROR(__xludf.DUMMYFUNCTION("""COMPUTED_VALUE"""),"#VALUE!")</f>
        <v>#VALUE!</v>
      </c>
      <c r="DI140" t="str">
        <f ca="1">IFERROR(__xludf.DUMMYFUNCTION("""COMPUTED_VALUE"""),"#VALUE!")</f>
        <v>#VALUE!</v>
      </c>
      <c r="DJ140" t="str">
        <f ca="1">IFERROR(__xludf.DUMMYFUNCTION("""COMPUTED_VALUE"""),"#VALUE!")</f>
        <v>#VALUE!</v>
      </c>
      <c r="DL140" t="str">
        <f ca="1">IFERROR(__xludf.DUMMYFUNCTION("""COMPUTED_VALUE"""),"Davor Salihović")</f>
        <v>Davor Salihović</v>
      </c>
    </row>
    <row r="141" spans="1:116" ht="13.2" x14ac:dyDescent="0.25">
      <c r="A141" t="str">
        <f ca="1">IFERROR(__xludf.DUMMYFUNCTION("""COMPUTED_VALUE"""),"P0143")</f>
        <v>P0143</v>
      </c>
      <c r="B141" t="str">
        <f ca="1">IFERROR(__xludf.DUMMYFUNCTION("""COMPUTED_VALUE"""),"Consul")</f>
        <v>Consul</v>
      </c>
      <c r="D141" t="str">
        <f ca="1">IFERROR(__xludf.DUMMYFUNCTION("""COMPUTED_VALUE"""),"#VALUE!")</f>
        <v>#VALUE!</v>
      </c>
      <c r="E141" t="str">
        <f ca="1">IFERROR(__xludf.DUMMYFUNCTION("""COMPUTED_VALUE"""),"Consul")</f>
        <v>Consul</v>
      </c>
      <c r="S141" t="str">
        <f ca="1">IFERROR(__xludf.DUMMYFUNCTION("""COMPUTED_VALUE"""),"Latin")</f>
        <v>Latin</v>
      </c>
      <c r="T141" t="str">
        <f ca="1">IFERROR(__xludf.DUMMYFUNCTION("""COMPUTED_VALUE"""),"indefinite")</f>
        <v>indefinite</v>
      </c>
      <c r="U141" t="str">
        <f ca="1">IFERROR(__xludf.DUMMYFUNCTION("""COMPUTED_VALUE"""),"C2553")</f>
        <v>C2553</v>
      </c>
      <c r="V141" t="str">
        <f ca="1">IFERROR(__xludf.DUMMYFUNCTION("""COMPUTED_VALUE"""),"male")</f>
        <v>male</v>
      </c>
      <c r="Z141" t="str">
        <f ca="1">IFERROR(__xludf.DUMMYFUNCTION("""COMPUTED_VALUE"""),"170")</f>
        <v>170</v>
      </c>
      <c r="AA141" t="str">
        <f ca="1">IFERROR(__xludf.DUMMYFUNCTION("""COMPUTED_VALUE"""),"o")</f>
        <v>o</v>
      </c>
      <c r="AB141" t="str">
        <f ca="1">IFERROR(__xludf.DUMMYFUNCTION("""COMPUTED_VALUE"""),"NA")</f>
        <v>NA</v>
      </c>
      <c r="AE141" t="str">
        <f ca="1">IFERROR(__xludf.DUMMYFUNCTION("""COMPUTED_VALUE"""),"#VALUE!")</f>
        <v>#VALUE!</v>
      </c>
      <c r="AF141" t="str">
        <f ca="1">IFERROR(__xludf.DUMMYFUNCTION("""COMPUTED_VALUE"""),"#N/A")</f>
        <v>#N/A</v>
      </c>
      <c r="AG141" t="str">
        <f ca="1">IFERROR(__xludf.DUMMYFUNCTION("""COMPUTED_VALUE"""),"#N/A")</f>
        <v>#N/A</v>
      </c>
      <c r="AH141" t="str">
        <f ca="1">IFERROR(__xludf.DUMMYFUNCTION("""COMPUTED_VALUE"""),"C2348")</f>
        <v>C2348</v>
      </c>
      <c r="AI141" t="str">
        <f ca="1">IFERROR(__xludf.DUMMYFUNCTION("""COMPUTED_VALUE"""),"wife")</f>
        <v>wife</v>
      </c>
      <c r="AJ141" t="str">
        <f ca="1">IFERROR(__xludf.DUMMYFUNCTION("""COMPUTED_VALUE"""),"P0142")</f>
        <v>P0142</v>
      </c>
      <c r="AK141" t="str">
        <f ca="1">IFERROR(__xludf.DUMMYFUNCTION("""COMPUTED_VALUE"""),"Iohanneta Bona")</f>
        <v>Iohanneta Bona</v>
      </c>
      <c r="AM141" t="str">
        <f ca="1">IFERROR(__xludf.DUMMYFUNCTION("""COMPUTED_VALUE"""),"#VALUE!")</f>
        <v>#VALUE!</v>
      </c>
      <c r="AO141" t="str">
        <f ca="1">IFERROR(__xludf.DUMMYFUNCTION("""COMPUTED_VALUE"""),"#VALUE!")</f>
        <v>#VALUE!</v>
      </c>
      <c r="AQ141" t="str">
        <f ca="1">IFERROR(__xludf.DUMMYFUNCTION("""COMPUTED_VALUE"""),"#VALUE!")</f>
        <v>#VALUE!</v>
      </c>
      <c r="AS141" t="str">
        <f ca="1">IFERROR(__xludf.DUMMYFUNCTION("""COMPUTED_VALUE"""),"#VALUE!")</f>
        <v>#VALUE!</v>
      </c>
      <c r="AU141" t="str">
        <f ca="1">IFERROR(__xludf.DUMMYFUNCTION("""COMPUTED_VALUE"""),"#VALUE!")</f>
        <v>#VALUE!</v>
      </c>
      <c r="AW141" t="str">
        <f ca="1">IFERROR(__xludf.DUMMYFUNCTION("""COMPUTED_VALUE"""),"#VALUE!")</f>
        <v>#VALUE!</v>
      </c>
      <c r="AY141" t="str">
        <f ca="1">IFERROR(__xludf.DUMMYFUNCTION("""COMPUTED_VALUE"""),"#VALUE!")</f>
        <v>#VALUE!</v>
      </c>
      <c r="BA141" t="str">
        <f ca="1">IFERROR(__xludf.DUMMYFUNCTION("""COMPUTED_VALUE"""),"#VALUE!")</f>
        <v>#VALUE!</v>
      </c>
      <c r="BC141" t="str">
        <f ca="1">IFERROR(__xludf.DUMMYFUNCTION("""COMPUTED_VALUE"""),"#VALUE!")</f>
        <v>#VALUE!</v>
      </c>
      <c r="BE141" t="str">
        <f ca="1">IFERROR(__xludf.DUMMYFUNCTION("""COMPUTED_VALUE"""),"#VALUE!")</f>
        <v>#VALUE!</v>
      </c>
      <c r="BG141" t="str">
        <f ca="1">IFERROR(__xludf.DUMMYFUNCTION("""COMPUTED_VALUE"""),"#VALUE!")</f>
        <v>#VALUE!</v>
      </c>
      <c r="BI141" t="str">
        <f ca="1">IFERROR(__xludf.DUMMYFUNCTION("""COMPUTED_VALUE"""),"#VALUE!")</f>
        <v>#VALUE!</v>
      </c>
      <c r="BK141" t="str">
        <f ca="1">IFERROR(__xludf.DUMMYFUNCTION("""COMPUTED_VALUE"""),"#VALUE!")</f>
        <v>#VALUE!</v>
      </c>
      <c r="BM141" t="str">
        <f ca="1">IFERROR(__xludf.DUMMYFUNCTION("""COMPUTED_VALUE"""),"#VALUE!")</f>
        <v>#VALUE!</v>
      </c>
      <c r="BO141" t="str">
        <f ca="1">IFERROR(__xludf.DUMMYFUNCTION("""COMPUTED_VALUE"""),"#VALUE!")</f>
        <v>#VALUE!</v>
      </c>
      <c r="BQ141" t="str">
        <f ca="1">IFERROR(__xludf.DUMMYFUNCTION("""COMPUTED_VALUE"""),"#VALUE!")</f>
        <v>#VALUE!</v>
      </c>
      <c r="BS141" t="str">
        <f ca="1">IFERROR(__xludf.DUMMYFUNCTION("""COMPUTED_VALUE"""),"#VALUE!")</f>
        <v>#VALUE!</v>
      </c>
      <c r="BU141" t="str">
        <f ca="1">IFERROR(__xludf.DUMMYFUNCTION("""COMPUTED_VALUE"""),"#VALUE!")</f>
        <v>#VALUE!</v>
      </c>
      <c r="BW141" t="str">
        <f ca="1">IFERROR(__xludf.DUMMYFUNCTION("""COMPUTED_VALUE"""),"#VALUE!")</f>
        <v>#VALUE!</v>
      </c>
      <c r="BY141" t="str">
        <f ca="1">IFERROR(__xludf.DUMMYFUNCTION("""COMPUTED_VALUE"""),"#VALUE!")</f>
        <v>#VALUE!</v>
      </c>
      <c r="CA141" t="str">
        <f ca="1">IFERROR(__xludf.DUMMYFUNCTION("""COMPUTED_VALUE"""),"#VALUE!")</f>
        <v>#VALUE!</v>
      </c>
      <c r="CC141" t="str">
        <f ca="1">IFERROR(__xludf.DUMMYFUNCTION("""COMPUTED_VALUE"""),"#VALUE!")</f>
        <v>#VALUE!</v>
      </c>
      <c r="CE141" t="str">
        <f ca="1">IFERROR(__xludf.DUMMYFUNCTION("""COMPUTED_VALUE"""),"#VALUE!")</f>
        <v>#VALUE!</v>
      </c>
      <c r="CG141" t="str">
        <f ca="1">IFERROR(__xludf.DUMMYFUNCTION("""COMPUTED_VALUE"""),"#VALUE!")</f>
        <v>#VALUE!</v>
      </c>
      <c r="CI141" t="str">
        <f ca="1">IFERROR(__xludf.DUMMYFUNCTION("""COMPUTED_VALUE"""),"#VALUE!")</f>
        <v>#VALUE!</v>
      </c>
      <c r="CK141" t="str">
        <f ca="1">IFERROR(__xludf.DUMMYFUNCTION("""COMPUTED_VALUE"""),"#VALUE!")</f>
        <v>#VALUE!</v>
      </c>
      <c r="CS141" t="str">
        <f ca="1">IFERROR(__xludf.DUMMYFUNCTION("""COMPUTED_VALUE"""),"#VALUE!")</f>
        <v>#VALUE!</v>
      </c>
      <c r="CU141" t="str">
        <f ca="1">IFERROR(__xludf.DUMMYFUNCTION("""COMPUTED_VALUE"""),"#VALUE!")</f>
        <v>#VALUE!</v>
      </c>
      <c r="CW141" t="str">
        <f ca="1">IFERROR(__xludf.DUMMYFUNCTION("""COMPUTED_VALUE"""),"#VALUE!")</f>
        <v>#VALUE!</v>
      </c>
      <c r="CY141" t="str">
        <f ca="1">IFERROR(__xludf.DUMMYFUNCTION("""COMPUTED_VALUE"""),"#VALUE!")</f>
        <v>#VALUE!</v>
      </c>
      <c r="DC141" t="str">
        <f ca="1">IFERROR(__xludf.DUMMYFUNCTION("""COMPUTED_VALUE"""),"#VALUE!")</f>
        <v>#VALUE!</v>
      </c>
      <c r="DE141" t="str">
        <f ca="1">IFERROR(__xludf.DUMMYFUNCTION("""COMPUTED_VALUE"""),"#VALUE!")</f>
        <v>#VALUE!</v>
      </c>
      <c r="DI141" t="str">
        <f ca="1">IFERROR(__xludf.DUMMYFUNCTION("""COMPUTED_VALUE"""),"#VALUE!")</f>
        <v>#VALUE!</v>
      </c>
      <c r="DJ141" t="str">
        <f ca="1">IFERROR(__xludf.DUMMYFUNCTION("""COMPUTED_VALUE"""),"#VALUE!")</f>
        <v>#VALUE!</v>
      </c>
      <c r="DK141" t="str">
        <f ca="1">IFERROR(__xludf.DUMMYFUNCTION("""COMPUTED_VALUE"""),"Probably not a name, but office.")</f>
        <v>Probably not a name, but office.</v>
      </c>
      <c r="DL141" t="str">
        <f ca="1">IFERROR(__xludf.DUMMYFUNCTION("""COMPUTED_VALUE"""),"Davor Salihović")</f>
        <v>Davor Salihović</v>
      </c>
    </row>
    <row r="142" spans="1:116" ht="13.2" x14ac:dyDescent="0.25">
      <c r="A142" t="str">
        <f ca="1">IFERROR(__xludf.DUMMYFUNCTION("""COMPUTED_VALUE"""),"P0144")</f>
        <v>P0144</v>
      </c>
      <c r="B142" t="str">
        <f ca="1">IFERROR(__xludf.DUMMYFUNCTION("""COMPUTED_VALUE"""),"Agnexina, uxor Iohannis de Agnessona")</f>
        <v>Agnexina, uxor Iohannis de Agnessona</v>
      </c>
      <c r="D142" t="str">
        <f ca="1">IFERROR(__xludf.DUMMYFUNCTION("""COMPUTED_VALUE"""),"#VALUE!")</f>
        <v>#VALUE!</v>
      </c>
      <c r="E142" t="str">
        <f ca="1">IFERROR(__xludf.DUMMYFUNCTION("""COMPUTED_VALUE"""),"Agnexina")</f>
        <v>Agnexina</v>
      </c>
      <c r="Q142" t="str">
        <f ca="1">IFERROR(__xludf.DUMMYFUNCTION("""COMPUTED_VALUE"""),"uxor condam Iohannis de Agnessona")</f>
        <v>uxor condam Iohannis de Agnessona</v>
      </c>
      <c r="S142" t="str">
        <f ca="1">IFERROR(__xludf.DUMMYFUNCTION("""COMPUTED_VALUE"""),"Latin")</f>
        <v>Latin</v>
      </c>
      <c r="T142" t="str">
        <f ca="1">IFERROR(__xludf.DUMMYFUNCTION("""COMPUTED_VALUE"""),"indefinite")</f>
        <v>indefinite</v>
      </c>
      <c r="U142" t="str">
        <f ca="1">IFERROR(__xludf.DUMMYFUNCTION("""COMPUTED_VALUE"""),"C2552")</f>
        <v>C2552</v>
      </c>
      <c r="V142" t="str">
        <f ca="1">IFERROR(__xludf.DUMMYFUNCTION("""COMPUTED_VALUE"""),"female")</f>
        <v>female</v>
      </c>
      <c r="Z142" t="str">
        <f ca="1">IFERROR(__xludf.DUMMYFUNCTION("""COMPUTED_VALUE"""),"170")</f>
        <v>170</v>
      </c>
      <c r="AA142" t="str">
        <f ca="1">IFERROR(__xludf.DUMMYFUNCTION("""COMPUTED_VALUE"""),"d")</f>
        <v>d</v>
      </c>
      <c r="AB142" t="str">
        <f ca="1">IFERROR(__xludf.DUMMYFUNCTION("""COMPUTED_VALUE"""),"suspect")</f>
        <v>suspect</v>
      </c>
      <c r="AE142" t="str">
        <f ca="1">IFERROR(__xludf.DUMMYFUNCTION("""COMPUTED_VALUE"""),"#VALUE!")</f>
        <v>#VALUE!</v>
      </c>
      <c r="AF142" t="str">
        <f ca="1">IFERROR(__xludf.DUMMYFUNCTION("""COMPUTED_VALUE"""),"#N/A")</f>
        <v>#N/A</v>
      </c>
      <c r="AG142" t="str">
        <f ca="1">IFERROR(__xludf.DUMMYFUNCTION("""COMPUTED_VALUE"""),"#N/A")</f>
        <v>#N/A</v>
      </c>
      <c r="AI142" t="str">
        <f ca="1">IFERROR(__xludf.DUMMYFUNCTION("""COMPUTED_VALUE"""),"#VALUE!")</f>
        <v>#VALUE!</v>
      </c>
      <c r="AK142" t="str">
        <f ca="1">IFERROR(__xludf.DUMMYFUNCTION("""COMPUTED_VALUE"""),"#VALUE!")</f>
        <v>#VALUE!</v>
      </c>
      <c r="AM142" t="str">
        <f ca="1">IFERROR(__xludf.DUMMYFUNCTION("""COMPUTED_VALUE"""),"#VALUE!")</f>
        <v>#VALUE!</v>
      </c>
      <c r="AO142" t="str">
        <f ca="1">IFERROR(__xludf.DUMMYFUNCTION("""COMPUTED_VALUE"""),"#VALUE!")</f>
        <v>#VALUE!</v>
      </c>
      <c r="AQ142" t="str">
        <f ca="1">IFERROR(__xludf.DUMMYFUNCTION("""COMPUTED_VALUE"""),"#VALUE!")</f>
        <v>#VALUE!</v>
      </c>
      <c r="AS142" t="str">
        <f ca="1">IFERROR(__xludf.DUMMYFUNCTION("""COMPUTED_VALUE"""),"#VALUE!")</f>
        <v>#VALUE!</v>
      </c>
      <c r="AU142" t="str">
        <f ca="1">IFERROR(__xludf.DUMMYFUNCTION("""COMPUTED_VALUE"""),"#VALUE!")</f>
        <v>#VALUE!</v>
      </c>
      <c r="AW142" t="str">
        <f ca="1">IFERROR(__xludf.DUMMYFUNCTION("""COMPUTED_VALUE"""),"#VALUE!")</f>
        <v>#VALUE!</v>
      </c>
      <c r="AY142" t="str">
        <f ca="1">IFERROR(__xludf.DUMMYFUNCTION("""COMPUTED_VALUE"""),"#VALUE!")</f>
        <v>#VALUE!</v>
      </c>
      <c r="BA142" t="str">
        <f ca="1">IFERROR(__xludf.DUMMYFUNCTION("""COMPUTED_VALUE"""),"#VALUE!")</f>
        <v>#VALUE!</v>
      </c>
      <c r="BC142" t="str">
        <f ca="1">IFERROR(__xludf.DUMMYFUNCTION("""COMPUTED_VALUE"""),"#VALUE!")</f>
        <v>#VALUE!</v>
      </c>
      <c r="BE142" t="str">
        <f ca="1">IFERROR(__xludf.DUMMYFUNCTION("""COMPUTED_VALUE"""),"#VALUE!")</f>
        <v>#VALUE!</v>
      </c>
      <c r="BG142" t="str">
        <f ca="1">IFERROR(__xludf.DUMMYFUNCTION("""COMPUTED_VALUE"""),"#VALUE!")</f>
        <v>#VALUE!</v>
      </c>
      <c r="BI142" t="str">
        <f ca="1">IFERROR(__xludf.DUMMYFUNCTION("""COMPUTED_VALUE"""),"#VALUE!")</f>
        <v>#VALUE!</v>
      </c>
      <c r="BK142" t="str">
        <f ca="1">IFERROR(__xludf.DUMMYFUNCTION("""COMPUTED_VALUE"""),"#VALUE!")</f>
        <v>#VALUE!</v>
      </c>
      <c r="BM142" t="str">
        <f ca="1">IFERROR(__xludf.DUMMYFUNCTION("""COMPUTED_VALUE"""),"#VALUE!")</f>
        <v>#VALUE!</v>
      </c>
      <c r="BO142" t="str">
        <f ca="1">IFERROR(__xludf.DUMMYFUNCTION("""COMPUTED_VALUE"""),"#VALUE!")</f>
        <v>#VALUE!</v>
      </c>
      <c r="BQ142" t="str">
        <f ca="1">IFERROR(__xludf.DUMMYFUNCTION("""COMPUTED_VALUE"""),"#VALUE!")</f>
        <v>#VALUE!</v>
      </c>
      <c r="BS142" t="str">
        <f ca="1">IFERROR(__xludf.DUMMYFUNCTION("""COMPUTED_VALUE"""),"#VALUE!")</f>
        <v>#VALUE!</v>
      </c>
      <c r="BU142" t="str">
        <f ca="1">IFERROR(__xludf.DUMMYFUNCTION("""COMPUTED_VALUE"""),"#VALUE!")</f>
        <v>#VALUE!</v>
      </c>
      <c r="BW142" t="str">
        <f ca="1">IFERROR(__xludf.DUMMYFUNCTION("""COMPUTED_VALUE"""),"#VALUE!")</f>
        <v>#VALUE!</v>
      </c>
      <c r="BY142" t="str">
        <f ca="1">IFERROR(__xludf.DUMMYFUNCTION("""COMPUTED_VALUE"""),"#VALUE!")</f>
        <v>#VALUE!</v>
      </c>
      <c r="CA142" t="str">
        <f ca="1">IFERROR(__xludf.DUMMYFUNCTION("""COMPUTED_VALUE"""),"#VALUE!")</f>
        <v>#VALUE!</v>
      </c>
      <c r="CC142" t="str">
        <f ca="1">IFERROR(__xludf.DUMMYFUNCTION("""COMPUTED_VALUE"""),"#VALUE!")</f>
        <v>#VALUE!</v>
      </c>
      <c r="CE142" t="str">
        <f ca="1">IFERROR(__xludf.DUMMYFUNCTION("""COMPUTED_VALUE"""),"#VALUE!")</f>
        <v>#VALUE!</v>
      </c>
      <c r="CG142" t="str">
        <f ca="1">IFERROR(__xludf.DUMMYFUNCTION("""COMPUTED_VALUE"""),"#VALUE!")</f>
        <v>#VALUE!</v>
      </c>
      <c r="CI142" t="str">
        <f ca="1">IFERROR(__xludf.DUMMYFUNCTION("""COMPUTED_VALUE"""),"#VALUE!")</f>
        <v>#VALUE!</v>
      </c>
      <c r="CK142" t="str">
        <f ca="1">IFERROR(__xludf.DUMMYFUNCTION("""COMPUTED_VALUE"""),"#VALUE!")</f>
        <v>#VALUE!</v>
      </c>
      <c r="CS142" t="str">
        <f ca="1">IFERROR(__xludf.DUMMYFUNCTION("""COMPUTED_VALUE"""),"#VALUE!")</f>
        <v>#VALUE!</v>
      </c>
      <c r="CU142" t="str">
        <f ca="1">IFERROR(__xludf.DUMMYFUNCTION("""COMPUTED_VALUE"""),"#VALUE!")</f>
        <v>#VALUE!</v>
      </c>
      <c r="CW142" t="str">
        <f ca="1">IFERROR(__xludf.DUMMYFUNCTION("""COMPUTED_VALUE"""),"#VALUE!")</f>
        <v>#VALUE!</v>
      </c>
      <c r="CY142" t="str">
        <f ca="1">IFERROR(__xludf.DUMMYFUNCTION("""COMPUTED_VALUE"""),"#VALUE!")</f>
        <v>#VALUE!</v>
      </c>
      <c r="DC142" t="str">
        <f ca="1">IFERROR(__xludf.DUMMYFUNCTION("""COMPUTED_VALUE"""),"#VALUE!")</f>
        <v>#VALUE!</v>
      </c>
      <c r="DE142" t="str">
        <f ca="1">IFERROR(__xludf.DUMMYFUNCTION("""COMPUTED_VALUE"""),"#VALUE!")</f>
        <v>#VALUE!</v>
      </c>
      <c r="DI142" t="str">
        <f ca="1">IFERROR(__xludf.DUMMYFUNCTION("""COMPUTED_VALUE"""),"#VALUE!")</f>
        <v>#VALUE!</v>
      </c>
      <c r="DJ142" t="str">
        <f ca="1">IFERROR(__xludf.DUMMYFUNCTION("""COMPUTED_VALUE"""),"#VALUE!")</f>
        <v>#VALUE!</v>
      </c>
      <c r="DL142" t="str">
        <f ca="1">IFERROR(__xludf.DUMMYFUNCTION("""COMPUTED_VALUE"""),"Davor Salihović")</f>
        <v>Davor Salihović</v>
      </c>
    </row>
    <row r="143" spans="1:116" ht="13.2" x14ac:dyDescent="0.25">
      <c r="A143" t="str">
        <f ca="1">IFERROR(__xludf.DUMMYFUNCTION("""COMPUTED_VALUE"""),"P0145")</f>
        <v>P0145</v>
      </c>
      <c r="B143" t="str">
        <f ca="1">IFERROR(__xludf.DUMMYFUNCTION("""COMPUTED_VALUE"""),"Iohannes de Agnessona")</f>
        <v>Iohannes de Agnessona</v>
      </c>
      <c r="D143" t="str">
        <f ca="1">IFERROR(__xludf.DUMMYFUNCTION("""COMPUTED_VALUE"""),"#VALUE!")</f>
        <v>#VALUE!</v>
      </c>
      <c r="E143" t="str">
        <f ca="1">IFERROR(__xludf.DUMMYFUNCTION("""COMPUTED_VALUE"""),"Iohannes")</f>
        <v>Iohannes</v>
      </c>
      <c r="J143" t="str">
        <f ca="1">IFERROR(__xludf.DUMMYFUNCTION("""COMPUTED_VALUE"""),"de")</f>
        <v>de</v>
      </c>
      <c r="K143" t="str">
        <f ca="1">IFERROR(__xludf.DUMMYFUNCTION("""COMPUTED_VALUE"""),"Agnessona")</f>
        <v>Agnessona</v>
      </c>
      <c r="L143" t="str">
        <f ca="1">IFERROR(__xludf.DUMMYFUNCTION("""COMPUTED_VALUE"""),"de Agnessona")</f>
        <v>de Agnessona</v>
      </c>
      <c r="S143" t="str">
        <f ca="1">IFERROR(__xludf.DUMMYFUNCTION("""COMPUTED_VALUE"""),"Latin")</f>
        <v>Latin</v>
      </c>
      <c r="T143" t="str">
        <f ca="1">IFERROR(__xludf.DUMMYFUNCTION("""COMPUTED_VALUE"""),"definite")</f>
        <v>definite</v>
      </c>
      <c r="U143" t="str">
        <f ca="1">IFERROR(__xludf.DUMMYFUNCTION("""COMPUTED_VALUE"""),"C2553")</f>
        <v>C2553</v>
      </c>
      <c r="V143" t="str">
        <f ca="1">IFERROR(__xludf.DUMMYFUNCTION("""COMPUTED_VALUE"""),"male")</f>
        <v>male</v>
      </c>
      <c r="Z143" t="str">
        <f ca="1">IFERROR(__xludf.DUMMYFUNCTION("""COMPUTED_VALUE"""),"170")</f>
        <v>170</v>
      </c>
      <c r="AA143" t="str">
        <f ca="1">IFERROR(__xludf.DUMMYFUNCTION("""COMPUTED_VALUE"""),"d")</f>
        <v>d</v>
      </c>
      <c r="AB143" t="str">
        <f ca="1">IFERROR(__xludf.DUMMYFUNCTION("""COMPUTED_VALUE"""),"NA")</f>
        <v>NA</v>
      </c>
      <c r="AD143" t="str">
        <f ca="1">IFERROR(__xludf.DUMMYFUNCTION("""COMPUTED_VALUE"""),"C3288")</f>
        <v>C3288</v>
      </c>
      <c r="AE143" t="str">
        <f ca="1">IFERROR(__xludf.DUMMYFUNCTION("""COMPUTED_VALUE"""),"dead")</f>
        <v>dead</v>
      </c>
      <c r="AF143" t="str">
        <f ca="1">IFERROR(__xludf.DUMMYFUNCTION("""COMPUTED_VALUE"""),"C1749")</f>
        <v>C1749</v>
      </c>
      <c r="AG143" t="str">
        <f ca="1">IFERROR(__xludf.DUMMYFUNCTION("""COMPUTED_VALUE"""),"1335-01-20")</f>
        <v>1335-01-20</v>
      </c>
      <c r="AH143" t="str">
        <f ca="1">IFERROR(__xludf.DUMMYFUNCTION("""COMPUTED_VALUE"""),"C2348")</f>
        <v>C2348</v>
      </c>
      <c r="AI143" t="str">
        <f ca="1">IFERROR(__xludf.DUMMYFUNCTION("""COMPUTED_VALUE"""),"wife")</f>
        <v>wife</v>
      </c>
      <c r="AJ143" t="str">
        <f ca="1">IFERROR(__xludf.DUMMYFUNCTION("""COMPUTED_VALUE"""),"P0144")</f>
        <v>P0144</v>
      </c>
      <c r="AK143" t="str">
        <f ca="1">IFERROR(__xludf.DUMMYFUNCTION("""COMPUTED_VALUE"""),"Agnexina, uxor Iohannis de Agnessona")</f>
        <v>Agnexina, uxor Iohannis de Agnessona</v>
      </c>
      <c r="AM143" t="str">
        <f ca="1">IFERROR(__xludf.DUMMYFUNCTION("""COMPUTED_VALUE"""),"#VALUE!")</f>
        <v>#VALUE!</v>
      </c>
      <c r="AO143" t="str">
        <f ca="1">IFERROR(__xludf.DUMMYFUNCTION("""COMPUTED_VALUE"""),"#VALUE!")</f>
        <v>#VALUE!</v>
      </c>
      <c r="AQ143" t="str">
        <f ca="1">IFERROR(__xludf.DUMMYFUNCTION("""COMPUTED_VALUE"""),"#VALUE!")</f>
        <v>#VALUE!</v>
      </c>
      <c r="AS143" t="str">
        <f ca="1">IFERROR(__xludf.DUMMYFUNCTION("""COMPUTED_VALUE"""),"#VALUE!")</f>
        <v>#VALUE!</v>
      </c>
      <c r="AU143" t="str">
        <f ca="1">IFERROR(__xludf.DUMMYFUNCTION("""COMPUTED_VALUE"""),"#VALUE!")</f>
        <v>#VALUE!</v>
      </c>
      <c r="AW143" t="str">
        <f ca="1">IFERROR(__xludf.DUMMYFUNCTION("""COMPUTED_VALUE"""),"#VALUE!")</f>
        <v>#VALUE!</v>
      </c>
      <c r="AY143" t="str">
        <f ca="1">IFERROR(__xludf.DUMMYFUNCTION("""COMPUTED_VALUE"""),"#VALUE!")</f>
        <v>#VALUE!</v>
      </c>
      <c r="BA143" t="str">
        <f ca="1">IFERROR(__xludf.DUMMYFUNCTION("""COMPUTED_VALUE"""),"#VALUE!")</f>
        <v>#VALUE!</v>
      </c>
      <c r="BC143" t="str">
        <f ca="1">IFERROR(__xludf.DUMMYFUNCTION("""COMPUTED_VALUE"""),"#VALUE!")</f>
        <v>#VALUE!</v>
      </c>
      <c r="BE143" t="str">
        <f ca="1">IFERROR(__xludf.DUMMYFUNCTION("""COMPUTED_VALUE"""),"#VALUE!")</f>
        <v>#VALUE!</v>
      </c>
      <c r="BG143" t="str">
        <f ca="1">IFERROR(__xludf.DUMMYFUNCTION("""COMPUTED_VALUE"""),"#VALUE!")</f>
        <v>#VALUE!</v>
      </c>
      <c r="BI143" t="str">
        <f ca="1">IFERROR(__xludf.DUMMYFUNCTION("""COMPUTED_VALUE"""),"#VALUE!")</f>
        <v>#VALUE!</v>
      </c>
      <c r="BK143" t="str">
        <f ca="1">IFERROR(__xludf.DUMMYFUNCTION("""COMPUTED_VALUE"""),"#VALUE!")</f>
        <v>#VALUE!</v>
      </c>
      <c r="BM143" t="str">
        <f ca="1">IFERROR(__xludf.DUMMYFUNCTION("""COMPUTED_VALUE"""),"#VALUE!")</f>
        <v>#VALUE!</v>
      </c>
      <c r="BO143" t="str">
        <f ca="1">IFERROR(__xludf.DUMMYFUNCTION("""COMPUTED_VALUE"""),"#VALUE!")</f>
        <v>#VALUE!</v>
      </c>
      <c r="BQ143" t="str">
        <f ca="1">IFERROR(__xludf.DUMMYFUNCTION("""COMPUTED_VALUE"""),"#VALUE!")</f>
        <v>#VALUE!</v>
      </c>
      <c r="BS143" t="str">
        <f ca="1">IFERROR(__xludf.DUMMYFUNCTION("""COMPUTED_VALUE"""),"#VALUE!")</f>
        <v>#VALUE!</v>
      </c>
      <c r="BU143" t="str">
        <f ca="1">IFERROR(__xludf.DUMMYFUNCTION("""COMPUTED_VALUE"""),"#VALUE!")</f>
        <v>#VALUE!</v>
      </c>
      <c r="BW143" t="str">
        <f ca="1">IFERROR(__xludf.DUMMYFUNCTION("""COMPUTED_VALUE"""),"#VALUE!")</f>
        <v>#VALUE!</v>
      </c>
      <c r="BY143" t="str">
        <f ca="1">IFERROR(__xludf.DUMMYFUNCTION("""COMPUTED_VALUE"""),"#VALUE!")</f>
        <v>#VALUE!</v>
      </c>
      <c r="CA143" t="str">
        <f ca="1">IFERROR(__xludf.DUMMYFUNCTION("""COMPUTED_VALUE"""),"#VALUE!")</f>
        <v>#VALUE!</v>
      </c>
      <c r="CC143" t="str">
        <f ca="1">IFERROR(__xludf.DUMMYFUNCTION("""COMPUTED_VALUE"""),"#VALUE!")</f>
        <v>#VALUE!</v>
      </c>
      <c r="CE143" t="str">
        <f ca="1">IFERROR(__xludf.DUMMYFUNCTION("""COMPUTED_VALUE"""),"#VALUE!")</f>
        <v>#VALUE!</v>
      </c>
      <c r="CG143" t="str">
        <f ca="1">IFERROR(__xludf.DUMMYFUNCTION("""COMPUTED_VALUE"""),"#VALUE!")</f>
        <v>#VALUE!</v>
      </c>
      <c r="CI143" t="str">
        <f ca="1">IFERROR(__xludf.DUMMYFUNCTION("""COMPUTED_VALUE"""),"#VALUE!")</f>
        <v>#VALUE!</v>
      </c>
      <c r="CK143" t="str">
        <f ca="1">IFERROR(__xludf.DUMMYFUNCTION("""COMPUTED_VALUE"""),"#VALUE!")</f>
        <v>#VALUE!</v>
      </c>
      <c r="CS143" t="str">
        <f ca="1">IFERROR(__xludf.DUMMYFUNCTION("""COMPUTED_VALUE"""),"#VALUE!")</f>
        <v>#VALUE!</v>
      </c>
      <c r="CU143" t="str">
        <f ca="1">IFERROR(__xludf.DUMMYFUNCTION("""COMPUTED_VALUE"""),"#VALUE!")</f>
        <v>#VALUE!</v>
      </c>
      <c r="CW143" t="str">
        <f ca="1">IFERROR(__xludf.DUMMYFUNCTION("""COMPUTED_VALUE"""),"#VALUE!")</f>
        <v>#VALUE!</v>
      </c>
      <c r="CY143" t="str">
        <f ca="1">IFERROR(__xludf.DUMMYFUNCTION("""COMPUTED_VALUE"""),"#VALUE!")</f>
        <v>#VALUE!</v>
      </c>
      <c r="DC143" t="str">
        <f ca="1">IFERROR(__xludf.DUMMYFUNCTION("""COMPUTED_VALUE"""),"#VALUE!")</f>
        <v>#VALUE!</v>
      </c>
      <c r="DE143" t="str">
        <f ca="1">IFERROR(__xludf.DUMMYFUNCTION("""COMPUTED_VALUE"""),"#VALUE!")</f>
        <v>#VALUE!</v>
      </c>
      <c r="DI143" t="str">
        <f ca="1">IFERROR(__xludf.DUMMYFUNCTION("""COMPUTED_VALUE"""),"#VALUE!")</f>
        <v>#VALUE!</v>
      </c>
      <c r="DJ143" t="str">
        <f ca="1">IFERROR(__xludf.DUMMYFUNCTION("""COMPUTED_VALUE"""),"#VALUE!")</f>
        <v>#VALUE!</v>
      </c>
      <c r="DL143" t="str">
        <f ca="1">IFERROR(__xludf.DUMMYFUNCTION("""COMPUTED_VALUE"""),"Davor Salihović")</f>
        <v>Davor Salihović</v>
      </c>
    </row>
    <row r="144" spans="1:116" ht="13.2" x14ac:dyDescent="0.25">
      <c r="A144" t="str">
        <f ca="1">IFERROR(__xludf.DUMMYFUNCTION("""COMPUTED_VALUE"""),"P0147")</f>
        <v>P0147</v>
      </c>
      <c r="B144" t="str">
        <f ca="1">IFERROR(__xludf.DUMMYFUNCTION("""COMPUTED_VALUE"""),"Villelmus de Ponte")</f>
        <v>Villelmus de Ponte</v>
      </c>
      <c r="D144" t="str">
        <f ca="1">IFERROR(__xludf.DUMMYFUNCTION("""COMPUTED_VALUE"""),"#VALUE!")</f>
        <v>#VALUE!</v>
      </c>
      <c r="E144" t="str">
        <f ca="1">IFERROR(__xludf.DUMMYFUNCTION("""COMPUTED_VALUE"""),"Villelmus")</f>
        <v>Villelmus</v>
      </c>
      <c r="J144" t="str">
        <f ca="1">IFERROR(__xludf.DUMMYFUNCTION("""COMPUTED_VALUE"""),"de")</f>
        <v>de</v>
      </c>
      <c r="K144" t="str">
        <f ca="1">IFERROR(__xludf.DUMMYFUNCTION("""COMPUTED_VALUE"""),"Ponte")</f>
        <v>Ponte</v>
      </c>
      <c r="L144" t="str">
        <f ca="1">IFERROR(__xludf.DUMMYFUNCTION("""COMPUTED_VALUE"""),"de Ponte")</f>
        <v>de Ponte</v>
      </c>
      <c r="Q144" t="str">
        <f ca="1">IFERROR(__xludf.DUMMYFUNCTION("""COMPUTED_VALUE"""),"prior Ayme")</f>
        <v>prior Ayme</v>
      </c>
      <c r="S144" t="str">
        <f ca="1">IFERROR(__xludf.DUMMYFUNCTION("""COMPUTED_VALUE"""),"Latin")</f>
        <v>Latin</v>
      </c>
      <c r="T144" t="str">
        <f ca="1">IFERROR(__xludf.DUMMYFUNCTION("""COMPUTED_VALUE"""),"definite")</f>
        <v>definite</v>
      </c>
      <c r="U144" t="str">
        <f ca="1">IFERROR(__xludf.DUMMYFUNCTION("""COMPUTED_VALUE"""),"C2553")</f>
        <v>C2553</v>
      </c>
      <c r="V144" t="str">
        <f ca="1">IFERROR(__xludf.DUMMYFUNCTION("""COMPUTED_VALUE"""),"male")</f>
        <v>male</v>
      </c>
      <c r="Z144" t="str">
        <f ca="1">IFERROR(__xludf.DUMMYFUNCTION("""COMPUTED_VALUE"""),"170")</f>
        <v>170</v>
      </c>
      <c r="AA144" t="str">
        <f ca="1">IFERROR(__xludf.DUMMYFUNCTION("""COMPUTED_VALUE"""),"i")</f>
        <v>i</v>
      </c>
      <c r="AB144" t="str">
        <f ca="1">IFERROR(__xludf.DUMMYFUNCTION("""COMPUTED_VALUE"""),"assessor")</f>
        <v>assessor</v>
      </c>
      <c r="AD144" t="str">
        <f ca="1">IFERROR(__xludf.DUMMYFUNCTION("""COMPUTED_VALUE"""),"C3287")</f>
        <v>C3287</v>
      </c>
      <c r="AE144" t="str">
        <f ca="1">IFERROR(__xludf.DUMMYFUNCTION("""COMPUTED_VALUE"""),"alive")</f>
        <v>alive</v>
      </c>
      <c r="AF144" t="str">
        <f ca="1">IFERROR(__xludf.DUMMYFUNCTION("""COMPUTED_VALUE"""),"C1753")</f>
        <v>C1753</v>
      </c>
      <c r="AG144" t="str">
        <f ca="1">IFERROR(__xludf.DUMMYFUNCTION("""COMPUTED_VALUE"""),"1335-01-20")</f>
        <v>1335-01-20</v>
      </c>
      <c r="AI144" t="str">
        <f ca="1">IFERROR(__xludf.DUMMYFUNCTION("""COMPUTED_VALUE"""),"#VALUE!")</f>
        <v>#VALUE!</v>
      </c>
      <c r="AK144" t="str">
        <f ca="1">IFERROR(__xludf.DUMMYFUNCTION("""COMPUTED_VALUE"""),"#VALUE!")</f>
        <v>#VALUE!</v>
      </c>
      <c r="AM144" t="str">
        <f ca="1">IFERROR(__xludf.DUMMYFUNCTION("""COMPUTED_VALUE"""),"#VALUE!")</f>
        <v>#VALUE!</v>
      </c>
      <c r="AO144" t="str">
        <f ca="1">IFERROR(__xludf.DUMMYFUNCTION("""COMPUTED_VALUE"""),"#VALUE!")</f>
        <v>#VALUE!</v>
      </c>
      <c r="AQ144" t="str">
        <f ca="1">IFERROR(__xludf.DUMMYFUNCTION("""COMPUTED_VALUE"""),"#VALUE!")</f>
        <v>#VALUE!</v>
      </c>
      <c r="AS144" t="str">
        <f ca="1">IFERROR(__xludf.DUMMYFUNCTION("""COMPUTED_VALUE"""),"#VALUE!")</f>
        <v>#VALUE!</v>
      </c>
      <c r="AU144" t="str">
        <f ca="1">IFERROR(__xludf.DUMMYFUNCTION("""COMPUTED_VALUE"""),"#VALUE!")</f>
        <v>#VALUE!</v>
      </c>
      <c r="AW144" t="str">
        <f ca="1">IFERROR(__xludf.DUMMYFUNCTION("""COMPUTED_VALUE"""),"#VALUE!")</f>
        <v>#VALUE!</v>
      </c>
      <c r="AY144" t="str">
        <f ca="1">IFERROR(__xludf.DUMMYFUNCTION("""COMPUTED_VALUE"""),"#VALUE!")</f>
        <v>#VALUE!</v>
      </c>
      <c r="BA144" t="str">
        <f ca="1">IFERROR(__xludf.DUMMYFUNCTION("""COMPUTED_VALUE"""),"#VALUE!")</f>
        <v>#VALUE!</v>
      </c>
      <c r="BC144" t="str">
        <f ca="1">IFERROR(__xludf.DUMMYFUNCTION("""COMPUTED_VALUE"""),"#VALUE!")</f>
        <v>#VALUE!</v>
      </c>
      <c r="BE144" t="str">
        <f ca="1">IFERROR(__xludf.DUMMYFUNCTION("""COMPUTED_VALUE"""),"#VALUE!")</f>
        <v>#VALUE!</v>
      </c>
      <c r="BG144" t="str">
        <f ca="1">IFERROR(__xludf.DUMMYFUNCTION("""COMPUTED_VALUE"""),"#VALUE!")</f>
        <v>#VALUE!</v>
      </c>
      <c r="BI144" t="str">
        <f ca="1">IFERROR(__xludf.DUMMYFUNCTION("""COMPUTED_VALUE"""),"#VALUE!")</f>
        <v>#VALUE!</v>
      </c>
      <c r="BK144" t="str">
        <f ca="1">IFERROR(__xludf.DUMMYFUNCTION("""COMPUTED_VALUE"""),"#VALUE!")</f>
        <v>#VALUE!</v>
      </c>
      <c r="BM144" t="str">
        <f ca="1">IFERROR(__xludf.DUMMYFUNCTION("""COMPUTED_VALUE"""),"#VALUE!")</f>
        <v>#VALUE!</v>
      </c>
      <c r="BO144" t="str">
        <f ca="1">IFERROR(__xludf.DUMMYFUNCTION("""COMPUTED_VALUE"""),"#VALUE!")</f>
        <v>#VALUE!</v>
      </c>
      <c r="BQ144" t="str">
        <f ca="1">IFERROR(__xludf.DUMMYFUNCTION("""COMPUTED_VALUE"""),"#VALUE!")</f>
        <v>#VALUE!</v>
      </c>
      <c r="BS144" t="str">
        <f ca="1">IFERROR(__xludf.DUMMYFUNCTION("""COMPUTED_VALUE"""),"#VALUE!")</f>
        <v>#VALUE!</v>
      </c>
      <c r="BU144" t="str">
        <f ca="1">IFERROR(__xludf.DUMMYFUNCTION("""COMPUTED_VALUE"""),"#VALUE!")</f>
        <v>#VALUE!</v>
      </c>
      <c r="BW144" t="str">
        <f ca="1">IFERROR(__xludf.DUMMYFUNCTION("""COMPUTED_VALUE"""),"#VALUE!")</f>
        <v>#VALUE!</v>
      </c>
      <c r="BY144" t="str">
        <f ca="1">IFERROR(__xludf.DUMMYFUNCTION("""COMPUTED_VALUE"""),"#VALUE!")</f>
        <v>#VALUE!</v>
      </c>
      <c r="CA144" t="str">
        <f ca="1">IFERROR(__xludf.DUMMYFUNCTION("""COMPUTED_VALUE"""),"#VALUE!")</f>
        <v>#VALUE!</v>
      </c>
      <c r="CC144" t="str">
        <f ca="1">IFERROR(__xludf.DUMMYFUNCTION("""COMPUTED_VALUE"""),"#VALUE!")</f>
        <v>#VALUE!</v>
      </c>
      <c r="CE144" t="str">
        <f ca="1">IFERROR(__xludf.DUMMYFUNCTION("""COMPUTED_VALUE"""),"#VALUE!")</f>
        <v>#VALUE!</v>
      </c>
      <c r="CG144" t="str">
        <f ca="1">IFERROR(__xludf.DUMMYFUNCTION("""COMPUTED_VALUE"""),"#VALUE!")</f>
        <v>#VALUE!</v>
      </c>
      <c r="CI144" t="str">
        <f ca="1">IFERROR(__xludf.DUMMYFUNCTION("""COMPUTED_VALUE"""),"#VALUE!")</f>
        <v>#VALUE!</v>
      </c>
      <c r="CK144" t="str">
        <f ca="1">IFERROR(__xludf.DUMMYFUNCTION("""COMPUTED_VALUE"""),"#VALUE!")</f>
        <v>#VALUE!</v>
      </c>
      <c r="CS144" t="str">
        <f ca="1">IFERROR(__xludf.DUMMYFUNCTION("""COMPUTED_VALUE"""),"#VALUE!")</f>
        <v>#VALUE!</v>
      </c>
      <c r="CU144" t="str">
        <f ca="1">IFERROR(__xludf.DUMMYFUNCTION("""COMPUTED_VALUE"""),"#VALUE!")</f>
        <v>#VALUE!</v>
      </c>
      <c r="CW144" t="str">
        <f ca="1">IFERROR(__xludf.DUMMYFUNCTION("""COMPUTED_VALUE"""),"#VALUE!")</f>
        <v>#VALUE!</v>
      </c>
      <c r="CY144" t="str">
        <f ca="1">IFERROR(__xludf.DUMMYFUNCTION("""COMPUTED_VALUE"""),"#VALUE!")</f>
        <v>#VALUE!</v>
      </c>
      <c r="DC144" t="str">
        <f ca="1">IFERROR(__xludf.DUMMYFUNCTION("""COMPUTED_VALUE"""),"#VALUE!")</f>
        <v>#VALUE!</v>
      </c>
      <c r="DE144" t="str">
        <f ca="1">IFERROR(__xludf.DUMMYFUNCTION("""COMPUTED_VALUE"""),"#VALUE!")</f>
        <v>#VALUE!</v>
      </c>
      <c r="DI144" t="str">
        <f ca="1">IFERROR(__xludf.DUMMYFUNCTION("""COMPUTED_VALUE"""),"#VALUE!")</f>
        <v>#VALUE!</v>
      </c>
      <c r="DJ144" t="str">
        <f ca="1">IFERROR(__xludf.DUMMYFUNCTION("""COMPUTED_VALUE"""),"#VALUE!")</f>
        <v>#VALUE!</v>
      </c>
      <c r="DL144" t="str">
        <f ca="1">IFERROR(__xludf.DUMMYFUNCTION("""COMPUTED_VALUE"""),"Davor Salihović")</f>
        <v>Davor Salihović</v>
      </c>
    </row>
    <row r="145" spans="1:116" ht="13.2" x14ac:dyDescent="0.25">
      <c r="A145" t="str">
        <f ca="1">IFERROR(__xludf.DUMMYFUNCTION("""COMPUTED_VALUE"""),"P0148")</f>
        <v>P0148</v>
      </c>
      <c r="B145" t="str">
        <f ca="1">IFERROR(__xludf.DUMMYFUNCTION("""COMPUTED_VALUE"""),"Villelmus Grassi")</f>
        <v>Villelmus Grassi</v>
      </c>
      <c r="D145" t="str">
        <f ca="1">IFERROR(__xludf.DUMMYFUNCTION("""COMPUTED_VALUE"""),"#VALUE!")</f>
        <v>#VALUE!</v>
      </c>
      <c r="E145" t="str">
        <f ca="1">IFERROR(__xludf.DUMMYFUNCTION("""COMPUTED_VALUE"""),"Villelmus")</f>
        <v>Villelmus</v>
      </c>
      <c r="K145" t="str">
        <f ca="1">IFERROR(__xludf.DUMMYFUNCTION("""COMPUTED_VALUE"""),"Grassi")</f>
        <v>Grassi</v>
      </c>
      <c r="L145" t="str">
        <f ca="1">IFERROR(__xludf.DUMMYFUNCTION("""COMPUTED_VALUE"""),"Grassi")</f>
        <v>Grassi</v>
      </c>
      <c r="S145" t="str">
        <f ca="1">IFERROR(__xludf.DUMMYFUNCTION("""COMPUTED_VALUE"""),"Latin")</f>
        <v>Latin</v>
      </c>
      <c r="T145" t="str">
        <f ca="1">IFERROR(__xludf.DUMMYFUNCTION("""COMPUTED_VALUE"""),"definite")</f>
        <v>definite</v>
      </c>
      <c r="U145" t="str">
        <f ca="1">IFERROR(__xludf.DUMMYFUNCTION("""COMPUTED_VALUE"""),"C2553")</f>
        <v>C2553</v>
      </c>
      <c r="V145" t="str">
        <f ca="1">IFERROR(__xludf.DUMMYFUNCTION("""COMPUTED_VALUE"""),"male")</f>
        <v>male</v>
      </c>
      <c r="Z145" t="str">
        <f ca="1">IFERROR(__xludf.DUMMYFUNCTION("""COMPUTED_VALUE"""),"170, 171, 172, 175, 176, 178, 179, 184, 186, 187, 188, 191, 194, 195, 196, 197, 199, 200, 201, 202, 203, 205, 206, 207, 208, 209, 210, 211, 212, 214, 216, 217, 218, 219, 221, 224, 225, 226, 228, 229, 230, 233, 234, 235, 237")</f>
        <v>170, 171, 172, 175, 176, 178, 179, 184, 186, 187, 188, 191, 194, 195, 196, 197, 199, 200, 201, 202, 203, 205, 206, 207, 208, 209, 210, 211, 212, 214, 216, 217, 218, 219, 221, 224, 225, 226, 228, 229, 230, 233, 234, 235, 237</v>
      </c>
      <c r="AA145" t="str">
        <f ca="1">IFERROR(__xludf.DUMMYFUNCTION("""COMPUTED_VALUE"""),"i")</f>
        <v>i</v>
      </c>
      <c r="AB145" t="str">
        <f ca="1">IFERROR(__xludf.DUMMYFUNCTION("""COMPUTED_VALUE"""),"inquisitor's assistant")</f>
        <v>inquisitor's assistant</v>
      </c>
      <c r="AD145" t="str">
        <f ca="1">IFERROR(__xludf.DUMMYFUNCTION("""COMPUTED_VALUE"""),"C3287")</f>
        <v>C3287</v>
      </c>
      <c r="AE145" t="str">
        <f ca="1">IFERROR(__xludf.DUMMYFUNCTION("""COMPUTED_VALUE"""),"alive")</f>
        <v>alive</v>
      </c>
      <c r="AF145" t="str">
        <f ca="1">IFERROR(__xludf.DUMMYFUNCTION("""COMPUTED_VALUE"""),"C1753")</f>
        <v>C1753</v>
      </c>
      <c r="AG145" t="str">
        <f ca="1">IFERROR(__xludf.DUMMYFUNCTION("""COMPUTED_VALUE"""),"1335-01-20")</f>
        <v>1335-01-20</v>
      </c>
      <c r="AI145" t="str">
        <f ca="1">IFERROR(__xludf.DUMMYFUNCTION("""COMPUTED_VALUE"""),"#VALUE!")</f>
        <v>#VALUE!</v>
      </c>
      <c r="AK145" t="str">
        <f ca="1">IFERROR(__xludf.DUMMYFUNCTION("""COMPUTED_VALUE"""),"#VALUE!")</f>
        <v>#VALUE!</v>
      </c>
      <c r="AM145" t="str">
        <f ca="1">IFERROR(__xludf.DUMMYFUNCTION("""COMPUTED_VALUE"""),"#VALUE!")</f>
        <v>#VALUE!</v>
      </c>
      <c r="AO145" t="str">
        <f ca="1">IFERROR(__xludf.DUMMYFUNCTION("""COMPUTED_VALUE"""),"#VALUE!")</f>
        <v>#VALUE!</v>
      </c>
      <c r="AQ145" t="str">
        <f ca="1">IFERROR(__xludf.DUMMYFUNCTION("""COMPUTED_VALUE"""),"#VALUE!")</f>
        <v>#VALUE!</v>
      </c>
      <c r="AS145" t="str">
        <f ca="1">IFERROR(__xludf.DUMMYFUNCTION("""COMPUTED_VALUE"""),"#VALUE!")</f>
        <v>#VALUE!</v>
      </c>
      <c r="AU145" t="str">
        <f ca="1">IFERROR(__xludf.DUMMYFUNCTION("""COMPUTED_VALUE"""),"#VALUE!")</f>
        <v>#VALUE!</v>
      </c>
      <c r="AW145" t="str">
        <f ca="1">IFERROR(__xludf.DUMMYFUNCTION("""COMPUTED_VALUE"""),"#VALUE!")</f>
        <v>#VALUE!</v>
      </c>
      <c r="AY145" t="str">
        <f ca="1">IFERROR(__xludf.DUMMYFUNCTION("""COMPUTED_VALUE"""),"#VALUE!")</f>
        <v>#VALUE!</v>
      </c>
      <c r="BA145" t="str">
        <f ca="1">IFERROR(__xludf.DUMMYFUNCTION("""COMPUTED_VALUE"""),"#VALUE!")</f>
        <v>#VALUE!</v>
      </c>
      <c r="BC145" t="str">
        <f ca="1">IFERROR(__xludf.DUMMYFUNCTION("""COMPUTED_VALUE"""),"#VALUE!")</f>
        <v>#VALUE!</v>
      </c>
      <c r="BE145" t="str">
        <f ca="1">IFERROR(__xludf.DUMMYFUNCTION("""COMPUTED_VALUE"""),"#VALUE!")</f>
        <v>#VALUE!</v>
      </c>
      <c r="BG145" t="str">
        <f ca="1">IFERROR(__xludf.DUMMYFUNCTION("""COMPUTED_VALUE"""),"#VALUE!")</f>
        <v>#VALUE!</v>
      </c>
      <c r="BI145" t="str">
        <f ca="1">IFERROR(__xludf.DUMMYFUNCTION("""COMPUTED_VALUE"""),"#VALUE!")</f>
        <v>#VALUE!</v>
      </c>
      <c r="BK145" t="str">
        <f ca="1">IFERROR(__xludf.DUMMYFUNCTION("""COMPUTED_VALUE"""),"#VALUE!")</f>
        <v>#VALUE!</v>
      </c>
      <c r="BM145" t="str">
        <f ca="1">IFERROR(__xludf.DUMMYFUNCTION("""COMPUTED_VALUE"""),"#VALUE!")</f>
        <v>#VALUE!</v>
      </c>
      <c r="BO145" t="str">
        <f ca="1">IFERROR(__xludf.DUMMYFUNCTION("""COMPUTED_VALUE"""),"#VALUE!")</f>
        <v>#VALUE!</v>
      </c>
      <c r="BQ145" t="str">
        <f ca="1">IFERROR(__xludf.DUMMYFUNCTION("""COMPUTED_VALUE"""),"#VALUE!")</f>
        <v>#VALUE!</v>
      </c>
      <c r="BS145" t="str">
        <f ca="1">IFERROR(__xludf.DUMMYFUNCTION("""COMPUTED_VALUE"""),"#VALUE!")</f>
        <v>#VALUE!</v>
      </c>
      <c r="BU145" t="str">
        <f ca="1">IFERROR(__xludf.DUMMYFUNCTION("""COMPUTED_VALUE"""),"#VALUE!")</f>
        <v>#VALUE!</v>
      </c>
      <c r="BW145" t="str">
        <f ca="1">IFERROR(__xludf.DUMMYFUNCTION("""COMPUTED_VALUE"""),"#VALUE!")</f>
        <v>#VALUE!</v>
      </c>
      <c r="BY145" t="str">
        <f ca="1">IFERROR(__xludf.DUMMYFUNCTION("""COMPUTED_VALUE"""),"#VALUE!")</f>
        <v>#VALUE!</v>
      </c>
      <c r="CA145" t="str">
        <f ca="1">IFERROR(__xludf.DUMMYFUNCTION("""COMPUTED_VALUE"""),"#VALUE!")</f>
        <v>#VALUE!</v>
      </c>
      <c r="CC145" t="str">
        <f ca="1">IFERROR(__xludf.DUMMYFUNCTION("""COMPUTED_VALUE"""),"#VALUE!")</f>
        <v>#VALUE!</v>
      </c>
      <c r="CE145" t="str">
        <f ca="1">IFERROR(__xludf.DUMMYFUNCTION("""COMPUTED_VALUE"""),"#VALUE!")</f>
        <v>#VALUE!</v>
      </c>
      <c r="CG145" t="str">
        <f ca="1">IFERROR(__xludf.DUMMYFUNCTION("""COMPUTED_VALUE"""),"#VALUE!")</f>
        <v>#VALUE!</v>
      </c>
      <c r="CI145" t="str">
        <f ca="1">IFERROR(__xludf.DUMMYFUNCTION("""COMPUTED_VALUE"""),"#VALUE!")</f>
        <v>#VALUE!</v>
      </c>
      <c r="CK145" t="str">
        <f ca="1">IFERROR(__xludf.DUMMYFUNCTION("""COMPUTED_VALUE"""),"#VALUE!")</f>
        <v>#VALUE!</v>
      </c>
      <c r="CS145" t="str">
        <f ca="1">IFERROR(__xludf.DUMMYFUNCTION("""COMPUTED_VALUE"""),"#VALUE!")</f>
        <v>#VALUE!</v>
      </c>
      <c r="CU145" t="str">
        <f ca="1">IFERROR(__xludf.DUMMYFUNCTION("""COMPUTED_VALUE"""),"#VALUE!")</f>
        <v>#VALUE!</v>
      </c>
      <c r="CW145" t="str">
        <f ca="1">IFERROR(__xludf.DUMMYFUNCTION("""COMPUTED_VALUE"""),"#VALUE!")</f>
        <v>#VALUE!</v>
      </c>
      <c r="CX145" t="str">
        <f ca="1">IFERROR(__xludf.DUMMYFUNCTION("""COMPUTED_VALUE"""),"C0062")</f>
        <v>C0062</v>
      </c>
      <c r="CY145" t="str">
        <f ca="1">IFERROR(__xludf.DUMMYFUNCTION("""COMPUTED_VALUE"""),"notarius")</f>
        <v>notarius</v>
      </c>
      <c r="DA145" t="str">
        <f ca="1">IFERROR(__xludf.DUMMYFUNCTION("""COMPUTED_VALUE"""),"official")</f>
        <v>official</v>
      </c>
      <c r="DB145" t="str">
        <f ca="1">IFERROR(__xludf.DUMMYFUNCTION("""COMPUTED_VALUE"""),"C0062")</f>
        <v>C0062</v>
      </c>
      <c r="DC145" t="str">
        <f ca="1">IFERROR(__xludf.DUMMYFUNCTION("""COMPUTED_VALUE"""),"notarius")</f>
        <v>notarius</v>
      </c>
      <c r="DD145" t="str">
        <f ca="1">IFERROR(__xludf.DUMMYFUNCTION("""COMPUTED_VALUE"""),"C0062")</f>
        <v>C0062</v>
      </c>
      <c r="DE145" t="str">
        <f ca="1">IFERROR(__xludf.DUMMYFUNCTION("""COMPUTED_VALUE"""),"notarius")</f>
        <v>notarius</v>
      </c>
      <c r="DI145" t="str">
        <f ca="1">IFERROR(__xludf.DUMMYFUNCTION("""COMPUTED_VALUE"""),"#VALUE!")</f>
        <v>#VALUE!</v>
      </c>
      <c r="DJ145" t="str">
        <f ca="1">IFERROR(__xludf.DUMMYFUNCTION("""COMPUTED_VALUE"""),"#VALUE!")</f>
        <v>#VALUE!</v>
      </c>
      <c r="DK145" t="str">
        <f ca="1">IFERROR(__xludf.DUMMYFUNCTION("""COMPUTED_VALUE"""),"Notary of the latter section of the process.")</f>
        <v>Notary of the latter section of the process.</v>
      </c>
      <c r="DL145" t="str">
        <f ca="1">IFERROR(__xludf.DUMMYFUNCTION("""COMPUTED_VALUE"""),"Davor Salihović")</f>
        <v>Davor Salihović</v>
      </c>
    </row>
    <row r="146" spans="1:116" ht="13.2" x14ac:dyDescent="0.25">
      <c r="A146" t="str">
        <f ca="1">IFERROR(__xludf.DUMMYFUNCTION("""COMPUTED_VALUE"""),"P0149")</f>
        <v>P0149</v>
      </c>
      <c r="B146" t="str">
        <f ca="1">IFERROR(__xludf.DUMMYFUNCTION("""COMPUTED_VALUE"""),"Aymonetus Neça")</f>
        <v>Aymonetus Neça</v>
      </c>
      <c r="D146" t="str">
        <f ca="1">IFERROR(__xludf.DUMMYFUNCTION("""COMPUTED_VALUE"""),"#VALUE!")</f>
        <v>#VALUE!</v>
      </c>
      <c r="E146" t="str">
        <f ca="1">IFERROR(__xludf.DUMMYFUNCTION("""COMPUTED_VALUE"""),"Aymonetus")</f>
        <v>Aymonetus</v>
      </c>
      <c r="K146" t="str">
        <f ca="1">IFERROR(__xludf.DUMMYFUNCTION("""COMPUTED_VALUE"""),"Neça")</f>
        <v>Neça</v>
      </c>
      <c r="L146" t="str">
        <f ca="1">IFERROR(__xludf.DUMMYFUNCTION("""COMPUTED_VALUE"""),"Neça")</f>
        <v>Neça</v>
      </c>
      <c r="S146" t="str">
        <f ca="1">IFERROR(__xludf.DUMMYFUNCTION("""COMPUTED_VALUE"""),"Latin")</f>
        <v>Latin</v>
      </c>
      <c r="T146" t="str">
        <f ca="1">IFERROR(__xludf.DUMMYFUNCTION("""COMPUTED_VALUE"""),"definite")</f>
        <v>definite</v>
      </c>
      <c r="U146" t="str">
        <f ca="1">IFERROR(__xludf.DUMMYFUNCTION("""COMPUTED_VALUE"""),"C2553")</f>
        <v>C2553</v>
      </c>
      <c r="V146" t="str">
        <f ca="1">IFERROR(__xludf.DUMMYFUNCTION("""COMPUTED_VALUE"""),"male")</f>
        <v>male</v>
      </c>
      <c r="Z146" t="str">
        <f ca="1">IFERROR(__xludf.DUMMYFUNCTION("""COMPUTED_VALUE"""),"170, 172, 175")</f>
        <v>170, 172, 175</v>
      </c>
      <c r="AA146" t="str">
        <f ca="1">IFERROR(__xludf.DUMMYFUNCTION("""COMPUTED_VALUE"""),"d")</f>
        <v>d</v>
      </c>
      <c r="AB146" t="str">
        <f ca="1">IFERROR(__xludf.DUMMYFUNCTION("""COMPUTED_VALUE"""),"suspect")</f>
        <v>suspect</v>
      </c>
      <c r="AD146" t="str">
        <f ca="1">IFERROR(__xludf.DUMMYFUNCTION("""COMPUTED_VALUE"""),"C3287")</f>
        <v>C3287</v>
      </c>
      <c r="AE146" t="str">
        <f ca="1">IFERROR(__xludf.DUMMYFUNCTION("""COMPUTED_VALUE"""),"alive")</f>
        <v>alive</v>
      </c>
      <c r="AF146" t="str">
        <f ca="1">IFERROR(__xludf.DUMMYFUNCTION("""COMPUTED_VALUE"""),"C1753")</f>
        <v>C1753</v>
      </c>
      <c r="AG146" t="str">
        <f ca="1">IFERROR(__xludf.DUMMYFUNCTION("""COMPUTED_VALUE"""),"1335-01-20")</f>
        <v>1335-01-20</v>
      </c>
      <c r="AH146" t="str">
        <f ca="1">IFERROR(__xludf.DUMMYFUNCTION("""COMPUTED_VALUE"""),"C2348")</f>
        <v>C2348</v>
      </c>
      <c r="AI146" t="str">
        <f ca="1">IFERROR(__xludf.DUMMYFUNCTION("""COMPUTED_VALUE"""),"wife")</f>
        <v>wife</v>
      </c>
      <c r="AJ146" t="str">
        <f ca="1">IFERROR(__xludf.DUMMYFUNCTION("""COMPUTED_VALUE"""),"P0180")</f>
        <v>P0180</v>
      </c>
      <c r="AK146" t="str">
        <f ca="1">IFERROR(__xludf.DUMMYFUNCTION("""COMPUTED_VALUE"""),"Iohanna, uxor Aymoneti Neça")</f>
        <v>Iohanna, uxor Aymoneti Neça</v>
      </c>
      <c r="AL146" t="str">
        <f ca="1">IFERROR(__xludf.DUMMYFUNCTION("""COMPUTED_VALUE"""),"C0147")</f>
        <v>C0147</v>
      </c>
      <c r="AM146" t="str">
        <f ca="1">IFERROR(__xludf.DUMMYFUNCTION("""COMPUTED_VALUE"""),"warrantor")</f>
        <v>warrantor</v>
      </c>
      <c r="AN146" t="str">
        <f ca="1">IFERROR(__xludf.DUMMYFUNCTION("""COMPUTED_VALUE"""),"P0180")</f>
        <v>P0180</v>
      </c>
      <c r="AO146" t="str">
        <f ca="1">IFERROR(__xludf.DUMMYFUNCTION("""COMPUTED_VALUE"""),"Iohanna, uxor Aymoneti Neça")</f>
        <v>Iohanna, uxor Aymoneti Neça</v>
      </c>
      <c r="AQ146" t="str">
        <f ca="1">IFERROR(__xludf.DUMMYFUNCTION("""COMPUTED_VALUE"""),"#VALUE!")</f>
        <v>#VALUE!</v>
      </c>
      <c r="AS146" t="str">
        <f ca="1">IFERROR(__xludf.DUMMYFUNCTION("""COMPUTED_VALUE"""),"#VALUE!")</f>
        <v>#VALUE!</v>
      </c>
      <c r="AU146" t="str">
        <f ca="1">IFERROR(__xludf.DUMMYFUNCTION("""COMPUTED_VALUE"""),"#VALUE!")</f>
        <v>#VALUE!</v>
      </c>
      <c r="AW146" t="str">
        <f ca="1">IFERROR(__xludf.DUMMYFUNCTION("""COMPUTED_VALUE"""),"#VALUE!")</f>
        <v>#VALUE!</v>
      </c>
      <c r="AY146" t="str">
        <f ca="1">IFERROR(__xludf.DUMMYFUNCTION("""COMPUTED_VALUE"""),"#VALUE!")</f>
        <v>#VALUE!</v>
      </c>
      <c r="BA146" t="str">
        <f ca="1">IFERROR(__xludf.DUMMYFUNCTION("""COMPUTED_VALUE"""),"#VALUE!")</f>
        <v>#VALUE!</v>
      </c>
      <c r="BC146" t="str">
        <f ca="1">IFERROR(__xludf.DUMMYFUNCTION("""COMPUTED_VALUE"""),"#VALUE!")</f>
        <v>#VALUE!</v>
      </c>
      <c r="BE146" t="str">
        <f ca="1">IFERROR(__xludf.DUMMYFUNCTION("""COMPUTED_VALUE"""),"#VALUE!")</f>
        <v>#VALUE!</v>
      </c>
      <c r="BG146" t="str">
        <f ca="1">IFERROR(__xludf.DUMMYFUNCTION("""COMPUTED_VALUE"""),"#VALUE!")</f>
        <v>#VALUE!</v>
      </c>
      <c r="BI146" t="str">
        <f ca="1">IFERROR(__xludf.DUMMYFUNCTION("""COMPUTED_VALUE"""),"#VALUE!")</f>
        <v>#VALUE!</v>
      </c>
      <c r="BK146" t="str">
        <f ca="1">IFERROR(__xludf.DUMMYFUNCTION("""COMPUTED_VALUE"""),"#VALUE!")</f>
        <v>#VALUE!</v>
      </c>
      <c r="BM146" t="str">
        <f ca="1">IFERROR(__xludf.DUMMYFUNCTION("""COMPUTED_VALUE"""),"#VALUE!")</f>
        <v>#VALUE!</v>
      </c>
      <c r="BO146" t="str">
        <f ca="1">IFERROR(__xludf.DUMMYFUNCTION("""COMPUTED_VALUE"""),"#VALUE!")</f>
        <v>#VALUE!</v>
      </c>
      <c r="BQ146" t="str">
        <f ca="1">IFERROR(__xludf.DUMMYFUNCTION("""COMPUTED_VALUE"""),"#VALUE!")</f>
        <v>#VALUE!</v>
      </c>
      <c r="BS146" t="str">
        <f ca="1">IFERROR(__xludf.DUMMYFUNCTION("""COMPUTED_VALUE"""),"#VALUE!")</f>
        <v>#VALUE!</v>
      </c>
      <c r="BU146" t="str">
        <f ca="1">IFERROR(__xludf.DUMMYFUNCTION("""COMPUTED_VALUE"""),"#VALUE!")</f>
        <v>#VALUE!</v>
      </c>
      <c r="BW146" t="str">
        <f ca="1">IFERROR(__xludf.DUMMYFUNCTION("""COMPUTED_VALUE"""),"#VALUE!")</f>
        <v>#VALUE!</v>
      </c>
      <c r="BY146" t="str">
        <f ca="1">IFERROR(__xludf.DUMMYFUNCTION("""COMPUTED_VALUE"""),"#VALUE!")</f>
        <v>#VALUE!</v>
      </c>
      <c r="CA146" t="str">
        <f ca="1">IFERROR(__xludf.DUMMYFUNCTION("""COMPUTED_VALUE"""),"#VALUE!")</f>
        <v>#VALUE!</v>
      </c>
      <c r="CC146" t="str">
        <f ca="1">IFERROR(__xludf.DUMMYFUNCTION("""COMPUTED_VALUE"""),"#VALUE!")</f>
        <v>#VALUE!</v>
      </c>
      <c r="CE146" t="str">
        <f ca="1">IFERROR(__xludf.DUMMYFUNCTION("""COMPUTED_VALUE"""),"#VALUE!")</f>
        <v>#VALUE!</v>
      </c>
      <c r="CG146" t="str">
        <f ca="1">IFERROR(__xludf.DUMMYFUNCTION("""COMPUTED_VALUE"""),"#VALUE!")</f>
        <v>#VALUE!</v>
      </c>
      <c r="CH146" t="str">
        <f ca="1">IFERROR(__xludf.DUMMYFUNCTION("""COMPUTED_VALUE"""),"P0180")</f>
        <v>P0180</v>
      </c>
      <c r="CI146" t="str">
        <f ca="1">IFERROR(__xludf.DUMMYFUNCTION("""COMPUTED_VALUE"""),"Iohanna, uxor Aymoneti Neça")</f>
        <v>Iohanna, uxor Aymoneti Neça</v>
      </c>
      <c r="CK146" t="str">
        <f ca="1">IFERROR(__xludf.DUMMYFUNCTION("""COMPUTED_VALUE"""),"#VALUE!")</f>
        <v>#VALUE!</v>
      </c>
      <c r="CS146" t="str">
        <f ca="1">IFERROR(__xludf.DUMMYFUNCTION("""COMPUTED_VALUE"""),"#VALUE!")</f>
        <v>#VALUE!</v>
      </c>
      <c r="CU146" t="str">
        <f ca="1">IFERROR(__xludf.DUMMYFUNCTION("""COMPUTED_VALUE"""),"#VALUE!")</f>
        <v>#VALUE!</v>
      </c>
      <c r="CW146" t="str">
        <f ca="1">IFERROR(__xludf.DUMMYFUNCTION("""COMPUTED_VALUE"""),"#VALUE!")</f>
        <v>#VALUE!</v>
      </c>
      <c r="CY146" t="str">
        <f ca="1">IFERROR(__xludf.DUMMYFUNCTION("""COMPUTED_VALUE"""),"#VALUE!")</f>
        <v>#VALUE!</v>
      </c>
      <c r="DC146" t="str">
        <f ca="1">IFERROR(__xludf.DUMMYFUNCTION("""COMPUTED_VALUE"""),"#VALUE!")</f>
        <v>#VALUE!</v>
      </c>
      <c r="DE146" t="str">
        <f ca="1">IFERROR(__xludf.DUMMYFUNCTION("""COMPUTED_VALUE"""),"#VALUE!")</f>
        <v>#VALUE!</v>
      </c>
      <c r="DF146" t="str">
        <f ca="1">IFERROR(__xludf.DUMMYFUNCTION("""COMPUTED_VALUE"""),"y")</f>
        <v>y</v>
      </c>
      <c r="DG146" t="str">
        <f ca="1">IFERROR(__xludf.DUMMYFUNCTION("""COMPUTED_VALUE"""),"175")</f>
        <v>175</v>
      </c>
      <c r="DI146" t="str">
        <f ca="1">IFERROR(__xludf.DUMMYFUNCTION("""COMPUTED_VALUE"""),"#VALUE!")</f>
        <v>#VALUE!</v>
      </c>
      <c r="DJ146" t="str">
        <f ca="1">IFERROR(__xludf.DUMMYFUNCTION("""COMPUTED_VALUE"""),"#VALUE!")</f>
        <v>#VALUE!</v>
      </c>
      <c r="DL146" t="str">
        <f ca="1">IFERROR(__xludf.DUMMYFUNCTION("""COMPUTED_VALUE"""),"Davor Salihović")</f>
        <v>Davor Salihović</v>
      </c>
    </row>
    <row r="147" spans="1:116" ht="13.2" x14ac:dyDescent="0.25">
      <c r="A147" t="str">
        <f ca="1">IFERROR(__xludf.DUMMYFUNCTION("""COMPUTED_VALUE"""),"P0150")</f>
        <v>P0150</v>
      </c>
      <c r="B147" t="str">
        <f ca="1">IFERROR(__xludf.DUMMYFUNCTION("""COMPUTED_VALUE"""),"Bertolota, uxor Andree Maleysart")</f>
        <v>Bertolota, uxor Andree Maleysart</v>
      </c>
      <c r="D147" t="str">
        <f ca="1">IFERROR(__xludf.DUMMYFUNCTION("""COMPUTED_VALUE"""),"#VALUE!")</f>
        <v>#VALUE!</v>
      </c>
      <c r="E147" t="str">
        <f ca="1">IFERROR(__xludf.DUMMYFUNCTION("""COMPUTED_VALUE"""),"Bertolota")</f>
        <v>Bertolota</v>
      </c>
      <c r="Q147" t="str">
        <f ca="1">IFERROR(__xludf.DUMMYFUNCTION("""COMPUTED_VALUE"""),"uxor Andree Maleysart")</f>
        <v>uxor Andree Maleysart</v>
      </c>
      <c r="S147" t="str">
        <f ca="1">IFERROR(__xludf.DUMMYFUNCTION("""COMPUTED_VALUE"""),"Latin")</f>
        <v>Latin</v>
      </c>
      <c r="T147" t="str">
        <f ca="1">IFERROR(__xludf.DUMMYFUNCTION("""COMPUTED_VALUE"""),"definite")</f>
        <v>definite</v>
      </c>
      <c r="U147" t="str">
        <f ca="1">IFERROR(__xludf.DUMMYFUNCTION("""COMPUTED_VALUE"""),"C2552")</f>
        <v>C2552</v>
      </c>
      <c r="V147" t="str">
        <f ca="1">IFERROR(__xludf.DUMMYFUNCTION("""COMPUTED_VALUE"""),"female")</f>
        <v>female</v>
      </c>
      <c r="Z147" t="str">
        <f ca="1">IFERROR(__xludf.DUMMYFUNCTION("""COMPUTED_VALUE"""),"170, 188")</f>
        <v>170, 188</v>
      </c>
      <c r="AA147" t="str">
        <f ca="1">IFERROR(__xludf.DUMMYFUNCTION("""COMPUTED_VALUE"""),"d")</f>
        <v>d</v>
      </c>
      <c r="AB147" t="str">
        <f ca="1">IFERROR(__xludf.DUMMYFUNCTION("""COMPUTED_VALUE"""),"suspect")</f>
        <v>suspect</v>
      </c>
      <c r="AE147" t="str">
        <f ca="1">IFERROR(__xludf.DUMMYFUNCTION("""COMPUTED_VALUE"""),"#VALUE!")</f>
        <v>#VALUE!</v>
      </c>
      <c r="AF147" t="str">
        <f ca="1">IFERROR(__xludf.DUMMYFUNCTION("""COMPUTED_VALUE"""),"#N/A")</f>
        <v>#N/A</v>
      </c>
      <c r="AG147" t="str">
        <f ca="1">IFERROR(__xludf.DUMMYFUNCTION("""COMPUTED_VALUE"""),"#N/A")</f>
        <v>#N/A</v>
      </c>
      <c r="AI147" t="str">
        <f ca="1">IFERROR(__xludf.DUMMYFUNCTION("""COMPUTED_VALUE"""),"#VALUE!")</f>
        <v>#VALUE!</v>
      </c>
      <c r="AK147" t="str">
        <f ca="1">IFERROR(__xludf.DUMMYFUNCTION("""COMPUTED_VALUE"""),"#VALUE!")</f>
        <v>#VALUE!</v>
      </c>
      <c r="AM147" t="str">
        <f ca="1">IFERROR(__xludf.DUMMYFUNCTION("""COMPUTED_VALUE"""),"#VALUE!")</f>
        <v>#VALUE!</v>
      </c>
      <c r="AO147" t="str">
        <f ca="1">IFERROR(__xludf.DUMMYFUNCTION("""COMPUTED_VALUE"""),"#VALUE!")</f>
        <v>#VALUE!</v>
      </c>
      <c r="AQ147" t="str">
        <f ca="1">IFERROR(__xludf.DUMMYFUNCTION("""COMPUTED_VALUE"""),"#VALUE!")</f>
        <v>#VALUE!</v>
      </c>
      <c r="AS147" t="str">
        <f ca="1">IFERROR(__xludf.DUMMYFUNCTION("""COMPUTED_VALUE"""),"#VALUE!")</f>
        <v>#VALUE!</v>
      </c>
      <c r="AU147" t="str">
        <f ca="1">IFERROR(__xludf.DUMMYFUNCTION("""COMPUTED_VALUE"""),"#VALUE!")</f>
        <v>#VALUE!</v>
      </c>
      <c r="AW147" t="str">
        <f ca="1">IFERROR(__xludf.DUMMYFUNCTION("""COMPUTED_VALUE"""),"#VALUE!")</f>
        <v>#VALUE!</v>
      </c>
      <c r="AY147" t="str">
        <f ca="1">IFERROR(__xludf.DUMMYFUNCTION("""COMPUTED_VALUE"""),"#VALUE!")</f>
        <v>#VALUE!</v>
      </c>
      <c r="BA147" t="str">
        <f ca="1">IFERROR(__xludf.DUMMYFUNCTION("""COMPUTED_VALUE"""),"#VALUE!")</f>
        <v>#VALUE!</v>
      </c>
      <c r="BC147" t="str">
        <f ca="1">IFERROR(__xludf.DUMMYFUNCTION("""COMPUTED_VALUE"""),"#VALUE!")</f>
        <v>#VALUE!</v>
      </c>
      <c r="BE147" t="str">
        <f ca="1">IFERROR(__xludf.DUMMYFUNCTION("""COMPUTED_VALUE"""),"#VALUE!")</f>
        <v>#VALUE!</v>
      </c>
      <c r="BG147" t="str">
        <f ca="1">IFERROR(__xludf.DUMMYFUNCTION("""COMPUTED_VALUE"""),"#VALUE!")</f>
        <v>#VALUE!</v>
      </c>
      <c r="BI147" t="str">
        <f ca="1">IFERROR(__xludf.DUMMYFUNCTION("""COMPUTED_VALUE"""),"#VALUE!")</f>
        <v>#VALUE!</v>
      </c>
      <c r="BK147" t="str">
        <f ca="1">IFERROR(__xludf.DUMMYFUNCTION("""COMPUTED_VALUE"""),"#VALUE!")</f>
        <v>#VALUE!</v>
      </c>
      <c r="BM147" t="str">
        <f ca="1">IFERROR(__xludf.DUMMYFUNCTION("""COMPUTED_VALUE"""),"#VALUE!")</f>
        <v>#VALUE!</v>
      </c>
      <c r="BO147" t="str">
        <f ca="1">IFERROR(__xludf.DUMMYFUNCTION("""COMPUTED_VALUE"""),"#VALUE!")</f>
        <v>#VALUE!</v>
      </c>
      <c r="BQ147" t="str">
        <f ca="1">IFERROR(__xludf.DUMMYFUNCTION("""COMPUTED_VALUE"""),"#VALUE!")</f>
        <v>#VALUE!</v>
      </c>
      <c r="BS147" t="str">
        <f ca="1">IFERROR(__xludf.DUMMYFUNCTION("""COMPUTED_VALUE"""),"#VALUE!")</f>
        <v>#VALUE!</v>
      </c>
      <c r="BU147" t="str">
        <f ca="1">IFERROR(__xludf.DUMMYFUNCTION("""COMPUTED_VALUE"""),"#VALUE!")</f>
        <v>#VALUE!</v>
      </c>
      <c r="BW147" t="str">
        <f ca="1">IFERROR(__xludf.DUMMYFUNCTION("""COMPUTED_VALUE"""),"#VALUE!")</f>
        <v>#VALUE!</v>
      </c>
      <c r="BY147" t="str">
        <f ca="1">IFERROR(__xludf.DUMMYFUNCTION("""COMPUTED_VALUE"""),"#VALUE!")</f>
        <v>#VALUE!</v>
      </c>
      <c r="CA147" t="str">
        <f ca="1">IFERROR(__xludf.DUMMYFUNCTION("""COMPUTED_VALUE"""),"#VALUE!")</f>
        <v>#VALUE!</v>
      </c>
      <c r="CC147" t="str">
        <f ca="1">IFERROR(__xludf.DUMMYFUNCTION("""COMPUTED_VALUE"""),"#VALUE!")</f>
        <v>#VALUE!</v>
      </c>
      <c r="CD147" t="str">
        <f ca="1">IFERROR(__xludf.DUMMYFUNCTION("""COMPUTED_VALUE"""),"C3598")</f>
        <v>C3598</v>
      </c>
      <c r="CE147" t="str">
        <f ca="1">IFERROR(__xludf.DUMMYFUNCTION("""COMPUTED_VALUE"""),"location of congregation")</f>
        <v>location of congregation</v>
      </c>
      <c r="CF147" t="str">
        <f ca="1">IFERROR(__xludf.DUMMYFUNCTION("""COMPUTED_VALUE"""),"L0081")</f>
        <v>L0081</v>
      </c>
      <c r="CG147" t="str">
        <f ca="1">IFERROR(__xludf.DUMMYFUNCTION("""COMPUTED_VALUE"""),"domus Andree de Malessart")</f>
        <v>domus Andree de Malessart</v>
      </c>
      <c r="CI147" t="str">
        <f ca="1">IFERROR(__xludf.DUMMYFUNCTION("""COMPUTED_VALUE"""),"#VALUE!")</f>
        <v>#VALUE!</v>
      </c>
      <c r="CK147" t="str">
        <f ca="1">IFERROR(__xludf.DUMMYFUNCTION("""COMPUTED_VALUE"""),"#VALUE!")</f>
        <v>#VALUE!</v>
      </c>
      <c r="CS147" t="str">
        <f ca="1">IFERROR(__xludf.DUMMYFUNCTION("""COMPUTED_VALUE"""),"#VALUE!")</f>
        <v>#VALUE!</v>
      </c>
      <c r="CU147" t="str">
        <f ca="1">IFERROR(__xludf.DUMMYFUNCTION("""COMPUTED_VALUE"""),"#VALUE!")</f>
        <v>#VALUE!</v>
      </c>
      <c r="CV147" t="str">
        <f ca="1">IFERROR(__xludf.DUMMYFUNCTION("""COMPUTED_VALUE"""),"L0158")</f>
        <v>L0158</v>
      </c>
      <c r="CW147" t="str">
        <f ca="1">IFERROR(__xludf.DUMMYFUNCTION("""COMPUTED_VALUE"""),"Ollasio")</f>
        <v>Ollasio</v>
      </c>
      <c r="CY147" t="str">
        <f ca="1">IFERROR(__xludf.DUMMYFUNCTION("""COMPUTED_VALUE"""),"#VALUE!")</f>
        <v>#VALUE!</v>
      </c>
      <c r="DC147" t="str">
        <f ca="1">IFERROR(__xludf.DUMMYFUNCTION("""COMPUTED_VALUE"""),"#VALUE!")</f>
        <v>#VALUE!</v>
      </c>
      <c r="DE147" t="str">
        <f ca="1">IFERROR(__xludf.DUMMYFUNCTION("""COMPUTED_VALUE"""),"#VALUE!")</f>
        <v>#VALUE!</v>
      </c>
      <c r="DH147" t="str">
        <f ca="1">IFERROR(__xludf.DUMMYFUNCTION("""COMPUTED_VALUE"""),"L0081")</f>
        <v>L0081</v>
      </c>
      <c r="DI147" t="str">
        <f ca="1">IFERROR(__xludf.DUMMYFUNCTION("""COMPUTED_VALUE"""),"domus Andree de Malessart")</f>
        <v>domus Andree de Malessart</v>
      </c>
      <c r="DJ147" t="str">
        <f ca="1">IFERROR(__xludf.DUMMYFUNCTION("""COMPUTED_VALUE"""),"domus")</f>
        <v>domus</v>
      </c>
      <c r="DL147" t="str">
        <f ca="1">IFERROR(__xludf.DUMMYFUNCTION("""COMPUTED_VALUE"""),"Davor Salihović")</f>
        <v>Davor Salihović</v>
      </c>
    </row>
    <row r="148" spans="1:116" ht="13.2" x14ac:dyDescent="0.25">
      <c r="A148" t="str">
        <f ca="1">IFERROR(__xludf.DUMMYFUNCTION("""COMPUTED_VALUE"""),"P0151")</f>
        <v>P0151</v>
      </c>
      <c r="B148" t="str">
        <f ca="1">IFERROR(__xludf.DUMMYFUNCTION("""COMPUTED_VALUE"""),"Andreas Maleysart")</f>
        <v>Andreas Maleysart</v>
      </c>
      <c r="D148" t="str">
        <f ca="1">IFERROR(__xludf.DUMMYFUNCTION("""COMPUTED_VALUE"""),"#VALUE!")</f>
        <v>#VALUE!</v>
      </c>
      <c r="E148" t="str">
        <f ca="1">IFERROR(__xludf.DUMMYFUNCTION("""COMPUTED_VALUE"""),"Andreas")</f>
        <v>Andreas</v>
      </c>
      <c r="K148" t="str">
        <f ca="1">IFERROR(__xludf.DUMMYFUNCTION("""COMPUTED_VALUE"""),"Maleysart")</f>
        <v>Maleysart</v>
      </c>
      <c r="L148" t="str">
        <f ca="1">IFERROR(__xludf.DUMMYFUNCTION("""COMPUTED_VALUE"""),"Maleysart")</f>
        <v>Maleysart</v>
      </c>
      <c r="P148" t="str">
        <f ca="1">IFERROR(__xludf.DUMMYFUNCTION("""COMPUTED_VALUE"""),"Malessart")</f>
        <v>Malessart</v>
      </c>
      <c r="S148" t="str">
        <f ca="1">IFERROR(__xludf.DUMMYFUNCTION("""COMPUTED_VALUE"""),"Latin")</f>
        <v>Latin</v>
      </c>
      <c r="T148" t="str">
        <f ca="1">IFERROR(__xludf.DUMMYFUNCTION("""COMPUTED_VALUE"""),"definite")</f>
        <v>definite</v>
      </c>
      <c r="U148" t="str">
        <f ca="1">IFERROR(__xludf.DUMMYFUNCTION("""COMPUTED_VALUE"""),"C2553")</f>
        <v>C2553</v>
      </c>
      <c r="V148" t="str">
        <f ca="1">IFERROR(__xludf.DUMMYFUNCTION("""COMPUTED_VALUE"""),"male")</f>
        <v>male</v>
      </c>
      <c r="Z148" t="str">
        <f ca="1">IFERROR(__xludf.DUMMYFUNCTION("""COMPUTED_VALUE"""),"171, 188, 193, 194, 195, 197, 226")</f>
        <v>171, 188, 193, 194, 195, 197, 226</v>
      </c>
      <c r="AA148" t="str">
        <f ca="1">IFERROR(__xludf.DUMMYFUNCTION("""COMPUTED_VALUE"""),"d")</f>
        <v>d</v>
      </c>
      <c r="AB148" t="str">
        <f ca="1">IFERROR(__xludf.DUMMYFUNCTION("""COMPUTED_VALUE"""),"suspect")</f>
        <v>suspect</v>
      </c>
      <c r="AD148" t="str">
        <f ca="1">IFERROR(__xludf.DUMMYFUNCTION("""COMPUTED_VALUE"""),"C3287")</f>
        <v>C3287</v>
      </c>
      <c r="AE148" t="str">
        <f ca="1">IFERROR(__xludf.DUMMYFUNCTION("""COMPUTED_VALUE"""),"alive")</f>
        <v>alive</v>
      </c>
      <c r="AF148" t="str">
        <f ca="1">IFERROR(__xludf.DUMMYFUNCTION("""COMPUTED_VALUE"""),"C1753")</f>
        <v>C1753</v>
      </c>
      <c r="AG148" t="str">
        <f ca="1">IFERROR(__xludf.DUMMYFUNCTION("""COMPUTED_VALUE"""),"1335-01-20")</f>
        <v>1335-01-20</v>
      </c>
      <c r="AH148" t="str">
        <f ca="1">IFERROR(__xludf.DUMMYFUNCTION("""COMPUTED_VALUE"""),"C2348")</f>
        <v>C2348</v>
      </c>
      <c r="AI148" t="str">
        <f ca="1">IFERROR(__xludf.DUMMYFUNCTION("""COMPUTED_VALUE"""),"wife")</f>
        <v>wife</v>
      </c>
      <c r="AJ148" t="str">
        <f ca="1">IFERROR(__xludf.DUMMYFUNCTION("""COMPUTED_VALUE"""),"P0150")</f>
        <v>P0150</v>
      </c>
      <c r="AK148" t="str">
        <f ca="1">IFERROR(__xludf.DUMMYFUNCTION("""COMPUTED_VALUE"""),"Bertolota, uxor Andree Maleysart")</f>
        <v>Bertolota, uxor Andree Maleysart</v>
      </c>
      <c r="AL148" t="str">
        <f ca="1">IFERROR(__xludf.DUMMYFUNCTION("""COMPUTED_VALUE"""),"C2336")</f>
        <v>C2336</v>
      </c>
      <c r="AM148" t="str">
        <f ca="1">IFERROR(__xludf.DUMMYFUNCTION("""COMPUTED_VALUE"""),"son")</f>
        <v>son</v>
      </c>
      <c r="AN148" t="str">
        <f ca="1">IFERROR(__xludf.DUMMYFUNCTION("""COMPUTED_VALUE"""),"P0295")</f>
        <v>P0295</v>
      </c>
      <c r="AO148" t="str">
        <f ca="1">IFERROR(__xludf.DUMMYFUNCTION("""COMPUTED_VALUE"""),"Petrus, filius Andree Maleysart")</f>
        <v>Petrus, filius Andree Maleysart</v>
      </c>
      <c r="AQ148" t="str">
        <f ca="1">IFERROR(__xludf.DUMMYFUNCTION("""COMPUTED_VALUE"""),"#VALUE!")</f>
        <v>#VALUE!</v>
      </c>
      <c r="AS148" t="str">
        <f ca="1">IFERROR(__xludf.DUMMYFUNCTION("""COMPUTED_VALUE"""),"#VALUE!")</f>
        <v>#VALUE!</v>
      </c>
      <c r="AU148" t="str">
        <f ca="1">IFERROR(__xludf.DUMMYFUNCTION("""COMPUTED_VALUE"""),"#VALUE!")</f>
        <v>#VALUE!</v>
      </c>
      <c r="AW148" t="str">
        <f ca="1">IFERROR(__xludf.DUMMYFUNCTION("""COMPUTED_VALUE"""),"#VALUE!")</f>
        <v>#VALUE!</v>
      </c>
      <c r="AY148" t="str">
        <f ca="1">IFERROR(__xludf.DUMMYFUNCTION("""COMPUTED_VALUE"""),"#VALUE!")</f>
        <v>#VALUE!</v>
      </c>
      <c r="BA148" t="str">
        <f ca="1">IFERROR(__xludf.DUMMYFUNCTION("""COMPUTED_VALUE"""),"#VALUE!")</f>
        <v>#VALUE!</v>
      </c>
      <c r="BC148" t="str">
        <f ca="1">IFERROR(__xludf.DUMMYFUNCTION("""COMPUTED_VALUE"""),"#VALUE!")</f>
        <v>#VALUE!</v>
      </c>
      <c r="BE148" t="str">
        <f ca="1">IFERROR(__xludf.DUMMYFUNCTION("""COMPUTED_VALUE"""),"#VALUE!")</f>
        <v>#VALUE!</v>
      </c>
      <c r="BG148" t="str">
        <f ca="1">IFERROR(__xludf.DUMMYFUNCTION("""COMPUTED_VALUE"""),"#VALUE!")</f>
        <v>#VALUE!</v>
      </c>
      <c r="BI148" t="str">
        <f ca="1">IFERROR(__xludf.DUMMYFUNCTION("""COMPUTED_VALUE"""),"#VALUE!")</f>
        <v>#VALUE!</v>
      </c>
      <c r="BK148" t="str">
        <f ca="1">IFERROR(__xludf.DUMMYFUNCTION("""COMPUTED_VALUE"""),"#VALUE!")</f>
        <v>#VALUE!</v>
      </c>
      <c r="BM148" t="str">
        <f ca="1">IFERROR(__xludf.DUMMYFUNCTION("""COMPUTED_VALUE"""),"#VALUE!")</f>
        <v>#VALUE!</v>
      </c>
      <c r="BO148" t="str">
        <f ca="1">IFERROR(__xludf.DUMMYFUNCTION("""COMPUTED_VALUE"""),"#VALUE!")</f>
        <v>#VALUE!</v>
      </c>
      <c r="BQ148" t="str">
        <f ca="1">IFERROR(__xludf.DUMMYFUNCTION("""COMPUTED_VALUE"""),"#VALUE!")</f>
        <v>#VALUE!</v>
      </c>
      <c r="BS148" t="str">
        <f ca="1">IFERROR(__xludf.DUMMYFUNCTION("""COMPUTED_VALUE"""),"#VALUE!")</f>
        <v>#VALUE!</v>
      </c>
      <c r="BU148" t="str">
        <f ca="1">IFERROR(__xludf.DUMMYFUNCTION("""COMPUTED_VALUE"""),"#VALUE!")</f>
        <v>#VALUE!</v>
      </c>
      <c r="BW148" t="str">
        <f ca="1">IFERROR(__xludf.DUMMYFUNCTION("""COMPUTED_VALUE"""),"#VALUE!")</f>
        <v>#VALUE!</v>
      </c>
      <c r="BY148" t="str">
        <f ca="1">IFERROR(__xludf.DUMMYFUNCTION("""COMPUTED_VALUE"""),"#VALUE!")</f>
        <v>#VALUE!</v>
      </c>
      <c r="CA148" t="str">
        <f ca="1">IFERROR(__xludf.DUMMYFUNCTION("""COMPUTED_VALUE"""),"#VALUE!")</f>
        <v>#VALUE!</v>
      </c>
      <c r="CC148" t="str">
        <f ca="1">IFERROR(__xludf.DUMMYFUNCTION("""COMPUTED_VALUE"""),"#VALUE!")</f>
        <v>#VALUE!</v>
      </c>
      <c r="CD148" t="str">
        <f ca="1">IFERROR(__xludf.DUMMYFUNCTION("""COMPUTED_VALUE"""),"C3598")</f>
        <v>C3598</v>
      </c>
      <c r="CE148" t="str">
        <f ca="1">IFERROR(__xludf.DUMMYFUNCTION("""COMPUTED_VALUE"""),"location of congregation")</f>
        <v>location of congregation</v>
      </c>
      <c r="CF148" t="str">
        <f ca="1">IFERROR(__xludf.DUMMYFUNCTION("""COMPUTED_VALUE"""),"L0081")</f>
        <v>L0081</v>
      </c>
      <c r="CG148" t="str">
        <f ca="1">IFERROR(__xludf.DUMMYFUNCTION("""COMPUTED_VALUE"""),"domus Andree de Malessart")</f>
        <v>domus Andree de Malessart</v>
      </c>
      <c r="CI148" t="str">
        <f ca="1">IFERROR(__xludf.DUMMYFUNCTION("""COMPUTED_VALUE"""),"#VALUE!")</f>
        <v>#VALUE!</v>
      </c>
      <c r="CK148" t="str">
        <f ca="1">IFERROR(__xludf.DUMMYFUNCTION("""COMPUTED_VALUE"""),"#VALUE!")</f>
        <v>#VALUE!</v>
      </c>
      <c r="CO148" t="str">
        <f ca="1">IFERROR(__xludf.DUMMYFUNCTION("""COMPUTED_VALUE"""),"Malessart")</f>
        <v>Malessart</v>
      </c>
      <c r="CS148" t="str">
        <f ca="1">IFERROR(__xludf.DUMMYFUNCTION("""COMPUTED_VALUE"""),"#VALUE!")</f>
        <v>#VALUE!</v>
      </c>
      <c r="CU148" t="str">
        <f ca="1">IFERROR(__xludf.DUMMYFUNCTION("""COMPUTED_VALUE"""),"#VALUE!")</f>
        <v>#VALUE!</v>
      </c>
      <c r="CV148" t="str">
        <f ca="1">IFERROR(__xludf.DUMMYFUNCTION("""COMPUTED_VALUE"""),"L0158")</f>
        <v>L0158</v>
      </c>
      <c r="CW148" t="str">
        <f ca="1">IFERROR(__xludf.DUMMYFUNCTION("""COMPUTED_VALUE"""),"Ollasio")</f>
        <v>Ollasio</v>
      </c>
      <c r="CY148" t="str">
        <f ca="1">IFERROR(__xludf.DUMMYFUNCTION("""COMPUTED_VALUE"""),"#VALUE!")</f>
        <v>#VALUE!</v>
      </c>
      <c r="DC148" t="str">
        <f ca="1">IFERROR(__xludf.DUMMYFUNCTION("""COMPUTED_VALUE"""),"#VALUE!")</f>
        <v>#VALUE!</v>
      </c>
      <c r="DE148" t="str">
        <f ca="1">IFERROR(__xludf.DUMMYFUNCTION("""COMPUTED_VALUE"""),"#VALUE!")</f>
        <v>#VALUE!</v>
      </c>
      <c r="DF148" t="str">
        <f ca="1">IFERROR(__xludf.DUMMYFUNCTION("""COMPUTED_VALUE"""),"y")</f>
        <v>y</v>
      </c>
      <c r="DG148" t="str">
        <f ca="1">IFERROR(__xludf.DUMMYFUNCTION("""COMPUTED_VALUE"""),"194")</f>
        <v>194</v>
      </c>
      <c r="DH148" t="str">
        <f ca="1">IFERROR(__xludf.DUMMYFUNCTION("""COMPUTED_VALUE"""),"L0081")</f>
        <v>L0081</v>
      </c>
      <c r="DI148" t="str">
        <f ca="1">IFERROR(__xludf.DUMMYFUNCTION("""COMPUTED_VALUE"""),"domus Andree de Malessart")</f>
        <v>domus Andree de Malessart</v>
      </c>
      <c r="DJ148" t="str">
        <f ca="1">IFERROR(__xludf.DUMMYFUNCTION("""COMPUTED_VALUE"""),"domus")</f>
        <v>domus</v>
      </c>
      <c r="DL148" t="str">
        <f ca="1">IFERROR(__xludf.DUMMYFUNCTION("""COMPUTED_VALUE"""),"Davor Salihović")</f>
        <v>Davor Salihović</v>
      </c>
    </row>
    <row r="149" spans="1:116" ht="13.2" x14ac:dyDescent="0.25">
      <c r="A149" t="str">
        <f ca="1">IFERROR(__xludf.DUMMYFUNCTION("""COMPUTED_VALUE"""),"P0152")</f>
        <v>P0152</v>
      </c>
      <c r="B149" t="str">
        <f ca="1">IFERROR(__xludf.DUMMYFUNCTION("""COMPUTED_VALUE"""),"quidam homo")</f>
        <v>quidam homo</v>
      </c>
      <c r="D149" t="str">
        <f ca="1">IFERROR(__xludf.DUMMYFUNCTION("""COMPUTED_VALUE"""),"#VALUE!")</f>
        <v>#VALUE!</v>
      </c>
      <c r="E149" t="str">
        <f ca="1">IFERROR(__xludf.DUMMYFUNCTION("""COMPUTED_VALUE"""),"quidam homo")</f>
        <v>quidam homo</v>
      </c>
      <c r="S149" t="str">
        <f ca="1">IFERROR(__xludf.DUMMYFUNCTION("""COMPUTED_VALUE"""),"Latin")</f>
        <v>Latin</v>
      </c>
      <c r="T149" t="str">
        <f ca="1">IFERROR(__xludf.DUMMYFUNCTION("""COMPUTED_VALUE"""),"indefinite")</f>
        <v>indefinite</v>
      </c>
      <c r="U149" t="str">
        <f ca="1">IFERROR(__xludf.DUMMYFUNCTION("""COMPUTED_VALUE"""),"C2553")</f>
        <v>C2553</v>
      </c>
      <c r="V149" t="str">
        <f ca="1">IFERROR(__xludf.DUMMYFUNCTION("""COMPUTED_VALUE"""),"male")</f>
        <v>male</v>
      </c>
      <c r="Z149" t="str">
        <f ca="1">IFERROR(__xludf.DUMMYFUNCTION("""COMPUTED_VALUE"""),"171")</f>
        <v>171</v>
      </c>
      <c r="AA149" t="str">
        <f ca="1">IFERROR(__xludf.DUMMYFUNCTION("""COMPUTED_VALUE"""),"d")</f>
        <v>d</v>
      </c>
      <c r="AB149" t="str">
        <f ca="1">IFERROR(__xludf.DUMMYFUNCTION("""COMPUTED_VALUE"""),"NA")</f>
        <v>NA</v>
      </c>
      <c r="AE149" t="str">
        <f ca="1">IFERROR(__xludf.DUMMYFUNCTION("""COMPUTED_VALUE"""),"#VALUE!")</f>
        <v>#VALUE!</v>
      </c>
      <c r="AF149" t="str">
        <f ca="1">IFERROR(__xludf.DUMMYFUNCTION("""COMPUTED_VALUE"""),"#N/A")</f>
        <v>#N/A</v>
      </c>
      <c r="AG149" t="str">
        <f ca="1">IFERROR(__xludf.DUMMYFUNCTION("""COMPUTED_VALUE"""),"#N/A")</f>
        <v>#N/A</v>
      </c>
      <c r="AI149" t="str">
        <f ca="1">IFERROR(__xludf.DUMMYFUNCTION("""COMPUTED_VALUE"""),"#VALUE!")</f>
        <v>#VALUE!</v>
      </c>
      <c r="AK149" t="str">
        <f ca="1">IFERROR(__xludf.DUMMYFUNCTION("""COMPUTED_VALUE"""),"#VALUE!")</f>
        <v>#VALUE!</v>
      </c>
      <c r="AM149" t="str">
        <f ca="1">IFERROR(__xludf.DUMMYFUNCTION("""COMPUTED_VALUE"""),"#VALUE!")</f>
        <v>#VALUE!</v>
      </c>
      <c r="AO149" t="str">
        <f ca="1">IFERROR(__xludf.DUMMYFUNCTION("""COMPUTED_VALUE"""),"#VALUE!")</f>
        <v>#VALUE!</v>
      </c>
      <c r="AQ149" t="str">
        <f ca="1">IFERROR(__xludf.DUMMYFUNCTION("""COMPUTED_VALUE"""),"#VALUE!")</f>
        <v>#VALUE!</v>
      </c>
      <c r="AS149" t="str">
        <f ca="1">IFERROR(__xludf.DUMMYFUNCTION("""COMPUTED_VALUE"""),"#VALUE!")</f>
        <v>#VALUE!</v>
      </c>
      <c r="AU149" t="str">
        <f ca="1">IFERROR(__xludf.DUMMYFUNCTION("""COMPUTED_VALUE"""),"#VALUE!")</f>
        <v>#VALUE!</v>
      </c>
      <c r="AW149" t="str">
        <f ca="1">IFERROR(__xludf.DUMMYFUNCTION("""COMPUTED_VALUE"""),"#VALUE!")</f>
        <v>#VALUE!</v>
      </c>
      <c r="AY149" t="str">
        <f ca="1">IFERROR(__xludf.DUMMYFUNCTION("""COMPUTED_VALUE"""),"#VALUE!")</f>
        <v>#VALUE!</v>
      </c>
      <c r="BA149" t="str">
        <f ca="1">IFERROR(__xludf.DUMMYFUNCTION("""COMPUTED_VALUE"""),"#VALUE!")</f>
        <v>#VALUE!</v>
      </c>
      <c r="BC149" t="str">
        <f ca="1">IFERROR(__xludf.DUMMYFUNCTION("""COMPUTED_VALUE"""),"#VALUE!")</f>
        <v>#VALUE!</v>
      </c>
      <c r="BE149" t="str">
        <f ca="1">IFERROR(__xludf.DUMMYFUNCTION("""COMPUTED_VALUE"""),"#VALUE!")</f>
        <v>#VALUE!</v>
      </c>
      <c r="BG149" t="str">
        <f ca="1">IFERROR(__xludf.DUMMYFUNCTION("""COMPUTED_VALUE"""),"#VALUE!")</f>
        <v>#VALUE!</v>
      </c>
      <c r="BI149" t="str">
        <f ca="1">IFERROR(__xludf.DUMMYFUNCTION("""COMPUTED_VALUE"""),"#VALUE!")</f>
        <v>#VALUE!</v>
      </c>
      <c r="BK149" t="str">
        <f ca="1">IFERROR(__xludf.DUMMYFUNCTION("""COMPUTED_VALUE"""),"#VALUE!")</f>
        <v>#VALUE!</v>
      </c>
      <c r="BM149" t="str">
        <f ca="1">IFERROR(__xludf.DUMMYFUNCTION("""COMPUTED_VALUE"""),"#VALUE!")</f>
        <v>#VALUE!</v>
      </c>
      <c r="BO149" t="str">
        <f ca="1">IFERROR(__xludf.DUMMYFUNCTION("""COMPUTED_VALUE"""),"#VALUE!")</f>
        <v>#VALUE!</v>
      </c>
      <c r="BQ149" t="str">
        <f ca="1">IFERROR(__xludf.DUMMYFUNCTION("""COMPUTED_VALUE"""),"#VALUE!")</f>
        <v>#VALUE!</v>
      </c>
      <c r="BS149" t="str">
        <f ca="1">IFERROR(__xludf.DUMMYFUNCTION("""COMPUTED_VALUE"""),"#VALUE!")</f>
        <v>#VALUE!</v>
      </c>
      <c r="BU149" t="str">
        <f ca="1">IFERROR(__xludf.DUMMYFUNCTION("""COMPUTED_VALUE"""),"#VALUE!")</f>
        <v>#VALUE!</v>
      </c>
      <c r="BW149" t="str">
        <f ca="1">IFERROR(__xludf.DUMMYFUNCTION("""COMPUTED_VALUE"""),"#VALUE!")</f>
        <v>#VALUE!</v>
      </c>
      <c r="BY149" t="str">
        <f ca="1">IFERROR(__xludf.DUMMYFUNCTION("""COMPUTED_VALUE"""),"#VALUE!")</f>
        <v>#VALUE!</v>
      </c>
      <c r="CA149" t="str">
        <f ca="1">IFERROR(__xludf.DUMMYFUNCTION("""COMPUTED_VALUE"""),"#VALUE!")</f>
        <v>#VALUE!</v>
      </c>
      <c r="CC149" t="str">
        <f ca="1">IFERROR(__xludf.DUMMYFUNCTION("""COMPUTED_VALUE"""),"#VALUE!")</f>
        <v>#VALUE!</v>
      </c>
      <c r="CD149" t="str">
        <f ca="1">IFERROR(__xludf.DUMMYFUNCTION("""COMPUTED_VALUE"""),"C3598")</f>
        <v>C3598</v>
      </c>
      <c r="CE149" t="str">
        <f ca="1">IFERROR(__xludf.DUMMYFUNCTION("""COMPUTED_VALUE"""),"location of congregation")</f>
        <v>location of congregation</v>
      </c>
      <c r="CF149" t="str">
        <f ca="1">IFERROR(__xludf.DUMMYFUNCTION("""COMPUTED_VALUE"""),"L0025")</f>
        <v>L0025</v>
      </c>
      <c r="CG149" t="str">
        <f ca="1">IFERROR(__xludf.DUMMYFUNCTION("""COMPUTED_VALUE"""),"domus Villelmeti Domenici")</f>
        <v>domus Villelmeti Domenici</v>
      </c>
      <c r="CI149" t="str">
        <f ca="1">IFERROR(__xludf.DUMMYFUNCTION("""COMPUTED_VALUE"""),"#VALUE!")</f>
        <v>#VALUE!</v>
      </c>
      <c r="CK149" t="str">
        <f ca="1">IFERROR(__xludf.DUMMYFUNCTION("""COMPUTED_VALUE"""),"#VALUE!")</f>
        <v>#VALUE!</v>
      </c>
      <c r="CS149" t="str">
        <f ca="1">IFERROR(__xludf.DUMMYFUNCTION("""COMPUTED_VALUE"""),"#VALUE!")</f>
        <v>#VALUE!</v>
      </c>
      <c r="CU149" t="str">
        <f ca="1">IFERROR(__xludf.DUMMYFUNCTION("""COMPUTED_VALUE"""),"#VALUE!")</f>
        <v>#VALUE!</v>
      </c>
      <c r="CW149" t="str">
        <f ca="1">IFERROR(__xludf.DUMMYFUNCTION("""COMPUTED_VALUE"""),"#VALUE!")</f>
        <v>#VALUE!</v>
      </c>
      <c r="CY149" t="str">
        <f ca="1">IFERROR(__xludf.DUMMYFUNCTION("""COMPUTED_VALUE"""),"#VALUE!")</f>
        <v>#VALUE!</v>
      </c>
      <c r="DC149" t="str">
        <f ca="1">IFERROR(__xludf.DUMMYFUNCTION("""COMPUTED_VALUE"""),"#VALUE!")</f>
        <v>#VALUE!</v>
      </c>
      <c r="DE149" t="str">
        <f ca="1">IFERROR(__xludf.DUMMYFUNCTION("""COMPUTED_VALUE"""),"#VALUE!")</f>
        <v>#VALUE!</v>
      </c>
      <c r="DH149" t="str">
        <f ca="1">IFERROR(__xludf.DUMMYFUNCTION("""COMPUTED_VALUE"""),"L0025")</f>
        <v>L0025</v>
      </c>
      <c r="DI149" t="str">
        <f ca="1">IFERROR(__xludf.DUMMYFUNCTION("""COMPUTED_VALUE"""),"domus Villelmeti Domenici")</f>
        <v>domus Villelmeti Domenici</v>
      </c>
      <c r="DJ149" t="str">
        <f ca="1">IFERROR(__xludf.DUMMYFUNCTION("""COMPUTED_VALUE"""),"domus")</f>
        <v>domus</v>
      </c>
      <c r="DL149" t="str">
        <f ca="1">IFERROR(__xludf.DUMMYFUNCTION("""COMPUTED_VALUE"""),"Davor Salihović")</f>
        <v>Davor Salihović</v>
      </c>
    </row>
    <row r="150" spans="1:116" ht="13.2" x14ac:dyDescent="0.25">
      <c r="A150" t="str">
        <f ca="1">IFERROR(__xludf.DUMMYFUNCTION("""COMPUTED_VALUE"""),"P0153")</f>
        <v>P0153</v>
      </c>
      <c r="B150" t="str">
        <f ca="1">IFERROR(__xludf.DUMMYFUNCTION("""COMPUTED_VALUE"""),"Guillelmus Goytro")</f>
        <v>Guillelmus Goytro</v>
      </c>
      <c r="D150" t="str">
        <f ca="1">IFERROR(__xludf.DUMMYFUNCTION("""COMPUTED_VALUE"""),"#VALUE!")</f>
        <v>#VALUE!</v>
      </c>
      <c r="E150" t="str">
        <f ca="1">IFERROR(__xludf.DUMMYFUNCTION("""COMPUTED_VALUE"""),"Guillelmus")</f>
        <v>Guillelmus</v>
      </c>
      <c r="K150" t="str">
        <f ca="1">IFERROR(__xludf.DUMMYFUNCTION("""COMPUTED_VALUE"""),"Goytro")</f>
        <v>Goytro</v>
      </c>
      <c r="L150" t="str">
        <f ca="1">IFERROR(__xludf.DUMMYFUNCTION("""COMPUTED_VALUE"""),"Goytro")</f>
        <v>Goytro</v>
      </c>
      <c r="Q150" t="str">
        <f ca="1">IFERROR(__xludf.DUMMYFUNCTION("""COMPUTED_VALUE"""),"claudus de Buffa")</f>
        <v>claudus de Buffa</v>
      </c>
      <c r="S150" t="str">
        <f ca="1">IFERROR(__xludf.DUMMYFUNCTION("""COMPUTED_VALUE"""),"Latin")</f>
        <v>Latin</v>
      </c>
      <c r="T150" t="str">
        <f ca="1">IFERROR(__xludf.DUMMYFUNCTION("""COMPUTED_VALUE"""),"definite")</f>
        <v>definite</v>
      </c>
      <c r="U150" t="str">
        <f ca="1">IFERROR(__xludf.DUMMYFUNCTION("""COMPUTED_VALUE"""),"C2553")</f>
        <v>C2553</v>
      </c>
      <c r="V150" t="str">
        <f ca="1">IFERROR(__xludf.DUMMYFUNCTION("""COMPUTED_VALUE"""),"male")</f>
        <v>male</v>
      </c>
      <c r="Z150" t="str">
        <f ca="1">IFERROR(__xludf.DUMMYFUNCTION("""COMPUTED_VALUE"""),"171")</f>
        <v>171</v>
      </c>
      <c r="AA150" t="str">
        <f ca="1">IFERROR(__xludf.DUMMYFUNCTION("""COMPUTED_VALUE"""),"d")</f>
        <v>d</v>
      </c>
      <c r="AB150" t="str">
        <f ca="1">IFERROR(__xludf.DUMMYFUNCTION("""COMPUTED_VALUE"""),"deponent")</f>
        <v>deponent</v>
      </c>
      <c r="AD150" t="str">
        <f ca="1">IFERROR(__xludf.DUMMYFUNCTION("""COMPUTED_VALUE"""),"C3287")</f>
        <v>C3287</v>
      </c>
      <c r="AE150" t="str">
        <f ca="1">IFERROR(__xludf.DUMMYFUNCTION("""COMPUTED_VALUE"""),"alive")</f>
        <v>alive</v>
      </c>
      <c r="AF150" t="str">
        <f ca="1">IFERROR(__xludf.DUMMYFUNCTION("""COMPUTED_VALUE"""),"C1753")</f>
        <v>C1753</v>
      </c>
      <c r="AG150" t="str">
        <f ca="1">IFERROR(__xludf.DUMMYFUNCTION("""COMPUTED_VALUE"""),"1335-01-20")</f>
        <v>1335-01-20</v>
      </c>
      <c r="AI150" t="str">
        <f ca="1">IFERROR(__xludf.DUMMYFUNCTION("""COMPUTED_VALUE"""),"#VALUE!")</f>
        <v>#VALUE!</v>
      </c>
      <c r="AK150" t="str">
        <f ca="1">IFERROR(__xludf.DUMMYFUNCTION("""COMPUTED_VALUE"""),"#VALUE!")</f>
        <v>#VALUE!</v>
      </c>
      <c r="AM150" t="str">
        <f ca="1">IFERROR(__xludf.DUMMYFUNCTION("""COMPUTED_VALUE"""),"#VALUE!")</f>
        <v>#VALUE!</v>
      </c>
      <c r="AO150" t="str">
        <f ca="1">IFERROR(__xludf.DUMMYFUNCTION("""COMPUTED_VALUE"""),"#VALUE!")</f>
        <v>#VALUE!</v>
      </c>
      <c r="AQ150" t="str">
        <f ca="1">IFERROR(__xludf.DUMMYFUNCTION("""COMPUTED_VALUE"""),"#VALUE!")</f>
        <v>#VALUE!</v>
      </c>
      <c r="AS150" t="str">
        <f ca="1">IFERROR(__xludf.DUMMYFUNCTION("""COMPUTED_VALUE"""),"#VALUE!")</f>
        <v>#VALUE!</v>
      </c>
      <c r="AU150" t="str">
        <f ca="1">IFERROR(__xludf.DUMMYFUNCTION("""COMPUTED_VALUE"""),"#VALUE!")</f>
        <v>#VALUE!</v>
      </c>
      <c r="AW150" t="str">
        <f ca="1">IFERROR(__xludf.DUMMYFUNCTION("""COMPUTED_VALUE"""),"#VALUE!")</f>
        <v>#VALUE!</v>
      </c>
      <c r="AY150" t="str">
        <f ca="1">IFERROR(__xludf.DUMMYFUNCTION("""COMPUTED_VALUE"""),"#VALUE!")</f>
        <v>#VALUE!</v>
      </c>
      <c r="BA150" t="str">
        <f ca="1">IFERROR(__xludf.DUMMYFUNCTION("""COMPUTED_VALUE"""),"#VALUE!")</f>
        <v>#VALUE!</v>
      </c>
      <c r="BC150" t="str">
        <f ca="1">IFERROR(__xludf.DUMMYFUNCTION("""COMPUTED_VALUE"""),"#VALUE!")</f>
        <v>#VALUE!</v>
      </c>
      <c r="BE150" t="str">
        <f ca="1">IFERROR(__xludf.DUMMYFUNCTION("""COMPUTED_VALUE"""),"#VALUE!")</f>
        <v>#VALUE!</v>
      </c>
      <c r="BG150" t="str">
        <f ca="1">IFERROR(__xludf.DUMMYFUNCTION("""COMPUTED_VALUE"""),"#VALUE!")</f>
        <v>#VALUE!</v>
      </c>
      <c r="BI150" t="str">
        <f ca="1">IFERROR(__xludf.DUMMYFUNCTION("""COMPUTED_VALUE"""),"#VALUE!")</f>
        <v>#VALUE!</v>
      </c>
      <c r="BK150" t="str">
        <f ca="1">IFERROR(__xludf.DUMMYFUNCTION("""COMPUTED_VALUE"""),"#VALUE!")</f>
        <v>#VALUE!</v>
      </c>
      <c r="BM150" t="str">
        <f ca="1">IFERROR(__xludf.DUMMYFUNCTION("""COMPUTED_VALUE"""),"#VALUE!")</f>
        <v>#VALUE!</v>
      </c>
      <c r="BO150" t="str">
        <f ca="1">IFERROR(__xludf.DUMMYFUNCTION("""COMPUTED_VALUE"""),"#VALUE!")</f>
        <v>#VALUE!</v>
      </c>
      <c r="BQ150" t="str">
        <f ca="1">IFERROR(__xludf.DUMMYFUNCTION("""COMPUTED_VALUE"""),"#VALUE!")</f>
        <v>#VALUE!</v>
      </c>
      <c r="BS150" t="str">
        <f ca="1">IFERROR(__xludf.DUMMYFUNCTION("""COMPUTED_VALUE"""),"#VALUE!")</f>
        <v>#VALUE!</v>
      </c>
      <c r="BU150" t="str">
        <f ca="1">IFERROR(__xludf.DUMMYFUNCTION("""COMPUTED_VALUE"""),"#VALUE!")</f>
        <v>#VALUE!</v>
      </c>
      <c r="BW150" t="str">
        <f ca="1">IFERROR(__xludf.DUMMYFUNCTION("""COMPUTED_VALUE"""),"#VALUE!")</f>
        <v>#VALUE!</v>
      </c>
      <c r="BY150" t="str">
        <f ca="1">IFERROR(__xludf.DUMMYFUNCTION("""COMPUTED_VALUE"""),"#VALUE!")</f>
        <v>#VALUE!</v>
      </c>
      <c r="CA150" t="str">
        <f ca="1">IFERROR(__xludf.DUMMYFUNCTION("""COMPUTED_VALUE"""),"#VALUE!")</f>
        <v>#VALUE!</v>
      </c>
      <c r="CC150" t="str">
        <f ca="1">IFERROR(__xludf.DUMMYFUNCTION("""COMPUTED_VALUE"""),"#VALUE!")</f>
        <v>#VALUE!</v>
      </c>
      <c r="CE150" t="str">
        <f ca="1">IFERROR(__xludf.DUMMYFUNCTION("""COMPUTED_VALUE"""),"#VALUE!")</f>
        <v>#VALUE!</v>
      </c>
      <c r="CG150" t="str">
        <f ca="1">IFERROR(__xludf.DUMMYFUNCTION("""COMPUTED_VALUE"""),"#VALUE!")</f>
        <v>#VALUE!</v>
      </c>
      <c r="CI150" t="str">
        <f ca="1">IFERROR(__xludf.DUMMYFUNCTION("""COMPUTED_VALUE"""),"#VALUE!")</f>
        <v>#VALUE!</v>
      </c>
      <c r="CK150" t="str">
        <f ca="1">IFERROR(__xludf.DUMMYFUNCTION("""COMPUTED_VALUE"""),"#VALUE!")</f>
        <v>#VALUE!</v>
      </c>
      <c r="CS150" t="str">
        <f ca="1">IFERROR(__xludf.DUMMYFUNCTION("""COMPUTED_VALUE"""),"#VALUE!")</f>
        <v>#VALUE!</v>
      </c>
      <c r="CU150" t="str">
        <f ca="1">IFERROR(__xludf.DUMMYFUNCTION("""COMPUTED_VALUE"""),"#VALUE!")</f>
        <v>#VALUE!</v>
      </c>
      <c r="CW150" t="str">
        <f ca="1">IFERROR(__xludf.DUMMYFUNCTION("""COMPUTED_VALUE"""),"#VALUE!")</f>
        <v>#VALUE!</v>
      </c>
      <c r="CY150" t="str">
        <f ca="1">IFERROR(__xludf.DUMMYFUNCTION("""COMPUTED_VALUE"""),"#VALUE!")</f>
        <v>#VALUE!</v>
      </c>
      <c r="DC150" t="str">
        <f ca="1">IFERROR(__xludf.DUMMYFUNCTION("""COMPUTED_VALUE"""),"#VALUE!")</f>
        <v>#VALUE!</v>
      </c>
      <c r="DE150" t="str">
        <f ca="1">IFERROR(__xludf.DUMMYFUNCTION("""COMPUTED_VALUE"""),"#VALUE!")</f>
        <v>#VALUE!</v>
      </c>
      <c r="DF150" t="str">
        <f ca="1">IFERROR(__xludf.DUMMYFUNCTION("""COMPUTED_VALUE"""),"y")</f>
        <v>y</v>
      </c>
      <c r="DG150" t="str">
        <f ca="1">IFERROR(__xludf.DUMMYFUNCTION("""COMPUTED_VALUE"""),"171")</f>
        <v>171</v>
      </c>
      <c r="DI150" t="str">
        <f ca="1">IFERROR(__xludf.DUMMYFUNCTION("""COMPUTED_VALUE"""),"#VALUE!")</f>
        <v>#VALUE!</v>
      </c>
      <c r="DJ150" t="str">
        <f ca="1">IFERROR(__xludf.DUMMYFUNCTION("""COMPUTED_VALUE"""),"#VALUE!")</f>
        <v>#VALUE!</v>
      </c>
      <c r="DL150" t="str">
        <f ca="1">IFERROR(__xludf.DUMMYFUNCTION("""COMPUTED_VALUE"""),"Davor Salihović")</f>
        <v>Davor Salihović</v>
      </c>
    </row>
    <row r="151" spans="1:116" ht="13.2" x14ac:dyDescent="0.25">
      <c r="A151" t="str">
        <f ca="1">IFERROR(__xludf.DUMMYFUNCTION("""COMPUTED_VALUE"""),"P0154")</f>
        <v>P0154</v>
      </c>
      <c r="B151" t="str">
        <f ca="1">IFERROR(__xludf.DUMMYFUNCTION("""COMPUTED_VALUE"""),"Michael Plancha")</f>
        <v>Michael Plancha</v>
      </c>
      <c r="D151" t="str">
        <f ca="1">IFERROR(__xludf.DUMMYFUNCTION("""COMPUTED_VALUE"""),"#VALUE!")</f>
        <v>#VALUE!</v>
      </c>
      <c r="E151" t="str">
        <f ca="1">IFERROR(__xludf.DUMMYFUNCTION("""COMPUTED_VALUE"""),"Michael")</f>
        <v>Michael</v>
      </c>
      <c r="K151" t="str">
        <f ca="1">IFERROR(__xludf.DUMMYFUNCTION("""COMPUTED_VALUE"""),"Plancha")</f>
        <v>Plancha</v>
      </c>
      <c r="L151" t="str">
        <f ca="1">IFERROR(__xludf.DUMMYFUNCTION("""COMPUTED_VALUE"""),"Plancha")</f>
        <v>Plancha</v>
      </c>
      <c r="S151" t="str">
        <f ca="1">IFERROR(__xludf.DUMMYFUNCTION("""COMPUTED_VALUE"""),"Latin")</f>
        <v>Latin</v>
      </c>
      <c r="T151" t="str">
        <f ca="1">IFERROR(__xludf.DUMMYFUNCTION("""COMPUTED_VALUE"""),"definite")</f>
        <v>definite</v>
      </c>
      <c r="U151" t="str">
        <f ca="1">IFERROR(__xludf.DUMMYFUNCTION("""COMPUTED_VALUE"""),"C2553")</f>
        <v>C2553</v>
      </c>
      <c r="V151" t="str">
        <f ca="1">IFERROR(__xludf.DUMMYFUNCTION("""COMPUTED_VALUE"""),"male")</f>
        <v>male</v>
      </c>
      <c r="Z151" t="str">
        <f ca="1">IFERROR(__xludf.DUMMYFUNCTION("""COMPUTED_VALUE"""),"171, 178, 179, 181, 193, 198, 201, 202, 203, 204, 205, 216, 219, 223, 231, 241, 242")</f>
        <v>171, 178, 179, 181, 193, 198, 201, 202, 203, 204, 205, 216, 219, 223, 231, 241, 242</v>
      </c>
      <c r="AA151" t="str">
        <f ca="1">IFERROR(__xludf.DUMMYFUNCTION("""COMPUTED_VALUE"""),"d")</f>
        <v>d</v>
      </c>
      <c r="AB151" t="str">
        <f ca="1">IFERROR(__xludf.DUMMYFUNCTION("""COMPUTED_VALUE"""),"suspect")</f>
        <v>suspect</v>
      </c>
      <c r="AD151" t="str">
        <f ca="1">IFERROR(__xludf.DUMMYFUNCTION("""COMPUTED_VALUE"""),"C3287")</f>
        <v>C3287</v>
      </c>
      <c r="AE151" t="str">
        <f ca="1">IFERROR(__xludf.DUMMYFUNCTION("""COMPUTED_VALUE"""),"alive")</f>
        <v>alive</v>
      </c>
      <c r="AF151" t="str">
        <f ca="1">IFERROR(__xludf.DUMMYFUNCTION("""COMPUTED_VALUE"""),"C1753")</f>
        <v>C1753</v>
      </c>
      <c r="AG151" t="str">
        <f ca="1">IFERROR(__xludf.DUMMYFUNCTION("""COMPUTED_VALUE"""),"1335-01-20")</f>
        <v>1335-01-20</v>
      </c>
      <c r="AH151" t="str">
        <f ca="1">IFERROR(__xludf.DUMMYFUNCTION("""COMPUTED_VALUE"""),"C2347")</f>
        <v>C2347</v>
      </c>
      <c r="AI151" t="str">
        <f ca="1">IFERROR(__xludf.DUMMYFUNCTION("""COMPUTED_VALUE"""),"sister")</f>
        <v>sister</v>
      </c>
      <c r="AJ151" t="str">
        <f ca="1">IFERROR(__xludf.DUMMYFUNCTION("""COMPUTED_VALUE"""),"P0234")</f>
        <v>P0234</v>
      </c>
      <c r="AK151" t="str">
        <f ca="1">IFERROR(__xludf.DUMMYFUNCTION("""COMPUTED_VALUE"""),"Bruna, soror Michaelis Planchi")</f>
        <v>Bruna, soror Michaelis Planchi</v>
      </c>
      <c r="AL151" t="str">
        <f ca="1">IFERROR(__xludf.DUMMYFUNCTION("""COMPUTED_VALUE"""),"C2348")</f>
        <v>C2348</v>
      </c>
      <c r="AM151" t="str">
        <f ca="1">IFERROR(__xludf.DUMMYFUNCTION("""COMPUTED_VALUE"""),"wife")</f>
        <v>wife</v>
      </c>
      <c r="AN151" t="str">
        <f ca="1">IFERROR(__xludf.DUMMYFUNCTION("""COMPUTED_VALUE"""),"P0242")</f>
        <v>P0242</v>
      </c>
      <c r="AO151" t="str">
        <f ca="1">IFERROR(__xludf.DUMMYFUNCTION("""COMPUTED_VALUE"""),"Marguerita, uxor Michaelis Plancha")</f>
        <v>Marguerita, uxor Michaelis Plancha</v>
      </c>
      <c r="AP151" t="str">
        <f ca="1">IFERROR(__xludf.DUMMYFUNCTION("""COMPUTED_VALUE"""),"C2341")</f>
        <v>C2341</v>
      </c>
      <c r="AQ151" t="str">
        <f ca="1">IFERROR(__xludf.DUMMYFUNCTION("""COMPUTED_VALUE"""),"mother")</f>
        <v>mother</v>
      </c>
      <c r="AR151" t="str">
        <f ca="1">IFERROR(__xludf.DUMMYFUNCTION("""COMPUTED_VALUE"""),"P0339")</f>
        <v>P0339</v>
      </c>
      <c r="AS151" t="str">
        <f ca="1">IFERROR(__xludf.DUMMYFUNCTION("""COMPUTED_VALUE"""),"Ysabella, mater Michaelis Planche")</f>
        <v>Ysabella, mater Michaelis Planche</v>
      </c>
      <c r="AT151" t="str">
        <f ca="1">IFERROR(__xludf.DUMMYFUNCTION("""COMPUTED_VALUE"""),"C3041")</f>
        <v>C3041</v>
      </c>
      <c r="AU151" t="str">
        <f ca="1">IFERROR(__xludf.DUMMYFUNCTION("""COMPUTED_VALUE"""),"household")</f>
        <v>household</v>
      </c>
      <c r="AV151" t="str">
        <f ca="1">IFERROR(__xludf.DUMMYFUNCTION("""COMPUTED_VALUE"""),"G0035")</f>
        <v>G0035</v>
      </c>
      <c r="AW151" t="str">
        <f ca="1">IFERROR(__xludf.DUMMYFUNCTION("""COMPUTED_VALUE"""),"hospitium Michaelis Planche")</f>
        <v>hospitium Michaelis Planche</v>
      </c>
      <c r="AX151" t="str">
        <f ca="1">IFERROR(__xludf.DUMMYFUNCTION("""COMPUTED_VALUE"""),"C0147")</f>
        <v>C0147</v>
      </c>
      <c r="AY151" t="str">
        <f ca="1">IFERROR(__xludf.DUMMYFUNCTION("""COMPUTED_VALUE"""),"warrantor")</f>
        <v>warrantor</v>
      </c>
      <c r="AZ151" t="str">
        <f ca="1">IFERROR(__xludf.DUMMYFUNCTION("""COMPUTED_VALUE"""),"P0220")</f>
        <v>P0220</v>
      </c>
      <c r="BA151" t="str">
        <f ca="1">IFERROR(__xludf.DUMMYFUNCTION("""COMPUTED_VALUE"""),"Iohannes de Facio Ferrandi")</f>
        <v>Iohannes de Facio Ferrandi</v>
      </c>
      <c r="BB151" t="str">
        <f ca="1">IFERROR(__xludf.DUMMYFUNCTION("""COMPUTED_VALUE"""),"C0147")</f>
        <v>C0147</v>
      </c>
      <c r="BC151" t="str">
        <f ca="1">IFERROR(__xludf.DUMMYFUNCTION("""COMPUTED_VALUE"""),"warrantor")</f>
        <v>warrantor</v>
      </c>
      <c r="BD151" t="str">
        <f ca="1">IFERROR(__xludf.DUMMYFUNCTION("""COMPUTED_VALUE"""),"P0242")</f>
        <v>P0242</v>
      </c>
      <c r="BE151" t="str">
        <f ca="1">IFERROR(__xludf.DUMMYFUNCTION("""COMPUTED_VALUE"""),"Marguerita, uxor Michaelis Plancha")</f>
        <v>Marguerita, uxor Michaelis Plancha</v>
      </c>
      <c r="BF151" t="str">
        <f ca="1">IFERROR(__xludf.DUMMYFUNCTION("""COMPUTED_VALUE"""),"C0147")</f>
        <v>C0147</v>
      </c>
      <c r="BG151" t="str">
        <f ca="1">IFERROR(__xludf.DUMMYFUNCTION("""COMPUTED_VALUE"""),"warrantor")</f>
        <v>warrantor</v>
      </c>
      <c r="BH151" t="str">
        <f ca="1">IFERROR(__xludf.DUMMYFUNCTION("""COMPUTED_VALUE"""),"P0243")</f>
        <v>P0243</v>
      </c>
      <c r="BI151" t="str">
        <f ca="1">IFERROR(__xludf.DUMMYFUNCTION("""COMPUTED_VALUE"""),"Iacobus Blanc")</f>
        <v>Iacobus Blanc</v>
      </c>
      <c r="BK151" t="str">
        <f ca="1">IFERROR(__xludf.DUMMYFUNCTION("""COMPUTED_VALUE"""),"#VALUE!")</f>
        <v>#VALUE!</v>
      </c>
      <c r="BM151" t="str">
        <f ca="1">IFERROR(__xludf.DUMMYFUNCTION("""COMPUTED_VALUE"""),"#VALUE!")</f>
        <v>#VALUE!</v>
      </c>
      <c r="BO151" t="str">
        <f ca="1">IFERROR(__xludf.DUMMYFUNCTION("""COMPUTED_VALUE"""),"#VALUE!")</f>
        <v>#VALUE!</v>
      </c>
      <c r="BQ151" t="str">
        <f ca="1">IFERROR(__xludf.DUMMYFUNCTION("""COMPUTED_VALUE"""),"#VALUE!")</f>
        <v>#VALUE!</v>
      </c>
      <c r="BS151" t="str">
        <f ca="1">IFERROR(__xludf.DUMMYFUNCTION("""COMPUTED_VALUE"""),"#VALUE!")</f>
        <v>#VALUE!</v>
      </c>
      <c r="BU151" t="str">
        <f ca="1">IFERROR(__xludf.DUMMYFUNCTION("""COMPUTED_VALUE"""),"#VALUE!")</f>
        <v>#VALUE!</v>
      </c>
      <c r="BW151" t="str">
        <f ca="1">IFERROR(__xludf.DUMMYFUNCTION("""COMPUTED_VALUE"""),"#VALUE!")</f>
        <v>#VALUE!</v>
      </c>
      <c r="BY151" t="str">
        <f ca="1">IFERROR(__xludf.DUMMYFUNCTION("""COMPUTED_VALUE"""),"#VALUE!")</f>
        <v>#VALUE!</v>
      </c>
      <c r="CA151" t="str">
        <f ca="1">IFERROR(__xludf.DUMMYFUNCTION("""COMPUTED_VALUE"""),"#VALUE!")</f>
        <v>#VALUE!</v>
      </c>
      <c r="CC151" t="str">
        <f ca="1">IFERROR(__xludf.DUMMYFUNCTION("""COMPUTED_VALUE"""),"#VALUE!")</f>
        <v>#VALUE!</v>
      </c>
      <c r="CD151" t="str">
        <f ca="1">IFERROR(__xludf.DUMMYFUNCTION("""COMPUTED_VALUE"""),"C3598")</f>
        <v>C3598</v>
      </c>
      <c r="CE151" t="str">
        <f ca="1">IFERROR(__xludf.DUMMYFUNCTION("""COMPUTED_VALUE"""),"location of congregation")</f>
        <v>location of congregation</v>
      </c>
      <c r="CF151" t="str">
        <f ca="1">IFERROR(__xludf.DUMMYFUNCTION("""COMPUTED_VALUE"""),"L0098#L0032#L0067#L0101#L0079#L0122")</f>
        <v>L0098#L0032#L0067#L0101#L0079#L0122</v>
      </c>
      <c r="CG151" t="str">
        <f ca="1">IFERROR(__xludf.DUMMYFUNCTION("""COMPUTED_VALUE"""),"domus Michaelis Planche #domus Villelmi de Oddo #domus Petri Rupphini #domus Villelmi de Oddo #domus Martinii Dominici #domus Margerite Planche")</f>
        <v>domus Michaelis Planche #domus Villelmi de Oddo #domus Petri Rupphini #domus Villelmi de Oddo #domus Martinii Dominici #domus Margerite Planche</v>
      </c>
      <c r="CH151" t="str">
        <f ca="1">IFERROR(__xludf.DUMMYFUNCTION("""COMPUTED_VALUE"""),"P0220#P0242#P0243")</f>
        <v>P0220#P0242#P0243</v>
      </c>
      <c r="CI151" t="str">
        <f ca="1">IFERROR(__xludf.DUMMYFUNCTION("""COMPUTED_VALUE"""),"Iohannes de Facio Ferrandi #Marguerita, uxor Michaelis Plancha #Iacobus Blanc")</f>
        <v>Iohannes de Facio Ferrandi #Marguerita, uxor Michaelis Plancha #Iacobus Blanc</v>
      </c>
      <c r="CJ151" t="str">
        <f ca="1">IFERROR(__xludf.DUMMYFUNCTION("""COMPUTED_VALUE"""),"P0339")</f>
        <v>P0339</v>
      </c>
      <c r="CK151" t="str">
        <f ca="1">IFERROR(__xludf.DUMMYFUNCTION("""COMPUTED_VALUE"""),"Ysabella, mater Michaelis Planche")</f>
        <v>Ysabella, mater Michaelis Planche</v>
      </c>
      <c r="CS151" t="str">
        <f ca="1">IFERROR(__xludf.DUMMYFUNCTION("""COMPUTED_VALUE"""),"#VALUE!")</f>
        <v>#VALUE!</v>
      </c>
      <c r="CU151" t="str">
        <f ca="1">IFERROR(__xludf.DUMMYFUNCTION("""COMPUTED_VALUE"""),"#VALUE!")</f>
        <v>#VALUE!</v>
      </c>
      <c r="CW151" t="str">
        <f ca="1">IFERROR(__xludf.DUMMYFUNCTION("""COMPUTED_VALUE"""),"#VALUE!")</f>
        <v>#VALUE!</v>
      </c>
      <c r="CY151" t="str">
        <f ca="1">IFERROR(__xludf.DUMMYFUNCTION("""COMPUTED_VALUE"""),"#VALUE!")</f>
        <v>#VALUE!</v>
      </c>
      <c r="DC151" t="str">
        <f ca="1">IFERROR(__xludf.DUMMYFUNCTION("""COMPUTED_VALUE"""),"#VALUE!")</f>
        <v>#VALUE!</v>
      </c>
      <c r="DE151" t="str">
        <f ca="1">IFERROR(__xludf.DUMMYFUNCTION("""COMPUTED_VALUE"""),"#VALUE!")</f>
        <v>#VALUE!</v>
      </c>
      <c r="DF151" t="str">
        <f ca="1">IFERROR(__xludf.DUMMYFUNCTION("""COMPUTED_VALUE"""),"y")</f>
        <v>y</v>
      </c>
      <c r="DG151" t="str">
        <f ca="1">IFERROR(__xludf.DUMMYFUNCTION("""COMPUTED_VALUE"""),"181, 203-204")</f>
        <v>181, 203-204</v>
      </c>
      <c r="DH151" t="str">
        <f ca="1">IFERROR(__xludf.DUMMYFUNCTION("""COMPUTED_VALUE"""),"L0098#L0032#L0067#L0101#L0079#L0122")</f>
        <v>L0098#L0032#L0067#L0101#L0079#L0122</v>
      </c>
      <c r="DI151" t="str">
        <f ca="1">IFERROR(__xludf.DUMMYFUNCTION("""COMPUTED_VALUE"""),"domus Michaelis Planche #domus Villelmi de Oddo #domus Petri Rupphini #domus Villelmi de Oddo #domus Martinii Dominici #domus Margerite Planche")</f>
        <v>domus Michaelis Planche #domus Villelmi de Oddo #domus Petri Rupphini #domus Villelmi de Oddo #domus Martinii Dominici #domus Margerite Planche</v>
      </c>
      <c r="DJ151" t="str">
        <f ca="1">IFERROR(__xludf.DUMMYFUNCTION("""COMPUTED_VALUE"""),"domus #domus #domus #domus #domus #domus")</f>
        <v>domus #domus #domus #domus #domus #domus</v>
      </c>
      <c r="DL151" t="str">
        <f ca="1">IFERROR(__xludf.DUMMYFUNCTION("""COMPUTED_VALUE"""),"Davor Salihović")</f>
        <v>Davor Salihović</v>
      </c>
    </row>
    <row r="152" spans="1:116" ht="13.2" x14ac:dyDescent="0.25">
      <c r="A152" t="str">
        <f ca="1">IFERROR(__xludf.DUMMYFUNCTION("""COMPUTED_VALUE"""),"P0155")</f>
        <v>P0155</v>
      </c>
      <c r="B152" t="str">
        <f ca="1">IFERROR(__xludf.DUMMYFUNCTION("""COMPUTED_VALUE"""),"Stephanus Burgi")</f>
        <v>Stephanus Burgi</v>
      </c>
      <c r="D152" t="str">
        <f ca="1">IFERROR(__xludf.DUMMYFUNCTION("""COMPUTED_VALUE"""),"#VALUE!")</f>
        <v>#VALUE!</v>
      </c>
      <c r="E152" t="str">
        <f ca="1">IFERROR(__xludf.DUMMYFUNCTION("""COMPUTED_VALUE"""),"Stephanus")</f>
        <v>Stephanus</v>
      </c>
      <c r="K152" t="str">
        <f ca="1">IFERROR(__xludf.DUMMYFUNCTION("""COMPUTED_VALUE"""),"Burgi")</f>
        <v>Burgi</v>
      </c>
      <c r="L152" t="str">
        <f ca="1">IFERROR(__xludf.DUMMYFUNCTION("""COMPUTED_VALUE"""),"Burgi")</f>
        <v>Burgi</v>
      </c>
      <c r="P152" t="str">
        <f ca="1">IFERROR(__xludf.DUMMYFUNCTION("""COMPUTED_VALUE"""),"de Borgi")</f>
        <v>de Borgi</v>
      </c>
      <c r="S152" t="str">
        <f ca="1">IFERROR(__xludf.DUMMYFUNCTION("""COMPUTED_VALUE"""),"Latin")</f>
        <v>Latin</v>
      </c>
      <c r="T152" t="str">
        <f ca="1">IFERROR(__xludf.DUMMYFUNCTION("""COMPUTED_VALUE"""),"definite")</f>
        <v>definite</v>
      </c>
      <c r="U152" t="str">
        <f ca="1">IFERROR(__xludf.DUMMYFUNCTION("""COMPUTED_VALUE"""),"C2553")</f>
        <v>C2553</v>
      </c>
      <c r="V152" t="str">
        <f ca="1">IFERROR(__xludf.DUMMYFUNCTION("""COMPUTED_VALUE"""),"male")</f>
        <v>male</v>
      </c>
      <c r="Z152" t="str">
        <f ca="1">IFERROR(__xludf.DUMMYFUNCTION("""COMPUTED_VALUE"""),"171, 178, 193, 196, 197, 200, 201, 227, 228, 239, 253")</f>
        <v>171, 178, 193, 196, 197, 200, 201, 227, 228, 239, 253</v>
      </c>
      <c r="AA152" t="str">
        <f ca="1">IFERROR(__xludf.DUMMYFUNCTION("""COMPUTED_VALUE"""),"d")</f>
        <v>d</v>
      </c>
      <c r="AB152" t="str">
        <f ca="1">IFERROR(__xludf.DUMMYFUNCTION("""COMPUTED_VALUE"""),"suspect")</f>
        <v>suspect</v>
      </c>
      <c r="AD152" t="str">
        <f ca="1">IFERROR(__xludf.DUMMYFUNCTION("""COMPUTED_VALUE"""),"C3287")</f>
        <v>C3287</v>
      </c>
      <c r="AE152" t="str">
        <f ca="1">IFERROR(__xludf.DUMMYFUNCTION("""COMPUTED_VALUE"""),"alive")</f>
        <v>alive</v>
      </c>
      <c r="AF152" t="str">
        <f ca="1">IFERROR(__xludf.DUMMYFUNCTION("""COMPUTED_VALUE"""),"C1753")</f>
        <v>C1753</v>
      </c>
      <c r="AG152" t="str">
        <f ca="1">IFERROR(__xludf.DUMMYFUNCTION("""COMPUTED_VALUE"""),"1335-01-20")</f>
        <v>1335-01-20</v>
      </c>
      <c r="AH152" t="str">
        <f ca="1">IFERROR(__xludf.DUMMYFUNCTION("""COMPUTED_VALUE"""),"C2348")</f>
        <v>C2348</v>
      </c>
      <c r="AI152" t="str">
        <f ca="1">IFERROR(__xludf.DUMMYFUNCTION("""COMPUTED_VALUE"""),"wife")</f>
        <v>wife</v>
      </c>
      <c r="AJ152" t="str">
        <f ca="1">IFERROR(__xludf.DUMMYFUNCTION("""COMPUTED_VALUE"""),"P0322")</f>
        <v>P0322</v>
      </c>
      <c r="AK152" t="str">
        <f ca="1">IFERROR(__xludf.DUMMYFUNCTION("""COMPUTED_VALUE"""),"Agnessina, uxor Stephani Borgi")</f>
        <v>Agnessina, uxor Stephani Borgi</v>
      </c>
      <c r="AL152" t="str">
        <f ca="1">IFERROR(__xludf.DUMMYFUNCTION("""COMPUTED_VALUE"""),"C0147")</f>
        <v>C0147</v>
      </c>
      <c r="AM152" t="str">
        <f ca="1">IFERROR(__xludf.DUMMYFUNCTION("""COMPUTED_VALUE"""),"warrantor")</f>
        <v>warrantor</v>
      </c>
      <c r="AN152" t="str">
        <f ca="1">IFERROR(__xludf.DUMMYFUNCTION("""COMPUTED_VALUE"""),"P0324")</f>
        <v>P0324</v>
      </c>
      <c r="AO152" t="str">
        <f ca="1">IFERROR(__xludf.DUMMYFUNCTION("""COMPUTED_VALUE"""),"Michael Burgi")</f>
        <v>Michael Burgi</v>
      </c>
      <c r="AQ152" t="str">
        <f ca="1">IFERROR(__xludf.DUMMYFUNCTION("""COMPUTED_VALUE"""),"#VALUE!")</f>
        <v>#VALUE!</v>
      </c>
      <c r="AS152" t="str">
        <f ca="1">IFERROR(__xludf.DUMMYFUNCTION("""COMPUTED_VALUE"""),"#VALUE!")</f>
        <v>#VALUE!</v>
      </c>
      <c r="AU152" t="str">
        <f ca="1">IFERROR(__xludf.DUMMYFUNCTION("""COMPUTED_VALUE"""),"#VALUE!")</f>
        <v>#VALUE!</v>
      </c>
      <c r="AW152" t="str">
        <f ca="1">IFERROR(__xludf.DUMMYFUNCTION("""COMPUTED_VALUE"""),"#VALUE!")</f>
        <v>#VALUE!</v>
      </c>
      <c r="AY152" t="str">
        <f ca="1">IFERROR(__xludf.DUMMYFUNCTION("""COMPUTED_VALUE"""),"#VALUE!")</f>
        <v>#VALUE!</v>
      </c>
      <c r="BA152" t="str">
        <f ca="1">IFERROR(__xludf.DUMMYFUNCTION("""COMPUTED_VALUE"""),"#VALUE!")</f>
        <v>#VALUE!</v>
      </c>
      <c r="BC152" t="str">
        <f ca="1">IFERROR(__xludf.DUMMYFUNCTION("""COMPUTED_VALUE"""),"#VALUE!")</f>
        <v>#VALUE!</v>
      </c>
      <c r="BE152" t="str">
        <f ca="1">IFERROR(__xludf.DUMMYFUNCTION("""COMPUTED_VALUE"""),"#VALUE!")</f>
        <v>#VALUE!</v>
      </c>
      <c r="BG152" t="str">
        <f ca="1">IFERROR(__xludf.DUMMYFUNCTION("""COMPUTED_VALUE"""),"#VALUE!")</f>
        <v>#VALUE!</v>
      </c>
      <c r="BI152" t="str">
        <f ca="1">IFERROR(__xludf.DUMMYFUNCTION("""COMPUTED_VALUE"""),"#VALUE!")</f>
        <v>#VALUE!</v>
      </c>
      <c r="BK152" t="str">
        <f ca="1">IFERROR(__xludf.DUMMYFUNCTION("""COMPUTED_VALUE"""),"#VALUE!")</f>
        <v>#VALUE!</v>
      </c>
      <c r="BM152" t="str">
        <f ca="1">IFERROR(__xludf.DUMMYFUNCTION("""COMPUTED_VALUE"""),"#VALUE!")</f>
        <v>#VALUE!</v>
      </c>
      <c r="BO152" t="str">
        <f ca="1">IFERROR(__xludf.DUMMYFUNCTION("""COMPUTED_VALUE"""),"#VALUE!")</f>
        <v>#VALUE!</v>
      </c>
      <c r="BQ152" t="str">
        <f ca="1">IFERROR(__xludf.DUMMYFUNCTION("""COMPUTED_VALUE"""),"#VALUE!")</f>
        <v>#VALUE!</v>
      </c>
      <c r="BS152" t="str">
        <f ca="1">IFERROR(__xludf.DUMMYFUNCTION("""COMPUTED_VALUE"""),"#VALUE!")</f>
        <v>#VALUE!</v>
      </c>
      <c r="BU152" t="str">
        <f ca="1">IFERROR(__xludf.DUMMYFUNCTION("""COMPUTED_VALUE"""),"#VALUE!")</f>
        <v>#VALUE!</v>
      </c>
      <c r="BW152" t="str">
        <f ca="1">IFERROR(__xludf.DUMMYFUNCTION("""COMPUTED_VALUE"""),"#VALUE!")</f>
        <v>#VALUE!</v>
      </c>
      <c r="BY152" t="str">
        <f ca="1">IFERROR(__xludf.DUMMYFUNCTION("""COMPUTED_VALUE"""),"#VALUE!")</f>
        <v>#VALUE!</v>
      </c>
      <c r="CA152" t="str">
        <f ca="1">IFERROR(__xludf.DUMMYFUNCTION("""COMPUTED_VALUE"""),"#VALUE!")</f>
        <v>#VALUE!</v>
      </c>
      <c r="CC152" t="str">
        <f ca="1">IFERROR(__xludf.DUMMYFUNCTION("""COMPUTED_VALUE"""),"#VALUE!")</f>
        <v>#VALUE!</v>
      </c>
      <c r="CD152" t="str">
        <f ca="1">IFERROR(__xludf.DUMMYFUNCTION("""COMPUTED_VALUE"""),"C3598")</f>
        <v>C3598</v>
      </c>
      <c r="CE152" t="str">
        <f ca="1">IFERROR(__xludf.DUMMYFUNCTION("""COMPUTED_VALUE"""),"location of congregation")</f>
        <v>location of congregation</v>
      </c>
      <c r="CF152" t="str">
        <f ca="1">IFERROR(__xludf.DUMMYFUNCTION("""COMPUTED_VALUE"""),"L0080#L0132")</f>
        <v>L0080#L0132</v>
      </c>
      <c r="CG152" t="str">
        <f ca="1">IFERROR(__xludf.DUMMYFUNCTION("""COMPUTED_VALUE"""),"domus Petrii Burgi #domus Aleysine Burgi")</f>
        <v>domus Petrii Burgi #domus Aleysine Burgi</v>
      </c>
      <c r="CH152" t="str">
        <f ca="1">IFERROR(__xludf.DUMMYFUNCTION("""COMPUTED_VALUE"""),"P0324")</f>
        <v>P0324</v>
      </c>
      <c r="CI152" t="str">
        <f ca="1">IFERROR(__xludf.DUMMYFUNCTION("""COMPUTED_VALUE"""),"Michael Burgi")</f>
        <v>Michael Burgi</v>
      </c>
      <c r="CJ152" t="str">
        <f ca="1">IFERROR(__xludf.DUMMYFUNCTION("""COMPUTED_VALUE"""),"P0156#P0055")</f>
        <v>P0156#P0055</v>
      </c>
      <c r="CK152" t="str">
        <f ca="1">IFERROR(__xludf.DUMMYFUNCTION("""COMPUTED_VALUE"""),"Petrus Burgi #Petrus Rupphini")</f>
        <v>Petrus Burgi #Petrus Rupphini</v>
      </c>
      <c r="CL152" t="str">
        <f ca="1">IFERROR(__xludf.DUMMYFUNCTION("""COMPUTED_VALUE"""),"de")</f>
        <v>de</v>
      </c>
      <c r="CO152" t="str">
        <f ca="1">IFERROR(__xludf.DUMMYFUNCTION("""COMPUTED_VALUE"""),"Borgi")</f>
        <v>Borgi</v>
      </c>
      <c r="CS152" t="str">
        <f ca="1">IFERROR(__xludf.DUMMYFUNCTION("""COMPUTED_VALUE"""),"#VALUE!")</f>
        <v>#VALUE!</v>
      </c>
      <c r="CU152" t="str">
        <f ca="1">IFERROR(__xludf.DUMMYFUNCTION("""COMPUTED_VALUE"""),"#VALUE!")</f>
        <v>#VALUE!</v>
      </c>
      <c r="CV152" t="str">
        <f ca="1">IFERROR(__xludf.DUMMYFUNCTION("""COMPUTED_VALUE"""),"L0024")</f>
        <v>L0024</v>
      </c>
      <c r="CW152" t="str">
        <f ca="1">IFERROR(__xludf.DUMMYFUNCTION("""COMPUTED_VALUE"""),"Villanova")</f>
        <v>Villanova</v>
      </c>
      <c r="CY152" t="str">
        <f ca="1">IFERROR(__xludf.DUMMYFUNCTION("""COMPUTED_VALUE"""),"#VALUE!")</f>
        <v>#VALUE!</v>
      </c>
      <c r="DC152" t="str">
        <f ca="1">IFERROR(__xludf.DUMMYFUNCTION("""COMPUTED_VALUE"""),"#VALUE!")</f>
        <v>#VALUE!</v>
      </c>
      <c r="DE152" t="str">
        <f ca="1">IFERROR(__xludf.DUMMYFUNCTION("""COMPUTED_VALUE"""),"#VALUE!")</f>
        <v>#VALUE!</v>
      </c>
      <c r="DF152" t="str">
        <f ca="1">IFERROR(__xludf.DUMMYFUNCTION("""COMPUTED_VALUE"""),"y")</f>
        <v>y</v>
      </c>
      <c r="DG152" t="str">
        <f ca="1">IFERROR(__xludf.DUMMYFUNCTION("""COMPUTED_VALUE"""),"197, 200")</f>
        <v>197, 200</v>
      </c>
      <c r="DH152" t="str">
        <f ca="1">IFERROR(__xludf.DUMMYFUNCTION("""COMPUTED_VALUE"""),"L0080#L0132")</f>
        <v>L0080#L0132</v>
      </c>
      <c r="DI152" t="str">
        <f ca="1">IFERROR(__xludf.DUMMYFUNCTION("""COMPUTED_VALUE"""),"domus Petrii Burgi #domus Aleysine Burgi")</f>
        <v>domus Petrii Burgi #domus Aleysine Burgi</v>
      </c>
      <c r="DJ152" t="str">
        <f ca="1">IFERROR(__xludf.DUMMYFUNCTION("""COMPUTED_VALUE"""),"domus #domus")</f>
        <v>domus #domus</v>
      </c>
      <c r="DL152" t="str">
        <f ca="1">IFERROR(__xludf.DUMMYFUNCTION("""COMPUTED_VALUE"""),"Davor Salihović")</f>
        <v>Davor Salihović</v>
      </c>
    </row>
    <row r="153" spans="1:116" ht="13.2" x14ac:dyDescent="0.25">
      <c r="A153" t="str">
        <f ca="1">IFERROR(__xludf.DUMMYFUNCTION("""COMPUTED_VALUE"""),"P0156")</f>
        <v>P0156</v>
      </c>
      <c r="B153" t="str">
        <f ca="1">IFERROR(__xludf.DUMMYFUNCTION("""COMPUTED_VALUE"""),"Petrus Burgi")</f>
        <v>Petrus Burgi</v>
      </c>
      <c r="D153" t="str">
        <f ca="1">IFERROR(__xludf.DUMMYFUNCTION("""COMPUTED_VALUE"""),"#VALUE!")</f>
        <v>#VALUE!</v>
      </c>
      <c r="E153" t="str">
        <f ca="1">IFERROR(__xludf.DUMMYFUNCTION("""COMPUTED_VALUE"""),"Petrus")</f>
        <v>Petrus</v>
      </c>
      <c r="K153" t="str">
        <f ca="1">IFERROR(__xludf.DUMMYFUNCTION("""COMPUTED_VALUE"""),"Burgi")</f>
        <v>Burgi</v>
      </c>
      <c r="L153" t="str">
        <f ca="1">IFERROR(__xludf.DUMMYFUNCTION("""COMPUTED_VALUE"""),"Burgi")</f>
        <v>Burgi</v>
      </c>
      <c r="P153" t="str">
        <f ca="1">IFERROR(__xludf.DUMMYFUNCTION("""COMPUTED_VALUE"""),"de Borgi")</f>
        <v>de Borgi</v>
      </c>
      <c r="S153" t="str">
        <f ca="1">IFERROR(__xludf.DUMMYFUNCTION("""COMPUTED_VALUE"""),"Latin")</f>
        <v>Latin</v>
      </c>
      <c r="T153" t="str">
        <f ca="1">IFERROR(__xludf.DUMMYFUNCTION("""COMPUTED_VALUE"""),"definite")</f>
        <v>definite</v>
      </c>
      <c r="U153" t="str">
        <f ca="1">IFERROR(__xludf.DUMMYFUNCTION("""COMPUTED_VALUE"""),"C2553")</f>
        <v>C2553</v>
      </c>
      <c r="V153" t="str">
        <f ca="1">IFERROR(__xludf.DUMMYFUNCTION("""COMPUTED_VALUE"""),"male")</f>
        <v>male</v>
      </c>
      <c r="Z153" t="str">
        <f ca="1">IFERROR(__xludf.DUMMYFUNCTION("""COMPUTED_VALUE"""),"171, 178, 188, 193, 195, 197, 199, 200, 215, 221, 222, 223, 227, 228, 230, 233, 237, 239, 240, 248, 249, 250, 252")</f>
        <v>171, 178, 188, 193, 195, 197, 199, 200, 215, 221, 222, 223, 227, 228, 230, 233, 237, 239, 240, 248, 249, 250, 252</v>
      </c>
      <c r="AA153" t="str">
        <f ca="1">IFERROR(__xludf.DUMMYFUNCTION("""COMPUTED_VALUE"""),"d")</f>
        <v>d</v>
      </c>
      <c r="AB153" t="str">
        <f ca="1">IFERROR(__xludf.DUMMYFUNCTION("""COMPUTED_VALUE"""),"suspect")</f>
        <v>suspect</v>
      </c>
      <c r="AD153" t="str">
        <f ca="1">IFERROR(__xludf.DUMMYFUNCTION("""COMPUTED_VALUE"""),"C3287")</f>
        <v>C3287</v>
      </c>
      <c r="AE153" t="str">
        <f ca="1">IFERROR(__xludf.DUMMYFUNCTION("""COMPUTED_VALUE"""),"alive")</f>
        <v>alive</v>
      </c>
      <c r="AF153" t="str">
        <f ca="1">IFERROR(__xludf.DUMMYFUNCTION("""COMPUTED_VALUE"""),"C1753")</f>
        <v>C1753</v>
      </c>
      <c r="AG153" t="str">
        <f ca="1">IFERROR(__xludf.DUMMYFUNCTION("""COMPUTED_VALUE"""),"1335-01-20")</f>
        <v>1335-01-20</v>
      </c>
      <c r="AH153" t="str">
        <f ca="1">IFERROR(__xludf.DUMMYFUNCTION("""COMPUTED_VALUE"""),"C2337")</f>
        <v>C2337</v>
      </c>
      <c r="AI153" t="str">
        <f ca="1">IFERROR(__xludf.DUMMYFUNCTION("""COMPUTED_VALUE"""),"brother")</f>
        <v>brother</v>
      </c>
      <c r="AJ153" t="str">
        <f ca="1">IFERROR(__xludf.DUMMYFUNCTION("""COMPUTED_VALUE"""),"P0155")</f>
        <v>P0155</v>
      </c>
      <c r="AK153" t="str">
        <f ca="1">IFERROR(__xludf.DUMMYFUNCTION("""COMPUTED_VALUE"""),"Stephanus Burgi")</f>
        <v>Stephanus Burgi</v>
      </c>
      <c r="AL153" t="str">
        <f ca="1">IFERROR(__xludf.DUMMYFUNCTION("""COMPUTED_VALUE"""),"C2337")</f>
        <v>C2337</v>
      </c>
      <c r="AM153" t="str">
        <f ca="1">IFERROR(__xludf.DUMMYFUNCTION("""COMPUTED_VALUE"""),"brother")</f>
        <v>brother</v>
      </c>
      <c r="AN153" t="str">
        <f ca="1">IFERROR(__xludf.DUMMYFUNCTION("""COMPUTED_VALUE"""),"P0157")</f>
        <v>P0157</v>
      </c>
      <c r="AO153" t="str">
        <f ca="1">IFERROR(__xludf.DUMMYFUNCTION("""COMPUTED_VALUE"""),"Villelmus Burgi")</f>
        <v>Villelmus Burgi</v>
      </c>
      <c r="AP153" t="str">
        <f ca="1">IFERROR(__xludf.DUMMYFUNCTION("""COMPUTED_VALUE"""),"C2348")</f>
        <v>C2348</v>
      </c>
      <c r="AQ153" t="str">
        <f ca="1">IFERROR(__xludf.DUMMYFUNCTION("""COMPUTED_VALUE"""),"wife")</f>
        <v>wife</v>
      </c>
      <c r="AR153" t="str">
        <f ca="1">IFERROR(__xludf.DUMMYFUNCTION("""COMPUTED_VALUE"""),"P0304")</f>
        <v>P0304</v>
      </c>
      <c r="AS153" t="str">
        <f ca="1">IFERROR(__xludf.DUMMYFUNCTION("""COMPUTED_VALUE"""),"Aleysina, uxor Petri Burgi")</f>
        <v>Aleysina, uxor Petri Burgi</v>
      </c>
      <c r="AT153" t="str">
        <f ca="1">IFERROR(__xludf.DUMMYFUNCTION("""COMPUTED_VALUE"""),"C3041")</f>
        <v>C3041</v>
      </c>
      <c r="AU153" t="str">
        <f ca="1">IFERROR(__xludf.DUMMYFUNCTION("""COMPUTED_VALUE"""),"household")</f>
        <v>household</v>
      </c>
      <c r="AV153" t="str">
        <f ca="1">IFERROR(__xludf.DUMMYFUNCTION("""COMPUTED_VALUE"""),"G0033")</f>
        <v>G0033</v>
      </c>
      <c r="AW153" t="str">
        <f ca="1">IFERROR(__xludf.DUMMYFUNCTION("""COMPUTED_VALUE"""),"hospitium Petri Burgi")</f>
        <v>hospitium Petri Burgi</v>
      </c>
      <c r="AX153" t="str">
        <f ca="1">IFERROR(__xludf.DUMMYFUNCTION("""COMPUTED_VALUE"""),"C0147")</f>
        <v>C0147</v>
      </c>
      <c r="AY153" t="str">
        <f ca="1">IFERROR(__xludf.DUMMYFUNCTION("""COMPUTED_VALUE"""),"warrantor")</f>
        <v>warrantor</v>
      </c>
      <c r="AZ153" t="str">
        <f ca="1">IFERROR(__xludf.DUMMYFUNCTION("""COMPUTED_VALUE"""),"P0324")</f>
        <v>P0324</v>
      </c>
      <c r="BA153" t="str">
        <f ca="1">IFERROR(__xludf.DUMMYFUNCTION("""COMPUTED_VALUE"""),"Michael Burgi")</f>
        <v>Michael Burgi</v>
      </c>
      <c r="BC153" t="str">
        <f ca="1">IFERROR(__xludf.DUMMYFUNCTION("""COMPUTED_VALUE"""),"#VALUE!")</f>
        <v>#VALUE!</v>
      </c>
      <c r="BE153" t="str">
        <f ca="1">IFERROR(__xludf.DUMMYFUNCTION("""COMPUTED_VALUE"""),"#VALUE!")</f>
        <v>#VALUE!</v>
      </c>
      <c r="BG153" t="str">
        <f ca="1">IFERROR(__xludf.DUMMYFUNCTION("""COMPUTED_VALUE"""),"#VALUE!")</f>
        <v>#VALUE!</v>
      </c>
      <c r="BI153" t="str">
        <f ca="1">IFERROR(__xludf.DUMMYFUNCTION("""COMPUTED_VALUE"""),"#VALUE!")</f>
        <v>#VALUE!</v>
      </c>
      <c r="BK153" t="str">
        <f ca="1">IFERROR(__xludf.DUMMYFUNCTION("""COMPUTED_VALUE"""),"#VALUE!")</f>
        <v>#VALUE!</v>
      </c>
      <c r="BM153" t="str">
        <f ca="1">IFERROR(__xludf.DUMMYFUNCTION("""COMPUTED_VALUE"""),"#VALUE!")</f>
        <v>#VALUE!</v>
      </c>
      <c r="BO153" t="str">
        <f ca="1">IFERROR(__xludf.DUMMYFUNCTION("""COMPUTED_VALUE"""),"#VALUE!")</f>
        <v>#VALUE!</v>
      </c>
      <c r="BQ153" t="str">
        <f ca="1">IFERROR(__xludf.DUMMYFUNCTION("""COMPUTED_VALUE"""),"#VALUE!")</f>
        <v>#VALUE!</v>
      </c>
      <c r="BS153" t="str">
        <f ca="1">IFERROR(__xludf.DUMMYFUNCTION("""COMPUTED_VALUE"""),"#VALUE!")</f>
        <v>#VALUE!</v>
      </c>
      <c r="BU153" t="str">
        <f ca="1">IFERROR(__xludf.DUMMYFUNCTION("""COMPUTED_VALUE"""),"#VALUE!")</f>
        <v>#VALUE!</v>
      </c>
      <c r="BW153" t="str">
        <f ca="1">IFERROR(__xludf.DUMMYFUNCTION("""COMPUTED_VALUE"""),"#VALUE!")</f>
        <v>#VALUE!</v>
      </c>
      <c r="BY153" t="str">
        <f ca="1">IFERROR(__xludf.DUMMYFUNCTION("""COMPUTED_VALUE"""),"#VALUE!")</f>
        <v>#VALUE!</v>
      </c>
      <c r="CA153" t="str">
        <f ca="1">IFERROR(__xludf.DUMMYFUNCTION("""COMPUTED_VALUE"""),"#VALUE!")</f>
        <v>#VALUE!</v>
      </c>
      <c r="CC153" t="str">
        <f ca="1">IFERROR(__xludf.DUMMYFUNCTION("""COMPUTED_VALUE"""),"#VALUE!")</f>
        <v>#VALUE!</v>
      </c>
      <c r="CD153" t="str">
        <f ca="1">IFERROR(__xludf.DUMMYFUNCTION("""COMPUTED_VALUE"""),"C3598")</f>
        <v>C3598</v>
      </c>
      <c r="CE153" t="str">
        <f ca="1">IFERROR(__xludf.DUMMYFUNCTION("""COMPUTED_VALUE"""),"location of congregation")</f>
        <v>location of congregation</v>
      </c>
      <c r="CF153" t="str">
        <f ca="1">IFERROR(__xludf.DUMMYFUNCTION("""COMPUTED_VALUE"""),"L0080#L0079#L0132")</f>
        <v>L0080#L0079#L0132</v>
      </c>
      <c r="CG153" t="str">
        <f ca="1">IFERROR(__xludf.DUMMYFUNCTION("""COMPUTED_VALUE"""),"domus Petrii Burgi #domus Martinii Dominici #domus Aleysine Burgi")</f>
        <v>domus Petrii Burgi #domus Martinii Dominici #domus Aleysine Burgi</v>
      </c>
      <c r="CH153" t="str">
        <f ca="1">IFERROR(__xludf.DUMMYFUNCTION("""COMPUTED_VALUE"""),"P0324")</f>
        <v>P0324</v>
      </c>
      <c r="CI153" t="str">
        <f ca="1">IFERROR(__xludf.DUMMYFUNCTION("""COMPUTED_VALUE"""),"Michael Burgi")</f>
        <v>Michael Burgi</v>
      </c>
      <c r="CJ153" t="str">
        <f ca="1">IFERROR(__xludf.DUMMYFUNCTION("""COMPUTED_VALUE"""),"P0055#P0311")</f>
        <v>P0055#P0311</v>
      </c>
      <c r="CK153" t="str">
        <f ca="1">IFERROR(__xludf.DUMMYFUNCTION("""COMPUTED_VALUE"""),"Petrus Rupphini #Coletus, filius Villelmeti Dominici")</f>
        <v>Petrus Rupphini #Coletus, filius Villelmeti Dominici</v>
      </c>
      <c r="CL153" t="str">
        <f ca="1">IFERROR(__xludf.DUMMYFUNCTION("""COMPUTED_VALUE"""),"de")</f>
        <v>de</v>
      </c>
      <c r="CO153" t="str">
        <f ca="1">IFERROR(__xludf.DUMMYFUNCTION("""COMPUTED_VALUE"""),"Borgi")</f>
        <v>Borgi</v>
      </c>
      <c r="CS153" t="str">
        <f ca="1">IFERROR(__xludf.DUMMYFUNCTION("""COMPUTED_VALUE"""),"#VALUE!")</f>
        <v>#VALUE!</v>
      </c>
      <c r="CU153" t="str">
        <f ca="1">IFERROR(__xludf.DUMMYFUNCTION("""COMPUTED_VALUE"""),"#VALUE!")</f>
        <v>#VALUE!</v>
      </c>
      <c r="CV153" t="str">
        <f ca="1">IFERROR(__xludf.DUMMYFUNCTION("""COMPUTED_VALUE"""),"L0024")</f>
        <v>L0024</v>
      </c>
      <c r="CW153" t="str">
        <f ca="1">IFERROR(__xludf.DUMMYFUNCTION("""COMPUTED_VALUE"""),"Villanova")</f>
        <v>Villanova</v>
      </c>
      <c r="CY153" t="str">
        <f ca="1">IFERROR(__xludf.DUMMYFUNCTION("""COMPUTED_VALUE"""),"#VALUE!")</f>
        <v>#VALUE!</v>
      </c>
      <c r="DC153" t="str">
        <f ca="1">IFERROR(__xludf.DUMMYFUNCTION("""COMPUTED_VALUE"""),"#VALUE!")</f>
        <v>#VALUE!</v>
      </c>
      <c r="DE153" t="str">
        <f ca="1">IFERROR(__xludf.DUMMYFUNCTION("""COMPUTED_VALUE"""),"#VALUE!")</f>
        <v>#VALUE!</v>
      </c>
      <c r="DF153" t="str">
        <f ca="1">IFERROR(__xludf.DUMMYFUNCTION("""COMPUTED_VALUE"""),"y")</f>
        <v>y</v>
      </c>
      <c r="DG153" t="str">
        <f ca="1">IFERROR(__xludf.DUMMYFUNCTION("""COMPUTED_VALUE"""),"195-196")</f>
        <v>195-196</v>
      </c>
      <c r="DH153" t="str">
        <f ca="1">IFERROR(__xludf.DUMMYFUNCTION("""COMPUTED_VALUE"""),"L0080#L0079#L0132")</f>
        <v>L0080#L0079#L0132</v>
      </c>
      <c r="DI153" t="str">
        <f ca="1">IFERROR(__xludf.DUMMYFUNCTION("""COMPUTED_VALUE"""),"domus Petrii Burgi #domus Martinii Dominici #domus Aleysine Burgi")</f>
        <v>domus Petrii Burgi #domus Martinii Dominici #domus Aleysine Burgi</v>
      </c>
      <c r="DJ153" t="str">
        <f ca="1">IFERROR(__xludf.DUMMYFUNCTION("""COMPUTED_VALUE"""),"domus #domus #domus")</f>
        <v>domus #domus #domus</v>
      </c>
      <c r="DL153" t="str">
        <f ca="1">IFERROR(__xludf.DUMMYFUNCTION("""COMPUTED_VALUE"""),"Davor Salihović")</f>
        <v>Davor Salihović</v>
      </c>
    </row>
    <row r="154" spans="1:116" ht="13.2" x14ac:dyDescent="0.25">
      <c r="A154" t="str">
        <f ca="1">IFERROR(__xludf.DUMMYFUNCTION("""COMPUTED_VALUE"""),"P0157")</f>
        <v>P0157</v>
      </c>
      <c r="B154" t="str">
        <f ca="1">IFERROR(__xludf.DUMMYFUNCTION("""COMPUTED_VALUE"""),"Villelmus Burgi")</f>
        <v>Villelmus Burgi</v>
      </c>
      <c r="D154" t="str">
        <f ca="1">IFERROR(__xludf.DUMMYFUNCTION("""COMPUTED_VALUE"""),"#VALUE!")</f>
        <v>#VALUE!</v>
      </c>
      <c r="E154" t="str">
        <f ca="1">IFERROR(__xludf.DUMMYFUNCTION("""COMPUTED_VALUE"""),"Villelmus")</f>
        <v>Villelmus</v>
      </c>
      <c r="F154" t="str">
        <f ca="1">IFERROR(__xludf.DUMMYFUNCTION("""COMPUTED_VALUE"""),"Villelminus")</f>
        <v>Villelminus</v>
      </c>
      <c r="K154" t="str">
        <f ca="1">IFERROR(__xludf.DUMMYFUNCTION("""COMPUTED_VALUE"""),"Burgi")</f>
        <v>Burgi</v>
      </c>
      <c r="L154" t="str">
        <f ca="1">IFERROR(__xludf.DUMMYFUNCTION("""COMPUTED_VALUE"""),"Burgi")</f>
        <v>Burgi</v>
      </c>
      <c r="P154" t="str">
        <f ca="1">IFERROR(__xludf.DUMMYFUNCTION("""COMPUTED_VALUE"""),"de Borgi")</f>
        <v>de Borgi</v>
      </c>
      <c r="S154" t="str">
        <f ca="1">IFERROR(__xludf.DUMMYFUNCTION("""COMPUTED_VALUE"""),"Latin")</f>
        <v>Latin</v>
      </c>
      <c r="T154" t="str">
        <f ca="1">IFERROR(__xludf.DUMMYFUNCTION("""COMPUTED_VALUE"""),"definite")</f>
        <v>definite</v>
      </c>
      <c r="U154" t="str">
        <f ca="1">IFERROR(__xludf.DUMMYFUNCTION("""COMPUTED_VALUE"""),"C2553")</f>
        <v>C2553</v>
      </c>
      <c r="V154" t="str">
        <f ca="1">IFERROR(__xludf.DUMMYFUNCTION("""COMPUTED_VALUE"""),"male")</f>
        <v>male</v>
      </c>
      <c r="Z154" t="str">
        <f ca="1">IFERROR(__xludf.DUMMYFUNCTION("""COMPUTED_VALUE"""),"171, 178, 193, 196, 199, 200, 227, 254")</f>
        <v>171, 178, 193, 196, 199, 200, 227, 254</v>
      </c>
      <c r="AA154" t="str">
        <f ca="1">IFERROR(__xludf.DUMMYFUNCTION("""COMPUTED_VALUE"""),"d")</f>
        <v>d</v>
      </c>
      <c r="AB154" t="str">
        <f ca="1">IFERROR(__xludf.DUMMYFUNCTION("""COMPUTED_VALUE"""),"suspect")</f>
        <v>suspect</v>
      </c>
      <c r="AD154" t="str">
        <f ca="1">IFERROR(__xludf.DUMMYFUNCTION("""COMPUTED_VALUE"""),"C3287")</f>
        <v>C3287</v>
      </c>
      <c r="AE154" t="str">
        <f ca="1">IFERROR(__xludf.DUMMYFUNCTION("""COMPUTED_VALUE"""),"alive")</f>
        <v>alive</v>
      </c>
      <c r="AF154" t="str">
        <f ca="1">IFERROR(__xludf.DUMMYFUNCTION("""COMPUTED_VALUE"""),"C1753")</f>
        <v>C1753</v>
      </c>
      <c r="AG154" t="str">
        <f ca="1">IFERROR(__xludf.DUMMYFUNCTION("""COMPUTED_VALUE"""),"1335-01-20")</f>
        <v>1335-01-20</v>
      </c>
      <c r="AH154" t="str">
        <f ca="1">IFERROR(__xludf.DUMMYFUNCTION("""COMPUTED_VALUE"""),"C2337")</f>
        <v>C2337</v>
      </c>
      <c r="AI154" t="str">
        <f ca="1">IFERROR(__xludf.DUMMYFUNCTION("""COMPUTED_VALUE"""),"brother")</f>
        <v>brother</v>
      </c>
      <c r="AJ154" t="str">
        <f ca="1">IFERROR(__xludf.DUMMYFUNCTION("""COMPUTED_VALUE"""),"P0155")</f>
        <v>P0155</v>
      </c>
      <c r="AK154" t="str">
        <f ca="1">IFERROR(__xludf.DUMMYFUNCTION("""COMPUTED_VALUE"""),"Stephanus Burgi")</f>
        <v>Stephanus Burgi</v>
      </c>
      <c r="AL154" t="str">
        <f ca="1">IFERROR(__xludf.DUMMYFUNCTION("""COMPUTED_VALUE"""),"C2348")</f>
        <v>C2348</v>
      </c>
      <c r="AM154" t="str">
        <f ca="1">IFERROR(__xludf.DUMMYFUNCTION("""COMPUTED_VALUE"""),"wife")</f>
        <v>wife</v>
      </c>
      <c r="AN154" t="str">
        <f ca="1">IFERROR(__xludf.DUMMYFUNCTION("""COMPUTED_VALUE"""),"P0323")</f>
        <v>P0323</v>
      </c>
      <c r="AO154" t="str">
        <f ca="1">IFERROR(__xludf.DUMMYFUNCTION("""COMPUTED_VALUE"""),"Marieta, uxor Villelmi Burgi")</f>
        <v>Marieta, uxor Villelmi Burgi</v>
      </c>
      <c r="AP154" t="str">
        <f ca="1">IFERROR(__xludf.DUMMYFUNCTION("""COMPUTED_VALUE"""),"C2337")</f>
        <v>C2337</v>
      </c>
      <c r="AQ154" t="str">
        <f ca="1">IFERROR(__xludf.DUMMYFUNCTION("""COMPUTED_VALUE"""),"brother")</f>
        <v>brother</v>
      </c>
      <c r="AR154" t="str">
        <f ca="1">IFERROR(__xludf.DUMMYFUNCTION("""COMPUTED_VALUE"""),"P0324")</f>
        <v>P0324</v>
      </c>
      <c r="AS154" t="str">
        <f ca="1">IFERROR(__xludf.DUMMYFUNCTION("""COMPUTED_VALUE"""),"Michael Burgi")</f>
        <v>Michael Burgi</v>
      </c>
      <c r="AT154" t="str">
        <f ca="1">IFERROR(__xludf.DUMMYFUNCTION("""COMPUTED_VALUE"""),"C0147")</f>
        <v>C0147</v>
      </c>
      <c r="AU154" t="str">
        <f ca="1">IFERROR(__xludf.DUMMYFUNCTION("""COMPUTED_VALUE"""),"warrantor")</f>
        <v>warrantor</v>
      </c>
      <c r="AV154" t="str">
        <f ca="1">IFERROR(__xludf.DUMMYFUNCTION("""COMPUTED_VALUE"""),"P0324")</f>
        <v>P0324</v>
      </c>
      <c r="AW154" t="str">
        <f ca="1">IFERROR(__xludf.DUMMYFUNCTION("""COMPUTED_VALUE"""),"Michael Burgi")</f>
        <v>Michael Burgi</v>
      </c>
      <c r="AY154" t="str">
        <f ca="1">IFERROR(__xludf.DUMMYFUNCTION("""COMPUTED_VALUE"""),"#VALUE!")</f>
        <v>#VALUE!</v>
      </c>
      <c r="BA154" t="str">
        <f ca="1">IFERROR(__xludf.DUMMYFUNCTION("""COMPUTED_VALUE"""),"#VALUE!")</f>
        <v>#VALUE!</v>
      </c>
      <c r="BC154" t="str">
        <f ca="1">IFERROR(__xludf.DUMMYFUNCTION("""COMPUTED_VALUE"""),"#VALUE!")</f>
        <v>#VALUE!</v>
      </c>
      <c r="BE154" t="str">
        <f ca="1">IFERROR(__xludf.DUMMYFUNCTION("""COMPUTED_VALUE"""),"#VALUE!")</f>
        <v>#VALUE!</v>
      </c>
      <c r="BG154" t="str">
        <f ca="1">IFERROR(__xludf.DUMMYFUNCTION("""COMPUTED_VALUE"""),"#VALUE!")</f>
        <v>#VALUE!</v>
      </c>
      <c r="BI154" t="str">
        <f ca="1">IFERROR(__xludf.DUMMYFUNCTION("""COMPUTED_VALUE"""),"#VALUE!")</f>
        <v>#VALUE!</v>
      </c>
      <c r="BK154" t="str">
        <f ca="1">IFERROR(__xludf.DUMMYFUNCTION("""COMPUTED_VALUE"""),"#VALUE!")</f>
        <v>#VALUE!</v>
      </c>
      <c r="BM154" t="str">
        <f ca="1">IFERROR(__xludf.DUMMYFUNCTION("""COMPUTED_VALUE"""),"#VALUE!")</f>
        <v>#VALUE!</v>
      </c>
      <c r="BO154" t="str">
        <f ca="1">IFERROR(__xludf.DUMMYFUNCTION("""COMPUTED_VALUE"""),"#VALUE!")</f>
        <v>#VALUE!</v>
      </c>
      <c r="BQ154" t="str">
        <f ca="1">IFERROR(__xludf.DUMMYFUNCTION("""COMPUTED_VALUE"""),"#VALUE!")</f>
        <v>#VALUE!</v>
      </c>
      <c r="BS154" t="str">
        <f ca="1">IFERROR(__xludf.DUMMYFUNCTION("""COMPUTED_VALUE"""),"#VALUE!")</f>
        <v>#VALUE!</v>
      </c>
      <c r="BU154" t="str">
        <f ca="1">IFERROR(__xludf.DUMMYFUNCTION("""COMPUTED_VALUE"""),"#VALUE!")</f>
        <v>#VALUE!</v>
      </c>
      <c r="BW154" t="str">
        <f ca="1">IFERROR(__xludf.DUMMYFUNCTION("""COMPUTED_VALUE"""),"#VALUE!")</f>
        <v>#VALUE!</v>
      </c>
      <c r="BY154" t="str">
        <f ca="1">IFERROR(__xludf.DUMMYFUNCTION("""COMPUTED_VALUE"""),"#VALUE!")</f>
        <v>#VALUE!</v>
      </c>
      <c r="CA154" t="str">
        <f ca="1">IFERROR(__xludf.DUMMYFUNCTION("""COMPUTED_VALUE"""),"#VALUE!")</f>
        <v>#VALUE!</v>
      </c>
      <c r="CC154" t="str">
        <f ca="1">IFERROR(__xludf.DUMMYFUNCTION("""COMPUTED_VALUE"""),"#VALUE!")</f>
        <v>#VALUE!</v>
      </c>
      <c r="CD154" t="str">
        <f ca="1">IFERROR(__xludf.DUMMYFUNCTION("""COMPUTED_VALUE"""),"C3598")</f>
        <v>C3598</v>
      </c>
      <c r="CE154" t="str">
        <f ca="1">IFERROR(__xludf.DUMMYFUNCTION("""COMPUTED_VALUE"""),"location of congregation")</f>
        <v>location of congregation</v>
      </c>
      <c r="CF154" t="str">
        <f ca="1">IFERROR(__xludf.DUMMYFUNCTION("""COMPUTED_VALUE"""),"L0080")</f>
        <v>L0080</v>
      </c>
      <c r="CG154" t="str">
        <f ca="1">IFERROR(__xludf.DUMMYFUNCTION("""COMPUTED_VALUE"""),"domus Petrii Burgi")</f>
        <v>domus Petrii Burgi</v>
      </c>
      <c r="CH154" t="str">
        <f ca="1">IFERROR(__xludf.DUMMYFUNCTION("""COMPUTED_VALUE"""),"P0324")</f>
        <v>P0324</v>
      </c>
      <c r="CI154" t="str">
        <f ca="1">IFERROR(__xludf.DUMMYFUNCTION("""COMPUTED_VALUE"""),"Michael Burgi")</f>
        <v>Michael Burgi</v>
      </c>
      <c r="CJ154" t="str">
        <f ca="1">IFERROR(__xludf.DUMMYFUNCTION("""COMPUTED_VALUE"""),"P0156")</f>
        <v>P0156</v>
      </c>
      <c r="CK154" t="str">
        <f ca="1">IFERROR(__xludf.DUMMYFUNCTION("""COMPUTED_VALUE"""),"Petrus Burgi")</f>
        <v>Petrus Burgi</v>
      </c>
      <c r="CL154" t="str">
        <f ca="1">IFERROR(__xludf.DUMMYFUNCTION("""COMPUTED_VALUE"""),"de")</f>
        <v>de</v>
      </c>
      <c r="CO154" t="str">
        <f ca="1">IFERROR(__xludf.DUMMYFUNCTION("""COMPUTED_VALUE"""),"Borgi")</f>
        <v>Borgi</v>
      </c>
      <c r="CS154" t="str">
        <f ca="1">IFERROR(__xludf.DUMMYFUNCTION("""COMPUTED_VALUE"""),"#VALUE!")</f>
        <v>#VALUE!</v>
      </c>
      <c r="CU154" t="str">
        <f ca="1">IFERROR(__xludf.DUMMYFUNCTION("""COMPUTED_VALUE"""),"#VALUE!")</f>
        <v>#VALUE!</v>
      </c>
      <c r="CV154" t="str">
        <f ca="1">IFERROR(__xludf.DUMMYFUNCTION("""COMPUTED_VALUE"""),"L0024")</f>
        <v>L0024</v>
      </c>
      <c r="CW154" t="str">
        <f ca="1">IFERROR(__xludf.DUMMYFUNCTION("""COMPUTED_VALUE"""),"Villanova")</f>
        <v>Villanova</v>
      </c>
      <c r="CY154" t="str">
        <f ca="1">IFERROR(__xludf.DUMMYFUNCTION("""COMPUTED_VALUE"""),"#VALUE!")</f>
        <v>#VALUE!</v>
      </c>
      <c r="DC154" t="str">
        <f ca="1">IFERROR(__xludf.DUMMYFUNCTION("""COMPUTED_VALUE"""),"#VALUE!")</f>
        <v>#VALUE!</v>
      </c>
      <c r="DE154" t="str">
        <f ca="1">IFERROR(__xludf.DUMMYFUNCTION("""COMPUTED_VALUE"""),"#VALUE!")</f>
        <v>#VALUE!</v>
      </c>
      <c r="DF154" t="str">
        <f ca="1">IFERROR(__xludf.DUMMYFUNCTION("""COMPUTED_VALUE"""),"y")</f>
        <v>y</v>
      </c>
      <c r="DG154" t="str">
        <f ca="1">IFERROR(__xludf.DUMMYFUNCTION("""COMPUTED_VALUE"""),"199-200")</f>
        <v>199-200</v>
      </c>
      <c r="DH154" t="str">
        <f ca="1">IFERROR(__xludf.DUMMYFUNCTION("""COMPUTED_VALUE"""),"L0080")</f>
        <v>L0080</v>
      </c>
      <c r="DI154" t="str">
        <f ca="1">IFERROR(__xludf.DUMMYFUNCTION("""COMPUTED_VALUE"""),"domus Petrii Burgi")</f>
        <v>domus Petrii Burgi</v>
      </c>
      <c r="DJ154" t="str">
        <f ca="1">IFERROR(__xludf.DUMMYFUNCTION("""COMPUTED_VALUE"""),"domus")</f>
        <v>domus</v>
      </c>
      <c r="DL154" t="str">
        <f ca="1">IFERROR(__xludf.DUMMYFUNCTION("""COMPUTED_VALUE"""),"Davor Salihović")</f>
        <v>Davor Salihović</v>
      </c>
    </row>
    <row r="155" spans="1:116" ht="13.2" x14ac:dyDescent="0.25">
      <c r="A155" t="str">
        <f ca="1">IFERROR(__xludf.DUMMYFUNCTION("""COMPUTED_VALUE"""),"P0158")</f>
        <v>P0158</v>
      </c>
      <c r="B155" t="str">
        <f ca="1">IFERROR(__xludf.DUMMYFUNCTION("""COMPUTED_VALUE"""),"dominus abbas")</f>
        <v>dominus abbas</v>
      </c>
      <c r="C155" t="str">
        <f ca="1">IFERROR(__xludf.DUMMYFUNCTION("""COMPUTED_VALUE"""),"C3252")</f>
        <v>C3252</v>
      </c>
      <c r="D155" t="str">
        <f ca="1">IFERROR(__xludf.DUMMYFUNCTION("""COMPUTED_VALUE"""),"dominus")</f>
        <v>dominus</v>
      </c>
      <c r="E155" t="str">
        <f ca="1">IFERROR(__xludf.DUMMYFUNCTION("""COMPUTED_VALUE"""),"dominus abbas")</f>
        <v>dominus abbas</v>
      </c>
      <c r="Q155" t="str">
        <f ca="1">IFERROR(__xludf.DUMMYFUNCTION("""COMPUTED_VALUE"""),"dominus abbas")</f>
        <v>dominus abbas</v>
      </c>
      <c r="S155" t="str">
        <f ca="1">IFERROR(__xludf.DUMMYFUNCTION("""COMPUTED_VALUE"""),"Latin")</f>
        <v>Latin</v>
      </c>
      <c r="T155" t="str">
        <f ca="1">IFERROR(__xludf.DUMMYFUNCTION("""COMPUTED_VALUE"""),"indefinite")</f>
        <v>indefinite</v>
      </c>
      <c r="U155" t="str">
        <f ca="1">IFERROR(__xludf.DUMMYFUNCTION("""COMPUTED_VALUE"""),"C2553")</f>
        <v>C2553</v>
      </c>
      <c r="V155" t="str">
        <f ca="1">IFERROR(__xludf.DUMMYFUNCTION("""COMPUTED_VALUE"""),"male")</f>
        <v>male</v>
      </c>
      <c r="Z155" t="str">
        <f ca="1">IFERROR(__xludf.DUMMYFUNCTION("""COMPUTED_VALUE"""),"171, 174, 251, 252, 253, 254, 255")</f>
        <v>171, 174, 251, 252, 253, 254, 255</v>
      </c>
      <c r="AA155" t="str">
        <f ca="1">IFERROR(__xludf.DUMMYFUNCTION("""COMPUTED_VALUE"""),"o")</f>
        <v>o</v>
      </c>
      <c r="AB155" t="str">
        <f ca="1">IFERROR(__xludf.DUMMYFUNCTION("""COMPUTED_VALUE"""),"NA")</f>
        <v>NA</v>
      </c>
      <c r="AD155" t="str">
        <f ca="1">IFERROR(__xludf.DUMMYFUNCTION("""COMPUTED_VALUE"""),"C3287")</f>
        <v>C3287</v>
      </c>
      <c r="AE155" t="str">
        <f ca="1">IFERROR(__xludf.DUMMYFUNCTION("""COMPUTED_VALUE"""),"alive")</f>
        <v>alive</v>
      </c>
      <c r="AF155" t="str">
        <f ca="1">IFERROR(__xludf.DUMMYFUNCTION("""COMPUTED_VALUE"""),"C1753")</f>
        <v>C1753</v>
      </c>
      <c r="AG155" t="str">
        <f ca="1">IFERROR(__xludf.DUMMYFUNCTION("""COMPUTED_VALUE"""),"1335-01-20")</f>
        <v>1335-01-20</v>
      </c>
      <c r="AI155" t="str">
        <f ca="1">IFERROR(__xludf.DUMMYFUNCTION("""COMPUTED_VALUE"""),"#VALUE!")</f>
        <v>#VALUE!</v>
      </c>
      <c r="AK155" t="str">
        <f ca="1">IFERROR(__xludf.DUMMYFUNCTION("""COMPUTED_VALUE"""),"#VALUE!")</f>
        <v>#VALUE!</v>
      </c>
      <c r="AM155" t="str">
        <f ca="1">IFERROR(__xludf.DUMMYFUNCTION("""COMPUTED_VALUE"""),"#VALUE!")</f>
        <v>#VALUE!</v>
      </c>
      <c r="AO155" t="str">
        <f ca="1">IFERROR(__xludf.DUMMYFUNCTION("""COMPUTED_VALUE"""),"#VALUE!")</f>
        <v>#VALUE!</v>
      </c>
      <c r="AQ155" t="str">
        <f ca="1">IFERROR(__xludf.DUMMYFUNCTION("""COMPUTED_VALUE"""),"#VALUE!")</f>
        <v>#VALUE!</v>
      </c>
      <c r="AS155" t="str">
        <f ca="1">IFERROR(__xludf.DUMMYFUNCTION("""COMPUTED_VALUE"""),"#VALUE!")</f>
        <v>#VALUE!</v>
      </c>
      <c r="AU155" t="str">
        <f ca="1">IFERROR(__xludf.DUMMYFUNCTION("""COMPUTED_VALUE"""),"#VALUE!")</f>
        <v>#VALUE!</v>
      </c>
      <c r="AW155" t="str">
        <f ca="1">IFERROR(__xludf.DUMMYFUNCTION("""COMPUTED_VALUE"""),"#VALUE!")</f>
        <v>#VALUE!</v>
      </c>
      <c r="AY155" t="str">
        <f ca="1">IFERROR(__xludf.DUMMYFUNCTION("""COMPUTED_VALUE"""),"#VALUE!")</f>
        <v>#VALUE!</v>
      </c>
      <c r="BA155" t="str">
        <f ca="1">IFERROR(__xludf.DUMMYFUNCTION("""COMPUTED_VALUE"""),"#VALUE!")</f>
        <v>#VALUE!</v>
      </c>
      <c r="BC155" t="str">
        <f ca="1">IFERROR(__xludf.DUMMYFUNCTION("""COMPUTED_VALUE"""),"#VALUE!")</f>
        <v>#VALUE!</v>
      </c>
      <c r="BE155" t="str">
        <f ca="1">IFERROR(__xludf.DUMMYFUNCTION("""COMPUTED_VALUE"""),"#VALUE!")</f>
        <v>#VALUE!</v>
      </c>
      <c r="BG155" t="str">
        <f ca="1">IFERROR(__xludf.DUMMYFUNCTION("""COMPUTED_VALUE"""),"#VALUE!")</f>
        <v>#VALUE!</v>
      </c>
      <c r="BI155" t="str">
        <f ca="1">IFERROR(__xludf.DUMMYFUNCTION("""COMPUTED_VALUE"""),"#VALUE!")</f>
        <v>#VALUE!</v>
      </c>
      <c r="BK155" t="str">
        <f ca="1">IFERROR(__xludf.DUMMYFUNCTION("""COMPUTED_VALUE"""),"#VALUE!")</f>
        <v>#VALUE!</v>
      </c>
      <c r="BM155" t="str">
        <f ca="1">IFERROR(__xludf.DUMMYFUNCTION("""COMPUTED_VALUE"""),"#VALUE!")</f>
        <v>#VALUE!</v>
      </c>
      <c r="BO155" t="str">
        <f ca="1">IFERROR(__xludf.DUMMYFUNCTION("""COMPUTED_VALUE"""),"#VALUE!")</f>
        <v>#VALUE!</v>
      </c>
      <c r="BQ155" t="str">
        <f ca="1">IFERROR(__xludf.DUMMYFUNCTION("""COMPUTED_VALUE"""),"#VALUE!")</f>
        <v>#VALUE!</v>
      </c>
      <c r="BS155" t="str">
        <f ca="1">IFERROR(__xludf.DUMMYFUNCTION("""COMPUTED_VALUE"""),"#VALUE!")</f>
        <v>#VALUE!</v>
      </c>
      <c r="BU155" t="str">
        <f ca="1">IFERROR(__xludf.DUMMYFUNCTION("""COMPUTED_VALUE"""),"#VALUE!")</f>
        <v>#VALUE!</v>
      </c>
      <c r="BW155" t="str">
        <f ca="1">IFERROR(__xludf.DUMMYFUNCTION("""COMPUTED_VALUE"""),"#VALUE!")</f>
        <v>#VALUE!</v>
      </c>
      <c r="BY155" t="str">
        <f ca="1">IFERROR(__xludf.DUMMYFUNCTION("""COMPUTED_VALUE"""),"#VALUE!")</f>
        <v>#VALUE!</v>
      </c>
      <c r="CA155" t="str">
        <f ca="1">IFERROR(__xludf.DUMMYFUNCTION("""COMPUTED_VALUE"""),"#VALUE!")</f>
        <v>#VALUE!</v>
      </c>
      <c r="CC155" t="str">
        <f ca="1">IFERROR(__xludf.DUMMYFUNCTION("""COMPUTED_VALUE"""),"#VALUE!")</f>
        <v>#VALUE!</v>
      </c>
      <c r="CE155" t="str">
        <f ca="1">IFERROR(__xludf.DUMMYFUNCTION("""COMPUTED_VALUE"""),"#VALUE!")</f>
        <v>#VALUE!</v>
      </c>
      <c r="CG155" t="str">
        <f ca="1">IFERROR(__xludf.DUMMYFUNCTION("""COMPUTED_VALUE"""),"#VALUE!")</f>
        <v>#VALUE!</v>
      </c>
      <c r="CI155" t="str">
        <f ca="1">IFERROR(__xludf.DUMMYFUNCTION("""COMPUTED_VALUE"""),"#VALUE!")</f>
        <v>#VALUE!</v>
      </c>
      <c r="CK155" t="str">
        <f ca="1">IFERROR(__xludf.DUMMYFUNCTION("""COMPUTED_VALUE"""),"#VALUE!")</f>
        <v>#VALUE!</v>
      </c>
      <c r="CS155" t="str">
        <f ca="1">IFERROR(__xludf.DUMMYFUNCTION("""COMPUTED_VALUE"""),"#VALUE!")</f>
        <v>#VALUE!</v>
      </c>
      <c r="CU155" t="str">
        <f ca="1">IFERROR(__xludf.DUMMYFUNCTION("""COMPUTED_VALUE"""),"#VALUE!")</f>
        <v>#VALUE!</v>
      </c>
      <c r="CW155" t="str">
        <f ca="1">IFERROR(__xludf.DUMMYFUNCTION("""COMPUTED_VALUE"""),"#VALUE!")</f>
        <v>#VALUE!</v>
      </c>
      <c r="CY155" t="str">
        <f ca="1">IFERROR(__xludf.DUMMYFUNCTION("""COMPUTED_VALUE"""),"#VALUE!")</f>
        <v>#VALUE!</v>
      </c>
      <c r="DC155" t="str">
        <f ca="1">IFERROR(__xludf.DUMMYFUNCTION("""COMPUTED_VALUE"""),"#VALUE!")</f>
        <v>#VALUE!</v>
      </c>
      <c r="DE155" t="str">
        <f ca="1">IFERROR(__xludf.DUMMYFUNCTION("""COMPUTED_VALUE"""),"#VALUE!")</f>
        <v>#VALUE!</v>
      </c>
      <c r="DI155" t="str">
        <f ca="1">IFERROR(__xludf.DUMMYFUNCTION("""COMPUTED_VALUE"""),"#VALUE!")</f>
        <v>#VALUE!</v>
      </c>
      <c r="DJ155" t="str">
        <f ca="1">IFERROR(__xludf.DUMMYFUNCTION("""COMPUTED_VALUE"""),"#VALUE!")</f>
        <v>#VALUE!</v>
      </c>
      <c r="DL155" t="str">
        <f ca="1">IFERROR(__xludf.DUMMYFUNCTION("""COMPUTED_VALUE"""),"Davor Salihović")</f>
        <v>Davor Salihović</v>
      </c>
    </row>
    <row r="156" spans="1:116" ht="13.2" x14ac:dyDescent="0.25">
      <c r="A156" t="str">
        <f ca="1">IFERROR(__xludf.DUMMYFUNCTION("""COMPUTED_VALUE"""),"P0159")</f>
        <v>P0159</v>
      </c>
      <c r="B156" t="str">
        <f ca="1">IFERROR(__xludf.DUMMYFUNCTION("""COMPUTED_VALUE"""),"Aleysina, filia Iohannis de Hugonino")</f>
        <v>Aleysina, filia Iohannis de Hugonino</v>
      </c>
      <c r="D156" t="str">
        <f ca="1">IFERROR(__xludf.DUMMYFUNCTION("""COMPUTED_VALUE"""),"#VALUE!")</f>
        <v>#VALUE!</v>
      </c>
      <c r="E156" t="str">
        <f ca="1">IFERROR(__xludf.DUMMYFUNCTION("""COMPUTED_VALUE"""),"Aleysina")</f>
        <v>Aleysina</v>
      </c>
      <c r="Q156" t="str">
        <f ca="1">IFERROR(__xludf.DUMMYFUNCTION("""COMPUTED_VALUE"""),"filia naturalis Iohannis de Hugonino de Giaveno")</f>
        <v>filia naturalis Iohannis de Hugonino de Giaveno</v>
      </c>
      <c r="S156" t="str">
        <f ca="1">IFERROR(__xludf.DUMMYFUNCTION("""COMPUTED_VALUE"""),"Latin")</f>
        <v>Latin</v>
      </c>
      <c r="T156" t="str">
        <f ca="1">IFERROR(__xludf.DUMMYFUNCTION("""COMPUTED_VALUE"""),"definite")</f>
        <v>definite</v>
      </c>
      <c r="U156" t="str">
        <f ca="1">IFERROR(__xludf.DUMMYFUNCTION("""COMPUTED_VALUE"""),"C2552")</f>
        <v>C2552</v>
      </c>
      <c r="V156" t="str">
        <f ca="1">IFERROR(__xludf.DUMMYFUNCTION("""COMPUTED_VALUE"""),"female")</f>
        <v>female</v>
      </c>
      <c r="Z156" t="str">
        <f ca="1">IFERROR(__xludf.DUMMYFUNCTION("""COMPUTED_VALUE"""),"171")</f>
        <v>171</v>
      </c>
      <c r="AA156" t="str">
        <f ca="1">IFERROR(__xludf.DUMMYFUNCTION("""COMPUTED_VALUE"""),"d")</f>
        <v>d</v>
      </c>
      <c r="AB156" t="str">
        <f ca="1">IFERROR(__xludf.DUMMYFUNCTION("""COMPUTED_VALUE"""),"deponent")</f>
        <v>deponent</v>
      </c>
      <c r="AD156" t="str">
        <f ca="1">IFERROR(__xludf.DUMMYFUNCTION("""COMPUTED_VALUE"""),"C3287")</f>
        <v>C3287</v>
      </c>
      <c r="AE156" t="str">
        <f ca="1">IFERROR(__xludf.DUMMYFUNCTION("""COMPUTED_VALUE"""),"alive")</f>
        <v>alive</v>
      </c>
      <c r="AF156" t="str">
        <f ca="1">IFERROR(__xludf.DUMMYFUNCTION("""COMPUTED_VALUE"""),"C1753")</f>
        <v>C1753</v>
      </c>
      <c r="AG156" t="str">
        <f ca="1">IFERROR(__xludf.DUMMYFUNCTION("""COMPUTED_VALUE"""),"1335-01-20")</f>
        <v>1335-01-20</v>
      </c>
      <c r="AI156" t="str">
        <f ca="1">IFERROR(__xludf.DUMMYFUNCTION("""COMPUTED_VALUE"""),"#VALUE!")</f>
        <v>#VALUE!</v>
      </c>
      <c r="AK156" t="str">
        <f ca="1">IFERROR(__xludf.DUMMYFUNCTION("""COMPUTED_VALUE"""),"#VALUE!")</f>
        <v>#VALUE!</v>
      </c>
      <c r="AM156" t="str">
        <f ca="1">IFERROR(__xludf.DUMMYFUNCTION("""COMPUTED_VALUE"""),"#VALUE!")</f>
        <v>#VALUE!</v>
      </c>
      <c r="AO156" t="str">
        <f ca="1">IFERROR(__xludf.DUMMYFUNCTION("""COMPUTED_VALUE"""),"#VALUE!")</f>
        <v>#VALUE!</v>
      </c>
      <c r="AQ156" t="str">
        <f ca="1">IFERROR(__xludf.DUMMYFUNCTION("""COMPUTED_VALUE"""),"#VALUE!")</f>
        <v>#VALUE!</v>
      </c>
      <c r="AS156" t="str">
        <f ca="1">IFERROR(__xludf.DUMMYFUNCTION("""COMPUTED_VALUE"""),"#VALUE!")</f>
        <v>#VALUE!</v>
      </c>
      <c r="AU156" t="str">
        <f ca="1">IFERROR(__xludf.DUMMYFUNCTION("""COMPUTED_VALUE"""),"#VALUE!")</f>
        <v>#VALUE!</v>
      </c>
      <c r="AW156" t="str">
        <f ca="1">IFERROR(__xludf.DUMMYFUNCTION("""COMPUTED_VALUE"""),"#VALUE!")</f>
        <v>#VALUE!</v>
      </c>
      <c r="AY156" t="str">
        <f ca="1">IFERROR(__xludf.DUMMYFUNCTION("""COMPUTED_VALUE"""),"#VALUE!")</f>
        <v>#VALUE!</v>
      </c>
      <c r="BA156" t="str">
        <f ca="1">IFERROR(__xludf.DUMMYFUNCTION("""COMPUTED_VALUE"""),"#VALUE!")</f>
        <v>#VALUE!</v>
      </c>
      <c r="BC156" t="str">
        <f ca="1">IFERROR(__xludf.DUMMYFUNCTION("""COMPUTED_VALUE"""),"#VALUE!")</f>
        <v>#VALUE!</v>
      </c>
      <c r="BE156" t="str">
        <f ca="1">IFERROR(__xludf.DUMMYFUNCTION("""COMPUTED_VALUE"""),"#VALUE!")</f>
        <v>#VALUE!</v>
      </c>
      <c r="BG156" t="str">
        <f ca="1">IFERROR(__xludf.DUMMYFUNCTION("""COMPUTED_VALUE"""),"#VALUE!")</f>
        <v>#VALUE!</v>
      </c>
      <c r="BI156" t="str">
        <f ca="1">IFERROR(__xludf.DUMMYFUNCTION("""COMPUTED_VALUE"""),"#VALUE!")</f>
        <v>#VALUE!</v>
      </c>
      <c r="BK156" t="str">
        <f ca="1">IFERROR(__xludf.DUMMYFUNCTION("""COMPUTED_VALUE"""),"#VALUE!")</f>
        <v>#VALUE!</v>
      </c>
      <c r="BM156" t="str">
        <f ca="1">IFERROR(__xludf.DUMMYFUNCTION("""COMPUTED_VALUE"""),"#VALUE!")</f>
        <v>#VALUE!</v>
      </c>
      <c r="BO156" t="str">
        <f ca="1">IFERROR(__xludf.DUMMYFUNCTION("""COMPUTED_VALUE"""),"#VALUE!")</f>
        <v>#VALUE!</v>
      </c>
      <c r="BQ156" t="str">
        <f ca="1">IFERROR(__xludf.DUMMYFUNCTION("""COMPUTED_VALUE"""),"#VALUE!")</f>
        <v>#VALUE!</v>
      </c>
      <c r="BS156" t="str">
        <f ca="1">IFERROR(__xludf.DUMMYFUNCTION("""COMPUTED_VALUE"""),"#VALUE!")</f>
        <v>#VALUE!</v>
      </c>
      <c r="BU156" t="str">
        <f ca="1">IFERROR(__xludf.DUMMYFUNCTION("""COMPUTED_VALUE"""),"#VALUE!")</f>
        <v>#VALUE!</v>
      </c>
      <c r="BW156" t="str">
        <f ca="1">IFERROR(__xludf.DUMMYFUNCTION("""COMPUTED_VALUE"""),"#VALUE!")</f>
        <v>#VALUE!</v>
      </c>
      <c r="BY156" t="str">
        <f ca="1">IFERROR(__xludf.DUMMYFUNCTION("""COMPUTED_VALUE"""),"#VALUE!")</f>
        <v>#VALUE!</v>
      </c>
      <c r="CA156" t="str">
        <f ca="1">IFERROR(__xludf.DUMMYFUNCTION("""COMPUTED_VALUE"""),"#VALUE!")</f>
        <v>#VALUE!</v>
      </c>
      <c r="CC156" t="str">
        <f ca="1">IFERROR(__xludf.DUMMYFUNCTION("""COMPUTED_VALUE"""),"#VALUE!")</f>
        <v>#VALUE!</v>
      </c>
      <c r="CD156" t="str">
        <f ca="1">IFERROR(__xludf.DUMMYFUNCTION("""COMPUTED_VALUE"""),"C3598")</f>
        <v>C3598</v>
      </c>
      <c r="CE156" t="str">
        <f ca="1">IFERROR(__xludf.DUMMYFUNCTION("""COMPUTED_VALUE"""),"location of congregation")</f>
        <v>location of congregation</v>
      </c>
      <c r="CF156" t="str">
        <f ca="1">IFERROR(__xludf.DUMMYFUNCTION("""COMPUTED_VALUE"""),"L0154")</f>
        <v>L0154</v>
      </c>
      <c r="CG156" t="str">
        <f ca="1">IFERROR(__xludf.DUMMYFUNCTION("""COMPUTED_VALUE"""),"domus Palmeroni Goytro")</f>
        <v>domus Palmeroni Goytro</v>
      </c>
      <c r="CI156" t="str">
        <f ca="1">IFERROR(__xludf.DUMMYFUNCTION("""COMPUTED_VALUE"""),"#VALUE!")</f>
        <v>#VALUE!</v>
      </c>
      <c r="CK156" t="str">
        <f ca="1">IFERROR(__xludf.DUMMYFUNCTION("""COMPUTED_VALUE"""),"#VALUE!")</f>
        <v>#VALUE!</v>
      </c>
      <c r="CS156" t="str">
        <f ca="1">IFERROR(__xludf.DUMMYFUNCTION("""COMPUTED_VALUE"""),"#VALUE!")</f>
        <v>#VALUE!</v>
      </c>
      <c r="CU156" t="str">
        <f ca="1">IFERROR(__xludf.DUMMYFUNCTION("""COMPUTED_VALUE"""),"#VALUE!")</f>
        <v>#VALUE!</v>
      </c>
      <c r="CW156" t="str">
        <f ca="1">IFERROR(__xludf.DUMMYFUNCTION("""COMPUTED_VALUE"""),"#VALUE!")</f>
        <v>#VALUE!</v>
      </c>
      <c r="CY156" t="str">
        <f ca="1">IFERROR(__xludf.DUMMYFUNCTION("""COMPUTED_VALUE"""),"#VALUE!")</f>
        <v>#VALUE!</v>
      </c>
      <c r="DC156" t="str">
        <f ca="1">IFERROR(__xludf.DUMMYFUNCTION("""COMPUTED_VALUE"""),"#VALUE!")</f>
        <v>#VALUE!</v>
      </c>
      <c r="DE156" t="str">
        <f ca="1">IFERROR(__xludf.DUMMYFUNCTION("""COMPUTED_VALUE"""),"#VALUE!")</f>
        <v>#VALUE!</v>
      </c>
      <c r="DF156" t="str">
        <f ca="1">IFERROR(__xludf.DUMMYFUNCTION("""COMPUTED_VALUE"""),"y")</f>
        <v>y</v>
      </c>
      <c r="DG156" t="str">
        <f ca="1">IFERROR(__xludf.DUMMYFUNCTION("""COMPUTED_VALUE"""),"171-172")</f>
        <v>171-172</v>
      </c>
      <c r="DH156" t="str">
        <f ca="1">IFERROR(__xludf.DUMMYFUNCTION("""COMPUTED_VALUE"""),"L0154")</f>
        <v>L0154</v>
      </c>
      <c r="DI156" t="str">
        <f ca="1">IFERROR(__xludf.DUMMYFUNCTION("""COMPUTED_VALUE"""),"domus Palmeroni Goytro")</f>
        <v>domus Palmeroni Goytro</v>
      </c>
      <c r="DJ156" t="str">
        <f ca="1">IFERROR(__xludf.DUMMYFUNCTION("""COMPUTED_VALUE"""),"domus")</f>
        <v>domus</v>
      </c>
      <c r="DL156" t="str">
        <f ca="1">IFERROR(__xludf.DUMMYFUNCTION("""COMPUTED_VALUE"""),"Davor Salihović")</f>
        <v>Davor Salihović</v>
      </c>
    </row>
    <row r="157" spans="1:116" ht="13.2" x14ac:dyDescent="0.25">
      <c r="A157" t="str">
        <f ca="1">IFERROR(__xludf.DUMMYFUNCTION("""COMPUTED_VALUE"""),"P0160")</f>
        <v>P0160</v>
      </c>
      <c r="B157" t="str">
        <f ca="1">IFERROR(__xludf.DUMMYFUNCTION("""COMPUTED_VALUE"""),"quidam homo ultramontanus")</f>
        <v>quidam homo ultramontanus</v>
      </c>
      <c r="D157" t="str">
        <f ca="1">IFERROR(__xludf.DUMMYFUNCTION("""COMPUTED_VALUE"""),"#VALUE!")</f>
        <v>#VALUE!</v>
      </c>
      <c r="E157" t="str">
        <f ca="1">IFERROR(__xludf.DUMMYFUNCTION("""COMPUTED_VALUE"""),"quidam homo ultramontanus")</f>
        <v>quidam homo ultramontanus</v>
      </c>
      <c r="Q157" t="str">
        <f ca="1">IFERROR(__xludf.DUMMYFUNCTION("""COMPUTED_VALUE"""),"quidam homo ultramontanus")</f>
        <v>quidam homo ultramontanus</v>
      </c>
      <c r="S157" t="str">
        <f ca="1">IFERROR(__xludf.DUMMYFUNCTION("""COMPUTED_VALUE"""),"Latin")</f>
        <v>Latin</v>
      </c>
      <c r="T157" t="str">
        <f ca="1">IFERROR(__xludf.DUMMYFUNCTION("""COMPUTED_VALUE"""),"indefinite")</f>
        <v>indefinite</v>
      </c>
      <c r="U157" t="str">
        <f ca="1">IFERROR(__xludf.DUMMYFUNCTION("""COMPUTED_VALUE"""),"C2553")</f>
        <v>C2553</v>
      </c>
      <c r="V157" t="str">
        <f ca="1">IFERROR(__xludf.DUMMYFUNCTION("""COMPUTED_VALUE"""),"male")</f>
        <v>male</v>
      </c>
      <c r="Z157" t="str">
        <f ca="1">IFERROR(__xludf.DUMMYFUNCTION("""COMPUTED_VALUE"""),"172, 173, 175, 238")</f>
        <v>172, 173, 175, 238</v>
      </c>
      <c r="AA157" t="str">
        <f ca="1">IFERROR(__xludf.DUMMYFUNCTION("""COMPUTED_VALUE"""),"d")</f>
        <v>d</v>
      </c>
      <c r="AB157" t="str">
        <f ca="1">IFERROR(__xludf.DUMMYFUNCTION("""COMPUTED_VALUE"""),"NA")</f>
        <v>NA</v>
      </c>
      <c r="AE157" t="str">
        <f ca="1">IFERROR(__xludf.DUMMYFUNCTION("""COMPUTED_VALUE"""),"#VALUE!")</f>
        <v>#VALUE!</v>
      </c>
      <c r="AF157" t="str">
        <f ca="1">IFERROR(__xludf.DUMMYFUNCTION("""COMPUTED_VALUE"""),"#N/A")</f>
        <v>#N/A</v>
      </c>
      <c r="AG157" t="str">
        <f ca="1">IFERROR(__xludf.DUMMYFUNCTION("""COMPUTED_VALUE"""),"#N/A")</f>
        <v>#N/A</v>
      </c>
      <c r="AI157" t="str">
        <f ca="1">IFERROR(__xludf.DUMMYFUNCTION("""COMPUTED_VALUE"""),"#VALUE!")</f>
        <v>#VALUE!</v>
      </c>
      <c r="AK157" t="str">
        <f ca="1">IFERROR(__xludf.DUMMYFUNCTION("""COMPUTED_VALUE"""),"#VALUE!")</f>
        <v>#VALUE!</v>
      </c>
      <c r="AM157" t="str">
        <f ca="1">IFERROR(__xludf.DUMMYFUNCTION("""COMPUTED_VALUE"""),"#VALUE!")</f>
        <v>#VALUE!</v>
      </c>
      <c r="AO157" t="str">
        <f ca="1">IFERROR(__xludf.DUMMYFUNCTION("""COMPUTED_VALUE"""),"#VALUE!")</f>
        <v>#VALUE!</v>
      </c>
      <c r="AQ157" t="str">
        <f ca="1">IFERROR(__xludf.DUMMYFUNCTION("""COMPUTED_VALUE"""),"#VALUE!")</f>
        <v>#VALUE!</v>
      </c>
      <c r="AS157" t="str">
        <f ca="1">IFERROR(__xludf.DUMMYFUNCTION("""COMPUTED_VALUE"""),"#VALUE!")</f>
        <v>#VALUE!</v>
      </c>
      <c r="AU157" t="str">
        <f ca="1">IFERROR(__xludf.DUMMYFUNCTION("""COMPUTED_VALUE"""),"#VALUE!")</f>
        <v>#VALUE!</v>
      </c>
      <c r="AW157" t="str">
        <f ca="1">IFERROR(__xludf.DUMMYFUNCTION("""COMPUTED_VALUE"""),"#VALUE!")</f>
        <v>#VALUE!</v>
      </c>
      <c r="AY157" t="str">
        <f ca="1">IFERROR(__xludf.DUMMYFUNCTION("""COMPUTED_VALUE"""),"#VALUE!")</f>
        <v>#VALUE!</v>
      </c>
      <c r="BA157" t="str">
        <f ca="1">IFERROR(__xludf.DUMMYFUNCTION("""COMPUTED_VALUE"""),"#VALUE!")</f>
        <v>#VALUE!</v>
      </c>
      <c r="BC157" t="str">
        <f ca="1">IFERROR(__xludf.DUMMYFUNCTION("""COMPUTED_VALUE"""),"#VALUE!")</f>
        <v>#VALUE!</v>
      </c>
      <c r="BE157" t="str">
        <f ca="1">IFERROR(__xludf.DUMMYFUNCTION("""COMPUTED_VALUE"""),"#VALUE!")</f>
        <v>#VALUE!</v>
      </c>
      <c r="BG157" t="str">
        <f ca="1">IFERROR(__xludf.DUMMYFUNCTION("""COMPUTED_VALUE"""),"#VALUE!")</f>
        <v>#VALUE!</v>
      </c>
      <c r="BI157" t="str">
        <f ca="1">IFERROR(__xludf.DUMMYFUNCTION("""COMPUTED_VALUE"""),"#VALUE!")</f>
        <v>#VALUE!</v>
      </c>
      <c r="BK157" t="str">
        <f ca="1">IFERROR(__xludf.DUMMYFUNCTION("""COMPUTED_VALUE"""),"#VALUE!")</f>
        <v>#VALUE!</v>
      </c>
      <c r="BM157" t="str">
        <f ca="1">IFERROR(__xludf.DUMMYFUNCTION("""COMPUTED_VALUE"""),"#VALUE!")</f>
        <v>#VALUE!</v>
      </c>
      <c r="BO157" t="str">
        <f ca="1">IFERROR(__xludf.DUMMYFUNCTION("""COMPUTED_VALUE"""),"#VALUE!")</f>
        <v>#VALUE!</v>
      </c>
      <c r="BQ157" t="str">
        <f ca="1">IFERROR(__xludf.DUMMYFUNCTION("""COMPUTED_VALUE"""),"#VALUE!")</f>
        <v>#VALUE!</v>
      </c>
      <c r="BS157" t="str">
        <f ca="1">IFERROR(__xludf.DUMMYFUNCTION("""COMPUTED_VALUE"""),"#VALUE!")</f>
        <v>#VALUE!</v>
      </c>
      <c r="BU157" t="str">
        <f ca="1">IFERROR(__xludf.DUMMYFUNCTION("""COMPUTED_VALUE"""),"#VALUE!")</f>
        <v>#VALUE!</v>
      </c>
      <c r="BW157" t="str">
        <f ca="1">IFERROR(__xludf.DUMMYFUNCTION("""COMPUTED_VALUE"""),"#VALUE!")</f>
        <v>#VALUE!</v>
      </c>
      <c r="BY157" t="str">
        <f ca="1">IFERROR(__xludf.DUMMYFUNCTION("""COMPUTED_VALUE"""),"#VALUE!")</f>
        <v>#VALUE!</v>
      </c>
      <c r="CA157" t="str">
        <f ca="1">IFERROR(__xludf.DUMMYFUNCTION("""COMPUTED_VALUE"""),"#VALUE!")</f>
        <v>#VALUE!</v>
      </c>
      <c r="CC157" t="str">
        <f ca="1">IFERROR(__xludf.DUMMYFUNCTION("""COMPUTED_VALUE"""),"#VALUE!")</f>
        <v>#VALUE!</v>
      </c>
      <c r="CD157" t="str">
        <f ca="1">IFERROR(__xludf.DUMMYFUNCTION("""COMPUTED_VALUE"""),"C3598")</f>
        <v>C3598</v>
      </c>
      <c r="CE157" t="str">
        <f ca="1">IFERROR(__xludf.DUMMYFUNCTION("""COMPUTED_VALUE"""),"location of congregation")</f>
        <v>location of congregation</v>
      </c>
      <c r="CF157" t="str">
        <f ca="1">IFERROR(__xludf.DUMMYFUNCTION("""COMPUTED_VALUE"""),"L0154")</f>
        <v>L0154</v>
      </c>
      <c r="CG157" t="str">
        <f ca="1">IFERROR(__xludf.DUMMYFUNCTION("""COMPUTED_VALUE"""),"domus Palmeroni Goytro")</f>
        <v>domus Palmeroni Goytro</v>
      </c>
      <c r="CI157" t="str">
        <f ca="1">IFERROR(__xludf.DUMMYFUNCTION("""COMPUTED_VALUE"""),"#VALUE!")</f>
        <v>#VALUE!</v>
      </c>
      <c r="CK157" t="str">
        <f ca="1">IFERROR(__xludf.DUMMYFUNCTION("""COMPUTED_VALUE"""),"#VALUE!")</f>
        <v>#VALUE!</v>
      </c>
      <c r="CR157" t="str">
        <f ca="1">IFERROR(__xludf.DUMMYFUNCTION("""COMPUTED_VALUE"""),"L0142")</f>
        <v>L0142</v>
      </c>
      <c r="CS157" t="str">
        <f ca="1">IFERROR(__xludf.DUMMYFUNCTION("""COMPUTED_VALUE"""),"Ultra montes")</f>
        <v>Ultra montes</v>
      </c>
      <c r="CU157" t="str">
        <f ca="1">IFERROR(__xludf.DUMMYFUNCTION("""COMPUTED_VALUE"""),"#VALUE!")</f>
        <v>#VALUE!</v>
      </c>
      <c r="CW157" t="str">
        <f ca="1">IFERROR(__xludf.DUMMYFUNCTION("""COMPUTED_VALUE"""),"#VALUE!")</f>
        <v>#VALUE!</v>
      </c>
      <c r="CX157" t="str">
        <f ca="1">IFERROR(__xludf.DUMMYFUNCTION("""COMPUTED_VALUE"""),"C2614")</f>
        <v>C2614</v>
      </c>
      <c r="CY157" t="str">
        <f ca="1">IFERROR(__xludf.DUMMYFUNCTION("""COMPUTED_VALUE"""),"dissident minister")</f>
        <v>dissident minister</v>
      </c>
      <c r="DA157" t="str">
        <f ca="1">IFERROR(__xludf.DUMMYFUNCTION("""COMPUTED_VALUE"""),"dissident minister")</f>
        <v>dissident minister</v>
      </c>
      <c r="DC157" t="str">
        <f ca="1">IFERROR(__xludf.DUMMYFUNCTION("""COMPUTED_VALUE"""),"#VALUE!")</f>
        <v>#VALUE!</v>
      </c>
      <c r="DD157" t="str">
        <f ca="1">IFERROR(__xludf.DUMMYFUNCTION("""COMPUTED_VALUE"""),"C2614")</f>
        <v>C2614</v>
      </c>
      <c r="DE157" t="str">
        <f ca="1">IFERROR(__xludf.DUMMYFUNCTION("""COMPUTED_VALUE"""),"dissident minister")</f>
        <v>dissident minister</v>
      </c>
      <c r="DH157" t="str">
        <f ca="1">IFERROR(__xludf.DUMMYFUNCTION("""COMPUTED_VALUE"""),"L0154")</f>
        <v>L0154</v>
      </c>
      <c r="DI157" t="str">
        <f ca="1">IFERROR(__xludf.DUMMYFUNCTION("""COMPUTED_VALUE"""),"domus Palmeroni Goytro")</f>
        <v>domus Palmeroni Goytro</v>
      </c>
      <c r="DJ157" t="str">
        <f ca="1">IFERROR(__xludf.DUMMYFUNCTION("""COMPUTED_VALUE"""),"domus")</f>
        <v>domus</v>
      </c>
      <c r="DL157" t="str">
        <f ca="1">IFERROR(__xludf.DUMMYFUNCTION("""COMPUTED_VALUE"""),"Davor Salihović")</f>
        <v>Davor Salihović</v>
      </c>
    </row>
    <row r="158" spans="1:116" ht="13.2" x14ac:dyDescent="0.25">
      <c r="A158" t="str">
        <f ca="1">IFERROR(__xludf.DUMMYFUNCTION("""COMPUTED_VALUE"""),"P0161")</f>
        <v>P0161</v>
      </c>
      <c r="B158" t="str">
        <f ca="1">IFERROR(__xludf.DUMMYFUNCTION("""COMPUTED_VALUE"""),"homo de Covaciis")</f>
        <v>homo de Covaciis</v>
      </c>
      <c r="D158" t="str">
        <f ca="1">IFERROR(__xludf.DUMMYFUNCTION("""COMPUTED_VALUE"""),"#VALUE!")</f>
        <v>#VALUE!</v>
      </c>
      <c r="E158" t="str">
        <f ca="1">IFERROR(__xludf.DUMMYFUNCTION("""COMPUTED_VALUE"""),"homo de Covaciis")</f>
        <v>homo de Covaciis</v>
      </c>
      <c r="Q158" t="str">
        <f ca="1">IFERROR(__xludf.DUMMYFUNCTION("""COMPUTED_VALUE"""),"quidam homo de Covaciis")</f>
        <v>quidam homo de Covaciis</v>
      </c>
      <c r="S158" t="str">
        <f ca="1">IFERROR(__xludf.DUMMYFUNCTION("""COMPUTED_VALUE"""),"Latin")</f>
        <v>Latin</v>
      </c>
      <c r="T158" t="str">
        <f ca="1">IFERROR(__xludf.DUMMYFUNCTION("""COMPUTED_VALUE"""),"indefinite")</f>
        <v>indefinite</v>
      </c>
      <c r="U158" t="str">
        <f ca="1">IFERROR(__xludf.DUMMYFUNCTION("""COMPUTED_VALUE"""),"C2553")</f>
        <v>C2553</v>
      </c>
      <c r="V158" t="str">
        <f ca="1">IFERROR(__xludf.DUMMYFUNCTION("""COMPUTED_VALUE"""),"male")</f>
        <v>male</v>
      </c>
      <c r="Z158" t="str">
        <f ca="1">IFERROR(__xludf.DUMMYFUNCTION("""COMPUTED_VALUE"""),"172")</f>
        <v>172</v>
      </c>
      <c r="AA158" t="str">
        <f ca="1">IFERROR(__xludf.DUMMYFUNCTION("""COMPUTED_VALUE"""),"d")</f>
        <v>d</v>
      </c>
      <c r="AB158" t="str">
        <f ca="1">IFERROR(__xludf.DUMMYFUNCTION("""COMPUTED_VALUE"""),"NA")</f>
        <v>NA</v>
      </c>
      <c r="AE158" t="str">
        <f ca="1">IFERROR(__xludf.DUMMYFUNCTION("""COMPUTED_VALUE"""),"#VALUE!")</f>
        <v>#VALUE!</v>
      </c>
      <c r="AF158" t="str">
        <f ca="1">IFERROR(__xludf.DUMMYFUNCTION("""COMPUTED_VALUE"""),"#N/A")</f>
        <v>#N/A</v>
      </c>
      <c r="AG158" t="str">
        <f ca="1">IFERROR(__xludf.DUMMYFUNCTION("""COMPUTED_VALUE"""),"#N/A")</f>
        <v>#N/A</v>
      </c>
      <c r="AI158" t="str">
        <f ca="1">IFERROR(__xludf.DUMMYFUNCTION("""COMPUTED_VALUE"""),"#VALUE!")</f>
        <v>#VALUE!</v>
      </c>
      <c r="AK158" t="str">
        <f ca="1">IFERROR(__xludf.DUMMYFUNCTION("""COMPUTED_VALUE"""),"#VALUE!")</f>
        <v>#VALUE!</v>
      </c>
      <c r="AM158" t="str">
        <f ca="1">IFERROR(__xludf.DUMMYFUNCTION("""COMPUTED_VALUE"""),"#VALUE!")</f>
        <v>#VALUE!</v>
      </c>
      <c r="AO158" t="str">
        <f ca="1">IFERROR(__xludf.DUMMYFUNCTION("""COMPUTED_VALUE"""),"#VALUE!")</f>
        <v>#VALUE!</v>
      </c>
      <c r="AQ158" t="str">
        <f ca="1">IFERROR(__xludf.DUMMYFUNCTION("""COMPUTED_VALUE"""),"#VALUE!")</f>
        <v>#VALUE!</v>
      </c>
      <c r="AS158" t="str">
        <f ca="1">IFERROR(__xludf.DUMMYFUNCTION("""COMPUTED_VALUE"""),"#VALUE!")</f>
        <v>#VALUE!</v>
      </c>
      <c r="AU158" t="str">
        <f ca="1">IFERROR(__xludf.DUMMYFUNCTION("""COMPUTED_VALUE"""),"#VALUE!")</f>
        <v>#VALUE!</v>
      </c>
      <c r="AW158" t="str">
        <f ca="1">IFERROR(__xludf.DUMMYFUNCTION("""COMPUTED_VALUE"""),"#VALUE!")</f>
        <v>#VALUE!</v>
      </c>
      <c r="AY158" t="str">
        <f ca="1">IFERROR(__xludf.DUMMYFUNCTION("""COMPUTED_VALUE"""),"#VALUE!")</f>
        <v>#VALUE!</v>
      </c>
      <c r="BA158" t="str">
        <f ca="1">IFERROR(__xludf.DUMMYFUNCTION("""COMPUTED_VALUE"""),"#VALUE!")</f>
        <v>#VALUE!</v>
      </c>
      <c r="BC158" t="str">
        <f ca="1">IFERROR(__xludf.DUMMYFUNCTION("""COMPUTED_VALUE"""),"#VALUE!")</f>
        <v>#VALUE!</v>
      </c>
      <c r="BE158" t="str">
        <f ca="1">IFERROR(__xludf.DUMMYFUNCTION("""COMPUTED_VALUE"""),"#VALUE!")</f>
        <v>#VALUE!</v>
      </c>
      <c r="BG158" t="str">
        <f ca="1">IFERROR(__xludf.DUMMYFUNCTION("""COMPUTED_VALUE"""),"#VALUE!")</f>
        <v>#VALUE!</v>
      </c>
      <c r="BI158" t="str">
        <f ca="1">IFERROR(__xludf.DUMMYFUNCTION("""COMPUTED_VALUE"""),"#VALUE!")</f>
        <v>#VALUE!</v>
      </c>
      <c r="BK158" t="str">
        <f ca="1">IFERROR(__xludf.DUMMYFUNCTION("""COMPUTED_VALUE"""),"#VALUE!")</f>
        <v>#VALUE!</v>
      </c>
      <c r="BM158" t="str">
        <f ca="1">IFERROR(__xludf.DUMMYFUNCTION("""COMPUTED_VALUE"""),"#VALUE!")</f>
        <v>#VALUE!</v>
      </c>
      <c r="BO158" t="str">
        <f ca="1">IFERROR(__xludf.DUMMYFUNCTION("""COMPUTED_VALUE"""),"#VALUE!")</f>
        <v>#VALUE!</v>
      </c>
      <c r="BQ158" t="str">
        <f ca="1">IFERROR(__xludf.DUMMYFUNCTION("""COMPUTED_VALUE"""),"#VALUE!")</f>
        <v>#VALUE!</v>
      </c>
      <c r="BS158" t="str">
        <f ca="1">IFERROR(__xludf.DUMMYFUNCTION("""COMPUTED_VALUE"""),"#VALUE!")</f>
        <v>#VALUE!</v>
      </c>
      <c r="BU158" t="str">
        <f ca="1">IFERROR(__xludf.DUMMYFUNCTION("""COMPUTED_VALUE"""),"#VALUE!")</f>
        <v>#VALUE!</v>
      </c>
      <c r="BW158" t="str">
        <f ca="1">IFERROR(__xludf.DUMMYFUNCTION("""COMPUTED_VALUE"""),"#VALUE!")</f>
        <v>#VALUE!</v>
      </c>
      <c r="BY158" t="str">
        <f ca="1">IFERROR(__xludf.DUMMYFUNCTION("""COMPUTED_VALUE"""),"#VALUE!")</f>
        <v>#VALUE!</v>
      </c>
      <c r="CA158" t="str">
        <f ca="1">IFERROR(__xludf.DUMMYFUNCTION("""COMPUTED_VALUE"""),"#VALUE!")</f>
        <v>#VALUE!</v>
      </c>
      <c r="CC158" t="str">
        <f ca="1">IFERROR(__xludf.DUMMYFUNCTION("""COMPUTED_VALUE"""),"#VALUE!")</f>
        <v>#VALUE!</v>
      </c>
      <c r="CE158" t="str">
        <f ca="1">IFERROR(__xludf.DUMMYFUNCTION("""COMPUTED_VALUE"""),"#VALUE!")</f>
        <v>#VALUE!</v>
      </c>
      <c r="CG158" t="str">
        <f ca="1">IFERROR(__xludf.DUMMYFUNCTION("""COMPUTED_VALUE"""),"#VALUE!")</f>
        <v>#VALUE!</v>
      </c>
      <c r="CI158" t="str">
        <f ca="1">IFERROR(__xludf.DUMMYFUNCTION("""COMPUTED_VALUE"""),"#VALUE!")</f>
        <v>#VALUE!</v>
      </c>
      <c r="CK158" t="str">
        <f ca="1">IFERROR(__xludf.DUMMYFUNCTION("""COMPUTED_VALUE"""),"#VALUE!")</f>
        <v>#VALUE!</v>
      </c>
      <c r="CR158" t="str">
        <f ca="1">IFERROR(__xludf.DUMMYFUNCTION("""COMPUTED_VALUE"""),"L0002")</f>
        <v>L0002</v>
      </c>
      <c r="CS158" t="str">
        <f ca="1">IFERROR(__xludf.DUMMYFUNCTION("""COMPUTED_VALUE"""),"Coazze")</f>
        <v>Coazze</v>
      </c>
      <c r="CU158" t="str">
        <f ca="1">IFERROR(__xludf.DUMMYFUNCTION("""COMPUTED_VALUE"""),"#VALUE!")</f>
        <v>#VALUE!</v>
      </c>
      <c r="CW158" t="str">
        <f ca="1">IFERROR(__xludf.DUMMYFUNCTION("""COMPUTED_VALUE"""),"#VALUE!")</f>
        <v>#VALUE!</v>
      </c>
      <c r="CY158" t="str">
        <f ca="1">IFERROR(__xludf.DUMMYFUNCTION("""COMPUTED_VALUE"""),"#VALUE!")</f>
        <v>#VALUE!</v>
      </c>
      <c r="DC158" t="str">
        <f ca="1">IFERROR(__xludf.DUMMYFUNCTION("""COMPUTED_VALUE"""),"#VALUE!")</f>
        <v>#VALUE!</v>
      </c>
      <c r="DE158" t="str">
        <f ca="1">IFERROR(__xludf.DUMMYFUNCTION("""COMPUTED_VALUE"""),"#VALUE!")</f>
        <v>#VALUE!</v>
      </c>
      <c r="DI158" t="str">
        <f ca="1">IFERROR(__xludf.DUMMYFUNCTION("""COMPUTED_VALUE"""),"#VALUE!")</f>
        <v>#VALUE!</v>
      </c>
      <c r="DJ158" t="str">
        <f ca="1">IFERROR(__xludf.DUMMYFUNCTION("""COMPUTED_VALUE"""),"#VALUE!")</f>
        <v>#VALUE!</v>
      </c>
      <c r="DL158" t="str">
        <f ca="1">IFERROR(__xludf.DUMMYFUNCTION("""COMPUTED_VALUE"""),"Davor Salihović")</f>
        <v>Davor Salihović</v>
      </c>
    </row>
    <row r="159" spans="1:116" ht="13.2" x14ac:dyDescent="0.25">
      <c r="A159" t="str">
        <f ca="1">IFERROR(__xludf.DUMMYFUNCTION("""COMPUTED_VALUE"""),"P0162")</f>
        <v>P0162</v>
      </c>
      <c r="B159" t="str">
        <f ca="1">IFERROR(__xludf.DUMMYFUNCTION("""COMPUTED_VALUE"""),"Margarita de Rosseto")</f>
        <v>Margarita de Rosseto</v>
      </c>
      <c r="D159" t="str">
        <f ca="1">IFERROR(__xludf.DUMMYFUNCTION("""COMPUTED_VALUE"""),"#VALUE!")</f>
        <v>#VALUE!</v>
      </c>
      <c r="E159" t="str">
        <f ca="1">IFERROR(__xludf.DUMMYFUNCTION("""COMPUTED_VALUE"""),"Margarita")</f>
        <v>Margarita</v>
      </c>
      <c r="J159" t="str">
        <f ca="1">IFERROR(__xludf.DUMMYFUNCTION("""COMPUTED_VALUE"""),"de")</f>
        <v>de</v>
      </c>
      <c r="K159" t="str">
        <f ca="1">IFERROR(__xludf.DUMMYFUNCTION("""COMPUTED_VALUE"""),"Rosseto")</f>
        <v>Rosseto</v>
      </c>
      <c r="L159" t="str">
        <f ca="1">IFERROR(__xludf.DUMMYFUNCTION("""COMPUTED_VALUE"""),"de Rosseto")</f>
        <v>de Rosseto</v>
      </c>
      <c r="Q159" t="str">
        <f ca="1">IFERROR(__xludf.DUMMYFUNCTION("""COMPUTED_VALUE"""),"soror Petri de Rosseto")</f>
        <v>soror Petri de Rosseto</v>
      </c>
      <c r="S159" t="str">
        <f ca="1">IFERROR(__xludf.DUMMYFUNCTION("""COMPUTED_VALUE"""),"Latin")</f>
        <v>Latin</v>
      </c>
      <c r="T159" t="str">
        <f ca="1">IFERROR(__xludf.DUMMYFUNCTION("""COMPUTED_VALUE"""),"definite")</f>
        <v>definite</v>
      </c>
      <c r="U159" t="str">
        <f ca="1">IFERROR(__xludf.DUMMYFUNCTION("""COMPUTED_VALUE"""),"C2552")</f>
        <v>C2552</v>
      </c>
      <c r="V159" t="str">
        <f ca="1">IFERROR(__xludf.DUMMYFUNCTION("""COMPUTED_VALUE"""),"female")</f>
        <v>female</v>
      </c>
      <c r="Z159" t="str">
        <f ca="1">IFERROR(__xludf.DUMMYFUNCTION("""COMPUTED_VALUE"""),"172, 197, 200, 227")</f>
        <v>172, 197, 200, 227</v>
      </c>
      <c r="AA159" t="str">
        <f ca="1">IFERROR(__xludf.DUMMYFUNCTION("""COMPUTED_VALUE"""),"d")</f>
        <v>d</v>
      </c>
      <c r="AB159" t="str">
        <f ca="1">IFERROR(__xludf.DUMMYFUNCTION("""COMPUTED_VALUE"""),"suspect")</f>
        <v>suspect</v>
      </c>
      <c r="AD159" t="str">
        <f ca="1">IFERROR(__xludf.DUMMYFUNCTION("""COMPUTED_VALUE"""),"C3287")</f>
        <v>C3287</v>
      </c>
      <c r="AE159" t="str">
        <f ca="1">IFERROR(__xludf.DUMMYFUNCTION("""COMPUTED_VALUE"""),"alive")</f>
        <v>alive</v>
      </c>
      <c r="AF159" t="str">
        <f ca="1">IFERROR(__xludf.DUMMYFUNCTION("""COMPUTED_VALUE"""),"C1753")</f>
        <v>C1753</v>
      </c>
      <c r="AG159" t="str">
        <f ca="1">IFERROR(__xludf.DUMMYFUNCTION("""COMPUTED_VALUE"""),"1335-01-20")</f>
        <v>1335-01-20</v>
      </c>
      <c r="AI159" t="str">
        <f ca="1">IFERROR(__xludf.DUMMYFUNCTION("""COMPUTED_VALUE"""),"#VALUE!")</f>
        <v>#VALUE!</v>
      </c>
      <c r="AK159" t="str">
        <f ca="1">IFERROR(__xludf.DUMMYFUNCTION("""COMPUTED_VALUE"""),"#VALUE!")</f>
        <v>#VALUE!</v>
      </c>
      <c r="AM159" t="str">
        <f ca="1">IFERROR(__xludf.DUMMYFUNCTION("""COMPUTED_VALUE"""),"#VALUE!")</f>
        <v>#VALUE!</v>
      </c>
      <c r="AO159" t="str">
        <f ca="1">IFERROR(__xludf.DUMMYFUNCTION("""COMPUTED_VALUE"""),"#VALUE!")</f>
        <v>#VALUE!</v>
      </c>
      <c r="AQ159" t="str">
        <f ca="1">IFERROR(__xludf.DUMMYFUNCTION("""COMPUTED_VALUE"""),"#VALUE!")</f>
        <v>#VALUE!</v>
      </c>
      <c r="AS159" t="str">
        <f ca="1">IFERROR(__xludf.DUMMYFUNCTION("""COMPUTED_VALUE"""),"#VALUE!")</f>
        <v>#VALUE!</v>
      </c>
      <c r="AU159" t="str">
        <f ca="1">IFERROR(__xludf.DUMMYFUNCTION("""COMPUTED_VALUE"""),"#VALUE!")</f>
        <v>#VALUE!</v>
      </c>
      <c r="AW159" t="str">
        <f ca="1">IFERROR(__xludf.DUMMYFUNCTION("""COMPUTED_VALUE"""),"#VALUE!")</f>
        <v>#VALUE!</v>
      </c>
      <c r="AY159" t="str">
        <f ca="1">IFERROR(__xludf.DUMMYFUNCTION("""COMPUTED_VALUE"""),"#VALUE!")</f>
        <v>#VALUE!</v>
      </c>
      <c r="BA159" t="str">
        <f ca="1">IFERROR(__xludf.DUMMYFUNCTION("""COMPUTED_VALUE"""),"#VALUE!")</f>
        <v>#VALUE!</v>
      </c>
      <c r="BC159" t="str">
        <f ca="1">IFERROR(__xludf.DUMMYFUNCTION("""COMPUTED_VALUE"""),"#VALUE!")</f>
        <v>#VALUE!</v>
      </c>
      <c r="BE159" t="str">
        <f ca="1">IFERROR(__xludf.DUMMYFUNCTION("""COMPUTED_VALUE"""),"#VALUE!")</f>
        <v>#VALUE!</v>
      </c>
      <c r="BG159" t="str">
        <f ca="1">IFERROR(__xludf.DUMMYFUNCTION("""COMPUTED_VALUE"""),"#VALUE!")</f>
        <v>#VALUE!</v>
      </c>
      <c r="BI159" t="str">
        <f ca="1">IFERROR(__xludf.DUMMYFUNCTION("""COMPUTED_VALUE"""),"#VALUE!")</f>
        <v>#VALUE!</v>
      </c>
      <c r="BK159" t="str">
        <f ca="1">IFERROR(__xludf.DUMMYFUNCTION("""COMPUTED_VALUE"""),"#VALUE!")</f>
        <v>#VALUE!</v>
      </c>
      <c r="BM159" t="str">
        <f ca="1">IFERROR(__xludf.DUMMYFUNCTION("""COMPUTED_VALUE"""),"#VALUE!")</f>
        <v>#VALUE!</v>
      </c>
      <c r="BO159" t="str">
        <f ca="1">IFERROR(__xludf.DUMMYFUNCTION("""COMPUTED_VALUE"""),"#VALUE!")</f>
        <v>#VALUE!</v>
      </c>
      <c r="BQ159" t="str">
        <f ca="1">IFERROR(__xludf.DUMMYFUNCTION("""COMPUTED_VALUE"""),"#VALUE!")</f>
        <v>#VALUE!</v>
      </c>
      <c r="BS159" t="str">
        <f ca="1">IFERROR(__xludf.DUMMYFUNCTION("""COMPUTED_VALUE"""),"#VALUE!")</f>
        <v>#VALUE!</v>
      </c>
      <c r="BU159" t="str">
        <f ca="1">IFERROR(__xludf.DUMMYFUNCTION("""COMPUTED_VALUE"""),"#VALUE!")</f>
        <v>#VALUE!</v>
      </c>
      <c r="BW159" t="str">
        <f ca="1">IFERROR(__xludf.DUMMYFUNCTION("""COMPUTED_VALUE"""),"#VALUE!")</f>
        <v>#VALUE!</v>
      </c>
      <c r="BY159" t="str">
        <f ca="1">IFERROR(__xludf.DUMMYFUNCTION("""COMPUTED_VALUE"""),"#VALUE!")</f>
        <v>#VALUE!</v>
      </c>
      <c r="CA159" t="str">
        <f ca="1">IFERROR(__xludf.DUMMYFUNCTION("""COMPUTED_VALUE"""),"#VALUE!")</f>
        <v>#VALUE!</v>
      </c>
      <c r="CC159" t="str">
        <f ca="1">IFERROR(__xludf.DUMMYFUNCTION("""COMPUTED_VALUE"""),"#VALUE!")</f>
        <v>#VALUE!</v>
      </c>
      <c r="CD159" t="str">
        <f ca="1">IFERROR(__xludf.DUMMYFUNCTION("""COMPUTED_VALUE"""),"C3598")</f>
        <v>C3598</v>
      </c>
      <c r="CE159" t="str">
        <f ca="1">IFERROR(__xludf.DUMMYFUNCTION("""COMPUTED_VALUE"""),"location of congregation")</f>
        <v>location of congregation</v>
      </c>
      <c r="CF159" t="str">
        <f ca="1">IFERROR(__xludf.DUMMYFUNCTION("""COMPUTED_VALUE"""),"L0154#L0080#L0071")</f>
        <v>L0154#L0080#L0071</v>
      </c>
      <c r="CG159" t="str">
        <f ca="1">IFERROR(__xludf.DUMMYFUNCTION("""COMPUTED_VALUE"""),"domus Palmeroni Goytro #domus Petrii Burgi #domus Iohannis Mulini de Sala")</f>
        <v>domus Palmeroni Goytro #domus Petrii Burgi #domus Iohannis Mulini de Sala</v>
      </c>
      <c r="CI159" t="str">
        <f ca="1">IFERROR(__xludf.DUMMYFUNCTION("""COMPUTED_VALUE"""),"#VALUE!")</f>
        <v>#VALUE!</v>
      </c>
      <c r="CK159" t="str">
        <f ca="1">IFERROR(__xludf.DUMMYFUNCTION("""COMPUTED_VALUE"""),"#VALUE!")</f>
        <v>#VALUE!</v>
      </c>
      <c r="CP159" t="str">
        <f ca="1">IFERROR(__xludf.DUMMYFUNCTION("""COMPUTED_VALUE"""),"soror Bernardi de Rosseto")</f>
        <v>soror Bernardi de Rosseto</v>
      </c>
      <c r="CS159" t="str">
        <f ca="1">IFERROR(__xludf.DUMMYFUNCTION("""COMPUTED_VALUE"""),"#VALUE!")</f>
        <v>#VALUE!</v>
      </c>
      <c r="CU159" t="str">
        <f ca="1">IFERROR(__xludf.DUMMYFUNCTION("""COMPUTED_VALUE"""),"#VALUE!")</f>
        <v>#VALUE!</v>
      </c>
      <c r="CV159" t="str">
        <f ca="1">IFERROR(__xludf.DUMMYFUNCTION("""COMPUTED_VALUE"""),"L0010")</f>
        <v>L0010</v>
      </c>
      <c r="CW159" t="str">
        <f ca="1">IFERROR(__xludf.DUMMYFUNCTION("""COMPUTED_VALUE"""),"Buffa")</f>
        <v>Buffa</v>
      </c>
      <c r="CY159" t="str">
        <f ca="1">IFERROR(__xludf.DUMMYFUNCTION("""COMPUTED_VALUE"""),"#VALUE!")</f>
        <v>#VALUE!</v>
      </c>
      <c r="DC159" t="str">
        <f ca="1">IFERROR(__xludf.DUMMYFUNCTION("""COMPUTED_VALUE"""),"#VALUE!")</f>
        <v>#VALUE!</v>
      </c>
      <c r="DE159" t="str">
        <f ca="1">IFERROR(__xludf.DUMMYFUNCTION("""COMPUTED_VALUE"""),"#VALUE!")</f>
        <v>#VALUE!</v>
      </c>
      <c r="DF159" t="str">
        <f ca="1">IFERROR(__xludf.DUMMYFUNCTION("""COMPUTED_VALUE"""),"y")</f>
        <v>y</v>
      </c>
      <c r="DG159" t="str">
        <f ca="1">IFERROR(__xludf.DUMMYFUNCTION("""COMPUTED_VALUE"""),"227")</f>
        <v>227</v>
      </c>
      <c r="DH159" t="str">
        <f ca="1">IFERROR(__xludf.DUMMYFUNCTION("""COMPUTED_VALUE"""),"L0154#L0080#L0071")</f>
        <v>L0154#L0080#L0071</v>
      </c>
      <c r="DI159" t="str">
        <f ca="1">IFERROR(__xludf.DUMMYFUNCTION("""COMPUTED_VALUE"""),"domus Palmeroni Goytro #domus Petrii Burgi #domus Iohannis Mulini de Sala")</f>
        <v>domus Palmeroni Goytro #domus Petrii Burgi #domus Iohannis Mulini de Sala</v>
      </c>
      <c r="DJ159" t="str">
        <f ca="1">IFERROR(__xludf.DUMMYFUNCTION("""COMPUTED_VALUE"""),"domus #domus #domus")</f>
        <v>domus #domus #domus</v>
      </c>
      <c r="DL159" t="str">
        <f ca="1">IFERROR(__xludf.DUMMYFUNCTION("""COMPUTED_VALUE"""),"Davor Salihović")</f>
        <v>Davor Salihović</v>
      </c>
    </row>
    <row r="160" spans="1:116" ht="13.2" x14ac:dyDescent="0.25">
      <c r="A160" t="str">
        <f ca="1">IFERROR(__xludf.DUMMYFUNCTION("""COMPUTED_VALUE"""),"P0163")</f>
        <v>P0163</v>
      </c>
      <c r="B160" t="str">
        <f ca="1">IFERROR(__xludf.DUMMYFUNCTION("""COMPUTED_VALUE"""),"Michael Goytro")</f>
        <v>Michael Goytro</v>
      </c>
      <c r="D160" t="str">
        <f ca="1">IFERROR(__xludf.DUMMYFUNCTION("""COMPUTED_VALUE"""),"#VALUE!")</f>
        <v>#VALUE!</v>
      </c>
      <c r="E160" t="str">
        <f ca="1">IFERROR(__xludf.DUMMYFUNCTION("""COMPUTED_VALUE"""),"Michael")</f>
        <v>Michael</v>
      </c>
      <c r="K160" t="str">
        <f ca="1">IFERROR(__xludf.DUMMYFUNCTION("""COMPUTED_VALUE"""),"Goytro")</f>
        <v>Goytro</v>
      </c>
      <c r="L160" t="str">
        <f ca="1">IFERROR(__xludf.DUMMYFUNCTION("""COMPUTED_VALUE"""),"Goytro")</f>
        <v>Goytro</v>
      </c>
      <c r="S160" t="str">
        <f ca="1">IFERROR(__xludf.DUMMYFUNCTION("""COMPUTED_VALUE"""),"Latin")</f>
        <v>Latin</v>
      </c>
      <c r="T160" t="str">
        <f ca="1">IFERROR(__xludf.DUMMYFUNCTION("""COMPUTED_VALUE"""),"definite")</f>
        <v>definite</v>
      </c>
      <c r="U160" t="str">
        <f ca="1">IFERROR(__xludf.DUMMYFUNCTION("""COMPUTED_VALUE"""),"C2553")</f>
        <v>C2553</v>
      </c>
      <c r="V160" t="str">
        <f ca="1">IFERROR(__xludf.DUMMYFUNCTION("""COMPUTED_VALUE"""),"male")</f>
        <v>male</v>
      </c>
      <c r="Z160" t="str">
        <f ca="1">IFERROR(__xludf.DUMMYFUNCTION("""COMPUTED_VALUE"""),"172, 175, 184, 207, 227")</f>
        <v>172, 175, 184, 207, 227</v>
      </c>
      <c r="AA160" t="str">
        <f ca="1">IFERROR(__xludf.DUMMYFUNCTION("""COMPUTED_VALUE"""),"d")</f>
        <v>d</v>
      </c>
      <c r="AB160" t="str">
        <f ca="1">IFERROR(__xludf.DUMMYFUNCTION("""COMPUTED_VALUE"""),"suspect")</f>
        <v>suspect</v>
      </c>
      <c r="AD160" t="str">
        <f ca="1">IFERROR(__xludf.DUMMYFUNCTION("""COMPUTED_VALUE"""),"C3287")</f>
        <v>C3287</v>
      </c>
      <c r="AE160" t="str">
        <f ca="1">IFERROR(__xludf.DUMMYFUNCTION("""COMPUTED_VALUE"""),"alive")</f>
        <v>alive</v>
      </c>
      <c r="AF160" t="str">
        <f ca="1">IFERROR(__xludf.DUMMYFUNCTION("""COMPUTED_VALUE"""),"C1753")</f>
        <v>C1753</v>
      </c>
      <c r="AG160" t="str">
        <f ca="1">IFERROR(__xludf.DUMMYFUNCTION("""COMPUTED_VALUE"""),"1335-01-20")</f>
        <v>1335-01-20</v>
      </c>
      <c r="AH160" t="str">
        <f ca="1">IFERROR(__xludf.DUMMYFUNCTION("""COMPUTED_VALUE"""),"C2348")</f>
        <v>C2348</v>
      </c>
      <c r="AI160" t="str">
        <f ca="1">IFERROR(__xludf.DUMMYFUNCTION("""COMPUTED_VALUE"""),"wife")</f>
        <v>wife</v>
      </c>
      <c r="AJ160" t="str">
        <f ca="1">IFERROR(__xludf.DUMMYFUNCTION("""COMPUTED_VALUE"""),"P0164")</f>
        <v>P0164</v>
      </c>
      <c r="AK160" t="str">
        <f ca="1">IFERROR(__xludf.DUMMYFUNCTION("""COMPUTED_VALUE"""),"Romana, uxor Michaelis Goytro")</f>
        <v>Romana, uxor Michaelis Goytro</v>
      </c>
      <c r="AL160" t="str">
        <f ca="1">IFERROR(__xludf.DUMMYFUNCTION("""COMPUTED_VALUE"""),"C0147")</f>
        <v>C0147</v>
      </c>
      <c r="AM160" t="str">
        <f ca="1">IFERROR(__xludf.DUMMYFUNCTION("""COMPUTED_VALUE"""),"warrantor")</f>
        <v>warrantor</v>
      </c>
      <c r="AN160" t="str">
        <f ca="1">IFERROR(__xludf.DUMMYFUNCTION("""COMPUTED_VALUE"""),"P0181")</f>
        <v>P0181</v>
      </c>
      <c r="AO160" t="str">
        <f ca="1">IFERROR(__xludf.DUMMYFUNCTION("""COMPUTED_VALUE"""),"Aymonetus de Fomya")</f>
        <v>Aymonetus de Fomya</v>
      </c>
      <c r="AQ160" t="str">
        <f ca="1">IFERROR(__xludf.DUMMYFUNCTION("""COMPUTED_VALUE"""),"#VALUE!")</f>
        <v>#VALUE!</v>
      </c>
      <c r="AS160" t="str">
        <f ca="1">IFERROR(__xludf.DUMMYFUNCTION("""COMPUTED_VALUE"""),"#VALUE!")</f>
        <v>#VALUE!</v>
      </c>
      <c r="AU160" t="str">
        <f ca="1">IFERROR(__xludf.DUMMYFUNCTION("""COMPUTED_VALUE"""),"#VALUE!")</f>
        <v>#VALUE!</v>
      </c>
      <c r="AW160" t="str">
        <f ca="1">IFERROR(__xludf.DUMMYFUNCTION("""COMPUTED_VALUE"""),"#VALUE!")</f>
        <v>#VALUE!</v>
      </c>
      <c r="AY160" t="str">
        <f ca="1">IFERROR(__xludf.DUMMYFUNCTION("""COMPUTED_VALUE"""),"#VALUE!")</f>
        <v>#VALUE!</v>
      </c>
      <c r="BA160" t="str">
        <f ca="1">IFERROR(__xludf.DUMMYFUNCTION("""COMPUTED_VALUE"""),"#VALUE!")</f>
        <v>#VALUE!</v>
      </c>
      <c r="BC160" t="str">
        <f ca="1">IFERROR(__xludf.DUMMYFUNCTION("""COMPUTED_VALUE"""),"#VALUE!")</f>
        <v>#VALUE!</v>
      </c>
      <c r="BE160" t="str">
        <f ca="1">IFERROR(__xludf.DUMMYFUNCTION("""COMPUTED_VALUE"""),"#VALUE!")</f>
        <v>#VALUE!</v>
      </c>
      <c r="BG160" t="str">
        <f ca="1">IFERROR(__xludf.DUMMYFUNCTION("""COMPUTED_VALUE"""),"#VALUE!")</f>
        <v>#VALUE!</v>
      </c>
      <c r="BI160" t="str">
        <f ca="1">IFERROR(__xludf.DUMMYFUNCTION("""COMPUTED_VALUE"""),"#VALUE!")</f>
        <v>#VALUE!</v>
      </c>
      <c r="BK160" t="str">
        <f ca="1">IFERROR(__xludf.DUMMYFUNCTION("""COMPUTED_VALUE"""),"#VALUE!")</f>
        <v>#VALUE!</v>
      </c>
      <c r="BM160" t="str">
        <f ca="1">IFERROR(__xludf.DUMMYFUNCTION("""COMPUTED_VALUE"""),"#VALUE!")</f>
        <v>#VALUE!</v>
      </c>
      <c r="BO160" t="str">
        <f ca="1">IFERROR(__xludf.DUMMYFUNCTION("""COMPUTED_VALUE"""),"#VALUE!")</f>
        <v>#VALUE!</v>
      </c>
      <c r="BQ160" t="str">
        <f ca="1">IFERROR(__xludf.DUMMYFUNCTION("""COMPUTED_VALUE"""),"#VALUE!")</f>
        <v>#VALUE!</v>
      </c>
      <c r="BS160" t="str">
        <f ca="1">IFERROR(__xludf.DUMMYFUNCTION("""COMPUTED_VALUE"""),"#VALUE!")</f>
        <v>#VALUE!</v>
      </c>
      <c r="BU160" t="str">
        <f ca="1">IFERROR(__xludf.DUMMYFUNCTION("""COMPUTED_VALUE"""),"#VALUE!")</f>
        <v>#VALUE!</v>
      </c>
      <c r="BW160" t="str">
        <f ca="1">IFERROR(__xludf.DUMMYFUNCTION("""COMPUTED_VALUE"""),"#VALUE!")</f>
        <v>#VALUE!</v>
      </c>
      <c r="BY160" t="str">
        <f ca="1">IFERROR(__xludf.DUMMYFUNCTION("""COMPUTED_VALUE"""),"#VALUE!")</f>
        <v>#VALUE!</v>
      </c>
      <c r="CA160" t="str">
        <f ca="1">IFERROR(__xludf.DUMMYFUNCTION("""COMPUTED_VALUE"""),"#VALUE!")</f>
        <v>#VALUE!</v>
      </c>
      <c r="CC160" t="str">
        <f ca="1">IFERROR(__xludf.DUMMYFUNCTION("""COMPUTED_VALUE"""),"#VALUE!")</f>
        <v>#VALUE!</v>
      </c>
      <c r="CD160" t="str">
        <f ca="1">IFERROR(__xludf.DUMMYFUNCTION("""COMPUTED_VALUE"""),"C3598")</f>
        <v>C3598</v>
      </c>
      <c r="CE160" t="str">
        <f ca="1">IFERROR(__xludf.DUMMYFUNCTION("""COMPUTED_VALUE"""),"location of congregation")</f>
        <v>location of congregation</v>
      </c>
      <c r="CF160" t="str">
        <f ca="1">IFERROR(__xludf.DUMMYFUNCTION("""COMPUTED_VALUE"""),"L0154#L0108")</f>
        <v>L0154#L0108</v>
      </c>
      <c r="CG160" t="str">
        <f ca="1">IFERROR(__xludf.DUMMYFUNCTION("""COMPUTED_VALUE"""),"domus Palmeroni Goytro #domus Petri de Oddo")</f>
        <v>domus Palmeroni Goytro #domus Petri de Oddo</v>
      </c>
      <c r="CH160" t="str">
        <f ca="1">IFERROR(__xludf.DUMMYFUNCTION("""COMPUTED_VALUE"""),"P0181")</f>
        <v>P0181</v>
      </c>
      <c r="CI160" t="str">
        <f ca="1">IFERROR(__xludf.DUMMYFUNCTION("""COMPUTED_VALUE"""),"Aymonetus de Fomya")</f>
        <v>Aymonetus de Fomya</v>
      </c>
      <c r="CK160" t="str">
        <f ca="1">IFERROR(__xludf.DUMMYFUNCTION("""COMPUTED_VALUE"""),"#VALUE!")</f>
        <v>#VALUE!</v>
      </c>
      <c r="CS160" t="str">
        <f ca="1">IFERROR(__xludf.DUMMYFUNCTION("""COMPUTED_VALUE"""),"#VALUE!")</f>
        <v>#VALUE!</v>
      </c>
      <c r="CU160" t="str">
        <f ca="1">IFERROR(__xludf.DUMMYFUNCTION("""COMPUTED_VALUE"""),"#VALUE!")</f>
        <v>#VALUE!</v>
      </c>
      <c r="CV160" t="str">
        <f ca="1">IFERROR(__xludf.DUMMYFUNCTION("""COMPUTED_VALUE"""),"L0010")</f>
        <v>L0010</v>
      </c>
      <c r="CW160" t="str">
        <f ca="1">IFERROR(__xludf.DUMMYFUNCTION("""COMPUTED_VALUE"""),"Buffa")</f>
        <v>Buffa</v>
      </c>
      <c r="CY160" t="str">
        <f ca="1">IFERROR(__xludf.DUMMYFUNCTION("""COMPUTED_VALUE"""),"#VALUE!")</f>
        <v>#VALUE!</v>
      </c>
      <c r="DC160" t="str">
        <f ca="1">IFERROR(__xludf.DUMMYFUNCTION("""COMPUTED_VALUE"""),"#VALUE!")</f>
        <v>#VALUE!</v>
      </c>
      <c r="DE160" t="str">
        <f ca="1">IFERROR(__xludf.DUMMYFUNCTION("""COMPUTED_VALUE"""),"#VALUE!")</f>
        <v>#VALUE!</v>
      </c>
      <c r="DF160" t="str">
        <f ca="1">IFERROR(__xludf.DUMMYFUNCTION("""COMPUTED_VALUE"""),"y")</f>
        <v>y</v>
      </c>
      <c r="DG160" t="str">
        <f ca="1">IFERROR(__xludf.DUMMYFUNCTION("""COMPUTED_VALUE"""),"175, 227")</f>
        <v>175, 227</v>
      </c>
      <c r="DH160" t="str">
        <f ca="1">IFERROR(__xludf.DUMMYFUNCTION("""COMPUTED_VALUE"""),"L0154#L0108")</f>
        <v>L0154#L0108</v>
      </c>
      <c r="DI160" t="str">
        <f ca="1">IFERROR(__xludf.DUMMYFUNCTION("""COMPUTED_VALUE"""),"domus Palmeroni Goytro #domus Petri de Oddo")</f>
        <v>domus Palmeroni Goytro #domus Petri de Oddo</v>
      </c>
      <c r="DJ160" t="str">
        <f ca="1">IFERROR(__xludf.DUMMYFUNCTION("""COMPUTED_VALUE"""),"domus #domus")</f>
        <v>domus #domus</v>
      </c>
      <c r="DL160" t="str">
        <f ca="1">IFERROR(__xludf.DUMMYFUNCTION("""COMPUTED_VALUE"""),"Davor Salihović")</f>
        <v>Davor Salihović</v>
      </c>
    </row>
    <row r="161" spans="1:116" ht="13.2" x14ac:dyDescent="0.25">
      <c r="A161" t="str">
        <f ca="1">IFERROR(__xludf.DUMMYFUNCTION("""COMPUTED_VALUE"""),"P0164")</f>
        <v>P0164</v>
      </c>
      <c r="B161" t="str">
        <f ca="1">IFERROR(__xludf.DUMMYFUNCTION("""COMPUTED_VALUE"""),"Romana, uxor Michaelis Goytro")</f>
        <v>Romana, uxor Michaelis Goytro</v>
      </c>
      <c r="D161" t="str">
        <f ca="1">IFERROR(__xludf.DUMMYFUNCTION("""COMPUTED_VALUE"""),"#VALUE!")</f>
        <v>#VALUE!</v>
      </c>
      <c r="E161" t="str">
        <f ca="1">IFERROR(__xludf.DUMMYFUNCTION("""COMPUTED_VALUE"""),"Romana")</f>
        <v>Romana</v>
      </c>
      <c r="Q161" t="str">
        <f ca="1">IFERROR(__xludf.DUMMYFUNCTION("""COMPUTED_VALUE"""),"uxor Michaelis Goytro")</f>
        <v>uxor Michaelis Goytro</v>
      </c>
      <c r="S161" t="str">
        <f ca="1">IFERROR(__xludf.DUMMYFUNCTION("""COMPUTED_VALUE"""),"Latin")</f>
        <v>Latin</v>
      </c>
      <c r="T161" t="str">
        <f ca="1">IFERROR(__xludf.DUMMYFUNCTION("""COMPUTED_VALUE"""),"definite")</f>
        <v>definite</v>
      </c>
      <c r="U161" t="str">
        <f ca="1">IFERROR(__xludf.DUMMYFUNCTION("""COMPUTED_VALUE"""),"C2552")</f>
        <v>C2552</v>
      </c>
      <c r="V161" t="str">
        <f ca="1">IFERROR(__xludf.DUMMYFUNCTION("""COMPUTED_VALUE"""),"female")</f>
        <v>female</v>
      </c>
      <c r="Z161" t="str">
        <f ca="1">IFERROR(__xludf.DUMMYFUNCTION("""COMPUTED_VALUE"""),"172")</f>
        <v>172</v>
      </c>
      <c r="AA161" t="str">
        <f ca="1">IFERROR(__xludf.DUMMYFUNCTION("""COMPUTED_VALUE"""),"d")</f>
        <v>d</v>
      </c>
      <c r="AB161" t="str">
        <f ca="1">IFERROR(__xludf.DUMMYFUNCTION("""COMPUTED_VALUE"""),"suspect")</f>
        <v>suspect</v>
      </c>
      <c r="AE161" t="str">
        <f ca="1">IFERROR(__xludf.DUMMYFUNCTION("""COMPUTED_VALUE"""),"#VALUE!")</f>
        <v>#VALUE!</v>
      </c>
      <c r="AF161" t="str">
        <f ca="1">IFERROR(__xludf.DUMMYFUNCTION("""COMPUTED_VALUE"""),"#N/A")</f>
        <v>#N/A</v>
      </c>
      <c r="AG161" t="str">
        <f ca="1">IFERROR(__xludf.DUMMYFUNCTION("""COMPUTED_VALUE"""),"#N/A")</f>
        <v>#N/A</v>
      </c>
      <c r="AI161" t="str">
        <f ca="1">IFERROR(__xludf.DUMMYFUNCTION("""COMPUTED_VALUE"""),"#VALUE!")</f>
        <v>#VALUE!</v>
      </c>
      <c r="AK161" t="str">
        <f ca="1">IFERROR(__xludf.DUMMYFUNCTION("""COMPUTED_VALUE"""),"#VALUE!")</f>
        <v>#VALUE!</v>
      </c>
      <c r="AM161" t="str">
        <f ca="1">IFERROR(__xludf.DUMMYFUNCTION("""COMPUTED_VALUE"""),"#VALUE!")</f>
        <v>#VALUE!</v>
      </c>
      <c r="AO161" t="str">
        <f ca="1">IFERROR(__xludf.DUMMYFUNCTION("""COMPUTED_VALUE"""),"#VALUE!")</f>
        <v>#VALUE!</v>
      </c>
      <c r="AQ161" t="str">
        <f ca="1">IFERROR(__xludf.DUMMYFUNCTION("""COMPUTED_VALUE"""),"#VALUE!")</f>
        <v>#VALUE!</v>
      </c>
      <c r="AS161" t="str">
        <f ca="1">IFERROR(__xludf.DUMMYFUNCTION("""COMPUTED_VALUE"""),"#VALUE!")</f>
        <v>#VALUE!</v>
      </c>
      <c r="AU161" t="str">
        <f ca="1">IFERROR(__xludf.DUMMYFUNCTION("""COMPUTED_VALUE"""),"#VALUE!")</f>
        <v>#VALUE!</v>
      </c>
      <c r="AW161" t="str">
        <f ca="1">IFERROR(__xludf.DUMMYFUNCTION("""COMPUTED_VALUE"""),"#VALUE!")</f>
        <v>#VALUE!</v>
      </c>
      <c r="AY161" t="str">
        <f ca="1">IFERROR(__xludf.DUMMYFUNCTION("""COMPUTED_VALUE"""),"#VALUE!")</f>
        <v>#VALUE!</v>
      </c>
      <c r="BA161" t="str">
        <f ca="1">IFERROR(__xludf.DUMMYFUNCTION("""COMPUTED_VALUE"""),"#VALUE!")</f>
        <v>#VALUE!</v>
      </c>
      <c r="BC161" t="str">
        <f ca="1">IFERROR(__xludf.DUMMYFUNCTION("""COMPUTED_VALUE"""),"#VALUE!")</f>
        <v>#VALUE!</v>
      </c>
      <c r="BE161" t="str">
        <f ca="1">IFERROR(__xludf.DUMMYFUNCTION("""COMPUTED_VALUE"""),"#VALUE!")</f>
        <v>#VALUE!</v>
      </c>
      <c r="BG161" t="str">
        <f ca="1">IFERROR(__xludf.DUMMYFUNCTION("""COMPUTED_VALUE"""),"#VALUE!")</f>
        <v>#VALUE!</v>
      </c>
      <c r="BI161" t="str">
        <f ca="1">IFERROR(__xludf.DUMMYFUNCTION("""COMPUTED_VALUE"""),"#VALUE!")</f>
        <v>#VALUE!</v>
      </c>
      <c r="BK161" t="str">
        <f ca="1">IFERROR(__xludf.DUMMYFUNCTION("""COMPUTED_VALUE"""),"#VALUE!")</f>
        <v>#VALUE!</v>
      </c>
      <c r="BM161" t="str">
        <f ca="1">IFERROR(__xludf.DUMMYFUNCTION("""COMPUTED_VALUE"""),"#VALUE!")</f>
        <v>#VALUE!</v>
      </c>
      <c r="BO161" t="str">
        <f ca="1">IFERROR(__xludf.DUMMYFUNCTION("""COMPUTED_VALUE"""),"#VALUE!")</f>
        <v>#VALUE!</v>
      </c>
      <c r="BQ161" t="str">
        <f ca="1">IFERROR(__xludf.DUMMYFUNCTION("""COMPUTED_VALUE"""),"#VALUE!")</f>
        <v>#VALUE!</v>
      </c>
      <c r="BS161" t="str">
        <f ca="1">IFERROR(__xludf.DUMMYFUNCTION("""COMPUTED_VALUE"""),"#VALUE!")</f>
        <v>#VALUE!</v>
      </c>
      <c r="BU161" t="str">
        <f ca="1">IFERROR(__xludf.DUMMYFUNCTION("""COMPUTED_VALUE"""),"#VALUE!")</f>
        <v>#VALUE!</v>
      </c>
      <c r="BW161" t="str">
        <f ca="1">IFERROR(__xludf.DUMMYFUNCTION("""COMPUTED_VALUE"""),"#VALUE!")</f>
        <v>#VALUE!</v>
      </c>
      <c r="BY161" t="str">
        <f ca="1">IFERROR(__xludf.DUMMYFUNCTION("""COMPUTED_VALUE"""),"#VALUE!")</f>
        <v>#VALUE!</v>
      </c>
      <c r="CA161" t="str">
        <f ca="1">IFERROR(__xludf.DUMMYFUNCTION("""COMPUTED_VALUE"""),"#VALUE!")</f>
        <v>#VALUE!</v>
      </c>
      <c r="CC161" t="str">
        <f ca="1">IFERROR(__xludf.DUMMYFUNCTION("""COMPUTED_VALUE"""),"#VALUE!")</f>
        <v>#VALUE!</v>
      </c>
      <c r="CD161" t="str">
        <f ca="1">IFERROR(__xludf.DUMMYFUNCTION("""COMPUTED_VALUE"""),"C3598")</f>
        <v>C3598</v>
      </c>
      <c r="CE161" t="str">
        <f ca="1">IFERROR(__xludf.DUMMYFUNCTION("""COMPUTED_VALUE"""),"location of congregation")</f>
        <v>location of congregation</v>
      </c>
      <c r="CF161" t="str">
        <f ca="1">IFERROR(__xludf.DUMMYFUNCTION("""COMPUTED_VALUE"""),"L0154")</f>
        <v>L0154</v>
      </c>
      <c r="CG161" t="str">
        <f ca="1">IFERROR(__xludf.DUMMYFUNCTION("""COMPUTED_VALUE"""),"domus Palmeroni Goytro")</f>
        <v>domus Palmeroni Goytro</v>
      </c>
      <c r="CI161" t="str">
        <f ca="1">IFERROR(__xludf.DUMMYFUNCTION("""COMPUTED_VALUE"""),"#VALUE!")</f>
        <v>#VALUE!</v>
      </c>
      <c r="CK161" t="str">
        <f ca="1">IFERROR(__xludf.DUMMYFUNCTION("""COMPUTED_VALUE"""),"#VALUE!")</f>
        <v>#VALUE!</v>
      </c>
      <c r="CS161" t="str">
        <f ca="1">IFERROR(__xludf.DUMMYFUNCTION("""COMPUTED_VALUE"""),"#VALUE!")</f>
        <v>#VALUE!</v>
      </c>
      <c r="CU161" t="str">
        <f ca="1">IFERROR(__xludf.DUMMYFUNCTION("""COMPUTED_VALUE"""),"#VALUE!")</f>
        <v>#VALUE!</v>
      </c>
      <c r="CV161" t="str">
        <f ca="1">IFERROR(__xludf.DUMMYFUNCTION("""COMPUTED_VALUE"""),"L0010")</f>
        <v>L0010</v>
      </c>
      <c r="CW161" t="str">
        <f ca="1">IFERROR(__xludf.DUMMYFUNCTION("""COMPUTED_VALUE"""),"Buffa")</f>
        <v>Buffa</v>
      </c>
      <c r="CY161" t="str">
        <f ca="1">IFERROR(__xludf.DUMMYFUNCTION("""COMPUTED_VALUE"""),"#VALUE!")</f>
        <v>#VALUE!</v>
      </c>
      <c r="DC161" t="str">
        <f ca="1">IFERROR(__xludf.DUMMYFUNCTION("""COMPUTED_VALUE"""),"#VALUE!")</f>
        <v>#VALUE!</v>
      </c>
      <c r="DE161" t="str">
        <f ca="1">IFERROR(__xludf.DUMMYFUNCTION("""COMPUTED_VALUE"""),"#VALUE!")</f>
        <v>#VALUE!</v>
      </c>
      <c r="DH161" t="str">
        <f ca="1">IFERROR(__xludf.DUMMYFUNCTION("""COMPUTED_VALUE"""),"L0154")</f>
        <v>L0154</v>
      </c>
      <c r="DI161" t="str">
        <f ca="1">IFERROR(__xludf.DUMMYFUNCTION("""COMPUTED_VALUE"""),"domus Palmeroni Goytro")</f>
        <v>domus Palmeroni Goytro</v>
      </c>
      <c r="DJ161" t="str">
        <f ca="1">IFERROR(__xludf.DUMMYFUNCTION("""COMPUTED_VALUE"""),"domus")</f>
        <v>domus</v>
      </c>
      <c r="DL161" t="str">
        <f ca="1">IFERROR(__xludf.DUMMYFUNCTION("""COMPUTED_VALUE"""),"Davor Salihović")</f>
        <v>Davor Salihović</v>
      </c>
    </row>
    <row r="162" spans="1:116" ht="13.2" x14ac:dyDescent="0.25">
      <c r="A162" t="str">
        <f ca="1">IFERROR(__xludf.DUMMYFUNCTION("""COMPUTED_VALUE"""),"P0165")</f>
        <v>P0165</v>
      </c>
      <c r="B162" t="str">
        <f ca="1">IFERROR(__xludf.DUMMYFUNCTION("""COMPUTED_VALUE"""),"Villelmeta Goytrata")</f>
        <v>Villelmeta Goytrata</v>
      </c>
      <c r="D162" t="str">
        <f ca="1">IFERROR(__xludf.DUMMYFUNCTION("""COMPUTED_VALUE"""),"#VALUE!")</f>
        <v>#VALUE!</v>
      </c>
      <c r="E162" t="str">
        <f ca="1">IFERROR(__xludf.DUMMYFUNCTION("""COMPUTED_VALUE"""),"Villelmeta")</f>
        <v>Villelmeta</v>
      </c>
      <c r="K162" t="str">
        <f ca="1">IFERROR(__xludf.DUMMYFUNCTION("""COMPUTED_VALUE"""),"Goytrata")</f>
        <v>Goytrata</v>
      </c>
      <c r="L162" t="str">
        <f ca="1">IFERROR(__xludf.DUMMYFUNCTION("""COMPUTED_VALUE"""),"Goytrata")</f>
        <v>Goytrata</v>
      </c>
      <c r="S162" t="str">
        <f ca="1">IFERROR(__xludf.DUMMYFUNCTION("""COMPUTED_VALUE"""),"Latin")</f>
        <v>Latin</v>
      </c>
      <c r="T162" t="str">
        <f ca="1">IFERROR(__xludf.DUMMYFUNCTION("""COMPUTED_VALUE"""),"definite")</f>
        <v>definite</v>
      </c>
      <c r="U162" t="str">
        <f ca="1">IFERROR(__xludf.DUMMYFUNCTION("""COMPUTED_VALUE"""),"C2552")</f>
        <v>C2552</v>
      </c>
      <c r="V162" t="str">
        <f ca="1">IFERROR(__xludf.DUMMYFUNCTION("""COMPUTED_VALUE"""),"female")</f>
        <v>female</v>
      </c>
      <c r="Z162" t="str">
        <f ca="1">IFERROR(__xludf.DUMMYFUNCTION("""COMPUTED_VALUE"""),"172, 173")</f>
        <v>172, 173</v>
      </c>
      <c r="AA162" t="str">
        <f ca="1">IFERROR(__xludf.DUMMYFUNCTION("""COMPUTED_VALUE"""),"d")</f>
        <v>d</v>
      </c>
      <c r="AB162" t="str">
        <f ca="1">IFERROR(__xludf.DUMMYFUNCTION("""COMPUTED_VALUE"""),"suspect")</f>
        <v>suspect</v>
      </c>
      <c r="AE162" t="str">
        <f ca="1">IFERROR(__xludf.DUMMYFUNCTION("""COMPUTED_VALUE"""),"#VALUE!")</f>
        <v>#VALUE!</v>
      </c>
      <c r="AF162" t="str">
        <f ca="1">IFERROR(__xludf.DUMMYFUNCTION("""COMPUTED_VALUE"""),"#N/A")</f>
        <v>#N/A</v>
      </c>
      <c r="AG162" t="str">
        <f ca="1">IFERROR(__xludf.DUMMYFUNCTION("""COMPUTED_VALUE"""),"#N/A")</f>
        <v>#N/A</v>
      </c>
      <c r="AI162" t="str">
        <f ca="1">IFERROR(__xludf.DUMMYFUNCTION("""COMPUTED_VALUE"""),"#VALUE!")</f>
        <v>#VALUE!</v>
      </c>
      <c r="AK162" t="str">
        <f ca="1">IFERROR(__xludf.DUMMYFUNCTION("""COMPUTED_VALUE"""),"#VALUE!")</f>
        <v>#VALUE!</v>
      </c>
      <c r="AM162" t="str">
        <f ca="1">IFERROR(__xludf.DUMMYFUNCTION("""COMPUTED_VALUE"""),"#VALUE!")</f>
        <v>#VALUE!</v>
      </c>
      <c r="AO162" t="str">
        <f ca="1">IFERROR(__xludf.DUMMYFUNCTION("""COMPUTED_VALUE"""),"#VALUE!")</f>
        <v>#VALUE!</v>
      </c>
      <c r="AQ162" t="str">
        <f ca="1">IFERROR(__xludf.DUMMYFUNCTION("""COMPUTED_VALUE"""),"#VALUE!")</f>
        <v>#VALUE!</v>
      </c>
      <c r="AS162" t="str">
        <f ca="1">IFERROR(__xludf.DUMMYFUNCTION("""COMPUTED_VALUE"""),"#VALUE!")</f>
        <v>#VALUE!</v>
      </c>
      <c r="AU162" t="str">
        <f ca="1">IFERROR(__xludf.DUMMYFUNCTION("""COMPUTED_VALUE"""),"#VALUE!")</f>
        <v>#VALUE!</v>
      </c>
      <c r="AW162" t="str">
        <f ca="1">IFERROR(__xludf.DUMMYFUNCTION("""COMPUTED_VALUE"""),"#VALUE!")</f>
        <v>#VALUE!</v>
      </c>
      <c r="AY162" t="str">
        <f ca="1">IFERROR(__xludf.DUMMYFUNCTION("""COMPUTED_VALUE"""),"#VALUE!")</f>
        <v>#VALUE!</v>
      </c>
      <c r="BA162" t="str">
        <f ca="1">IFERROR(__xludf.DUMMYFUNCTION("""COMPUTED_VALUE"""),"#VALUE!")</f>
        <v>#VALUE!</v>
      </c>
      <c r="BC162" t="str">
        <f ca="1">IFERROR(__xludf.DUMMYFUNCTION("""COMPUTED_VALUE"""),"#VALUE!")</f>
        <v>#VALUE!</v>
      </c>
      <c r="BE162" t="str">
        <f ca="1">IFERROR(__xludf.DUMMYFUNCTION("""COMPUTED_VALUE"""),"#VALUE!")</f>
        <v>#VALUE!</v>
      </c>
      <c r="BG162" t="str">
        <f ca="1">IFERROR(__xludf.DUMMYFUNCTION("""COMPUTED_VALUE"""),"#VALUE!")</f>
        <v>#VALUE!</v>
      </c>
      <c r="BI162" t="str">
        <f ca="1">IFERROR(__xludf.DUMMYFUNCTION("""COMPUTED_VALUE"""),"#VALUE!")</f>
        <v>#VALUE!</v>
      </c>
      <c r="BK162" t="str">
        <f ca="1">IFERROR(__xludf.DUMMYFUNCTION("""COMPUTED_VALUE"""),"#VALUE!")</f>
        <v>#VALUE!</v>
      </c>
      <c r="BM162" t="str">
        <f ca="1">IFERROR(__xludf.DUMMYFUNCTION("""COMPUTED_VALUE"""),"#VALUE!")</f>
        <v>#VALUE!</v>
      </c>
      <c r="BO162" t="str">
        <f ca="1">IFERROR(__xludf.DUMMYFUNCTION("""COMPUTED_VALUE"""),"#VALUE!")</f>
        <v>#VALUE!</v>
      </c>
      <c r="BQ162" t="str">
        <f ca="1">IFERROR(__xludf.DUMMYFUNCTION("""COMPUTED_VALUE"""),"#VALUE!")</f>
        <v>#VALUE!</v>
      </c>
      <c r="BS162" t="str">
        <f ca="1">IFERROR(__xludf.DUMMYFUNCTION("""COMPUTED_VALUE"""),"#VALUE!")</f>
        <v>#VALUE!</v>
      </c>
      <c r="BU162" t="str">
        <f ca="1">IFERROR(__xludf.DUMMYFUNCTION("""COMPUTED_VALUE"""),"#VALUE!")</f>
        <v>#VALUE!</v>
      </c>
      <c r="BW162" t="str">
        <f ca="1">IFERROR(__xludf.DUMMYFUNCTION("""COMPUTED_VALUE"""),"#VALUE!")</f>
        <v>#VALUE!</v>
      </c>
      <c r="BY162" t="str">
        <f ca="1">IFERROR(__xludf.DUMMYFUNCTION("""COMPUTED_VALUE"""),"#VALUE!")</f>
        <v>#VALUE!</v>
      </c>
      <c r="CA162" t="str">
        <f ca="1">IFERROR(__xludf.DUMMYFUNCTION("""COMPUTED_VALUE"""),"#VALUE!")</f>
        <v>#VALUE!</v>
      </c>
      <c r="CC162" t="str">
        <f ca="1">IFERROR(__xludf.DUMMYFUNCTION("""COMPUTED_VALUE"""),"#VALUE!")</f>
        <v>#VALUE!</v>
      </c>
      <c r="CE162" t="str">
        <f ca="1">IFERROR(__xludf.DUMMYFUNCTION("""COMPUTED_VALUE"""),"#VALUE!")</f>
        <v>#VALUE!</v>
      </c>
      <c r="CG162" t="str">
        <f ca="1">IFERROR(__xludf.DUMMYFUNCTION("""COMPUTED_VALUE"""),"#VALUE!")</f>
        <v>#VALUE!</v>
      </c>
      <c r="CI162" t="str">
        <f ca="1">IFERROR(__xludf.DUMMYFUNCTION("""COMPUTED_VALUE"""),"#VALUE!")</f>
        <v>#VALUE!</v>
      </c>
      <c r="CK162" t="str">
        <f ca="1">IFERROR(__xludf.DUMMYFUNCTION("""COMPUTED_VALUE"""),"#VALUE!")</f>
        <v>#VALUE!</v>
      </c>
      <c r="CS162" t="str">
        <f ca="1">IFERROR(__xludf.DUMMYFUNCTION("""COMPUTED_VALUE"""),"#VALUE!")</f>
        <v>#VALUE!</v>
      </c>
      <c r="CU162" t="str">
        <f ca="1">IFERROR(__xludf.DUMMYFUNCTION("""COMPUTED_VALUE"""),"#VALUE!")</f>
        <v>#VALUE!</v>
      </c>
      <c r="CW162" t="str">
        <f ca="1">IFERROR(__xludf.DUMMYFUNCTION("""COMPUTED_VALUE"""),"#VALUE!")</f>
        <v>#VALUE!</v>
      </c>
      <c r="CY162" t="str">
        <f ca="1">IFERROR(__xludf.DUMMYFUNCTION("""COMPUTED_VALUE"""),"#VALUE!")</f>
        <v>#VALUE!</v>
      </c>
      <c r="DC162" t="str">
        <f ca="1">IFERROR(__xludf.DUMMYFUNCTION("""COMPUTED_VALUE"""),"#VALUE!")</f>
        <v>#VALUE!</v>
      </c>
      <c r="DE162" t="str">
        <f ca="1">IFERROR(__xludf.DUMMYFUNCTION("""COMPUTED_VALUE"""),"#VALUE!")</f>
        <v>#VALUE!</v>
      </c>
      <c r="DI162" t="str">
        <f ca="1">IFERROR(__xludf.DUMMYFUNCTION("""COMPUTED_VALUE"""),"#VALUE!")</f>
        <v>#VALUE!</v>
      </c>
      <c r="DJ162" t="str">
        <f ca="1">IFERROR(__xludf.DUMMYFUNCTION("""COMPUTED_VALUE"""),"#VALUE!")</f>
        <v>#VALUE!</v>
      </c>
      <c r="DL162" t="str">
        <f ca="1">IFERROR(__xludf.DUMMYFUNCTION("""COMPUTED_VALUE"""),"Davor Salihović")</f>
        <v>Davor Salihović</v>
      </c>
    </row>
    <row r="163" spans="1:116" ht="13.2" x14ac:dyDescent="0.25">
      <c r="A163" t="str">
        <f ca="1">IFERROR(__xludf.DUMMYFUNCTION("""COMPUTED_VALUE"""),"P0166")</f>
        <v>P0166</v>
      </c>
      <c r="B163" t="str">
        <f ca="1">IFERROR(__xludf.DUMMYFUNCTION("""COMPUTED_VALUE"""),"Felix uxor Reymundi Salinerii")</f>
        <v>Felix uxor Reymundi Salinerii</v>
      </c>
      <c r="D163" t="str">
        <f ca="1">IFERROR(__xludf.DUMMYFUNCTION("""COMPUTED_VALUE"""),"#VALUE!")</f>
        <v>#VALUE!</v>
      </c>
      <c r="E163" t="str">
        <f ca="1">IFERROR(__xludf.DUMMYFUNCTION("""COMPUTED_VALUE"""),"Felix")</f>
        <v>Felix</v>
      </c>
      <c r="Q163" t="str">
        <f ca="1">IFERROR(__xludf.DUMMYFUNCTION("""COMPUTED_VALUE"""),"uxor Reymundi Salinerii")</f>
        <v>uxor Reymundi Salinerii</v>
      </c>
      <c r="S163" t="str">
        <f ca="1">IFERROR(__xludf.DUMMYFUNCTION("""COMPUTED_VALUE"""),"Latin")</f>
        <v>Latin</v>
      </c>
      <c r="T163" t="str">
        <f ca="1">IFERROR(__xludf.DUMMYFUNCTION("""COMPUTED_VALUE"""),"definite")</f>
        <v>definite</v>
      </c>
      <c r="U163" t="str">
        <f ca="1">IFERROR(__xludf.DUMMYFUNCTION("""COMPUTED_VALUE"""),"C2552")</f>
        <v>C2552</v>
      </c>
      <c r="V163" t="str">
        <f ca="1">IFERROR(__xludf.DUMMYFUNCTION("""COMPUTED_VALUE"""),"female")</f>
        <v>female</v>
      </c>
      <c r="Z163" t="str">
        <f ca="1">IFERROR(__xludf.DUMMYFUNCTION("""COMPUTED_VALUE"""),"172")</f>
        <v>172</v>
      </c>
      <c r="AA163" t="str">
        <f ca="1">IFERROR(__xludf.DUMMYFUNCTION("""COMPUTED_VALUE"""),"d")</f>
        <v>d</v>
      </c>
      <c r="AB163" t="str">
        <f ca="1">IFERROR(__xludf.DUMMYFUNCTION("""COMPUTED_VALUE"""),"NA")</f>
        <v>NA</v>
      </c>
      <c r="AE163" t="str">
        <f ca="1">IFERROR(__xludf.DUMMYFUNCTION("""COMPUTED_VALUE"""),"#VALUE!")</f>
        <v>#VALUE!</v>
      </c>
      <c r="AF163" t="str">
        <f ca="1">IFERROR(__xludf.DUMMYFUNCTION("""COMPUTED_VALUE"""),"#N/A")</f>
        <v>#N/A</v>
      </c>
      <c r="AG163" t="str">
        <f ca="1">IFERROR(__xludf.DUMMYFUNCTION("""COMPUTED_VALUE"""),"#N/A")</f>
        <v>#N/A</v>
      </c>
      <c r="AI163" t="str">
        <f ca="1">IFERROR(__xludf.DUMMYFUNCTION("""COMPUTED_VALUE"""),"#VALUE!")</f>
        <v>#VALUE!</v>
      </c>
      <c r="AK163" t="str">
        <f ca="1">IFERROR(__xludf.DUMMYFUNCTION("""COMPUTED_VALUE"""),"#VALUE!")</f>
        <v>#VALUE!</v>
      </c>
      <c r="AM163" t="str">
        <f ca="1">IFERROR(__xludf.DUMMYFUNCTION("""COMPUTED_VALUE"""),"#VALUE!")</f>
        <v>#VALUE!</v>
      </c>
      <c r="AO163" t="str">
        <f ca="1">IFERROR(__xludf.DUMMYFUNCTION("""COMPUTED_VALUE"""),"#VALUE!")</f>
        <v>#VALUE!</v>
      </c>
      <c r="AQ163" t="str">
        <f ca="1">IFERROR(__xludf.DUMMYFUNCTION("""COMPUTED_VALUE"""),"#VALUE!")</f>
        <v>#VALUE!</v>
      </c>
      <c r="AS163" t="str">
        <f ca="1">IFERROR(__xludf.DUMMYFUNCTION("""COMPUTED_VALUE"""),"#VALUE!")</f>
        <v>#VALUE!</v>
      </c>
      <c r="AU163" t="str">
        <f ca="1">IFERROR(__xludf.DUMMYFUNCTION("""COMPUTED_VALUE"""),"#VALUE!")</f>
        <v>#VALUE!</v>
      </c>
      <c r="AW163" t="str">
        <f ca="1">IFERROR(__xludf.DUMMYFUNCTION("""COMPUTED_VALUE"""),"#VALUE!")</f>
        <v>#VALUE!</v>
      </c>
      <c r="AY163" t="str">
        <f ca="1">IFERROR(__xludf.DUMMYFUNCTION("""COMPUTED_VALUE"""),"#VALUE!")</f>
        <v>#VALUE!</v>
      </c>
      <c r="BA163" t="str">
        <f ca="1">IFERROR(__xludf.DUMMYFUNCTION("""COMPUTED_VALUE"""),"#VALUE!")</f>
        <v>#VALUE!</v>
      </c>
      <c r="BC163" t="str">
        <f ca="1">IFERROR(__xludf.DUMMYFUNCTION("""COMPUTED_VALUE"""),"#VALUE!")</f>
        <v>#VALUE!</v>
      </c>
      <c r="BE163" t="str">
        <f ca="1">IFERROR(__xludf.DUMMYFUNCTION("""COMPUTED_VALUE"""),"#VALUE!")</f>
        <v>#VALUE!</v>
      </c>
      <c r="BG163" t="str">
        <f ca="1">IFERROR(__xludf.DUMMYFUNCTION("""COMPUTED_VALUE"""),"#VALUE!")</f>
        <v>#VALUE!</v>
      </c>
      <c r="BI163" t="str">
        <f ca="1">IFERROR(__xludf.DUMMYFUNCTION("""COMPUTED_VALUE"""),"#VALUE!")</f>
        <v>#VALUE!</v>
      </c>
      <c r="BK163" t="str">
        <f ca="1">IFERROR(__xludf.DUMMYFUNCTION("""COMPUTED_VALUE"""),"#VALUE!")</f>
        <v>#VALUE!</v>
      </c>
      <c r="BM163" t="str">
        <f ca="1">IFERROR(__xludf.DUMMYFUNCTION("""COMPUTED_VALUE"""),"#VALUE!")</f>
        <v>#VALUE!</v>
      </c>
      <c r="BO163" t="str">
        <f ca="1">IFERROR(__xludf.DUMMYFUNCTION("""COMPUTED_VALUE"""),"#VALUE!")</f>
        <v>#VALUE!</v>
      </c>
      <c r="BQ163" t="str">
        <f ca="1">IFERROR(__xludf.DUMMYFUNCTION("""COMPUTED_VALUE"""),"#VALUE!")</f>
        <v>#VALUE!</v>
      </c>
      <c r="BS163" t="str">
        <f ca="1">IFERROR(__xludf.DUMMYFUNCTION("""COMPUTED_VALUE"""),"#VALUE!")</f>
        <v>#VALUE!</v>
      </c>
      <c r="BU163" t="str">
        <f ca="1">IFERROR(__xludf.DUMMYFUNCTION("""COMPUTED_VALUE"""),"#VALUE!")</f>
        <v>#VALUE!</v>
      </c>
      <c r="BW163" t="str">
        <f ca="1">IFERROR(__xludf.DUMMYFUNCTION("""COMPUTED_VALUE"""),"#VALUE!")</f>
        <v>#VALUE!</v>
      </c>
      <c r="BY163" t="str">
        <f ca="1">IFERROR(__xludf.DUMMYFUNCTION("""COMPUTED_VALUE"""),"#VALUE!")</f>
        <v>#VALUE!</v>
      </c>
      <c r="CA163" t="str">
        <f ca="1">IFERROR(__xludf.DUMMYFUNCTION("""COMPUTED_VALUE"""),"#VALUE!")</f>
        <v>#VALUE!</v>
      </c>
      <c r="CC163" t="str">
        <f ca="1">IFERROR(__xludf.DUMMYFUNCTION("""COMPUTED_VALUE"""),"#VALUE!")</f>
        <v>#VALUE!</v>
      </c>
      <c r="CE163" t="str">
        <f ca="1">IFERROR(__xludf.DUMMYFUNCTION("""COMPUTED_VALUE"""),"#VALUE!")</f>
        <v>#VALUE!</v>
      </c>
      <c r="CG163" t="str">
        <f ca="1">IFERROR(__xludf.DUMMYFUNCTION("""COMPUTED_VALUE"""),"#VALUE!")</f>
        <v>#VALUE!</v>
      </c>
      <c r="CI163" t="str">
        <f ca="1">IFERROR(__xludf.DUMMYFUNCTION("""COMPUTED_VALUE"""),"#VALUE!")</f>
        <v>#VALUE!</v>
      </c>
      <c r="CK163" t="str">
        <f ca="1">IFERROR(__xludf.DUMMYFUNCTION("""COMPUTED_VALUE"""),"#VALUE!")</f>
        <v>#VALUE!</v>
      </c>
      <c r="CS163" t="str">
        <f ca="1">IFERROR(__xludf.DUMMYFUNCTION("""COMPUTED_VALUE"""),"#VALUE!")</f>
        <v>#VALUE!</v>
      </c>
      <c r="CU163" t="str">
        <f ca="1">IFERROR(__xludf.DUMMYFUNCTION("""COMPUTED_VALUE"""),"#VALUE!")</f>
        <v>#VALUE!</v>
      </c>
      <c r="CW163" t="str">
        <f ca="1">IFERROR(__xludf.DUMMYFUNCTION("""COMPUTED_VALUE"""),"#VALUE!")</f>
        <v>#VALUE!</v>
      </c>
      <c r="CY163" t="str">
        <f ca="1">IFERROR(__xludf.DUMMYFUNCTION("""COMPUTED_VALUE"""),"#VALUE!")</f>
        <v>#VALUE!</v>
      </c>
      <c r="DC163" t="str">
        <f ca="1">IFERROR(__xludf.DUMMYFUNCTION("""COMPUTED_VALUE"""),"#VALUE!")</f>
        <v>#VALUE!</v>
      </c>
      <c r="DE163" t="str">
        <f ca="1">IFERROR(__xludf.DUMMYFUNCTION("""COMPUTED_VALUE"""),"#VALUE!")</f>
        <v>#VALUE!</v>
      </c>
      <c r="DI163" t="str">
        <f ca="1">IFERROR(__xludf.DUMMYFUNCTION("""COMPUTED_VALUE"""),"#VALUE!")</f>
        <v>#VALUE!</v>
      </c>
      <c r="DJ163" t="str">
        <f ca="1">IFERROR(__xludf.DUMMYFUNCTION("""COMPUTED_VALUE"""),"#VALUE!")</f>
        <v>#VALUE!</v>
      </c>
      <c r="DL163" t="str">
        <f ca="1">IFERROR(__xludf.DUMMYFUNCTION("""COMPUTED_VALUE"""),"Davor Salihović")</f>
        <v>Davor Salihović</v>
      </c>
    </row>
    <row r="164" spans="1:116" ht="13.2" x14ac:dyDescent="0.25">
      <c r="A164" t="str">
        <f ca="1">IFERROR(__xludf.DUMMYFUNCTION("""COMPUTED_VALUE"""),"P0167")</f>
        <v>P0167</v>
      </c>
      <c r="B164" t="str">
        <f ca="1">IFERROR(__xludf.DUMMYFUNCTION("""COMPUTED_VALUE"""),"Raymundus Salinerius")</f>
        <v>Raymundus Salinerius</v>
      </c>
      <c r="D164" t="str">
        <f ca="1">IFERROR(__xludf.DUMMYFUNCTION("""COMPUTED_VALUE"""),"#VALUE!")</f>
        <v>#VALUE!</v>
      </c>
      <c r="E164" t="str">
        <f ca="1">IFERROR(__xludf.DUMMYFUNCTION("""COMPUTED_VALUE"""),"Raymundus")</f>
        <v>Raymundus</v>
      </c>
      <c r="K164" t="str">
        <f ca="1">IFERROR(__xludf.DUMMYFUNCTION("""COMPUTED_VALUE"""),"Salinerius")</f>
        <v>Salinerius</v>
      </c>
      <c r="L164" t="str">
        <f ca="1">IFERROR(__xludf.DUMMYFUNCTION("""COMPUTED_VALUE"""),"Salinerius")</f>
        <v>Salinerius</v>
      </c>
      <c r="S164" t="str">
        <f ca="1">IFERROR(__xludf.DUMMYFUNCTION("""COMPUTED_VALUE"""),"Latin")</f>
        <v>Latin</v>
      </c>
      <c r="T164" t="str">
        <f ca="1">IFERROR(__xludf.DUMMYFUNCTION("""COMPUTED_VALUE"""),"definite")</f>
        <v>definite</v>
      </c>
      <c r="U164" t="str">
        <f ca="1">IFERROR(__xludf.DUMMYFUNCTION("""COMPUTED_VALUE"""),"C2553")</f>
        <v>C2553</v>
      </c>
      <c r="V164" t="str">
        <f ca="1">IFERROR(__xludf.DUMMYFUNCTION("""COMPUTED_VALUE"""),"male")</f>
        <v>male</v>
      </c>
      <c r="Z164" t="str">
        <f ca="1">IFERROR(__xludf.DUMMYFUNCTION("""COMPUTED_VALUE"""),"172")</f>
        <v>172</v>
      </c>
      <c r="AA164" t="str">
        <f ca="1">IFERROR(__xludf.DUMMYFUNCTION("""COMPUTED_VALUE"""),"o")</f>
        <v>o</v>
      </c>
      <c r="AB164" t="str">
        <f ca="1">IFERROR(__xludf.DUMMYFUNCTION("""COMPUTED_VALUE"""),"NA")</f>
        <v>NA</v>
      </c>
      <c r="AE164" t="str">
        <f ca="1">IFERROR(__xludf.DUMMYFUNCTION("""COMPUTED_VALUE"""),"#VALUE!")</f>
        <v>#VALUE!</v>
      </c>
      <c r="AF164" t="str">
        <f ca="1">IFERROR(__xludf.DUMMYFUNCTION("""COMPUTED_VALUE"""),"#N/A")</f>
        <v>#N/A</v>
      </c>
      <c r="AG164" t="str">
        <f ca="1">IFERROR(__xludf.DUMMYFUNCTION("""COMPUTED_VALUE"""),"#N/A")</f>
        <v>#N/A</v>
      </c>
      <c r="AH164" t="str">
        <f ca="1">IFERROR(__xludf.DUMMYFUNCTION("""COMPUTED_VALUE"""),"C2348")</f>
        <v>C2348</v>
      </c>
      <c r="AI164" t="str">
        <f ca="1">IFERROR(__xludf.DUMMYFUNCTION("""COMPUTED_VALUE"""),"wife")</f>
        <v>wife</v>
      </c>
      <c r="AJ164" t="str">
        <f ca="1">IFERROR(__xludf.DUMMYFUNCTION("""COMPUTED_VALUE"""),"P0166")</f>
        <v>P0166</v>
      </c>
      <c r="AK164" t="str">
        <f ca="1">IFERROR(__xludf.DUMMYFUNCTION("""COMPUTED_VALUE"""),"Felix uxor Reymundi Salinerii")</f>
        <v>Felix uxor Reymundi Salinerii</v>
      </c>
      <c r="AM164" t="str">
        <f ca="1">IFERROR(__xludf.DUMMYFUNCTION("""COMPUTED_VALUE"""),"#VALUE!")</f>
        <v>#VALUE!</v>
      </c>
      <c r="AO164" t="str">
        <f ca="1">IFERROR(__xludf.DUMMYFUNCTION("""COMPUTED_VALUE"""),"#VALUE!")</f>
        <v>#VALUE!</v>
      </c>
      <c r="AQ164" t="str">
        <f ca="1">IFERROR(__xludf.DUMMYFUNCTION("""COMPUTED_VALUE"""),"#VALUE!")</f>
        <v>#VALUE!</v>
      </c>
      <c r="AS164" t="str">
        <f ca="1">IFERROR(__xludf.DUMMYFUNCTION("""COMPUTED_VALUE"""),"#VALUE!")</f>
        <v>#VALUE!</v>
      </c>
      <c r="AU164" t="str">
        <f ca="1">IFERROR(__xludf.DUMMYFUNCTION("""COMPUTED_VALUE"""),"#VALUE!")</f>
        <v>#VALUE!</v>
      </c>
      <c r="AW164" t="str">
        <f ca="1">IFERROR(__xludf.DUMMYFUNCTION("""COMPUTED_VALUE"""),"#VALUE!")</f>
        <v>#VALUE!</v>
      </c>
      <c r="AY164" t="str">
        <f ca="1">IFERROR(__xludf.DUMMYFUNCTION("""COMPUTED_VALUE"""),"#VALUE!")</f>
        <v>#VALUE!</v>
      </c>
      <c r="BA164" t="str">
        <f ca="1">IFERROR(__xludf.DUMMYFUNCTION("""COMPUTED_VALUE"""),"#VALUE!")</f>
        <v>#VALUE!</v>
      </c>
      <c r="BC164" t="str">
        <f ca="1">IFERROR(__xludf.DUMMYFUNCTION("""COMPUTED_VALUE"""),"#VALUE!")</f>
        <v>#VALUE!</v>
      </c>
      <c r="BE164" t="str">
        <f ca="1">IFERROR(__xludf.DUMMYFUNCTION("""COMPUTED_VALUE"""),"#VALUE!")</f>
        <v>#VALUE!</v>
      </c>
      <c r="BG164" t="str">
        <f ca="1">IFERROR(__xludf.DUMMYFUNCTION("""COMPUTED_VALUE"""),"#VALUE!")</f>
        <v>#VALUE!</v>
      </c>
      <c r="BI164" t="str">
        <f ca="1">IFERROR(__xludf.DUMMYFUNCTION("""COMPUTED_VALUE"""),"#VALUE!")</f>
        <v>#VALUE!</v>
      </c>
      <c r="BK164" t="str">
        <f ca="1">IFERROR(__xludf.DUMMYFUNCTION("""COMPUTED_VALUE"""),"#VALUE!")</f>
        <v>#VALUE!</v>
      </c>
      <c r="BM164" t="str">
        <f ca="1">IFERROR(__xludf.DUMMYFUNCTION("""COMPUTED_VALUE"""),"#VALUE!")</f>
        <v>#VALUE!</v>
      </c>
      <c r="BO164" t="str">
        <f ca="1">IFERROR(__xludf.DUMMYFUNCTION("""COMPUTED_VALUE"""),"#VALUE!")</f>
        <v>#VALUE!</v>
      </c>
      <c r="BQ164" t="str">
        <f ca="1">IFERROR(__xludf.DUMMYFUNCTION("""COMPUTED_VALUE"""),"#VALUE!")</f>
        <v>#VALUE!</v>
      </c>
      <c r="BS164" t="str">
        <f ca="1">IFERROR(__xludf.DUMMYFUNCTION("""COMPUTED_VALUE"""),"#VALUE!")</f>
        <v>#VALUE!</v>
      </c>
      <c r="BU164" t="str">
        <f ca="1">IFERROR(__xludf.DUMMYFUNCTION("""COMPUTED_VALUE"""),"#VALUE!")</f>
        <v>#VALUE!</v>
      </c>
      <c r="BW164" t="str">
        <f ca="1">IFERROR(__xludf.DUMMYFUNCTION("""COMPUTED_VALUE"""),"#VALUE!")</f>
        <v>#VALUE!</v>
      </c>
      <c r="BY164" t="str">
        <f ca="1">IFERROR(__xludf.DUMMYFUNCTION("""COMPUTED_VALUE"""),"#VALUE!")</f>
        <v>#VALUE!</v>
      </c>
      <c r="CA164" t="str">
        <f ca="1">IFERROR(__xludf.DUMMYFUNCTION("""COMPUTED_VALUE"""),"#VALUE!")</f>
        <v>#VALUE!</v>
      </c>
      <c r="CC164" t="str">
        <f ca="1">IFERROR(__xludf.DUMMYFUNCTION("""COMPUTED_VALUE"""),"#VALUE!")</f>
        <v>#VALUE!</v>
      </c>
      <c r="CE164" t="str">
        <f ca="1">IFERROR(__xludf.DUMMYFUNCTION("""COMPUTED_VALUE"""),"#VALUE!")</f>
        <v>#VALUE!</v>
      </c>
      <c r="CG164" t="str">
        <f ca="1">IFERROR(__xludf.DUMMYFUNCTION("""COMPUTED_VALUE"""),"#VALUE!")</f>
        <v>#VALUE!</v>
      </c>
      <c r="CI164" t="str">
        <f ca="1">IFERROR(__xludf.DUMMYFUNCTION("""COMPUTED_VALUE"""),"#VALUE!")</f>
        <v>#VALUE!</v>
      </c>
      <c r="CK164" t="str">
        <f ca="1">IFERROR(__xludf.DUMMYFUNCTION("""COMPUTED_VALUE"""),"#VALUE!")</f>
        <v>#VALUE!</v>
      </c>
      <c r="CS164" t="str">
        <f ca="1">IFERROR(__xludf.DUMMYFUNCTION("""COMPUTED_VALUE"""),"#VALUE!")</f>
        <v>#VALUE!</v>
      </c>
      <c r="CU164" t="str">
        <f ca="1">IFERROR(__xludf.DUMMYFUNCTION("""COMPUTED_VALUE"""),"#VALUE!")</f>
        <v>#VALUE!</v>
      </c>
      <c r="CW164" t="str">
        <f ca="1">IFERROR(__xludf.DUMMYFUNCTION("""COMPUTED_VALUE"""),"#VALUE!")</f>
        <v>#VALUE!</v>
      </c>
      <c r="CY164" t="str">
        <f ca="1">IFERROR(__xludf.DUMMYFUNCTION("""COMPUTED_VALUE"""),"#VALUE!")</f>
        <v>#VALUE!</v>
      </c>
      <c r="DC164" t="str">
        <f ca="1">IFERROR(__xludf.DUMMYFUNCTION("""COMPUTED_VALUE"""),"#VALUE!")</f>
        <v>#VALUE!</v>
      </c>
      <c r="DE164" t="str">
        <f ca="1">IFERROR(__xludf.DUMMYFUNCTION("""COMPUTED_VALUE"""),"#VALUE!")</f>
        <v>#VALUE!</v>
      </c>
      <c r="DI164" t="str">
        <f ca="1">IFERROR(__xludf.DUMMYFUNCTION("""COMPUTED_VALUE"""),"#VALUE!")</f>
        <v>#VALUE!</v>
      </c>
      <c r="DJ164" t="str">
        <f ca="1">IFERROR(__xludf.DUMMYFUNCTION("""COMPUTED_VALUE"""),"#VALUE!")</f>
        <v>#VALUE!</v>
      </c>
      <c r="DL164" t="str">
        <f ca="1">IFERROR(__xludf.DUMMYFUNCTION("""COMPUTED_VALUE"""),"Davor Salihović")</f>
        <v>Davor Salihović</v>
      </c>
    </row>
    <row r="165" spans="1:116" ht="13.2" x14ac:dyDescent="0.25">
      <c r="A165" t="str">
        <f ca="1">IFERROR(__xludf.DUMMYFUNCTION("""COMPUTED_VALUE"""),"P0168")</f>
        <v>P0168</v>
      </c>
      <c r="B165" t="str">
        <f ca="1">IFERROR(__xludf.DUMMYFUNCTION("""COMPUTED_VALUE"""),"Francesia")</f>
        <v>Francesia</v>
      </c>
      <c r="D165" t="str">
        <f ca="1">IFERROR(__xludf.DUMMYFUNCTION("""COMPUTED_VALUE"""),"#VALUE!")</f>
        <v>#VALUE!</v>
      </c>
      <c r="E165" t="str">
        <f ca="1">IFERROR(__xludf.DUMMYFUNCTION("""COMPUTED_VALUE"""),"Francesia")</f>
        <v>Francesia</v>
      </c>
      <c r="S165" t="str">
        <f ca="1">IFERROR(__xludf.DUMMYFUNCTION("""COMPUTED_VALUE"""),"Latin")</f>
        <v>Latin</v>
      </c>
      <c r="T165" t="str">
        <f ca="1">IFERROR(__xludf.DUMMYFUNCTION("""COMPUTED_VALUE"""),"definite")</f>
        <v>definite</v>
      </c>
      <c r="U165" t="str">
        <f ca="1">IFERROR(__xludf.DUMMYFUNCTION("""COMPUTED_VALUE"""),"C2552")</f>
        <v>C2552</v>
      </c>
      <c r="V165" t="str">
        <f ca="1">IFERROR(__xludf.DUMMYFUNCTION("""COMPUTED_VALUE"""),"female")</f>
        <v>female</v>
      </c>
      <c r="Z165" t="str">
        <f ca="1">IFERROR(__xludf.DUMMYFUNCTION("""COMPUTED_VALUE"""),"172")</f>
        <v>172</v>
      </c>
      <c r="AA165" t="str">
        <f ca="1">IFERROR(__xludf.DUMMYFUNCTION("""COMPUTED_VALUE"""),"d")</f>
        <v>d</v>
      </c>
      <c r="AB165" t="str">
        <f ca="1">IFERROR(__xludf.DUMMYFUNCTION("""COMPUTED_VALUE"""),"NA")</f>
        <v>NA</v>
      </c>
      <c r="AD165" t="str">
        <f ca="1">IFERROR(__xludf.DUMMYFUNCTION("""COMPUTED_VALUE"""),"C3287")</f>
        <v>C3287</v>
      </c>
      <c r="AE165" t="str">
        <f ca="1">IFERROR(__xludf.DUMMYFUNCTION("""COMPUTED_VALUE"""),"alive")</f>
        <v>alive</v>
      </c>
      <c r="AF165" t="str">
        <f ca="1">IFERROR(__xludf.DUMMYFUNCTION("""COMPUTED_VALUE"""),"C1753")</f>
        <v>C1753</v>
      </c>
      <c r="AG165" t="str">
        <f ca="1">IFERROR(__xludf.DUMMYFUNCTION("""COMPUTED_VALUE"""),"1335-01-20")</f>
        <v>1335-01-20</v>
      </c>
      <c r="AI165" t="str">
        <f ca="1">IFERROR(__xludf.DUMMYFUNCTION("""COMPUTED_VALUE"""),"#VALUE!")</f>
        <v>#VALUE!</v>
      </c>
      <c r="AK165" t="str">
        <f ca="1">IFERROR(__xludf.DUMMYFUNCTION("""COMPUTED_VALUE"""),"#VALUE!")</f>
        <v>#VALUE!</v>
      </c>
      <c r="AM165" t="str">
        <f ca="1">IFERROR(__xludf.DUMMYFUNCTION("""COMPUTED_VALUE"""),"#VALUE!")</f>
        <v>#VALUE!</v>
      </c>
      <c r="AO165" t="str">
        <f ca="1">IFERROR(__xludf.DUMMYFUNCTION("""COMPUTED_VALUE"""),"#VALUE!")</f>
        <v>#VALUE!</v>
      </c>
      <c r="AQ165" t="str">
        <f ca="1">IFERROR(__xludf.DUMMYFUNCTION("""COMPUTED_VALUE"""),"#VALUE!")</f>
        <v>#VALUE!</v>
      </c>
      <c r="AS165" t="str">
        <f ca="1">IFERROR(__xludf.DUMMYFUNCTION("""COMPUTED_VALUE"""),"#VALUE!")</f>
        <v>#VALUE!</v>
      </c>
      <c r="AU165" t="str">
        <f ca="1">IFERROR(__xludf.DUMMYFUNCTION("""COMPUTED_VALUE"""),"#VALUE!")</f>
        <v>#VALUE!</v>
      </c>
      <c r="AW165" t="str">
        <f ca="1">IFERROR(__xludf.DUMMYFUNCTION("""COMPUTED_VALUE"""),"#VALUE!")</f>
        <v>#VALUE!</v>
      </c>
      <c r="AY165" t="str">
        <f ca="1">IFERROR(__xludf.DUMMYFUNCTION("""COMPUTED_VALUE"""),"#VALUE!")</f>
        <v>#VALUE!</v>
      </c>
      <c r="BA165" t="str">
        <f ca="1">IFERROR(__xludf.DUMMYFUNCTION("""COMPUTED_VALUE"""),"#VALUE!")</f>
        <v>#VALUE!</v>
      </c>
      <c r="BC165" t="str">
        <f ca="1">IFERROR(__xludf.DUMMYFUNCTION("""COMPUTED_VALUE"""),"#VALUE!")</f>
        <v>#VALUE!</v>
      </c>
      <c r="BE165" t="str">
        <f ca="1">IFERROR(__xludf.DUMMYFUNCTION("""COMPUTED_VALUE"""),"#VALUE!")</f>
        <v>#VALUE!</v>
      </c>
      <c r="BG165" t="str">
        <f ca="1">IFERROR(__xludf.DUMMYFUNCTION("""COMPUTED_VALUE"""),"#VALUE!")</f>
        <v>#VALUE!</v>
      </c>
      <c r="BI165" t="str">
        <f ca="1">IFERROR(__xludf.DUMMYFUNCTION("""COMPUTED_VALUE"""),"#VALUE!")</f>
        <v>#VALUE!</v>
      </c>
      <c r="BK165" t="str">
        <f ca="1">IFERROR(__xludf.DUMMYFUNCTION("""COMPUTED_VALUE"""),"#VALUE!")</f>
        <v>#VALUE!</v>
      </c>
      <c r="BM165" t="str">
        <f ca="1">IFERROR(__xludf.DUMMYFUNCTION("""COMPUTED_VALUE"""),"#VALUE!")</f>
        <v>#VALUE!</v>
      </c>
      <c r="BO165" t="str">
        <f ca="1">IFERROR(__xludf.DUMMYFUNCTION("""COMPUTED_VALUE"""),"#VALUE!")</f>
        <v>#VALUE!</v>
      </c>
      <c r="BQ165" t="str">
        <f ca="1">IFERROR(__xludf.DUMMYFUNCTION("""COMPUTED_VALUE"""),"#VALUE!")</f>
        <v>#VALUE!</v>
      </c>
      <c r="BS165" t="str">
        <f ca="1">IFERROR(__xludf.DUMMYFUNCTION("""COMPUTED_VALUE"""),"#VALUE!")</f>
        <v>#VALUE!</v>
      </c>
      <c r="BU165" t="str">
        <f ca="1">IFERROR(__xludf.DUMMYFUNCTION("""COMPUTED_VALUE"""),"#VALUE!")</f>
        <v>#VALUE!</v>
      </c>
      <c r="BW165" t="str">
        <f ca="1">IFERROR(__xludf.DUMMYFUNCTION("""COMPUTED_VALUE"""),"#VALUE!")</f>
        <v>#VALUE!</v>
      </c>
      <c r="BY165" t="str">
        <f ca="1">IFERROR(__xludf.DUMMYFUNCTION("""COMPUTED_VALUE"""),"#VALUE!")</f>
        <v>#VALUE!</v>
      </c>
      <c r="CA165" t="str">
        <f ca="1">IFERROR(__xludf.DUMMYFUNCTION("""COMPUTED_VALUE"""),"#VALUE!")</f>
        <v>#VALUE!</v>
      </c>
      <c r="CC165" t="str">
        <f ca="1">IFERROR(__xludf.DUMMYFUNCTION("""COMPUTED_VALUE"""),"#VALUE!")</f>
        <v>#VALUE!</v>
      </c>
      <c r="CE165" t="str">
        <f ca="1">IFERROR(__xludf.DUMMYFUNCTION("""COMPUTED_VALUE"""),"#VALUE!")</f>
        <v>#VALUE!</v>
      </c>
      <c r="CG165" t="str">
        <f ca="1">IFERROR(__xludf.DUMMYFUNCTION("""COMPUTED_VALUE"""),"#VALUE!")</f>
        <v>#VALUE!</v>
      </c>
      <c r="CI165" t="str">
        <f ca="1">IFERROR(__xludf.DUMMYFUNCTION("""COMPUTED_VALUE"""),"#VALUE!")</f>
        <v>#VALUE!</v>
      </c>
      <c r="CK165" t="str">
        <f ca="1">IFERROR(__xludf.DUMMYFUNCTION("""COMPUTED_VALUE"""),"#VALUE!")</f>
        <v>#VALUE!</v>
      </c>
      <c r="CS165" t="str">
        <f ca="1">IFERROR(__xludf.DUMMYFUNCTION("""COMPUTED_VALUE"""),"#VALUE!")</f>
        <v>#VALUE!</v>
      </c>
      <c r="CU165" t="str">
        <f ca="1">IFERROR(__xludf.DUMMYFUNCTION("""COMPUTED_VALUE"""),"#VALUE!")</f>
        <v>#VALUE!</v>
      </c>
      <c r="CW165" t="str">
        <f ca="1">IFERROR(__xludf.DUMMYFUNCTION("""COMPUTED_VALUE"""),"#VALUE!")</f>
        <v>#VALUE!</v>
      </c>
      <c r="CY165" t="str">
        <f ca="1">IFERROR(__xludf.DUMMYFUNCTION("""COMPUTED_VALUE"""),"#VALUE!")</f>
        <v>#VALUE!</v>
      </c>
      <c r="DC165" t="str">
        <f ca="1">IFERROR(__xludf.DUMMYFUNCTION("""COMPUTED_VALUE"""),"#VALUE!")</f>
        <v>#VALUE!</v>
      </c>
      <c r="DE165" t="str">
        <f ca="1">IFERROR(__xludf.DUMMYFUNCTION("""COMPUTED_VALUE"""),"#VALUE!")</f>
        <v>#VALUE!</v>
      </c>
      <c r="DI165" t="str">
        <f ca="1">IFERROR(__xludf.DUMMYFUNCTION("""COMPUTED_VALUE"""),"#VALUE!")</f>
        <v>#VALUE!</v>
      </c>
      <c r="DJ165" t="str">
        <f ca="1">IFERROR(__xludf.DUMMYFUNCTION("""COMPUTED_VALUE"""),"#VALUE!")</f>
        <v>#VALUE!</v>
      </c>
      <c r="DL165" t="str">
        <f ca="1">IFERROR(__xludf.DUMMYFUNCTION("""COMPUTED_VALUE"""),"Davor Salihović")</f>
        <v>Davor Salihović</v>
      </c>
    </row>
    <row r="166" spans="1:116" ht="13.2" x14ac:dyDescent="0.25">
      <c r="A166" t="str">
        <f ca="1">IFERROR(__xludf.DUMMYFUNCTION("""COMPUTED_VALUE"""),"P0169")</f>
        <v>P0169</v>
      </c>
      <c r="B166" t="str">
        <f ca="1">IFERROR(__xludf.DUMMYFUNCTION("""COMPUTED_VALUE"""),"quidam homo in Sala")</f>
        <v>quidam homo in Sala</v>
      </c>
      <c r="D166" t="str">
        <f ca="1">IFERROR(__xludf.DUMMYFUNCTION("""COMPUTED_VALUE"""),"#VALUE!")</f>
        <v>#VALUE!</v>
      </c>
      <c r="E166" t="str">
        <f ca="1">IFERROR(__xludf.DUMMYFUNCTION("""COMPUTED_VALUE"""),"quidam homo")</f>
        <v>quidam homo</v>
      </c>
      <c r="Q166" t="str">
        <f ca="1">IFERROR(__xludf.DUMMYFUNCTION("""COMPUTED_VALUE"""),"quidam homo in Sala")</f>
        <v>quidam homo in Sala</v>
      </c>
      <c r="S166" t="str">
        <f ca="1">IFERROR(__xludf.DUMMYFUNCTION("""COMPUTED_VALUE"""),"Latin")</f>
        <v>Latin</v>
      </c>
      <c r="T166" t="str">
        <f ca="1">IFERROR(__xludf.DUMMYFUNCTION("""COMPUTED_VALUE"""),"indefinite")</f>
        <v>indefinite</v>
      </c>
      <c r="U166" t="str">
        <f ca="1">IFERROR(__xludf.DUMMYFUNCTION("""COMPUTED_VALUE"""),"C2553")</f>
        <v>C2553</v>
      </c>
      <c r="V166" t="str">
        <f ca="1">IFERROR(__xludf.DUMMYFUNCTION("""COMPUTED_VALUE"""),"male")</f>
        <v>male</v>
      </c>
      <c r="Z166" t="str">
        <f ca="1">IFERROR(__xludf.DUMMYFUNCTION("""COMPUTED_VALUE"""),"172")</f>
        <v>172</v>
      </c>
      <c r="AA166" t="str">
        <f ca="1">IFERROR(__xludf.DUMMYFUNCTION("""COMPUTED_VALUE"""),"d")</f>
        <v>d</v>
      </c>
      <c r="AB166" t="str">
        <f ca="1">IFERROR(__xludf.DUMMYFUNCTION("""COMPUTED_VALUE"""),"NA")</f>
        <v>NA</v>
      </c>
      <c r="AD166" t="str">
        <f ca="1">IFERROR(__xludf.DUMMYFUNCTION("""COMPUTED_VALUE"""),"C3287")</f>
        <v>C3287</v>
      </c>
      <c r="AE166" t="str">
        <f ca="1">IFERROR(__xludf.DUMMYFUNCTION("""COMPUTED_VALUE"""),"alive")</f>
        <v>alive</v>
      </c>
      <c r="AF166" t="str">
        <f ca="1">IFERROR(__xludf.DUMMYFUNCTION("""COMPUTED_VALUE"""),"C1753")</f>
        <v>C1753</v>
      </c>
      <c r="AG166" t="str">
        <f ca="1">IFERROR(__xludf.DUMMYFUNCTION("""COMPUTED_VALUE"""),"1335-01-20")</f>
        <v>1335-01-20</v>
      </c>
      <c r="AI166" t="str">
        <f ca="1">IFERROR(__xludf.DUMMYFUNCTION("""COMPUTED_VALUE"""),"#VALUE!")</f>
        <v>#VALUE!</v>
      </c>
      <c r="AK166" t="str">
        <f ca="1">IFERROR(__xludf.DUMMYFUNCTION("""COMPUTED_VALUE"""),"#VALUE!")</f>
        <v>#VALUE!</v>
      </c>
      <c r="AM166" t="str">
        <f ca="1">IFERROR(__xludf.DUMMYFUNCTION("""COMPUTED_VALUE"""),"#VALUE!")</f>
        <v>#VALUE!</v>
      </c>
      <c r="AO166" t="str">
        <f ca="1">IFERROR(__xludf.DUMMYFUNCTION("""COMPUTED_VALUE"""),"#VALUE!")</f>
        <v>#VALUE!</v>
      </c>
      <c r="AQ166" t="str">
        <f ca="1">IFERROR(__xludf.DUMMYFUNCTION("""COMPUTED_VALUE"""),"#VALUE!")</f>
        <v>#VALUE!</v>
      </c>
      <c r="AS166" t="str">
        <f ca="1">IFERROR(__xludf.DUMMYFUNCTION("""COMPUTED_VALUE"""),"#VALUE!")</f>
        <v>#VALUE!</v>
      </c>
      <c r="AU166" t="str">
        <f ca="1">IFERROR(__xludf.DUMMYFUNCTION("""COMPUTED_VALUE"""),"#VALUE!")</f>
        <v>#VALUE!</v>
      </c>
      <c r="AW166" t="str">
        <f ca="1">IFERROR(__xludf.DUMMYFUNCTION("""COMPUTED_VALUE"""),"#VALUE!")</f>
        <v>#VALUE!</v>
      </c>
      <c r="AY166" t="str">
        <f ca="1">IFERROR(__xludf.DUMMYFUNCTION("""COMPUTED_VALUE"""),"#VALUE!")</f>
        <v>#VALUE!</v>
      </c>
      <c r="BA166" t="str">
        <f ca="1">IFERROR(__xludf.DUMMYFUNCTION("""COMPUTED_VALUE"""),"#VALUE!")</f>
        <v>#VALUE!</v>
      </c>
      <c r="BC166" t="str">
        <f ca="1">IFERROR(__xludf.DUMMYFUNCTION("""COMPUTED_VALUE"""),"#VALUE!")</f>
        <v>#VALUE!</v>
      </c>
      <c r="BE166" t="str">
        <f ca="1">IFERROR(__xludf.DUMMYFUNCTION("""COMPUTED_VALUE"""),"#VALUE!")</f>
        <v>#VALUE!</v>
      </c>
      <c r="BG166" t="str">
        <f ca="1">IFERROR(__xludf.DUMMYFUNCTION("""COMPUTED_VALUE"""),"#VALUE!")</f>
        <v>#VALUE!</v>
      </c>
      <c r="BI166" t="str">
        <f ca="1">IFERROR(__xludf.DUMMYFUNCTION("""COMPUTED_VALUE"""),"#VALUE!")</f>
        <v>#VALUE!</v>
      </c>
      <c r="BK166" t="str">
        <f ca="1">IFERROR(__xludf.DUMMYFUNCTION("""COMPUTED_VALUE"""),"#VALUE!")</f>
        <v>#VALUE!</v>
      </c>
      <c r="BM166" t="str">
        <f ca="1">IFERROR(__xludf.DUMMYFUNCTION("""COMPUTED_VALUE"""),"#VALUE!")</f>
        <v>#VALUE!</v>
      </c>
      <c r="BO166" t="str">
        <f ca="1">IFERROR(__xludf.DUMMYFUNCTION("""COMPUTED_VALUE"""),"#VALUE!")</f>
        <v>#VALUE!</v>
      </c>
      <c r="BQ166" t="str">
        <f ca="1">IFERROR(__xludf.DUMMYFUNCTION("""COMPUTED_VALUE"""),"#VALUE!")</f>
        <v>#VALUE!</v>
      </c>
      <c r="BS166" t="str">
        <f ca="1">IFERROR(__xludf.DUMMYFUNCTION("""COMPUTED_VALUE"""),"#VALUE!")</f>
        <v>#VALUE!</v>
      </c>
      <c r="BU166" t="str">
        <f ca="1">IFERROR(__xludf.DUMMYFUNCTION("""COMPUTED_VALUE"""),"#VALUE!")</f>
        <v>#VALUE!</v>
      </c>
      <c r="BW166" t="str">
        <f ca="1">IFERROR(__xludf.DUMMYFUNCTION("""COMPUTED_VALUE"""),"#VALUE!")</f>
        <v>#VALUE!</v>
      </c>
      <c r="BY166" t="str">
        <f ca="1">IFERROR(__xludf.DUMMYFUNCTION("""COMPUTED_VALUE"""),"#VALUE!")</f>
        <v>#VALUE!</v>
      </c>
      <c r="CA166" t="str">
        <f ca="1">IFERROR(__xludf.DUMMYFUNCTION("""COMPUTED_VALUE"""),"#VALUE!")</f>
        <v>#VALUE!</v>
      </c>
      <c r="CC166" t="str">
        <f ca="1">IFERROR(__xludf.DUMMYFUNCTION("""COMPUTED_VALUE"""),"#VALUE!")</f>
        <v>#VALUE!</v>
      </c>
      <c r="CE166" t="str">
        <f ca="1">IFERROR(__xludf.DUMMYFUNCTION("""COMPUTED_VALUE"""),"#VALUE!")</f>
        <v>#VALUE!</v>
      </c>
      <c r="CG166" t="str">
        <f ca="1">IFERROR(__xludf.DUMMYFUNCTION("""COMPUTED_VALUE"""),"#VALUE!")</f>
        <v>#VALUE!</v>
      </c>
      <c r="CI166" t="str">
        <f ca="1">IFERROR(__xludf.DUMMYFUNCTION("""COMPUTED_VALUE"""),"#VALUE!")</f>
        <v>#VALUE!</v>
      </c>
      <c r="CK166" t="str">
        <f ca="1">IFERROR(__xludf.DUMMYFUNCTION("""COMPUTED_VALUE"""),"#VALUE!")</f>
        <v>#VALUE!</v>
      </c>
      <c r="CS166" t="str">
        <f ca="1">IFERROR(__xludf.DUMMYFUNCTION("""COMPUTED_VALUE"""),"#VALUE!")</f>
        <v>#VALUE!</v>
      </c>
      <c r="CU166" t="str">
        <f ca="1">IFERROR(__xludf.DUMMYFUNCTION("""COMPUTED_VALUE"""),"#VALUE!")</f>
        <v>#VALUE!</v>
      </c>
      <c r="CW166" t="str">
        <f ca="1">IFERROR(__xludf.DUMMYFUNCTION("""COMPUTED_VALUE"""),"#VALUE!")</f>
        <v>#VALUE!</v>
      </c>
      <c r="CY166" t="str">
        <f ca="1">IFERROR(__xludf.DUMMYFUNCTION("""COMPUTED_VALUE"""),"#VALUE!")</f>
        <v>#VALUE!</v>
      </c>
      <c r="DC166" t="str">
        <f ca="1">IFERROR(__xludf.DUMMYFUNCTION("""COMPUTED_VALUE"""),"#VALUE!")</f>
        <v>#VALUE!</v>
      </c>
      <c r="DE166" t="str">
        <f ca="1">IFERROR(__xludf.DUMMYFUNCTION("""COMPUTED_VALUE"""),"#VALUE!")</f>
        <v>#VALUE!</v>
      </c>
      <c r="DI166" t="str">
        <f ca="1">IFERROR(__xludf.DUMMYFUNCTION("""COMPUTED_VALUE"""),"#VALUE!")</f>
        <v>#VALUE!</v>
      </c>
      <c r="DJ166" t="str">
        <f ca="1">IFERROR(__xludf.DUMMYFUNCTION("""COMPUTED_VALUE"""),"#VALUE!")</f>
        <v>#VALUE!</v>
      </c>
      <c r="DL166" t="str">
        <f ca="1">IFERROR(__xludf.DUMMYFUNCTION("""COMPUTED_VALUE"""),"Davor Salihović")</f>
        <v>Davor Salihović</v>
      </c>
    </row>
    <row r="167" spans="1:116" ht="13.2" x14ac:dyDescent="0.25">
      <c r="A167" t="str">
        <f ca="1">IFERROR(__xludf.DUMMYFUNCTION("""COMPUTED_VALUE"""),"P0170")</f>
        <v>P0170</v>
      </c>
      <c r="B167" t="str">
        <f ca="1">IFERROR(__xludf.DUMMYFUNCTION("""COMPUTED_VALUE"""),"castellanus Iavenni")</f>
        <v>castellanus Iavenni</v>
      </c>
      <c r="D167" t="str">
        <f ca="1">IFERROR(__xludf.DUMMYFUNCTION("""COMPUTED_VALUE"""),"#VALUE!")</f>
        <v>#VALUE!</v>
      </c>
      <c r="E167" t="str">
        <f ca="1">IFERROR(__xludf.DUMMYFUNCTION("""COMPUTED_VALUE"""),"castellanus Iavenni")</f>
        <v>castellanus Iavenni</v>
      </c>
      <c r="S167" t="str">
        <f ca="1">IFERROR(__xludf.DUMMYFUNCTION("""COMPUTED_VALUE"""),"Latin")</f>
        <v>Latin</v>
      </c>
      <c r="T167" t="str">
        <f ca="1">IFERROR(__xludf.DUMMYFUNCTION("""COMPUTED_VALUE"""),"indefinite")</f>
        <v>indefinite</v>
      </c>
      <c r="U167" t="str">
        <f ca="1">IFERROR(__xludf.DUMMYFUNCTION("""COMPUTED_VALUE"""),"C2553")</f>
        <v>C2553</v>
      </c>
      <c r="V167" t="str">
        <f ca="1">IFERROR(__xludf.DUMMYFUNCTION("""COMPUTED_VALUE"""),"male")</f>
        <v>male</v>
      </c>
      <c r="Z167" t="str">
        <f ca="1">IFERROR(__xludf.DUMMYFUNCTION("""COMPUTED_VALUE"""),"172, 176, 251, 252, 253, 254, 255")</f>
        <v>172, 176, 251, 252, 253, 254, 255</v>
      </c>
      <c r="AA167" t="str">
        <f ca="1">IFERROR(__xludf.DUMMYFUNCTION("""COMPUTED_VALUE"""),"i")</f>
        <v>i</v>
      </c>
      <c r="AB167" t="str">
        <f ca="1">IFERROR(__xludf.DUMMYFUNCTION("""COMPUTED_VALUE"""),"assessor")</f>
        <v>assessor</v>
      </c>
      <c r="AD167" t="str">
        <f ca="1">IFERROR(__xludf.DUMMYFUNCTION("""COMPUTED_VALUE"""),"C3287")</f>
        <v>C3287</v>
      </c>
      <c r="AE167" t="str">
        <f ca="1">IFERROR(__xludf.DUMMYFUNCTION("""COMPUTED_VALUE"""),"alive")</f>
        <v>alive</v>
      </c>
      <c r="AF167" t="str">
        <f ca="1">IFERROR(__xludf.DUMMYFUNCTION("""COMPUTED_VALUE"""),"C1753")</f>
        <v>C1753</v>
      </c>
      <c r="AG167" t="str">
        <f ca="1">IFERROR(__xludf.DUMMYFUNCTION("""COMPUTED_VALUE"""),"1335-01-20")</f>
        <v>1335-01-20</v>
      </c>
      <c r="AI167" t="str">
        <f ca="1">IFERROR(__xludf.DUMMYFUNCTION("""COMPUTED_VALUE"""),"#VALUE!")</f>
        <v>#VALUE!</v>
      </c>
      <c r="AK167" t="str">
        <f ca="1">IFERROR(__xludf.DUMMYFUNCTION("""COMPUTED_VALUE"""),"#VALUE!")</f>
        <v>#VALUE!</v>
      </c>
      <c r="AM167" t="str">
        <f ca="1">IFERROR(__xludf.DUMMYFUNCTION("""COMPUTED_VALUE"""),"#VALUE!")</f>
        <v>#VALUE!</v>
      </c>
      <c r="AO167" t="str">
        <f ca="1">IFERROR(__xludf.DUMMYFUNCTION("""COMPUTED_VALUE"""),"#VALUE!")</f>
        <v>#VALUE!</v>
      </c>
      <c r="AQ167" t="str">
        <f ca="1">IFERROR(__xludf.DUMMYFUNCTION("""COMPUTED_VALUE"""),"#VALUE!")</f>
        <v>#VALUE!</v>
      </c>
      <c r="AS167" t="str">
        <f ca="1">IFERROR(__xludf.DUMMYFUNCTION("""COMPUTED_VALUE"""),"#VALUE!")</f>
        <v>#VALUE!</v>
      </c>
      <c r="AU167" t="str">
        <f ca="1">IFERROR(__xludf.DUMMYFUNCTION("""COMPUTED_VALUE"""),"#VALUE!")</f>
        <v>#VALUE!</v>
      </c>
      <c r="AW167" t="str">
        <f ca="1">IFERROR(__xludf.DUMMYFUNCTION("""COMPUTED_VALUE"""),"#VALUE!")</f>
        <v>#VALUE!</v>
      </c>
      <c r="AY167" t="str">
        <f ca="1">IFERROR(__xludf.DUMMYFUNCTION("""COMPUTED_VALUE"""),"#VALUE!")</f>
        <v>#VALUE!</v>
      </c>
      <c r="BA167" t="str">
        <f ca="1">IFERROR(__xludf.DUMMYFUNCTION("""COMPUTED_VALUE"""),"#VALUE!")</f>
        <v>#VALUE!</v>
      </c>
      <c r="BC167" t="str">
        <f ca="1">IFERROR(__xludf.DUMMYFUNCTION("""COMPUTED_VALUE"""),"#VALUE!")</f>
        <v>#VALUE!</v>
      </c>
      <c r="BE167" t="str">
        <f ca="1">IFERROR(__xludf.DUMMYFUNCTION("""COMPUTED_VALUE"""),"#VALUE!")</f>
        <v>#VALUE!</v>
      </c>
      <c r="BG167" t="str">
        <f ca="1">IFERROR(__xludf.DUMMYFUNCTION("""COMPUTED_VALUE"""),"#VALUE!")</f>
        <v>#VALUE!</v>
      </c>
      <c r="BI167" t="str">
        <f ca="1">IFERROR(__xludf.DUMMYFUNCTION("""COMPUTED_VALUE"""),"#VALUE!")</f>
        <v>#VALUE!</v>
      </c>
      <c r="BK167" t="str">
        <f ca="1">IFERROR(__xludf.DUMMYFUNCTION("""COMPUTED_VALUE"""),"#VALUE!")</f>
        <v>#VALUE!</v>
      </c>
      <c r="BM167" t="str">
        <f ca="1">IFERROR(__xludf.DUMMYFUNCTION("""COMPUTED_VALUE"""),"#VALUE!")</f>
        <v>#VALUE!</v>
      </c>
      <c r="BO167" t="str">
        <f ca="1">IFERROR(__xludf.DUMMYFUNCTION("""COMPUTED_VALUE"""),"#VALUE!")</f>
        <v>#VALUE!</v>
      </c>
      <c r="BQ167" t="str">
        <f ca="1">IFERROR(__xludf.DUMMYFUNCTION("""COMPUTED_VALUE"""),"#VALUE!")</f>
        <v>#VALUE!</v>
      </c>
      <c r="BS167" t="str">
        <f ca="1">IFERROR(__xludf.DUMMYFUNCTION("""COMPUTED_VALUE"""),"#VALUE!")</f>
        <v>#VALUE!</v>
      </c>
      <c r="BU167" t="str">
        <f ca="1">IFERROR(__xludf.DUMMYFUNCTION("""COMPUTED_VALUE"""),"#VALUE!")</f>
        <v>#VALUE!</v>
      </c>
      <c r="BW167" t="str">
        <f ca="1">IFERROR(__xludf.DUMMYFUNCTION("""COMPUTED_VALUE"""),"#VALUE!")</f>
        <v>#VALUE!</v>
      </c>
      <c r="BY167" t="str">
        <f ca="1">IFERROR(__xludf.DUMMYFUNCTION("""COMPUTED_VALUE"""),"#VALUE!")</f>
        <v>#VALUE!</v>
      </c>
      <c r="CA167" t="str">
        <f ca="1">IFERROR(__xludf.DUMMYFUNCTION("""COMPUTED_VALUE"""),"#VALUE!")</f>
        <v>#VALUE!</v>
      </c>
      <c r="CC167" t="str">
        <f ca="1">IFERROR(__xludf.DUMMYFUNCTION("""COMPUTED_VALUE"""),"#VALUE!")</f>
        <v>#VALUE!</v>
      </c>
      <c r="CE167" t="str">
        <f ca="1">IFERROR(__xludf.DUMMYFUNCTION("""COMPUTED_VALUE"""),"#VALUE!")</f>
        <v>#VALUE!</v>
      </c>
      <c r="CG167" t="str">
        <f ca="1">IFERROR(__xludf.DUMMYFUNCTION("""COMPUTED_VALUE"""),"#VALUE!")</f>
        <v>#VALUE!</v>
      </c>
      <c r="CI167" t="str">
        <f ca="1">IFERROR(__xludf.DUMMYFUNCTION("""COMPUTED_VALUE"""),"#VALUE!")</f>
        <v>#VALUE!</v>
      </c>
      <c r="CK167" t="str">
        <f ca="1">IFERROR(__xludf.DUMMYFUNCTION("""COMPUTED_VALUE"""),"#VALUE!")</f>
        <v>#VALUE!</v>
      </c>
      <c r="CS167" t="str">
        <f ca="1">IFERROR(__xludf.DUMMYFUNCTION("""COMPUTED_VALUE"""),"#VALUE!")</f>
        <v>#VALUE!</v>
      </c>
      <c r="CU167" t="str">
        <f ca="1">IFERROR(__xludf.DUMMYFUNCTION("""COMPUTED_VALUE"""),"#VALUE!")</f>
        <v>#VALUE!</v>
      </c>
      <c r="CV167" t="str">
        <f ca="1">IFERROR(__xludf.DUMMYFUNCTION("""COMPUTED_VALUE"""),"L0002")</f>
        <v>L0002</v>
      </c>
      <c r="CW167" t="str">
        <f ca="1">IFERROR(__xludf.DUMMYFUNCTION("""COMPUTED_VALUE"""),"Coazze")</f>
        <v>Coazze</v>
      </c>
      <c r="CX167" t="str">
        <f ca="1">IFERROR(__xludf.DUMMYFUNCTION("""COMPUTED_VALUE"""),"C3174")</f>
        <v>C3174</v>
      </c>
      <c r="CY167" t="str">
        <f ca="1">IFERROR(__xludf.DUMMYFUNCTION("""COMPUTED_VALUE"""),"castellanus ")</f>
        <v xml:space="preserve">castellanus </v>
      </c>
      <c r="DA167" t="str">
        <f ca="1">IFERROR(__xludf.DUMMYFUNCTION("""COMPUTED_VALUE"""),"official")</f>
        <v>official</v>
      </c>
      <c r="DC167" t="str">
        <f ca="1">IFERROR(__xludf.DUMMYFUNCTION("""COMPUTED_VALUE"""),"#VALUE!")</f>
        <v>#VALUE!</v>
      </c>
      <c r="DD167" t="str">
        <f ca="1">IFERROR(__xludf.DUMMYFUNCTION("""COMPUTED_VALUE"""),"C3174")</f>
        <v>C3174</v>
      </c>
      <c r="DE167" t="str">
        <f ca="1">IFERROR(__xludf.DUMMYFUNCTION("""COMPUTED_VALUE"""),"castellanus ")</f>
        <v xml:space="preserve">castellanus </v>
      </c>
      <c r="DI167" t="str">
        <f ca="1">IFERROR(__xludf.DUMMYFUNCTION("""COMPUTED_VALUE"""),"#VALUE!")</f>
        <v>#VALUE!</v>
      </c>
      <c r="DJ167" t="str">
        <f ca="1">IFERROR(__xludf.DUMMYFUNCTION("""COMPUTED_VALUE"""),"#VALUE!")</f>
        <v>#VALUE!</v>
      </c>
      <c r="DL167" t="str">
        <f ca="1">IFERROR(__xludf.DUMMYFUNCTION("""COMPUTED_VALUE"""),"Davor Salihović")</f>
        <v>Davor Salihović</v>
      </c>
    </row>
    <row r="168" spans="1:116" ht="13.2" x14ac:dyDescent="0.25">
      <c r="A168" t="str">
        <f ca="1">IFERROR(__xludf.DUMMYFUNCTION("""COMPUTED_VALUE"""),"P0171")</f>
        <v>P0171</v>
      </c>
      <c r="B168" t="str">
        <f ca="1">IFERROR(__xludf.DUMMYFUNCTION("""COMPUTED_VALUE"""),"Valdensis")</f>
        <v>Valdensis</v>
      </c>
      <c r="D168" t="str">
        <f ca="1">IFERROR(__xludf.DUMMYFUNCTION("""COMPUTED_VALUE"""),"#VALUE!")</f>
        <v>#VALUE!</v>
      </c>
      <c r="E168" t="str">
        <f ca="1">IFERROR(__xludf.DUMMYFUNCTION("""COMPUTED_VALUE"""),"Valdensis")</f>
        <v>Valdensis</v>
      </c>
      <c r="S168" t="str">
        <f ca="1">IFERROR(__xludf.DUMMYFUNCTION("""COMPUTED_VALUE"""),"Latin")</f>
        <v>Latin</v>
      </c>
      <c r="T168" t="str">
        <f ca="1">IFERROR(__xludf.DUMMYFUNCTION("""COMPUTED_VALUE"""),"hypothetical")</f>
        <v>hypothetical</v>
      </c>
      <c r="U168" t="str">
        <f ca="1">IFERROR(__xludf.DUMMYFUNCTION("""COMPUTED_VALUE"""),"C2553")</f>
        <v>C2553</v>
      </c>
      <c r="V168" t="str">
        <f ca="1">IFERROR(__xludf.DUMMYFUNCTION("""COMPUTED_VALUE"""),"male")</f>
        <v>male</v>
      </c>
      <c r="Z168" t="str">
        <f ca="1">IFERROR(__xludf.DUMMYFUNCTION("""COMPUTED_VALUE"""),"173, 175")</f>
        <v>173, 175</v>
      </c>
      <c r="AA168" t="str">
        <f ca="1">IFERROR(__xludf.DUMMYFUNCTION("""COMPUTED_VALUE"""),"d")</f>
        <v>d</v>
      </c>
      <c r="AB168" t="str">
        <f ca="1">IFERROR(__xludf.DUMMYFUNCTION("""COMPUTED_VALUE"""),"NA")</f>
        <v>NA</v>
      </c>
      <c r="AE168" t="str">
        <f ca="1">IFERROR(__xludf.DUMMYFUNCTION("""COMPUTED_VALUE"""),"#VALUE!")</f>
        <v>#VALUE!</v>
      </c>
      <c r="AF168" t="str">
        <f ca="1">IFERROR(__xludf.DUMMYFUNCTION("""COMPUTED_VALUE"""),"#N/A")</f>
        <v>#N/A</v>
      </c>
      <c r="AG168" t="str">
        <f ca="1">IFERROR(__xludf.DUMMYFUNCTION("""COMPUTED_VALUE"""),"#N/A")</f>
        <v>#N/A</v>
      </c>
      <c r="AI168" t="str">
        <f ca="1">IFERROR(__xludf.DUMMYFUNCTION("""COMPUTED_VALUE"""),"#VALUE!")</f>
        <v>#VALUE!</v>
      </c>
      <c r="AK168" t="str">
        <f ca="1">IFERROR(__xludf.DUMMYFUNCTION("""COMPUTED_VALUE"""),"#VALUE!")</f>
        <v>#VALUE!</v>
      </c>
      <c r="AM168" t="str">
        <f ca="1">IFERROR(__xludf.DUMMYFUNCTION("""COMPUTED_VALUE"""),"#VALUE!")</f>
        <v>#VALUE!</v>
      </c>
      <c r="AO168" t="str">
        <f ca="1">IFERROR(__xludf.DUMMYFUNCTION("""COMPUTED_VALUE"""),"#VALUE!")</f>
        <v>#VALUE!</v>
      </c>
      <c r="AQ168" t="str">
        <f ca="1">IFERROR(__xludf.DUMMYFUNCTION("""COMPUTED_VALUE"""),"#VALUE!")</f>
        <v>#VALUE!</v>
      </c>
      <c r="AS168" t="str">
        <f ca="1">IFERROR(__xludf.DUMMYFUNCTION("""COMPUTED_VALUE"""),"#VALUE!")</f>
        <v>#VALUE!</v>
      </c>
      <c r="AU168" t="str">
        <f ca="1">IFERROR(__xludf.DUMMYFUNCTION("""COMPUTED_VALUE"""),"#VALUE!")</f>
        <v>#VALUE!</v>
      </c>
      <c r="AW168" t="str">
        <f ca="1">IFERROR(__xludf.DUMMYFUNCTION("""COMPUTED_VALUE"""),"#VALUE!")</f>
        <v>#VALUE!</v>
      </c>
      <c r="AY168" t="str">
        <f ca="1">IFERROR(__xludf.DUMMYFUNCTION("""COMPUTED_VALUE"""),"#VALUE!")</f>
        <v>#VALUE!</v>
      </c>
      <c r="BA168" t="str">
        <f ca="1">IFERROR(__xludf.DUMMYFUNCTION("""COMPUTED_VALUE"""),"#VALUE!")</f>
        <v>#VALUE!</v>
      </c>
      <c r="BC168" t="str">
        <f ca="1">IFERROR(__xludf.DUMMYFUNCTION("""COMPUTED_VALUE"""),"#VALUE!")</f>
        <v>#VALUE!</v>
      </c>
      <c r="BE168" t="str">
        <f ca="1">IFERROR(__xludf.DUMMYFUNCTION("""COMPUTED_VALUE"""),"#VALUE!")</f>
        <v>#VALUE!</v>
      </c>
      <c r="BG168" t="str">
        <f ca="1">IFERROR(__xludf.DUMMYFUNCTION("""COMPUTED_VALUE"""),"#VALUE!")</f>
        <v>#VALUE!</v>
      </c>
      <c r="BI168" t="str">
        <f ca="1">IFERROR(__xludf.DUMMYFUNCTION("""COMPUTED_VALUE"""),"#VALUE!")</f>
        <v>#VALUE!</v>
      </c>
      <c r="BK168" t="str">
        <f ca="1">IFERROR(__xludf.DUMMYFUNCTION("""COMPUTED_VALUE"""),"#VALUE!")</f>
        <v>#VALUE!</v>
      </c>
      <c r="BM168" t="str">
        <f ca="1">IFERROR(__xludf.DUMMYFUNCTION("""COMPUTED_VALUE"""),"#VALUE!")</f>
        <v>#VALUE!</v>
      </c>
      <c r="BO168" t="str">
        <f ca="1">IFERROR(__xludf.DUMMYFUNCTION("""COMPUTED_VALUE"""),"#VALUE!")</f>
        <v>#VALUE!</v>
      </c>
      <c r="BQ168" t="str">
        <f ca="1">IFERROR(__xludf.DUMMYFUNCTION("""COMPUTED_VALUE"""),"#VALUE!")</f>
        <v>#VALUE!</v>
      </c>
      <c r="BS168" t="str">
        <f ca="1">IFERROR(__xludf.DUMMYFUNCTION("""COMPUTED_VALUE"""),"#VALUE!")</f>
        <v>#VALUE!</v>
      </c>
      <c r="BU168" t="str">
        <f ca="1">IFERROR(__xludf.DUMMYFUNCTION("""COMPUTED_VALUE"""),"#VALUE!")</f>
        <v>#VALUE!</v>
      </c>
      <c r="BW168" t="str">
        <f ca="1">IFERROR(__xludf.DUMMYFUNCTION("""COMPUTED_VALUE"""),"#VALUE!")</f>
        <v>#VALUE!</v>
      </c>
      <c r="BY168" t="str">
        <f ca="1">IFERROR(__xludf.DUMMYFUNCTION("""COMPUTED_VALUE"""),"#VALUE!")</f>
        <v>#VALUE!</v>
      </c>
      <c r="CA168" t="str">
        <f ca="1">IFERROR(__xludf.DUMMYFUNCTION("""COMPUTED_VALUE"""),"#VALUE!")</f>
        <v>#VALUE!</v>
      </c>
      <c r="CC168" t="str">
        <f ca="1">IFERROR(__xludf.DUMMYFUNCTION("""COMPUTED_VALUE"""),"#VALUE!")</f>
        <v>#VALUE!</v>
      </c>
      <c r="CE168" t="str">
        <f ca="1">IFERROR(__xludf.DUMMYFUNCTION("""COMPUTED_VALUE"""),"#VALUE!")</f>
        <v>#VALUE!</v>
      </c>
      <c r="CG168" t="str">
        <f ca="1">IFERROR(__xludf.DUMMYFUNCTION("""COMPUTED_VALUE"""),"#VALUE!")</f>
        <v>#VALUE!</v>
      </c>
      <c r="CI168" t="str">
        <f ca="1">IFERROR(__xludf.DUMMYFUNCTION("""COMPUTED_VALUE"""),"#VALUE!")</f>
        <v>#VALUE!</v>
      </c>
      <c r="CK168" t="str">
        <f ca="1">IFERROR(__xludf.DUMMYFUNCTION("""COMPUTED_VALUE"""),"#VALUE!")</f>
        <v>#VALUE!</v>
      </c>
      <c r="CS168" t="str">
        <f ca="1">IFERROR(__xludf.DUMMYFUNCTION("""COMPUTED_VALUE"""),"#VALUE!")</f>
        <v>#VALUE!</v>
      </c>
      <c r="CU168" t="str">
        <f ca="1">IFERROR(__xludf.DUMMYFUNCTION("""COMPUTED_VALUE"""),"#VALUE!")</f>
        <v>#VALUE!</v>
      </c>
      <c r="CW168" t="str">
        <f ca="1">IFERROR(__xludf.DUMMYFUNCTION("""COMPUTED_VALUE"""),"#VALUE!")</f>
        <v>#VALUE!</v>
      </c>
      <c r="CY168" t="str">
        <f ca="1">IFERROR(__xludf.DUMMYFUNCTION("""COMPUTED_VALUE"""),"#VALUE!")</f>
        <v>#VALUE!</v>
      </c>
      <c r="DC168" t="str">
        <f ca="1">IFERROR(__xludf.DUMMYFUNCTION("""COMPUTED_VALUE"""),"#VALUE!")</f>
        <v>#VALUE!</v>
      </c>
      <c r="DE168" t="str">
        <f ca="1">IFERROR(__xludf.DUMMYFUNCTION("""COMPUTED_VALUE"""),"#VALUE!")</f>
        <v>#VALUE!</v>
      </c>
      <c r="DI168" t="str">
        <f ca="1">IFERROR(__xludf.DUMMYFUNCTION("""COMPUTED_VALUE"""),"#VALUE!")</f>
        <v>#VALUE!</v>
      </c>
      <c r="DJ168" t="str">
        <f ca="1">IFERROR(__xludf.DUMMYFUNCTION("""COMPUTED_VALUE"""),"#VALUE!")</f>
        <v>#VALUE!</v>
      </c>
      <c r="DL168" t="str">
        <f ca="1">IFERROR(__xludf.DUMMYFUNCTION("""COMPUTED_VALUE"""),"Davor Salihović")</f>
        <v>Davor Salihović</v>
      </c>
    </row>
    <row r="169" spans="1:116" ht="13.2" x14ac:dyDescent="0.25">
      <c r="A169" t="str">
        <f ca="1">IFERROR(__xludf.DUMMYFUNCTION("""COMPUTED_VALUE"""),"P0173")</f>
        <v>P0173</v>
      </c>
      <c r="B169" t="str">
        <f ca="1">IFERROR(__xludf.DUMMYFUNCTION("""COMPUTED_VALUE"""),"Iacobus Porpua")</f>
        <v>Iacobus Porpua</v>
      </c>
      <c r="D169" t="str">
        <f ca="1">IFERROR(__xludf.DUMMYFUNCTION("""COMPUTED_VALUE"""),"#VALUE!")</f>
        <v>#VALUE!</v>
      </c>
      <c r="E169" t="str">
        <f ca="1">IFERROR(__xludf.DUMMYFUNCTION("""COMPUTED_VALUE"""),"Iacobus")</f>
        <v>Iacobus</v>
      </c>
      <c r="K169" t="str">
        <f ca="1">IFERROR(__xludf.DUMMYFUNCTION("""COMPUTED_VALUE"""),"Porpua")</f>
        <v>Porpua</v>
      </c>
      <c r="L169" t="str">
        <f ca="1">IFERROR(__xludf.DUMMYFUNCTION("""COMPUTED_VALUE"""),"Porpua")</f>
        <v>Porpua</v>
      </c>
      <c r="S169" t="str">
        <f ca="1">IFERROR(__xludf.DUMMYFUNCTION("""COMPUTED_VALUE"""),"Latin")</f>
        <v>Latin</v>
      </c>
      <c r="T169" t="str">
        <f ca="1">IFERROR(__xludf.DUMMYFUNCTION("""COMPUTED_VALUE"""),"definite")</f>
        <v>definite</v>
      </c>
      <c r="U169" t="str">
        <f ca="1">IFERROR(__xludf.DUMMYFUNCTION("""COMPUTED_VALUE"""),"C2553")</f>
        <v>C2553</v>
      </c>
      <c r="V169" t="str">
        <f ca="1">IFERROR(__xludf.DUMMYFUNCTION("""COMPUTED_VALUE"""),"male")</f>
        <v>male</v>
      </c>
      <c r="Z169" t="str">
        <f ca="1">IFERROR(__xludf.DUMMYFUNCTION("""COMPUTED_VALUE"""),"173")</f>
        <v>173</v>
      </c>
      <c r="AA169" t="str">
        <f ca="1">IFERROR(__xludf.DUMMYFUNCTION("""COMPUTED_VALUE"""),"d")</f>
        <v>d</v>
      </c>
      <c r="AB169" t="str">
        <f ca="1">IFERROR(__xludf.DUMMYFUNCTION("""COMPUTED_VALUE"""),"NA")</f>
        <v>NA</v>
      </c>
      <c r="AD169" t="str">
        <f ca="1">IFERROR(__xludf.DUMMYFUNCTION("""COMPUTED_VALUE"""),"C3287")</f>
        <v>C3287</v>
      </c>
      <c r="AE169" t="str">
        <f ca="1">IFERROR(__xludf.DUMMYFUNCTION("""COMPUTED_VALUE"""),"alive")</f>
        <v>alive</v>
      </c>
      <c r="AF169" t="str">
        <f ca="1">IFERROR(__xludf.DUMMYFUNCTION("""COMPUTED_VALUE"""),"C1753")</f>
        <v>C1753</v>
      </c>
      <c r="AG169" t="str">
        <f ca="1">IFERROR(__xludf.DUMMYFUNCTION("""COMPUTED_VALUE"""),"1335-01-20")</f>
        <v>1335-01-20</v>
      </c>
      <c r="AI169" t="str">
        <f ca="1">IFERROR(__xludf.DUMMYFUNCTION("""COMPUTED_VALUE"""),"#VALUE!")</f>
        <v>#VALUE!</v>
      </c>
      <c r="AK169" t="str">
        <f ca="1">IFERROR(__xludf.DUMMYFUNCTION("""COMPUTED_VALUE"""),"#VALUE!")</f>
        <v>#VALUE!</v>
      </c>
      <c r="AM169" t="str">
        <f ca="1">IFERROR(__xludf.DUMMYFUNCTION("""COMPUTED_VALUE"""),"#VALUE!")</f>
        <v>#VALUE!</v>
      </c>
      <c r="AO169" t="str">
        <f ca="1">IFERROR(__xludf.DUMMYFUNCTION("""COMPUTED_VALUE"""),"#VALUE!")</f>
        <v>#VALUE!</v>
      </c>
      <c r="AQ169" t="str">
        <f ca="1">IFERROR(__xludf.DUMMYFUNCTION("""COMPUTED_VALUE"""),"#VALUE!")</f>
        <v>#VALUE!</v>
      </c>
      <c r="AS169" t="str">
        <f ca="1">IFERROR(__xludf.DUMMYFUNCTION("""COMPUTED_VALUE"""),"#VALUE!")</f>
        <v>#VALUE!</v>
      </c>
      <c r="AU169" t="str">
        <f ca="1">IFERROR(__xludf.DUMMYFUNCTION("""COMPUTED_VALUE"""),"#VALUE!")</f>
        <v>#VALUE!</v>
      </c>
      <c r="AW169" t="str">
        <f ca="1">IFERROR(__xludf.DUMMYFUNCTION("""COMPUTED_VALUE"""),"#VALUE!")</f>
        <v>#VALUE!</v>
      </c>
      <c r="AY169" t="str">
        <f ca="1">IFERROR(__xludf.DUMMYFUNCTION("""COMPUTED_VALUE"""),"#VALUE!")</f>
        <v>#VALUE!</v>
      </c>
      <c r="BA169" t="str">
        <f ca="1">IFERROR(__xludf.DUMMYFUNCTION("""COMPUTED_VALUE"""),"#VALUE!")</f>
        <v>#VALUE!</v>
      </c>
      <c r="BC169" t="str">
        <f ca="1">IFERROR(__xludf.DUMMYFUNCTION("""COMPUTED_VALUE"""),"#VALUE!")</f>
        <v>#VALUE!</v>
      </c>
      <c r="BE169" t="str">
        <f ca="1">IFERROR(__xludf.DUMMYFUNCTION("""COMPUTED_VALUE"""),"#VALUE!")</f>
        <v>#VALUE!</v>
      </c>
      <c r="BG169" t="str">
        <f ca="1">IFERROR(__xludf.DUMMYFUNCTION("""COMPUTED_VALUE"""),"#VALUE!")</f>
        <v>#VALUE!</v>
      </c>
      <c r="BI169" t="str">
        <f ca="1">IFERROR(__xludf.DUMMYFUNCTION("""COMPUTED_VALUE"""),"#VALUE!")</f>
        <v>#VALUE!</v>
      </c>
      <c r="BK169" t="str">
        <f ca="1">IFERROR(__xludf.DUMMYFUNCTION("""COMPUTED_VALUE"""),"#VALUE!")</f>
        <v>#VALUE!</v>
      </c>
      <c r="BM169" t="str">
        <f ca="1">IFERROR(__xludf.DUMMYFUNCTION("""COMPUTED_VALUE"""),"#VALUE!")</f>
        <v>#VALUE!</v>
      </c>
      <c r="BO169" t="str">
        <f ca="1">IFERROR(__xludf.DUMMYFUNCTION("""COMPUTED_VALUE"""),"#VALUE!")</f>
        <v>#VALUE!</v>
      </c>
      <c r="BQ169" t="str">
        <f ca="1">IFERROR(__xludf.DUMMYFUNCTION("""COMPUTED_VALUE"""),"#VALUE!")</f>
        <v>#VALUE!</v>
      </c>
      <c r="BS169" t="str">
        <f ca="1">IFERROR(__xludf.DUMMYFUNCTION("""COMPUTED_VALUE"""),"#VALUE!")</f>
        <v>#VALUE!</v>
      </c>
      <c r="BU169" t="str">
        <f ca="1">IFERROR(__xludf.DUMMYFUNCTION("""COMPUTED_VALUE"""),"#VALUE!")</f>
        <v>#VALUE!</v>
      </c>
      <c r="BW169" t="str">
        <f ca="1">IFERROR(__xludf.DUMMYFUNCTION("""COMPUTED_VALUE"""),"#VALUE!")</f>
        <v>#VALUE!</v>
      </c>
      <c r="BY169" t="str">
        <f ca="1">IFERROR(__xludf.DUMMYFUNCTION("""COMPUTED_VALUE"""),"#VALUE!")</f>
        <v>#VALUE!</v>
      </c>
      <c r="CA169" t="str">
        <f ca="1">IFERROR(__xludf.DUMMYFUNCTION("""COMPUTED_VALUE"""),"#VALUE!")</f>
        <v>#VALUE!</v>
      </c>
      <c r="CC169" t="str">
        <f ca="1">IFERROR(__xludf.DUMMYFUNCTION("""COMPUTED_VALUE"""),"#VALUE!")</f>
        <v>#VALUE!</v>
      </c>
      <c r="CE169" t="str">
        <f ca="1">IFERROR(__xludf.DUMMYFUNCTION("""COMPUTED_VALUE"""),"#VALUE!")</f>
        <v>#VALUE!</v>
      </c>
      <c r="CG169" t="str">
        <f ca="1">IFERROR(__xludf.DUMMYFUNCTION("""COMPUTED_VALUE"""),"#VALUE!")</f>
        <v>#VALUE!</v>
      </c>
      <c r="CI169" t="str">
        <f ca="1">IFERROR(__xludf.DUMMYFUNCTION("""COMPUTED_VALUE"""),"#VALUE!")</f>
        <v>#VALUE!</v>
      </c>
      <c r="CK169" t="str">
        <f ca="1">IFERROR(__xludf.DUMMYFUNCTION("""COMPUTED_VALUE"""),"#VALUE!")</f>
        <v>#VALUE!</v>
      </c>
      <c r="CS169" t="str">
        <f ca="1">IFERROR(__xludf.DUMMYFUNCTION("""COMPUTED_VALUE"""),"#VALUE!")</f>
        <v>#VALUE!</v>
      </c>
      <c r="CU169" t="str">
        <f ca="1">IFERROR(__xludf.DUMMYFUNCTION("""COMPUTED_VALUE"""),"#VALUE!")</f>
        <v>#VALUE!</v>
      </c>
      <c r="CW169" t="str">
        <f ca="1">IFERROR(__xludf.DUMMYFUNCTION("""COMPUTED_VALUE"""),"#VALUE!")</f>
        <v>#VALUE!</v>
      </c>
      <c r="CY169" t="str">
        <f ca="1">IFERROR(__xludf.DUMMYFUNCTION("""COMPUTED_VALUE"""),"#VALUE!")</f>
        <v>#VALUE!</v>
      </c>
      <c r="DC169" t="str">
        <f ca="1">IFERROR(__xludf.DUMMYFUNCTION("""COMPUTED_VALUE"""),"#VALUE!")</f>
        <v>#VALUE!</v>
      </c>
      <c r="DE169" t="str">
        <f ca="1">IFERROR(__xludf.DUMMYFUNCTION("""COMPUTED_VALUE"""),"#VALUE!")</f>
        <v>#VALUE!</v>
      </c>
      <c r="DI169" t="str">
        <f ca="1">IFERROR(__xludf.DUMMYFUNCTION("""COMPUTED_VALUE"""),"#VALUE!")</f>
        <v>#VALUE!</v>
      </c>
      <c r="DJ169" t="str">
        <f ca="1">IFERROR(__xludf.DUMMYFUNCTION("""COMPUTED_VALUE"""),"#VALUE!")</f>
        <v>#VALUE!</v>
      </c>
      <c r="DL169" t="str">
        <f ca="1">IFERROR(__xludf.DUMMYFUNCTION("""COMPUTED_VALUE"""),"Davor Salihović")</f>
        <v>Davor Salihović</v>
      </c>
    </row>
    <row r="170" spans="1:116" ht="13.2" x14ac:dyDescent="0.25">
      <c r="A170" t="str">
        <f ca="1">IFERROR(__xludf.DUMMYFUNCTION("""COMPUTED_VALUE"""),"P0174")</f>
        <v>P0174</v>
      </c>
      <c r="B170" t="str">
        <f ca="1">IFERROR(__xludf.DUMMYFUNCTION("""COMPUTED_VALUE"""),"Loxius, frater Iohannis Dudricis")</f>
        <v>Loxius, frater Iohannis Dudricis</v>
      </c>
      <c r="D170" t="str">
        <f ca="1">IFERROR(__xludf.DUMMYFUNCTION("""COMPUTED_VALUE"""),"#VALUE!")</f>
        <v>#VALUE!</v>
      </c>
      <c r="E170" t="str">
        <f ca="1">IFERROR(__xludf.DUMMYFUNCTION("""COMPUTED_VALUE"""),"Loxius")</f>
        <v>Loxius</v>
      </c>
      <c r="Q170" t="str">
        <f ca="1">IFERROR(__xludf.DUMMYFUNCTION("""COMPUTED_VALUE"""),"frater Iohannis Dudricis")</f>
        <v>frater Iohannis Dudricis</v>
      </c>
      <c r="S170" t="str">
        <f ca="1">IFERROR(__xludf.DUMMYFUNCTION("""COMPUTED_VALUE"""),"Latin")</f>
        <v>Latin</v>
      </c>
      <c r="T170" t="str">
        <f ca="1">IFERROR(__xludf.DUMMYFUNCTION("""COMPUTED_VALUE"""),"definite")</f>
        <v>definite</v>
      </c>
      <c r="U170" t="str">
        <f ca="1">IFERROR(__xludf.DUMMYFUNCTION("""COMPUTED_VALUE"""),"C2553")</f>
        <v>C2553</v>
      </c>
      <c r="V170" t="str">
        <f ca="1">IFERROR(__xludf.DUMMYFUNCTION("""COMPUTED_VALUE"""),"male")</f>
        <v>male</v>
      </c>
      <c r="Z170" t="str">
        <f ca="1">IFERROR(__xludf.DUMMYFUNCTION("""COMPUTED_VALUE"""),"173")</f>
        <v>173</v>
      </c>
      <c r="AA170" t="str">
        <f ca="1">IFERROR(__xludf.DUMMYFUNCTION("""COMPUTED_VALUE"""),"d")</f>
        <v>d</v>
      </c>
      <c r="AB170" t="str">
        <f ca="1">IFERROR(__xludf.DUMMYFUNCTION("""COMPUTED_VALUE"""),"NA")</f>
        <v>NA</v>
      </c>
      <c r="AD170" t="str">
        <f ca="1">IFERROR(__xludf.DUMMYFUNCTION("""COMPUTED_VALUE"""),"C3287")</f>
        <v>C3287</v>
      </c>
      <c r="AE170" t="str">
        <f ca="1">IFERROR(__xludf.DUMMYFUNCTION("""COMPUTED_VALUE"""),"alive")</f>
        <v>alive</v>
      </c>
      <c r="AF170" t="str">
        <f ca="1">IFERROR(__xludf.DUMMYFUNCTION("""COMPUTED_VALUE"""),"C1753")</f>
        <v>C1753</v>
      </c>
      <c r="AG170" t="str">
        <f ca="1">IFERROR(__xludf.DUMMYFUNCTION("""COMPUTED_VALUE"""),"1335-01-20")</f>
        <v>1335-01-20</v>
      </c>
      <c r="AI170" t="str">
        <f ca="1">IFERROR(__xludf.DUMMYFUNCTION("""COMPUTED_VALUE"""),"#VALUE!")</f>
        <v>#VALUE!</v>
      </c>
      <c r="AK170" t="str">
        <f ca="1">IFERROR(__xludf.DUMMYFUNCTION("""COMPUTED_VALUE"""),"#VALUE!")</f>
        <v>#VALUE!</v>
      </c>
      <c r="AM170" t="str">
        <f ca="1">IFERROR(__xludf.DUMMYFUNCTION("""COMPUTED_VALUE"""),"#VALUE!")</f>
        <v>#VALUE!</v>
      </c>
      <c r="AO170" t="str">
        <f ca="1">IFERROR(__xludf.DUMMYFUNCTION("""COMPUTED_VALUE"""),"#VALUE!")</f>
        <v>#VALUE!</v>
      </c>
      <c r="AQ170" t="str">
        <f ca="1">IFERROR(__xludf.DUMMYFUNCTION("""COMPUTED_VALUE"""),"#VALUE!")</f>
        <v>#VALUE!</v>
      </c>
      <c r="AS170" t="str">
        <f ca="1">IFERROR(__xludf.DUMMYFUNCTION("""COMPUTED_VALUE"""),"#VALUE!")</f>
        <v>#VALUE!</v>
      </c>
      <c r="AU170" t="str">
        <f ca="1">IFERROR(__xludf.DUMMYFUNCTION("""COMPUTED_VALUE"""),"#VALUE!")</f>
        <v>#VALUE!</v>
      </c>
      <c r="AW170" t="str">
        <f ca="1">IFERROR(__xludf.DUMMYFUNCTION("""COMPUTED_VALUE"""),"#VALUE!")</f>
        <v>#VALUE!</v>
      </c>
      <c r="AY170" t="str">
        <f ca="1">IFERROR(__xludf.DUMMYFUNCTION("""COMPUTED_VALUE"""),"#VALUE!")</f>
        <v>#VALUE!</v>
      </c>
      <c r="BA170" t="str">
        <f ca="1">IFERROR(__xludf.DUMMYFUNCTION("""COMPUTED_VALUE"""),"#VALUE!")</f>
        <v>#VALUE!</v>
      </c>
      <c r="BC170" t="str">
        <f ca="1">IFERROR(__xludf.DUMMYFUNCTION("""COMPUTED_VALUE"""),"#VALUE!")</f>
        <v>#VALUE!</v>
      </c>
      <c r="BE170" t="str">
        <f ca="1">IFERROR(__xludf.DUMMYFUNCTION("""COMPUTED_VALUE"""),"#VALUE!")</f>
        <v>#VALUE!</v>
      </c>
      <c r="BG170" t="str">
        <f ca="1">IFERROR(__xludf.DUMMYFUNCTION("""COMPUTED_VALUE"""),"#VALUE!")</f>
        <v>#VALUE!</v>
      </c>
      <c r="BI170" t="str">
        <f ca="1">IFERROR(__xludf.DUMMYFUNCTION("""COMPUTED_VALUE"""),"#VALUE!")</f>
        <v>#VALUE!</v>
      </c>
      <c r="BK170" t="str">
        <f ca="1">IFERROR(__xludf.DUMMYFUNCTION("""COMPUTED_VALUE"""),"#VALUE!")</f>
        <v>#VALUE!</v>
      </c>
      <c r="BM170" t="str">
        <f ca="1">IFERROR(__xludf.DUMMYFUNCTION("""COMPUTED_VALUE"""),"#VALUE!")</f>
        <v>#VALUE!</v>
      </c>
      <c r="BO170" t="str">
        <f ca="1">IFERROR(__xludf.DUMMYFUNCTION("""COMPUTED_VALUE"""),"#VALUE!")</f>
        <v>#VALUE!</v>
      </c>
      <c r="BQ170" t="str">
        <f ca="1">IFERROR(__xludf.DUMMYFUNCTION("""COMPUTED_VALUE"""),"#VALUE!")</f>
        <v>#VALUE!</v>
      </c>
      <c r="BS170" t="str">
        <f ca="1">IFERROR(__xludf.DUMMYFUNCTION("""COMPUTED_VALUE"""),"#VALUE!")</f>
        <v>#VALUE!</v>
      </c>
      <c r="BU170" t="str">
        <f ca="1">IFERROR(__xludf.DUMMYFUNCTION("""COMPUTED_VALUE"""),"#VALUE!")</f>
        <v>#VALUE!</v>
      </c>
      <c r="BW170" t="str">
        <f ca="1">IFERROR(__xludf.DUMMYFUNCTION("""COMPUTED_VALUE"""),"#VALUE!")</f>
        <v>#VALUE!</v>
      </c>
      <c r="BY170" t="str">
        <f ca="1">IFERROR(__xludf.DUMMYFUNCTION("""COMPUTED_VALUE"""),"#VALUE!")</f>
        <v>#VALUE!</v>
      </c>
      <c r="CA170" t="str">
        <f ca="1">IFERROR(__xludf.DUMMYFUNCTION("""COMPUTED_VALUE"""),"#VALUE!")</f>
        <v>#VALUE!</v>
      </c>
      <c r="CC170" t="str">
        <f ca="1">IFERROR(__xludf.DUMMYFUNCTION("""COMPUTED_VALUE"""),"#VALUE!")</f>
        <v>#VALUE!</v>
      </c>
      <c r="CE170" t="str">
        <f ca="1">IFERROR(__xludf.DUMMYFUNCTION("""COMPUTED_VALUE"""),"#VALUE!")</f>
        <v>#VALUE!</v>
      </c>
      <c r="CG170" t="str">
        <f ca="1">IFERROR(__xludf.DUMMYFUNCTION("""COMPUTED_VALUE"""),"#VALUE!")</f>
        <v>#VALUE!</v>
      </c>
      <c r="CI170" t="str">
        <f ca="1">IFERROR(__xludf.DUMMYFUNCTION("""COMPUTED_VALUE"""),"#VALUE!")</f>
        <v>#VALUE!</v>
      </c>
      <c r="CK170" t="str">
        <f ca="1">IFERROR(__xludf.DUMMYFUNCTION("""COMPUTED_VALUE"""),"#VALUE!")</f>
        <v>#VALUE!</v>
      </c>
      <c r="CS170" t="str">
        <f ca="1">IFERROR(__xludf.DUMMYFUNCTION("""COMPUTED_VALUE"""),"#VALUE!")</f>
        <v>#VALUE!</v>
      </c>
      <c r="CU170" t="str">
        <f ca="1">IFERROR(__xludf.DUMMYFUNCTION("""COMPUTED_VALUE"""),"#VALUE!")</f>
        <v>#VALUE!</v>
      </c>
      <c r="CW170" t="str">
        <f ca="1">IFERROR(__xludf.DUMMYFUNCTION("""COMPUTED_VALUE"""),"#VALUE!")</f>
        <v>#VALUE!</v>
      </c>
      <c r="CY170" t="str">
        <f ca="1">IFERROR(__xludf.DUMMYFUNCTION("""COMPUTED_VALUE"""),"#VALUE!")</f>
        <v>#VALUE!</v>
      </c>
      <c r="DC170" t="str">
        <f ca="1">IFERROR(__xludf.DUMMYFUNCTION("""COMPUTED_VALUE"""),"#VALUE!")</f>
        <v>#VALUE!</v>
      </c>
      <c r="DE170" t="str">
        <f ca="1">IFERROR(__xludf.DUMMYFUNCTION("""COMPUTED_VALUE"""),"#VALUE!")</f>
        <v>#VALUE!</v>
      </c>
      <c r="DI170" t="str">
        <f ca="1">IFERROR(__xludf.DUMMYFUNCTION("""COMPUTED_VALUE"""),"#VALUE!")</f>
        <v>#VALUE!</v>
      </c>
      <c r="DJ170" t="str">
        <f ca="1">IFERROR(__xludf.DUMMYFUNCTION("""COMPUTED_VALUE"""),"#VALUE!")</f>
        <v>#VALUE!</v>
      </c>
      <c r="DL170" t="str">
        <f ca="1">IFERROR(__xludf.DUMMYFUNCTION("""COMPUTED_VALUE"""),"Davor Salihović")</f>
        <v>Davor Salihović</v>
      </c>
    </row>
    <row r="171" spans="1:116" ht="13.2" x14ac:dyDescent="0.25">
      <c r="A171" t="str">
        <f ca="1">IFERROR(__xludf.DUMMYFUNCTION("""COMPUTED_VALUE"""),"P0175")</f>
        <v>P0175</v>
      </c>
      <c r="B171" t="str">
        <f ca="1">IFERROR(__xludf.DUMMYFUNCTION("""COMPUTED_VALUE"""),"Iohannes Germani")</f>
        <v>Iohannes Germani</v>
      </c>
      <c r="D171" t="str">
        <f ca="1">IFERROR(__xludf.DUMMYFUNCTION("""COMPUTED_VALUE"""),"#VALUE!")</f>
        <v>#VALUE!</v>
      </c>
      <c r="E171" t="str">
        <f ca="1">IFERROR(__xludf.DUMMYFUNCTION("""COMPUTED_VALUE"""),"Iohannes")</f>
        <v>Iohannes</v>
      </c>
      <c r="K171" t="str">
        <f ca="1">IFERROR(__xludf.DUMMYFUNCTION("""COMPUTED_VALUE"""),"Germani")</f>
        <v>Germani</v>
      </c>
      <c r="L171" t="str">
        <f ca="1">IFERROR(__xludf.DUMMYFUNCTION("""COMPUTED_VALUE"""),"Germani")</f>
        <v>Germani</v>
      </c>
      <c r="S171" t="str">
        <f ca="1">IFERROR(__xludf.DUMMYFUNCTION("""COMPUTED_VALUE"""),"Latin")</f>
        <v>Latin</v>
      </c>
      <c r="T171" t="str">
        <f ca="1">IFERROR(__xludf.DUMMYFUNCTION("""COMPUTED_VALUE"""),"definite")</f>
        <v>definite</v>
      </c>
      <c r="U171" t="str">
        <f ca="1">IFERROR(__xludf.DUMMYFUNCTION("""COMPUTED_VALUE"""),"C2553")</f>
        <v>C2553</v>
      </c>
      <c r="V171" t="str">
        <f ca="1">IFERROR(__xludf.DUMMYFUNCTION("""COMPUTED_VALUE"""),"male")</f>
        <v>male</v>
      </c>
      <c r="Z171" t="str">
        <f ca="1">IFERROR(__xludf.DUMMYFUNCTION("""COMPUTED_VALUE"""),"174")</f>
        <v>174</v>
      </c>
      <c r="AA171" t="str">
        <f ca="1">IFERROR(__xludf.DUMMYFUNCTION("""COMPUTED_VALUE"""),"d")</f>
        <v>d</v>
      </c>
      <c r="AB171" t="str">
        <f ca="1">IFERROR(__xludf.DUMMYFUNCTION("""COMPUTED_VALUE"""),"NA")</f>
        <v>NA</v>
      </c>
      <c r="AD171" t="str">
        <f ca="1">IFERROR(__xludf.DUMMYFUNCTION("""COMPUTED_VALUE"""),"C3287")</f>
        <v>C3287</v>
      </c>
      <c r="AE171" t="str">
        <f ca="1">IFERROR(__xludf.DUMMYFUNCTION("""COMPUTED_VALUE"""),"alive")</f>
        <v>alive</v>
      </c>
      <c r="AF171" t="str">
        <f ca="1">IFERROR(__xludf.DUMMYFUNCTION("""COMPUTED_VALUE"""),"C1753")</f>
        <v>C1753</v>
      </c>
      <c r="AG171" t="str">
        <f ca="1">IFERROR(__xludf.DUMMYFUNCTION("""COMPUTED_VALUE"""),"1335-01-20")</f>
        <v>1335-01-20</v>
      </c>
      <c r="AI171" t="str">
        <f ca="1">IFERROR(__xludf.DUMMYFUNCTION("""COMPUTED_VALUE"""),"#VALUE!")</f>
        <v>#VALUE!</v>
      </c>
      <c r="AK171" t="str">
        <f ca="1">IFERROR(__xludf.DUMMYFUNCTION("""COMPUTED_VALUE"""),"#VALUE!")</f>
        <v>#VALUE!</v>
      </c>
      <c r="AM171" t="str">
        <f ca="1">IFERROR(__xludf.DUMMYFUNCTION("""COMPUTED_VALUE"""),"#VALUE!")</f>
        <v>#VALUE!</v>
      </c>
      <c r="AO171" t="str">
        <f ca="1">IFERROR(__xludf.DUMMYFUNCTION("""COMPUTED_VALUE"""),"#VALUE!")</f>
        <v>#VALUE!</v>
      </c>
      <c r="AQ171" t="str">
        <f ca="1">IFERROR(__xludf.DUMMYFUNCTION("""COMPUTED_VALUE"""),"#VALUE!")</f>
        <v>#VALUE!</v>
      </c>
      <c r="AS171" t="str">
        <f ca="1">IFERROR(__xludf.DUMMYFUNCTION("""COMPUTED_VALUE"""),"#VALUE!")</f>
        <v>#VALUE!</v>
      </c>
      <c r="AU171" t="str">
        <f ca="1">IFERROR(__xludf.DUMMYFUNCTION("""COMPUTED_VALUE"""),"#VALUE!")</f>
        <v>#VALUE!</v>
      </c>
      <c r="AW171" t="str">
        <f ca="1">IFERROR(__xludf.DUMMYFUNCTION("""COMPUTED_VALUE"""),"#VALUE!")</f>
        <v>#VALUE!</v>
      </c>
      <c r="AY171" t="str">
        <f ca="1">IFERROR(__xludf.DUMMYFUNCTION("""COMPUTED_VALUE"""),"#VALUE!")</f>
        <v>#VALUE!</v>
      </c>
      <c r="BA171" t="str">
        <f ca="1">IFERROR(__xludf.DUMMYFUNCTION("""COMPUTED_VALUE"""),"#VALUE!")</f>
        <v>#VALUE!</v>
      </c>
      <c r="BC171" t="str">
        <f ca="1">IFERROR(__xludf.DUMMYFUNCTION("""COMPUTED_VALUE"""),"#VALUE!")</f>
        <v>#VALUE!</v>
      </c>
      <c r="BE171" t="str">
        <f ca="1">IFERROR(__xludf.DUMMYFUNCTION("""COMPUTED_VALUE"""),"#VALUE!")</f>
        <v>#VALUE!</v>
      </c>
      <c r="BG171" t="str">
        <f ca="1">IFERROR(__xludf.DUMMYFUNCTION("""COMPUTED_VALUE"""),"#VALUE!")</f>
        <v>#VALUE!</v>
      </c>
      <c r="BI171" t="str">
        <f ca="1">IFERROR(__xludf.DUMMYFUNCTION("""COMPUTED_VALUE"""),"#VALUE!")</f>
        <v>#VALUE!</v>
      </c>
      <c r="BK171" t="str">
        <f ca="1">IFERROR(__xludf.DUMMYFUNCTION("""COMPUTED_VALUE"""),"#VALUE!")</f>
        <v>#VALUE!</v>
      </c>
      <c r="BM171" t="str">
        <f ca="1">IFERROR(__xludf.DUMMYFUNCTION("""COMPUTED_VALUE"""),"#VALUE!")</f>
        <v>#VALUE!</v>
      </c>
      <c r="BO171" t="str">
        <f ca="1">IFERROR(__xludf.DUMMYFUNCTION("""COMPUTED_VALUE"""),"#VALUE!")</f>
        <v>#VALUE!</v>
      </c>
      <c r="BQ171" t="str">
        <f ca="1">IFERROR(__xludf.DUMMYFUNCTION("""COMPUTED_VALUE"""),"#VALUE!")</f>
        <v>#VALUE!</v>
      </c>
      <c r="BS171" t="str">
        <f ca="1">IFERROR(__xludf.DUMMYFUNCTION("""COMPUTED_VALUE"""),"#VALUE!")</f>
        <v>#VALUE!</v>
      </c>
      <c r="BU171" t="str">
        <f ca="1">IFERROR(__xludf.DUMMYFUNCTION("""COMPUTED_VALUE"""),"#VALUE!")</f>
        <v>#VALUE!</v>
      </c>
      <c r="BW171" t="str">
        <f ca="1">IFERROR(__xludf.DUMMYFUNCTION("""COMPUTED_VALUE"""),"#VALUE!")</f>
        <v>#VALUE!</v>
      </c>
      <c r="BY171" t="str">
        <f ca="1">IFERROR(__xludf.DUMMYFUNCTION("""COMPUTED_VALUE"""),"#VALUE!")</f>
        <v>#VALUE!</v>
      </c>
      <c r="CA171" t="str">
        <f ca="1">IFERROR(__xludf.DUMMYFUNCTION("""COMPUTED_VALUE"""),"#VALUE!")</f>
        <v>#VALUE!</v>
      </c>
      <c r="CC171" t="str">
        <f ca="1">IFERROR(__xludf.DUMMYFUNCTION("""COMPUTED_VALUE"""),"#VALUE!")</f>
        <v>#VALUE!</v>
      </c>
      <c r="CE171" t="str">
        <f ca="1">IFERROR(__xludf.DUMMYFUNCTION("""COMPUTED_VALUE"""),"#VALUE!")</f>
        <v>#VALUE!</v>
      </c>
      <c r="CG171" t="str">
        <f ca="1">IFERROR(__xludf.DUMMYFUNCTION("""COMPUTED_VALUE"""),"#VALUE!")</f>
        <v>#VALUE!</v>
      </c>
      <c r="CI171" t="str">
        <f ca="1">IFERROR(__xludf.DUMMYFUNCTION("""COMPUTED_VALUE"""),"#VALUE!")</f>
        <v>#VALUE!</v>
      </c>
      <c r="CK171" t="str">
        <f ca="1">IFERROR(__xludf.DUMMYFUNCTION("""COMPUTED_VALUE"""),"#VALUE!")</f>
        <v>#VALUE!</v>
      </c>
      <c r="CS171" t="str">
        <f ca="1">IFERROR(__xludf.DUMMYFUNCTION("""COMPUTED_VALUE"""),"#VALUE!")</f>
        <v>#VALUE!</v>
      </c>
      <c r="CU171" t="str">
        <f ca="1">IFERROR(__xludf.DUMMYFUNCTION("""COMPUTED_VALUE"""),"#VALUE!")</f>
        <v>#VALUE!</v>
      </c>
      <c r="CW171" t="str">
        <f ca="1">IFERROR(__xludf.DUMMYFUNCTION("""COMPUTED_VALUE"""),"#VALUE!")</f>
        <v>#VALUE!</v>
      </c>
      <c r="CY171" t="str">
        <f ca="1">IFERROR(__xludf.DUMMYFUNCTION("""COMPUTED_VALUE"""),"#VALUE!")</f>
        <v>#VALUE!</v>
      </c>
      <c r="DC171" t="str">
        <f ca="1">IFERROR(__xludf.DUMMYFUNCTION("""COMPUTED_VALUE"""),"#VALUE!")</f>
        <v>#VALUE!</v>
      </c>
      <c r="DE171" t="str">
        <f ca="1">IFERROR(__xludf.DUMMYFUNCTION("""COMPUTED_VALUE"""),"#VALUE!")</f>
        <v>#VALUE!</v>
      </c>
      <c r="DI171" t="str">
        <f ca="1">IFERROR(__xludf.DUMMYFUNCTION("""COMPUTED_VALUE"""),"#VALUE!")</f>
        <v>#VALUE!</v>
      </c>
      <c r="DJ171" t="str">
        <f ca="1">IFERROR(__xludf.DUMMYFUNCTION("""COMPUTED_VALUE"""),"#VALUE!")</f>
        <v>#VALUE!</v>
      </c>
      <c r="DL171" t="str">
        <f ca="1">IFERROR(__xludf.DUMMYFUNCTION("""COMPUTED_VALUE"""),"Davor Salihović")</f>
        <v>Davor Salihović</v>
      </c>
    </row>
    <row r="172" spans="1:116" ht="13.2" x14ac:dyDescent="0.25">
      <c r="A172" t="str">
        <f ca="1">IFERROR(__xludf.DUMMYFUNCTION("""COMPUTED_VALUE"""),"P0176")</f>
        <v>P0176</v>
      </c>
      <c r="B172" t="str">
        <f ca="1">IFERROR(__xludf.DUMMYFUNCTION("""COMPUTED_VALUE"""),"Nicoletus Bernardi")</f>
        <v>Nicoletus Bernardi</v>
      </c>
      <c r="D172" t="str">
        <f ca="1">IFERROR(__xludf.DUMMYFUNCTION("""COMPUTED_VALUE"""),"#VALUE!")</f>
        <v>#VALUE!</v>
      </c>
      <c r="E172" t="str">
        <f ca="1">IFERROR(__xludf.DUMMYFUNCTION("""COMPUTED_VALUE"""),"Nicoletus")</f>
        <v>Nicoletus</v>
      </c>
      <c r="K172" t="str">
        <f ca="1">IFERROR(__xludf.DUMMYFUNCTION("""COMPUTED_VALUE"""),"Bernardi")</f>
        <v>Bernardi</v>
      </c>
      <c r="L172" t="str">
        <f ca="1">IFERROR(__xludf.DUMMYFUNCTION("""COMPUTED_VALUE"""),"Bernardi")</f>
        <v>Bernardi</v>
      </c>
      <c r="S172" t="str">
        <f ca="1">IFERROR(__xludf.DUMMYFUNCTION("""COMPUTED_VALUE"""),"Latin")</f>
        <v>Latin</v>
      </c>
      <c r="T172" t="str">
        <f ca="1">IFERROR(__xludf.DUMMYFUNCTION("""COMPUTED_VALUE"""),"definite")</f>
        <v>definite</v>
      </c>
      <c r="U172" t="str">
        <f ca="1">IFERROR(__xludf.DUMMYFUNCTION("""COMPUTED_VALUE"""),"C2553")</f>
        <v>C2553</v>
      </c>
      <c r="V172" t="str">
        <f ca="1">IFERROR(__xludf.DUMMYFUNCTION("""COMPUTED_VALUE"""),"male")</f>
        <v>male</v>
      </c>
      <c r="Z172" t="str">
        <f ca="1">IFERROR(__xludf.DUMMYFUNCTION("""COMPUTED_VALUE"""),"174")</f>
        <v>174</v>
      </c>
      <c r="AA172" t="str">
        <f ca="1">IFERROR(__xludf.DUMMYFUNCTION("""COMPUTED_VALUE"""),"d")</f>
        <v>d</v>
      </c>
      <c r="AB172" t="str">
        <f ca="1">IFERROR(__xludf.DUMMYFUNCTION("""COMPUTED_VALUE"""),"NA")</f>
        <v>NA</v>
      </c>
      <c r="AD172" t="str">
        <f ca="1">IFERROR(__xludf.DUMMYFUNCTION("""COMPUTED_VALUE"""),"C3287")</f>
        <v>C3287</v>
      </c>
      <c r="AE172" t="str">
        <f ca="1">IFERROR(__xludf.DUMMYFUNCTION("""COMPUTED_VALUE"""),"alive")</f>
        <v>alive</v>
      </c>
      <c r="AF172" t="str">
        <f ca="1">IFERROR(__xludf.DUMMYFUNCTION("""COMPUTED_VALUE"""),"C1753")</f>
        <v>C1753</v>
      </c>
      <c r="AG172" t="str">
        <f ca="1">IFERROR(__xludf.DUMMYFUNCTION("""COMPUTED_VALUE"""),"1335-01-20")</f>
        <v>1335-01-20</v>
      </c>
      <c r="AI172" t="str">
        <f ca="1">IFERROR(__xludf.DUMMYFUNCTION("""COMPUTED_VALUE"""),"#VALUE!")</f>
        <v>#VALUE!</v>
      </c>
      <c r="AK172" t="str">
        <f ca="1">IFERROR(__xludf.DUMMYFUNCTION("""COMPUTED_VALUE"""),"#VALUE!")</f>
        <v>#VALUE!</v>
      </c>
      <c r="AM172" t="str">
        <f ca="1">IFERROR(__xludf.DUMMYFUNCTION("""COMPUTED_VALUE"""),"#VALUE!")</f>
        <v>#VALUE!</v>
      </c>
      <c r="AO172" t="str">
        <f ca="1">IFERROR(__xludf.DUMMYFUNCTION("""COMPUTED_VALUE"""),"#VALUE!")</f>
        <v>#VALUE!</v>
      </c>
      <c r="AQ172" t="str">
        <f ca="1">IFERROR(__xludf.DUMMYFUNCTION("""COMPUTED_VALUE"""),"#VALUE!")</f>
        <v>#VALUE!</v>
      </c>
      <c r="AS172" t="str">
        <f ca="1">IFERROR(__xludf.DUMMYFUNCTION("""COMPUTED_VALUE"""),"#VALUE!")</f>
        <v>#VALUE!</v>
      </c>
      <c r="AU172" t="str">
        <f ca="1">IFERROR(__xludf.DUMMYFUNCTION("""COMPUTED_VALUE"""),"#VALUE!")</f>
        <v>#VALUE!</v>
      </c>
      <c r="AW172" t="str">
        <f ca="1">IFERROR(__xludf.DUMMYFUNCTION("""COMPUTED_VALUE"""),"#VALUE!")</f>
        <v>#VALUE!</v>
      </c>
      <c r="AY172" t="str">
        <f ca="1">IFERROR(__xludf.DUMMYFUNCTION("""COMPUTED_VALUE"""),"#VALUE!")</f>
        <v>#VALUE!</v>
      </c>
      <c r="BA172" t="str">
        <f ca="1">IFERROR(__xludf.DUMMYFUNCTION("""COMPUTED_VALUE"""),"#VALUE!")</f>
        <v>#VALUE!</v>
      </c>
      <c r="BC172" t="str">
        <f ca="1">IFERROR(__xludf.DUMMYFUNCTION("""COMPUTED_VALUE"""),"#VALUE!")</f>
        <v>#VALUE!</v>
      </c>
      <c r="BE172" t="str">
        <f ca="1">IFERROR(__xludf.DUMMYFUNCTION("""COMPUTED_VALUE"""),"#VALUE!")</f>
        <v>#VALUE!</v>
      </c>
      <c r="BG172" t="str">
        <f ca="1">IFERROR(__xludf.DUMMYFUNCTION("""COMPUTED_VALUE"""),"#VALUE!")</f>
        <v>#VALUE!</v>
      </c>
      <c r="BI172" t="str">
        <f ca="1">IFERROR(__xludf.DUMMYFUNCTION("""COMPUTED_VALUE"""),"#VALUE!")</f>
        <v>#VALUE!</v>
      </c>
      <c r="BK172" t="str">
        <f ca="1">IFERROR(__xludf.DUMMYFUNCTION("""COMPUTED_VALUE"""),"#VALUE!")</f>
        <v>#VALUE!</v>
      </c>
      <c r="BM172" t="str">
        <f ca="1">IFERROR(__xludf.DUMMYFUNCTION("""COMPUTED_VALUE"""),"#VALUE!")</f>
        <v>#VALUE!</v>
      </c>
      <c r="BO172" t="str">
        <f ca="1">IFERROR(__xludf.DUMMYFUNCTION("""COMPUTED_VALUE"""),"#VALUE!")</f>
        <v>#VALUE!</v>
      </c>
      <c r="BQ172" t="str">
        <f ca="1">IFERROR(__xludf.DUMMYFUNCTION("""COMPUTED_VALUE"""),"#VALUE!")</f>
        <v>#VALUE!</v>
      </c>
      <c r="BS172" t="str">
        <f ca="1">IFERROR(__xludf.DUMMYFUNCTION("""COMPUTED_VALUE"""),"#VALUE!")</f>
        <v>#VALUE!</v>
      </c>
      <c r="BU172" t="str">
        <f ca="1">IFERROR(__xludf.DUMMYFUNCTION("""COMPUTED_VALUE"""),"#VALUE!")</f>
        <v>#VALUE!</v>
      </c>
      <c r="BW172" t="str">
        <f ca="1">IFERROR(__xludf.DUMMYFUNCTION("""COMPUTED_VALUE"""),"#VALUE!")</f>
        <v>#VALUE!</v>
      </c>
      <c r="BY172" t="str">
        <f ca="1">IFERROR(__xludf.DUMMYFUNCTION("""COMPUTED_VALUE"""),"#VALUE!")</f>
        <v>#VALUE!</v>
      </c>
      <c r="CA172" t="str">
        <f ca="1">IFERROR(__xludf.DUMMYFUNCTION("""COMPUTED_VALUE"""),"#VALUE!")</f>
        <v>#VALUE!</v>
      </c>
      <c r="CC172" t="str">
        <f ca="1">IFERROR(__xludf.DUMMYFUNCTION("""COMPUTED_VALUE"""),"#VALUE!")</f>
        <v>#VALUE!</v>
      </c>
      <c r="CE172" t="str">
        <f ca="1">IFERROR(__xludf.DUMMYFUNCTION("""COMPUTED_VALUE"""),"#VALUE!")</f>
        <v>#VALUE!</v>
      </c>
      <c r="CG172" t="str">
        <f ca="1">IFERROR(__xludf.DUMMYFUNCTION("""COMPUTED_VALUE"""),"#VALUE!")</f>
        <v>#VALUE!</v>
      </c>
      <c r="CI172" t="str">
        <f ca="1">IFERROR(__xludf.DUMMYFUNCTION("""COMPUTED_VALUE"""),"#VALUE!")</f>
        <v>#VALUE!</v>
      </c>
      <c r="CK172" t="str">
        <f ca="1">IFERROR(__xludf.DUMMYFUNCTION("""COMPUTED_VALUE"""),"#VALUE!")</f>
        <v>#VALUE!</v>
      </c>
      <c r="CS172" t="str">
        <f ca="1">IFERROR(__xludf.DUMMYFUNCTION("""COMPUTED_VALUE"""),"#VALUE!")</f>
        <v>#VALUE!</v>
      </c>
      <c r="CU172" t="str">
        <f ca="1">IFERROR(__xludf.DUMMYFUNCTION("""COMPUTED_VALUE"""),"#VALUE!")</f>
        <v>#VALUE!</v>
      </c>
      <c r="CW172" t="str">
        <f ca="1">IFERROR(__xludf.DUMMYFUNCTION("""COMPUTED_VALUE"""),"#VALUE!")</f>
        <v>#VALUE!</v>
      </c>
      <c r="CY172" t="str">
        <f ca="1">IFERROR(__xludf.DUMMYFUNCTION("""COMPUTED_VALUE"""),"#VALUE!")</f>
        <v>#VALUE!</v>
      </c>
      <c r="DC172" t="str">
        <f ca="1">IFERROR(__xludf.DUMMYFUNCTION("""COMPUTED_VALUE"""),"#VALUE!")</f>
        <v>#VALUE!</v>
      </c>
      <c r="DE172" t="str">
        <f ca="1">IFERROR(__xludf.DUMMYFUNCTION("""COMPUTED_VALUE"""),"#VALUE!")</f>
        <v>#VALUE!</v>
      </c>
      <c r="DI172" t="str">
        <f ca="1">IFERROR(__xludf.DUMMYFUNCTION("""COMPUTED_VALUE"""),"#VALUE!")</f>
        <v>#VALUE!</v>
      </c>
      <c r="DJ172" t="str">
        <f ca="1">IFERROR(__xludf.DUMMYFUNCTION("""COMPUTED_VALUE"""),"#VALUE!")</f>
        <v>#VALUE!</v>
      </c>
      <c r="DL172" t="str">
        <f ca="1">IFERROR(__xludf.DUMMYFUNCTION("""COMPUTED_VALUE"""),"Davor Salihović")</f>
        <v>Davor Salihović</v>
      </c>
    </row>
    <row r="173" spans="1:116" ht="13.2" x14ac:dyDescent="0.25">
      <c r="A173" t="str">
        <f ca="1">IFERROR(__xludf.DUMMYFUNCTION("""COMPUTED_VALUE"""),"P0177")</f>
        <v>P0177</v>
      </c>
      <c r="B173" t="str">
        <f ca="1">IFERROR(__xludf.DUMMYFUNCTION("""COMPUTED_VALUE"""),"Aymonetus de Valle Iudea")</f>
        <v>Aymonetus de Valle Iudea</v>
      </c>
      <c r="D173" t="str">
        <f ca="1">IFERROR(__xludf.DUMMYFUNCTION("""COMPUTED_VALUE"""),"#VALUE!")</f>
        <v>#VALUE!</v>
      </c>
      <c r="E173" t="str">
        <f ca="1">IFERROR(__xludf.DUMMYFUNCTION("""COMPUTED_VALUE"""),"Aymonetus")</f>
        <v>Aymonetus</v>
      </c>
      <c r="J173" t="str">
        <f ca="1">IFERROR(__xludf.DUMMYFUNCTION("""COMPUTED_VALUE"""),"de")</f>
        <v>de</v>
      </c>
      <c r="K173" t="str">
        <f ca="1">IFERROR(__xludf.DUMMYFUNCTION("""COMPUTED_VALUE"""),"Valle Iudea")</f>
        <v>Valle Iudea</v>
      </c>
      <c r="L173" t="str">
        <f ca="1">IFERROR(__xludf.DUMMYFUNCTION("""COMPUTED_VALUE"""),"de Valle Iudea")</f>
        <v>de Valle Iudea</v>
      </c>
      <c r="S173" t="str">
        <f ca="1">IFERROR(__xludf.DUMMYFUNCTION("""COMPUTED_VALUE"""),"Latin")</f>
        <v>Latin</v>
      </c>
      <c r="T173" t="str">
        <f ca="1">IFERROR(__xludf.DUMMYFUNCTION("""COMPUTED_VALUE"""),"definite")</f>
        <v>definite</v>
      </c>
      <c r="U173" t="str">
        <f ca="1">IFERROR(__xludf.DUMMYFUNCTION("""COMPUTED_VALUE"""),"C2553")</f>
        <v>C2553</v>
      </c>
      <c r="V173" t="str">
        <f ca="1">IFERROR(__xludf.DUMMYFUNCTION("""COMPUTED_VALUE"""),"male")</f>
        <v>male</v>
      </c>
      <c r="Z173" t="str">
        <f ca="1">IFERROR(__xludf.DUMMYFUNCTION("""COMPUTED_VALUE"""),"174, 179, 182, 235")</f>
        <v>174, 179, 182, 235</v>
      </c>
      <c r="AA173" t="str">
        <f ca="1">IFERROR(__xludf.DUMMYFUNCTION("""COMPUTED_VALUE"""),"d")</f>
        <v>d</v>
      </c>
      <c r="AB173" t="str">
        <f ca="1">IFERROR(__xludf.DUMMYFUNCTION("""COMPUTED_VALUE"""),"suspect")</f>
        <v>suspect</v>
      </c>
      <c r="AD173" t="str">
        <f ca="1">IFERROR(__xludf.DUMMYFUNCTION("""COMPUTED_VALUE"""),"C3287")</f>
        <v>C3287</v>
      </c>
      <c r="AE173" t="str">
        <f ca="1">IFERROR(__xludf.DUMMYFUNCTION("""COMPUTED_VALUE"""),"alive")</f>
        <v>alive</v>
      </c>
      <c r="AF173" t="str">
        <f ca="1">IFERROR(__xludf.DUMMYFUNCTION("""COMPUTED_VALUE"""),"C1753")</f>
        <v>C1753</v>
      </c>
      <c r="AG173" t="str">
        <f ca="1">IFERROR(__xludf.DUMMYFUNCTION("""COMPUTED_VALUE"""),"1335-01-20")</f>
        <v>1335-01-20</v>
      </c>
      <c r="AH173" t="str">
        <f ca="1">IFERROR(__xludf.DUMMYFUNCTION("""COMPUTED_VALUE"""),"C0147")</f>
        <v>C0147</v>
      </c>
      <c r="AI173" t="str">
        <f ca="1">IFERROR(__xludf.DUMMYFUNCTION("""COMPUTED_VALUE"""),"warrantor")</f>
        <v>warrantor</v>
      </c>
      <c r="AJ173" t="str">
        <f ca="1">IFERROR(__xludf.DUMMYFUNCTION("""COMPUTED_VALUE"""),"P0116")</f>
        <v>P0116</v>
      </c>
      <c r="AK173" t="str">
        <f ca="1">IFERROR(__xludf.DUMMYFUNCTION("""COMPUTED_VALUE"""),"Iohannes de Castaygno")</f>
        <v>Iohannes de Castaygno</v>
      </c>
      <c r="AM173" t="str">
        <f ca="1">IFERROR(__xludf.DUMMYFUNCTION("""COMPUTED_VALUE"""),"#VALUE!")</f>
        <v>#VALUE!</v>
      </c>
      <c r="AO173" t="str">
        <f ca="1">IFERROR(__xludf.DUMMYFUNCTION("""COMPUTED_VALUE"""),"#VALUE!")</f>
        <v>#VALUE!</v>
      </c>
      <c r="AQ173" t="str">
        <f ca="1">IFERROR(__xludf.DUMMYFUNCTION("""COMPUTED_VALUE"""),"#VALUE!")</f>
        <v>#VALUE!</v>
      </c>
      <c r="AS173" t="str">
        <f ca="1">IFERROR(__xludf.DUMMYFUNCTION("""COMPUTED_VALUE"""),"#VALUE!")</f>
        <v>#VALUE!</v>
      </c>
      <c r="AU173" t="str">
        <f ca="1">IFERROR(__xludf.DUMMYFUNCTION("""COMPUTED_VALUE"""),"#VALUE!")</f>
        <v>#VALUE!</v>
      </c>
      <c r="AW173" t="str">
        <f ca="1">IFERROR(__xludf.DUMMYFUNCTION("""COMPUTED_VALUE"""),"#VALUE!")</f>
        <v>#VALUE!</v>
      </c>
      <c r="AY173" t="str">
        <f ca="1">IFERROR(__xludf.DUMMYFUNCTION("""COMPUTED_VALUE"""),"#VALUE!")</f>
        <v>#VALUE!</v>
      </c>
      <c r="BA173" t="str">
        <f ca="1">IFERROR(__xludf.DUMMYFUNCTION("""COMPUTED_VALUE"""),"#VALUE!")</f>
        <v>#VALUE!</v>
      </c>
      <c r="BC173" t="str">
        <f ca="1">IFERROR(__xludf.DUMMYFUNCTION("""COMPUTED_VALUE"""),"#VALUE!")</f>
        <v>#VALUE!</v>
      </c>
      <c r="BE173" t="str">
        <f ca="1">IFERROR(__xludf.DUMMYFUNCTION("""COMPUTED_VALUE"""),"#VALUE!")</f>
        <v>#VALUE!</v>
      </c>
      <c r="BG173" t="str">
        <f ca="1">IFERROR(__xludf.DUMMYFUNCTION("""COMPUTED_VALUE"""),"#VALUE!")</f>
        <v>#VALUE!</v>
      </c>
      <c r="BI173" t="str">
        <f ca="1">IFERROR(__xludf.DUMMYFUNCTION("""COMPUTED_VALUE"""),"#VALUE!")</f>
        <v>#VALUE!</v>
      </c>
      <c r="BK173" t="str">
        <f ca="1">IFERROR(__xludf.DUMMYFUNCTION("""COMPUTED_VALUE"""),"#VALUE!")</f>
        <v>#VALUE!</v>
      </c>
      <c r="BM173" t="str">
        <f ca="1">IFERROR(__xludf.DUMMYFUNCTION("""COMPUTED_VALUE"""),"#VALUE!")</f>
        <v>#VALUE!</v>
      </c>
      <c r="BO173" t="str">
        <f ca="1">IFERROR(__xludf.DUMMYFUNCTION("""COMPUTED_VALUE"""),"#VALUE!")</f>
        <v>#VALUE!</v>
      </c>
      <c r="BQ173" t="str">
        <f ca="1">IFERROR(__xludf.DUMMYFUNCTION("""COMPUTED_VALUE"""),"#VALUE!")</f>
        <v>#VALUE!</v>
      </c>
      <c r="BS173" t="str">
        <f ca="1">IFERROR(__xludf.DUMMYFUNCTION("""COMPUTED_VALUE"""),"#VALUE!")</f>
        <v>#VALUE!</v>
      </c>
      <c r="BU173" t="str">
        <f ca="1">IFERROR(__xludf.DUMMYFUNCTION("""COMPUTED_VALUE"""),"#VALUE!")</f>
        <v>#VALUE!</v>
      </c>
      <c r="BW173" t="str">
        <f ca="1">IFERROR(__xludf.DUMMYFUNCTION("""COMPUTED_VALUE"""),"#VALUE!")</f>
        <v>#VALUE!</v>
      </c>
      <c r="BY173" t="str">
        <f ca="1">IFERROR(__xludf.DUMMYFUNCTION("""COMPUTED_VALUE"""),"#VALUE!")</f>
        <v>#VALUE!</v>
      </c>
      <c r="CA173" t="str">
        <f ca="1">IFERROR(__xludf.DUMMYFUNCTION("""COMPUTED_VALUE"""),"#VALUE!")</f>
        <v>#VALUE!</v>
      </c>
      <c r="CC173" t="str">
        <f ca="1">IFERROR(__xludf.DUMMYFUNCTION("""COMPUTED_VALUE"""),"#VALUE!")</f>
        <v>#VALUE!</v>
      </c>
      <c r="CE173" t="str">
        <f ca="1">IFERROR(__xludf.DUMMYFUNCTION("""COMPUTED_VALUE"""),"#VALUE!")</f>
        <v>#VALUE!</v>
      </c>
      <c r="CG173" t="str">
        <f ca="1">IFERROR(__xludf.DUMMYFUNCTION("""COMPUTED_VALUE"""),"#VALUE!")</f>
        <v>#VALUE!</v>
      </c>
      <c r="CH173" t="str">
        <f ca="1">IFERROR(__xludf.DUMMYFUNCTION("""COMPUTED_VALUE"""),"P0116")</f>
        <v>P0116</v>
      </c>
      <c r="CI173" t="str">
        <f ca="1">IFERROR(__xludf.DUMMYFUNCTION("""COMPUTED_VALUE"""),"Iohannes de Castaygno")</f>
        <v>Iohannes de Castaygno</v>
      </c>
      <c r="CK173" t="str">
        <f ca="1">IFERROR(__xludf.DUMMYFUNCTION("""COMPUTED_VALUE"""),"#VALUE!")</f>
        <v>#VALUE!</v>
      </c>
      <c r="CR173" t="str">
        <f ca="1">IFERROR(__xludf.DUMMYFUNCTION("""COMPUTED_VALUE"""),"L0005")</f>
        <v>L0005</v>
      </c>
      <c r="CS173" t="str">
        <f ca="1">IFERROR(__xludf.DUMMYFUNCTION("""COMPUTED_VALUE"""),"Valgioie")</f>
        <v>Valgioie</v>
      </c>
      <c r="CU173" t="str">
        <f ca="1">IFERROR(__xludf.DUMMYFUNCTION("""COMPUTED_VALUE"""),"#VALUE!")</f>
        <v>#VALUE!</v>
      </c>
      <c r="CV173" t="str">
        <f ca="1">IFERROR(__xludf.DUMMYFUNCTION("""COMPUTED_VALUE"""),"L0002")</f>
        <v>L0002</v>
      </c>
      <c r="CW173" t="str">
        <f ca="1">IFERROR(__xludf.DUMMYFUNCTION("""COMPUTED_VALUE"""),"Coazze")</f>
        <v>Coazze</v>
      </c>
      <c r="CY173" t="str">
        <f ca="1">IFERROR(__xludf.DUMMYFUNCTION("""COMPUTED_VALUE"""),"#VALUE!")</f>
        <v>#VALUE!</v>
      </c>
      <c r="DC173" t="str">
        <f ca="1">IFERROR(__xludf.DUMMYFUNCTION("""COMPUTED_VALUE"""),"#VALUE!")</f>
        <v>#VALUE!</v>
      </c>
      <c r="DE173" t="str">
        <f ca="1">IFERROR(__xludf.DUMMYFUNCTION("""COMPUTED_VALUE"""),"#VALUE!")</f>
        <v>#VALUE!</v>
      </c>
      <c r="DF173" t="str">
        <f ca="1">IFERROR(__xludf.DUMMYFUNCTION("""COMPUTED_VALUE"""),"y")</f>
        <v>y</v>
      </c>
      <c r="DG173" t="str">
        <f ca="1">IFERROR(__xludf.DUMMYFUNCTION("""COMPUTED_VALUE"""),"182-183")</f>
        <v>182-183</v>
      </c>
      <c r="DI173" t="str">
        <f ca="1">IFERROR(__xludf.DUMMYFUNCTION("""COMPUTED_VALUE"""),"#VALUE!")</f>
        <v>#VALUE!</v>
      </c>
      <c r="DJ173" t="str">
        <f ca="1">IFERROR(__xludf.DUMMYFUNCTION("""COMPUTED_VALUE"""),"#VALUE!")</f>
        <v>#VALUE!</v>
      </c>
      <c r="DL173" t="str">
        <f ca="1">IFERROR(__xludf.DUMMYFUNCTION("""COMPUTED_VALUE"""),"Davor Salihović")</f>
        <v>Davor Salihović</v>
      </c>
    </row>
    <row r="174" spans="1:116" ht="13.2" x14ac:dyDescent="0.25">
      <c r="A174" t="str">
        <f ca="1">IFERROR(__xludf.DUMMYFUNCTION("""COMPUTED_VALUE"""),"P0178")</f>
        <v>P0178</v>
      </c>
      <c r="B174" t="str">
        <f ca="1">IFERROR(__xludf.DUMMYFUNCTION("""COMPUTED_VALUE"""),"Petrus, frater Villelmi Peronelli")</f>
        <v>Petrus, frater Villelmi Peronelli</v>
      </c>
      <c r="D174" t="str">
        <f ca="1">IFERROR(__xludf.DUMMYFUNCTION("""COMPUTED_VALUE"""),"#VALUE!")</f>
        <v>#VALUE!</v>
      </c>
      <c r="E174" t="str">
        <f ca="1">IFERROR(__xludf.DUMMYFUNCTION("""COMPUTED_VALUE"""),"Petrus")</f>
        <v>Petrus</v>
      </c>
      <c r="Q174" t="str">
        <f ca="1">IFERROR(__xludf.DUMMYFUNCTION("""COMPUTED_VALUE"""),"frater Villelmi Peronelli")</f>
        <v>frater Villelmi Peronelli</v>
      </c>
      <c r="S174" t="str">
        <f ca="1">IFERROR(__xludf.DUMMYFUNCTION("""COMPUTED_VALUE"""),"Latin")</f>
        <v>Latin</v>
      </c>
      <c r="T174" t="str">
        <f ca="1">IFERROR(__xludf.DUMMYFUNCTION("""COMPUTED_VALUE"""),"definite")</f>
        <v>definite</v>
      </c>
      <c r="U174" t="str">
        <f ca="1">IFERROR(__xludf.DUMMYFUNCTION("""COMPUTED_VALUE"""),"C2553")</f>
        <v>C2553</v>
      </c>
      <c r="V174" t="str">
        <f ca="1">IFERROR(__xludf.DUMMYFUNCTION("""COMPUTED_VALUE"""),"male")</f>
        <v>male</v>
      </c>
      <c r="Z174" t="str">
        <f ca="1">IFERROR(__xludf.DUMMYFUNCTION("""COMPUTED_VALUE"""),"174")</f>
        <v>174</v>
      </c>
      <c r="AA174" t="str">
        <f ca="1">IFERROR(__xludf.DUMMYFUNCTION("""COMPUTED_VALUE"""),"d")</f>
        <v>d</v>
      </c>
      <c r="AB174" t="str">
        <f ca="1">IFERROR(__xludf.DUMMYFUNCTION("""COMPUTED_VALUE"""),"NA")</f>
        <v>NA</v>
      </c>
      <c r="AD174" t="str">
        <f ca="1">IFERROR(__xludf.DUMMYFUNCTION("""COMPUTED_VALUE"""),"C3287")</f>
        <v>C3287</v>
      </c>
      <c r="AE174" t="str">
        <f ca="1">IFERROR(__xludf.DUMMYFUNCTION("""COMPUTED_VALUE"""),"alive")</f>
        <v>alive</v>
      </c>
      <c r="AF174" t="str">
        <f ca="1">IFERROR(__xludf.DUMMYFUNCTION("""COMPUTED_VALUE"""),"C1753")</f>
        <v>C1753</v>
      </c>
      <c r="AG174" t="str">
        <f ca="1">IFERROR(__xludf.DUMMYFUNCTION("""COMPUTED_VALUE"""),"1335-01-20")</f>
        <v>1335-01-20</v>
      </c>
      <c r="AI174" t="str">
        <f ca="1">IFERROR(__xludf.DUMMYFUNCTION("""COMPUTED_VALUE"""),"#VALUE!")</f>
        <v>#VALUE!</v>
      </c>
      <c r="AK174" t="str">
        <f ca="1">IFERROR(__xludf.DUMMYFUNCTION("""COMPUTED_VALUE"""),"#VALUE!")</f>
        <v>#VALUE!</v>
      </c>
      <c r="AM174" t="str">
        <f ca="1">IFERROR(__xludf.DUMMYFUNCTION("""COMPUTED_VALUE"""),"#VALUE!")</f>
        <v>#VALUE!</v>
      </c>
      <c r="AO174" t="str">
        <f ca="1">IFERROR(__xludf.DUMMYFUNCTION("""COMPUTED_VALUE"""),"#VALUE!")</f>
        <v>#VALUE!</v>
      </c>
      <c r="AQ174" t="str">
        <f ca="1">IFERROR(__xludf.DUMMYFUNCTION("""COMPUTED_VALUE"""),"#VALUE!")</f>
        <v>#VALUE!</v>
      </c>
      <c r="AS174" t="str">
        <f ca="1">IFERROR(__xludf.DUMMYFUNCTION("""COMPUTED_VALUE"""),"#VALUE!")</f>
        <v>#VALUE!</v>
      </c>
      <c r="AU174" t="str">
        <f ca="1">IFERROR(__xludf.DUMMYFUNCTION("""COMPUTED_VALUE"""),"#VALUE!")</f>
        <v>#VALUE!</v>
      </c>
      <c r="AW174" t="str">
        <f ca="1">IFERROR(__xludf.DUMMYFUNCTION("""COMPUTED_VALUE"""),"#VALUE!")</f>
        <v>#VALUE!</v>
      </c>
      <c r="AY174" t="str">
        <f ca="1">IFERROR(__xludf.DUMMYFUNCTION("""COMPUTED_VALUE"""),"#VALUE!")</f>
        <v>#VALUE!</v>
      </c>
      <c r="BA174" t="str">
        <f ca="1">IFERROR(__xludf.DUMMYFUNCTION("""COMPUTED_VALUE"""),"#VALUE!")</f>
        <v>#VALUE!</v>
      </c>
      <c r="BC174" t="str">
        <f ca="1">IFERROR(__xludf.DUMMYFUNCTION("""COMPUTED_VALUE"""),"#VALUE!")</f>
        <v>#VALUE!</v>
      </c>
      <c r="BE174" t="str">
        <f ca="1">IFERROR(__xludf.DUMMYFUNCTION("""COMPUTED_VALUE"""),"#VALUE!")</f>
        <v>#VALUE!</v>
      </c>
      <c r="BG174" t="str">
        <f ca="1">IFERROR(__xludf.DUMMYFUNCTION("""COMPUTED_VALUE"""),"#VALUE!")</f>
        <v>#VALUE!</v>
      </c>
      <c r="BI174" t="str">
        <f ca="1">IFERROR(__xludf.DUMMYFUNCTION("""COMPUTED_VALUE"""),"#VALUE!")</f>
        <v>#VALUE!</v>
      </c>
      <c r="BK174" t="str">
        <f ca="1">IFERROR(__xludf.DUMMYFUNCTION("""COMPUTED_VALUE"""),"#VALUE!")</f>
        <v>#VALUE!</v>
      </c>
      <c r="BM174" t="str">
        <f ca="1">IFERROR(__xludf.DUMMYFUNCTION("""COMPUTED_VALUE"""),"#VALUE!")</f>
        <v>#VALUE!</v>
      </c>
      <c r="BO174" t="str">
        <f ca="1">IFERROR(__xludf.DUMMYFUNCTION("""COMPUTED_VALUE"""),"#VALUE!")</f>
        <v>#VALUE!</v>
      </c>
      <c r="BQ174" t="str">
        <f ca="1">IFERROR(__xludf.DUMMYFUNCTION("""COMPUTED_VALUE"""),"#VALUE!")</f>
        <v>#VALUE!</v>
      </c>
      <c r="BS174" t="str">
        <f ca="1">IFERROR(__xludf.DUMMYFUNCTION("""COMPUTED_VALUE"""),"#VALUE!")</f>
        <v>#VALUE!</v>
      </c>
      <c r="BU174" t="str">
        <f ca="1">IFERROR(__xludf.DUMMYFUNCTION("""COMPUTED_VALUE"""),"#VALUE!")</f>
        <v>#VALUE!</v>
      </c>
      <c r="BW174" t="str">
        <f ca="1">IFERROR(__xludf.DUMMYFUNCTION("""COMPUTED_VALUE"""),"#VALUE!")</f>
        <v>#VALUE!</v>
      </c>
      <c r="BY174" t="str">
        <f ca="1">IFERROR(__xludf.DUMMYFUNCTION("""COMPUTED_VALUE"""),"#VALUE!")</f>
        <v>#VALUE!</v>
      </c>
      <c r="CA174" t="str">
        <f ca="1">IFERROR(__xludf.DUMMYFUNCTION("""COMPUTED_VALUE"""),"#VALUE!")</f>
        <v>#VALUE!</v>
      </c>
      <c r="CC174" t="str">
        <f ca="1">IFERROR(__xludf.DUMMYFUNCTION("""COMPUTED_VALUE"""),"#VALUE!")</f>
        <v>#VALUE!</v>
      </c>
      <c r="CE174" t="str">
        <f ca="1">IFERROR(__xludf.DUMMYFUNCTION("""COMPUTED_VALUE"""),"#VALUE!")</f>
        <v>#VALUE!</v>
      </c>
      <c r="CG174" t="str">
        <f ca="1">IFERROR(__xludf.DUMMYFUNCTION("""COMPUTED_VALUE"""),"#VALUE!")</f>
        <v>#VALUE!</v>
      </c>
      <c r="CI174" t="str">
        <f ca="1">IFERROR(__xludf.DUMMYFUNCTION("""COMPUTED_VALUE"""),"#VALUE!")</f>
        <v>#VALUE!</v>
      </c>
      <c r="CK174" t="str">
        <f ca="1">IFERROR(__xludf.DUMMYFUNCTION("""COMPUTED_VALUE"""),"#VALUE!")</f>
        <v>#VALUE!</v>
      </c>
      <c r="CS174" t="str">
        <f ca="1">IFERROR(__xludf.DUMMYFUNCTION("""COMPUTED_VALUE"""),"#VALUE!")</f>
        <v>#VALUE!</v>
      </c>
      <c r="CU174" t="str">
        <f ca="1">IFERROR(__xludf.DUMMYFUNCTION("""COMPUTED_VALUE"""),"#VALUE!")</f>
        <v>#VALUE!</v>
      </c>
      <c r="CW174" t="str">
        <f ca="1">IFERROR(__xludf.DUMMYFUNCTION("""COMPUTED_VALUE"""),"#VALUE!")</f>
        <v>#VALUE!</v>
      </c>
      <c r="CY174" t="str">
        <f ca="1">IFERROR(__xludf.DUMMYFUNCTION("""COMPUTED_VALUE"""),"#VALUE!")</f>
        <v>#VALUE!</v>
      </c>
      <c r="DC174" t="str">
        <f ca="1">IFERROR(__xludf.DUMMYFUNCTION("""COMPUTED_VALUE"""),"#VALUE!")</f>
        <v>#VALUE!</v>
      </c>
      <c r="DE174" t="str">
        <f ca="1">IFERROR(__xludf.DUMMYFUNCTION("""COMPUTED_VALUE"""),"#VALUE!")</f>
        <v>#VALUE!</v>
      </c>
      <c r="DI174" t="str">
        <f ca="1">IFERROR(__xludf.DUMMYFUNCTION("""COMPUTED_VALUE"""),"#VALUE!")</f>
        <v>#VALUE!</v>
      </c>
      <c r="DJ174" t="str">
        <f ca="1">IFERROR(__xludf.DUMMYFUNCTION("""COMPUTED_VALUE"""),"#VALUE!")</f>
        <v>#VALUE!</v>
      </c>
      <c r="DL174" t="str">
        <f ca="1">IFERROR(__xludf.DUMMYFUNCTION("""COMPUTED_VALUE"""),"Davor Salihović")</f>
        <v>Davor Salihović</v>
      </c>
    </row>
    <row r="175" spans="1:116" ht="13.2" x14ac:dyDescent="0.25">
      <c r="A175" t="str">
        <f ca="1">IFERROR(__xludf.DUMMYFUNCTION("""COMPUTED_VALUE"""),"P0179")</f>
        <v>P0179</v>
      </c>
      <c r="B175" t="str">
        <f ca="1">IFERROR(__xludf.DUMMYFUNCTION("""COMPUTED_VALUE"""),"Guigo de Falcona")</f>
        <v>Guigo de Falcona</v>
      </c>
      <c r="D175" t="str">
        <f ca="1">IFERROR(__xludf.DUMMYFUNCTION("""COMPUTED_VALUE"""),"#VALUE!")</f>
        <v>#VALUE!</v>
      </c>
      <c r="E175" t="str">
        <f ca="1">IFERROR(__xludf.DUMMYFUNCTION("""COMPUTED_VALUE"""),"Guigo")</f>
        <v>Guigo</v>
      </c>
      <c r="J175" t="str">
        <f ca="1">IFERROR(__xludf.DUMMYFUNCTION("""COMPUTED_VALUE"""),"de")</f>
        <v>de</v>
      </c>
      <c r="K175" t="str">
        <f ca="1">IFERROR(__xludf.DUMMYFUNCTION("""COMPUTED_VALUE"""),"Falcona")</f>
        <v>Falcona</v>
      </c>
      <c r="L175" t="str">
        <f ca="1">IFERROR(__xludf.DUMMYFUNCTION("""COMPUTED_VALUE"""),"de Falcona")</f>
        <v>de Falcona</v>
      </c>
      <c r="S175" t="str">
        <f ca="1">IFERROR(__xludf.DUMMYFUNCTION("""COMPUTED_VALUE"""),"Latin")</f>
        <v>Latin</v>
      </c>
      <c r="T175" t="str">
        <f ca="1">IFERROR(__xludf.DUMMYFUNCTION("""COMPUTED_VALUE"""),"definite")</f>
        <v>definite</v>
      </c>
      <c r="U175" t="str">
        <f ca="1">IFERROR(__xludf.DUMMYFUNCTION("""COMPUTED_VALUE"""),"C2553")</f>
        <v>C2553</v>
      </c>
      <c r="V175" t="str">
        <f ca="1">IFERROR(__xludf.DUMMYFUNCTION("""COMPUTED_VALUE"""),"male")</f>
        <v>male</v>
      </c>
      <c r="Z175" t="str">
        <f ca="1">IFERROR(__xludf.DUMMYFUNCTION("""COMPUTED_VALUE"""),"175")</f>
        <v>175</v>
      </c>
      <c r="AA175" t="str">
        <f ca="1">IFERROR(__xludf.DUMMYFUNCTION("""COMPUTED_VALUE"""),"d")</f>
        <v>d</v>
      </c>
      <c r="AB175" t="str">
        <f ca="1">IFERROR(__xludf.DUMMYFUNCTION("""COMPUTED_VALUE"""),"NA")</f>
        <v>NA</v>
      </c>
      <c r="AD175" t="str">
        <f ca="1">IFERROR(__xludf.DUMMYFUNCTION("""COMPUTED_VALUE"""),"C3287")</f>
        <v>C3287</v>
      </c>
      <c r="AE175" t="str">
        <f ca="1">IFERROR(__xludf.DUMMYFUNCTION("""COMPUTED_VALUE"""),"alive")</f>
        <v>alive</v>
      </c>
      <c r="AF175" t="str">
        <f ca="1">IFERROR(__xludf.DUMMYFUNCTION("""COMPUTED_VALUE"""),"C1753")</f>
        <v>C1753</v>
      </c>
      <c r="AG175" t="str">
        <f ca="1">IFERROR(__xludf.DUMMYFUNCTION("""COMPUTED_VALUE"""),"1335-01-20")</f>
        <v>1335-01-20</v>
      </c>
      <c r="AI175" t="str">
        <f ca="1">IFERROR(__xludf.DUMMYFUNCTION("""COMPUTED_VALUE"""),"#VALUE!")</f>
        <v>#VALUE!</v>
      </c>
      <c r="AK175" t="str">
        <f ca="1">IFERROR(__xludf.DUMMYFUNCTION("""COMPUTED_VALUE"""),"#VALUE!")</f>
        <v>#VALUE!</v>
      </c>
      <c r="AM175" t="str">
        <f ca="1">IFERROR(__xludf.DUMMYFUNCTION("""COMPUTED_VALUE"""),"#VALUE!")</f>
        <v>#VALUE!</v>
      </c>
      <c r="AO175" t="str">
        <f ca="1">IFERROR(__xludf.DUMMYFUNCTION("""COMPUTED_VALUE"""),"#VALUE!")</f>
        <v>#VALUE!</v>
      </c>
      <c r="AQ175" t="str">
        <f ca="1">IFERROR(__xludf.DUMMYFUNCTION("""COMPUTED_VALUE"""),"#VALUE!")</f>
        <v>#VALUE!</v>
      </c>
      <c r="AS175" t="str">
        <f ca="1">IFERROR(__xludf.DUMMYFUNCTION("""COMPUTED_VALUE"""),"#VALUE!")</f>
        <v>#VALUE!</v>
      </c>
      <c r="AU175" t="str">
        <f ca="1">IFERROR(__xludf.DUMMYFUNCTION("""COMPUTED_VALUE"""),"#VALUE!")</f>
        <v>#VALUE!</v>
      </c>
      <c r="AW175" t="str">
        <f ca="1">IFERROR(__xludf.DUMMYFUNCTION("""COMPUTED_VALUE"""),"#VALUE!")</f>
        <v>#VALUE!</v>
      </c>
      <c r="AY175" t="str">
        <f ca="1">IFERROR(__xludf.DUMMYFUNCTION("""COMPUTED_VALUE"""),"#VALUE!")</f>
        <v>#VALUE!</v>
      </c>
      <c r="BA175" t="str">
        <f ca="1">IFERROR(__xludf.DUMMYFUNCTION("""COMPUTED_VALUE"""),"#VALUE!")</f>
        <v>#VALUE!</v>
      </c>
      <c r="BC175" t="str">
        <f ca="1">IFERROR(__xludf.DUMMYFUNCTION("""COMPUTED_VALUE"""),"#VALUE!")</f>
        <v>#VALUE!</v>
      </c>
      <c r="BE175" t="str">
        <f ca="1">IFERROR(__xludf.DUMMYFUNCTION("""COMPUTED_VALUE"""),"#VALUE!")</f>
        <v>#VALUE!</v>
      </c>
      <c r="BG175" t="str">
        <f ca="1">IFERROR(__xludf.DUMMYFUNCTION("""COMPUTED_VALUE"""),"#VALUE!")</f>
        <v>#VALUE!</v>
      </c>
      <c r="BI175" t="str">
        <f ca="1">IFERROR(__xludf.DUMMYFUNCTION("""COMPUTED_VALUE"""),"#VALUE!")</f>
        <v>#VALUE!</v>
      </c>
      <c r="BK175" t="str">
        <f ca="1">IFERROR(__xludf.DUMMYFUNCTION("""COMPUTED_VALUE"""),"#VALUE!")</f>
        <v>#VALUE!</v>
      </c>
      <c r="BM175" t="str">
        <f ca="1">IFERROR(__xludf.DUMMYFUNCTION("""COMPUTED_VALUE"""),"#VALUE!")</f>
        <v>#VALUE!</v>
      </c>
      <c r="BO175" t="str">
        <f ca="1">IFERROR(__xludf.DUMMYFUNCTION("""COMPUTED_VALUE"""),"#VALUE!")</f>
        <v>#VALUE!</v>
      </c>
      <c r="BQ175" t="str">
        <f ca="1">IFERROR(__xludf.DUMMYFUNCTION("""COMPUTED_VALUE"""),"#VALUE!")</f>
        <v>#VALUE!</v>
      </c>
      <c r="BS175" t="str">
        <f ca="1">IFERROR(__xludf.DUMMYFUNCTION("""COMPUTED_VALUE"""),"#VALUE!")</f>
        <v>#VALUE!</v>
      </c>
      <c r="BU175" t="str">
        <f ca="1">IFERROR(__xludf.DUMMYFUNCTION("""COMPUTED_VALUE"""),"#VALUE!")</f>
        <v>#VALUE!</v>
      </c>
      <c r="BW175" t="str">
        <f ca="1">IFERROR(__xludf.DUMMYFUNCTION("""COMPUTED_VALUE"""),"#VALUE!")</f>
        <v>#VALUE!</v>
      </c>
      <c r="BY175" t="str">
        <f ca="1">IFERROR(__xludf.DUMMYFUNCTION("""COMPUTED_VALUE"""),"#VALUE!")</f>
        <v>#VALUE!</v>
      </c>
      <c r="CA175" t="str">
        <f ca="1">IFERROR(__xludf.DUMMYFUNCTION("""COMPUTED_VALUE"""),"#VALUE!")</f>
        <v>#VALUE!</v>
      </c>
      <c r="CC175" t="str">
        <f ca="1">IFERROR(__xludf.DUMMYFUNCTION("""COMPUTED_VALUE"""),"#VALUE!")</f>
        <v>#VALUE!</v>
      </c>
      <c r="CE175" t="str">
        <f ca="1">IFERROR(__xludf.DUMMYFUNCTION("""COMPUTED_VALUE"""),"#VALUE!")</f>
        <v>#VALUE!</v>
      </c>
      <c r="CG175" t="str">
        <f ca="1">IFERROR(__xludf.DUMMYFUNCTION("""COMPUTED_VALUE"""),"#VALUE!")</f>
        <v>#VALUE!</v>
      </c>
      <c r="CI175" t="str">
        <f ca="1">IFERROR(__xludf.DUMMYFUNCTION("""COMPUTED_VALUE"""),"#VALUE!")</f>
        <v>#VALUE!</v>
      </c>
      <c r="CK175" t="str">
        <f ca="1">IFERROR(__xludf.DUMMYFUNCTION("""COMPUTED_VALUE"""),"#VALUE!")</f>
        <v>#VALUE!</v>
      </c>
      <c r="CS175" t="str">
        <f ca="1">IFERROR(__xludf.DUMMYFUNCTION("""COMPUTED_VALUE"""),"#VALUE!")</f>
        <v>#VALUE!</v>
      </c>
      <c r="CU175" t="str">
        <f ca="1">IFERROR(__xludf.DUMMYFUNCTION("""COMPUTED_VALUE"""),"#VALUE!")</f>
        <v>#VALUE!</v>
      </c>
      <c r="CW175" t="str">
        <f ca="1">IFERROR(__xludf.DUMMYFUNCTION("""COMPUTED_VALUE"""),"#VALUE!")</f>
        <v>#VALUE!</v>
      </c>
      <c r="CY175" t="str">
        <f ca="1">IFERROR(__xludf.DUMMYFUNCTION("""COMPUTED_VALUE"""),"#VALUE!")</f>
        <v>#VALUE!</v>
      </c>
      <c r="DC175" t="str">
        <f ca="1">IFERROR(__xludf.DUMMYFUNCTION("""COMPUTED_VALUE"""),"#VALUE!")</f>
        <v>#VALUE!</v>
      </c>
      <c r="DE175" t="str">
        <f ca="1">IFERROR(__xludf.DUMMYFUNCTION("""COMPUTED_VALUE"""),"#VALUE!")</f>
        <v>#VALUE!</v>
      </c>
      <c r="DI175" t="str">
        <f ca="1">IFERROR(__xludf.DUMMYFUNCTION("""COMPUTED_VALUE"""),"#VALUE!")</f>
        <v>#VALUE!</v>
      </c>
      <c r="DJ175" t="str">
        <f ca="1">IFERROR(__xludf.DUMMYFUNCTION("""COMPUTED_VALUE"""),"#VALUE!")</f>
        <v>#VALUE!</v>
      </c>
      <c r="DL175" t="str">
        <f ca="1">IFERROR(__xludf.DUMMYFUNCTION("""COMPUTED_VALUE"""),"Davor Salihović")</f>
        <v>Davor Salihović</v>
      </c>
    </row>
    <row r="176" spans="1:116" ht="13.2" x14ac:dyDescent="0.25">
      <c r="A176" t="str">
        <f ca="1">IFERROR(__xludf.DUMMYFUNCTION("""COMPUTED_VALUE"""),"P0180")</f>
        <v>P0180</v>
      </c>
      <c r="B176" t="str">
        <f ca="1">IFERROR(__xludf.DUMMYFUNCTION("""COMPUTED_VALUE"""),"Iohanna, uxor Aymoneti Neça")</f>
        <v>Iohanna, uxor Aymoneti Neça</v>
      </c>
      <c r="D176" t="str">
        <f ca="1">IFERROR(__xludf.DUMMYFUNCTION("""COMPUTED_VALUE"""),"#VALUE!")</f>
        <v>#VALUE!</v>
      </c>
      <c r="E176" t="str">
        <f ca="1">IFERROR(__xludf.DUMMYFUNCTION("""COMPUTED_VALUE"""),"Iohanna")</f>
        <v>Iohanna</v>
      </c>
      <c r="Q176" t="str">
        <f ca="1">IFERROR(__xludf.DUMMYFUNCTION("""COMPUTED_VALUE"""),"uxor Aymoneti Neça")</f>
        <v>uxor Aymoneti Neça</v>
      </c>
      <c r="S176" t="str">
        <f ca="1">IFERROR(__xludf.DUMMYFUNCTION("""COMPUTED_VALUE"""),"Latin")</f>
        <v>Latin</v>
      </c>
      <c r="T176" t="str">
        <f ca="1">IFERROR(__xludf.DUMMYFUNCTION("""COMPUTED_VALUE"""),"definite")</f>
        <v>definite</v>
      </c>
      <c r="U176" t="str">
        <f ca="1">IFERROR(__xludf.DUMMYFUNCTION("""COMPUTED_VALUE"""),"C2552")</f>
        <v>C2552</v>
      </c>
      <c r="V176" t="str">
        <f ca="1">IFERROR(__xludf.DUMMYFUNCTION("""COMPUTED_VALUE"""),"female")</f>
        <v>female</v>
      </c>
      <c r="Z176" t="str">
        <f ca="1">IFERROR(__xludf.DUMMYFUNCTION("""COMPUTED_VALUE"""),"175")</f>
        <v>175</v>
      </c>
      <c r="AA176" t="str">
        <f ca="1">IFERROR(__xludf.DUMMYFUNCTION("""COMPUTED_VALUE"""),"d")</f>
        <v>d</v>
      </c>
      <c r="AB176" t="str">
        <f ca="1">IFERROR(__xludf.DUMMYFUNCTION("""COMPUTED_VALUE"""),"NA")</f>
        <v>NA</v>
      </c>
      <c r="AD176" t="str">
        <f ca="1">IFERROR(__xludf.DUMMYFUNCTION("""COMPUTED_VALUE"""),"C3287")</f>
        <v>C3287</v>
      </c>
      <c r="AE176" t="str">
        <f ca="1">IFERROR(__xludf.DUMMYFUNCTION("""COMPUTED_VALUE"""),"alive")</f>
        <v>alive</v>
      </c>
      <c r="AF176" t="str">
        <f ca="1">IFERROR(__xludf.DUMMYFUNCTION("""COMPUTED_VALUE"""),"C1753")</f>
        <v>C1753</v>
      </c>
      <c r="AG176" t="str">
        <f ca="1">IFERROR(__xludf.DUMMYFUNCTION("""COMPUTED_VALUE"""),"1335-01-20")</f>
        <v>1335-01-20</v>
      </c>
      <c r="AI176" t="str">
        <f ca="1">IFERROR(__xludf.DUMMYFUNCTION("""COMPUTED_VALUE"""),"#VALUE!")</f>
        <v>#VALUE!</v>
      </c>
      <c r="AK176" t="str">
        <f ca="1">IFERROR(__xludf.DUMMYFUNCTION("""COMPUTED_VALUE"""),"#VALUE!")</f>
        <v>#VALUE!</v>
      </c>
      <c r="AM176" t="str">
        <f ca="1">IFERROR(__xludf.DUMMYFUNCTION("""COMPUTED_VALUE"""),"#VALUE!")</f>
        <v>#VALUE!</v>
      </c>
      <c r="AO176" t="str">
        <f ca="1">IFERROR(__xludf.DUMMYFUNCTION("""COMPUTED_VALUE"""),"#VALUE!")</f>
        <v>#VALUE!</v>
      </c>
      <c r="AQ176" t="str">
        <f ca="1">IFERROR(__xludf.DUMMYFUNCTION("""COMPUTED_VALUE"""),"#VALUE!")</f>
        <v>#VALUE!</v>
      </c>
      <c r="AS176" t="str">
        <f ca="1">IFERROR(__xludf.DUMMYFUNCTION("""COMPUTED_VALUE"""),"#VALUE!")</f>
        <v>#VALUE!</v>
      </c>
      <c r="AU176" t="str">
        <f ca="1">IFERROR(__xludf.DUMMYFUNCTION("""COMPUTED_VALUE"""),"#VALUE!")</f>
        <v>#VALUE!</v>
      </c>
      <c r="AW176" t="str">
        <f ca="1">IFERROR(__xludf.DUMMYFUNCTION("""COMPUTED_VALUE"""),"#VALUE!")</f>
        <v>#VALUE!</v>
      </c>
      <c r="AY176" t="str">
        <f ca="1">IFERROR(__xludf.DUMMYFUNCTION("""COMPUTED_VALUE"""),"#VALUE!")</f>
        <v>#VALUE!</v>
      </c>
      <c r="BA176" t="str">
        <f ca="1">IFERROR(__xludf.DUMMYFUNCTION("""COMPUTED_VALUE"""),"#VALUE!")</f>
        <v>#VALUE!</v>
      </c>
      <c r="BC176" t="str">
        <f ca="1">IFERROR(__xludf.DUMMYFUNCTION("""COMPUTED_VALUE"""),"#VALUE!")</f>
        <v>#VALUE!</v>
      </c>
      <c r="BE176" t="str">
        <f ca="1">IFERROR(__xludf.DUMMYFUNCTION("""COMPUTED_VALUE"""),"#VALUE!")</f>
        <v>#VALUE!</v>
      </c>
      <c r="BG176" t="str">
        <f ca="1">IFERROR(__xludf.DUMMYFUNCTION("""COMPUTED_VALUE"""),"#VALUE!")</f>
        <v>#VALUE!</v>
      </c>
      <c r="BI176" t="str">
        <f ca="1">IFERROR(__xludf.DUMMYFUNCTION("""COMPUTED_VALUE"""),"#VALUE!")</f>
        <v>#VALUE!</v>
      </c>
      <c r="BK176" t="str">
        <f ca="1">IFERROR(__xludf.DUMMYFUNCTION("""COMPUTED_VALUE"""),"#VALUE!")</f>
        <v>#VALUE!</v>
      </c>
      <c r="BM176" t="str">
        <f ca="1">IFERROR(__xludf.DUMMYFUNCTION("""COMPUTED_VALUE"""),"#VALUE!")</f>
        <v>#VALUE!</v>
      </c>
      <c r="BO176" t="str">
        <f ca="1">IFERROR(__xludf.DUMMYFUNCTION("""COMPUTED_VALUE"""),"#VALUE!")</f>
        <v>#VALUE!</v>
      </c>
      <c r="BQ176" t="str">
        <f ca="1">IFERROR(__xludf.DUMMYFUNCTION("""COMPUTED_VALUE"""),"#VALUE!")</f>
        <v>#VALUE!</v>
      </c>
      <c r="BS176" t="str">
        <f ca="1">IFERROR(__xludf.DUMMYFUNCTION("""COMPUTED_VALUE"""),"#VALUE!")</f>
        <v>#VALUE!</v>
      </c>
      <c r="BU176" t="str">
        <f ca="1">IFERROR(__xludf.DUMMYFUNCTION("""COMPUTED_VALUE"""),"#VALUE!")</f>
        <v>#VALUE!</v>
      </c>
      <c r="BW176" t="str">
        <f ca="1">IFERROR(__xludf.DUMMYFUNCTION("""COMPUTED_VALUE"""),"#VALUE!")</f>
        <v>#VALUE!</v>
      </c>
      <c r="BY176" t="str">
        <f ca="1">IFERROR(__xludf.DUMMYFUNCTION("""COMPUTED_VALUE"""),"#VALUE!")</f>
        <v>#VALUE!</v>
      </c>
      <c r="CA176" t="str">
        <f ca="1">IFERROR(__xludf.DUMMYFUNCTION("""COMPUTED_VALUE"""),"#VALUE!")</f>
        <v>#VALUE!</v>
      </c>
      <c r="CC176" t="str">
        <f ca="1">IFERROR(__xludf.DUMMYFUNCTION("""COMPUTED_VALUE"""),"#VALUE!")</f>
        <v>#VALUE!</v>
      </c>
      <c r="CE176" t="str">
        <f ca="1">IFERROR(__xludf.DUMMYFUNCTION("""COMPUTED_VALUE"""),"#VALUE!")</f>
        <v>#VALUE!</v>
      </c>
      <c r="CG176" t="str">
        <f ca="1">IFERROR(__xludf.DUMMYFUNCTION("""COMPUTED_VALUE"""),"#VALUE!")</f>
        <v>#VALUE!</v>
      </c>
      <c r="CI176" t="str">
        <f ca="1">IFERROR(__xludf.DUMMYFUNCTION("""COMPUTED_VALUE"""),"#VALUE!")</f>
        <v>#VALUE!</v>
      </c>
      <c r="CK176" t="str">
        <f ca="1">IFERROR(__xludf.DUMMYFUNCTION("""COMPUTED_VALUE"""),"#VALUE!")</f>
        <v>#VALUE!</v>
      </c>
      <c r="CS176" t="str">
        <f ca="1">IFERROR(__xludf.DUMMYFUNCTION("""COMPUTED_VALUE"""),"#VALUE!")</f>
        <v>#VALUE!</v>
      </c>
      <c r="CU176" t="str">
        <f ca="1">IFERROR(__xludf.DUMMYFUNCTION("""COMPUTED_VALUE"""),"#VALUE!")</f>
        <v>#VALUE!</v>
      </c>
      <c r="CW176" t="str">
        <f ca="1">IFERROR(__xludf.DUMMYFUNCTION("""COMPUTED_VALUE"""),"#VALUE!")</f>
        <v>#VALUE!</v>
      </c>
      <c r="CY176" t="str">
        <f ca="1">IFERROR(__xludf.DUMMYFUNCTION("""COMPUTED_VALUE"""),"#VALUE!")</f>
        <v>#VALUE!</v>
      </c>
      <c r="DC176" t="str">
        <f ca="1">IFERROR(__xludf.DUMMYFUNCTION("""COMPUTED_VALUE"""),"#VALUE!")</f>
        <v>#VALUE!</v>
      </c>
      <c r="DE176" t="str">
        <f ca="1">IFERROR(__xludf.DUMMYFUNCTION("""COMPUTED_VALUE"""),"#VALUE!")</f>
        <v>#VALUE!</v>
      </c>
      <c r="DI176" t="str">
        <f ca="1">IFERROR(__xludf.DUMMYFUNCTION("""COMPUTED_VALUE"""),"#VALUE!")</f>
        <v>#VALUE!</v>
      </c>
      <c r="DJ176" t="str">
        <f ca="1">IFERROR(__xludf.DUMMYFUNCTION("""COMPUTED_VALUE"""),"#VALUE!")</f>
        <v>#VALUE!</v>
      </c>
      <c r="DL176" t="str">
        <f ca="1">IFERROR(__xludf.DUMMYFUNCTION("""COMPUTED_VALUE"""),"Davor Salihović")</f>
        <v>Davor Salihović</v>
      </c>
    </row>
    <row r="177" spans="1:116" ht="13.2" x14ac:dyDescent="0.25">
      <c r="A177" t="str">
        <f ca="1">IFERROR(__xludf.DUMMYFUNCTION("""COMPUTED_VALUE"""),"P0181")</f>
        <v>P0181</v>
      </c>
      <c r="B177" t="str">
        <f ca="1">IFERROR(__xludf.DUMMYFUNCTION("""COMPUTED_VALUE"""),"Aymonetus de Fomya")</f>
        <v>Aymonetus de Fomya</v>
      </c>
      <c r="D177" t="str">
        <f ca="1">IFERROR(__xludf.DUMMYFUNCTION("""COMPUTED_VALUE"""),"#VALUE!")</f>
        <v>#VALUE!</v>
      </c>
      <c r="E177" t="str">
        <f ca="1">IFERROR(__xludf.DUMMYFUNCTION("""COMPUTED_VALUE"""),"Aymonetus")</f>
        <v>Aymonetus</v>
      </c>
      <c r="J177" t="str">
        <f ca="1">IFERROR(__xludf.DUMMYFUNCTION("""COMPUTED_VALUE"""),"de")</f>
        <v>de</v>
      </c>
      <c r="K177" t="str">
        <f ca="1">IFERROR(__xludf.DUMMYFUNCTION("""COMPUTED_VALUE"""),"Fomya")</f>
        <v>Fomya</v>
      </c>
      <c r="L177" t="str">
        <f ca="1">IFERROR(__xludf.DUMMYFUNCTION("""COMPUTED_VALUE"""),"de Fomya")</f>
        <v>de Fomya</v>
      </c>
      <c r="S177" t="str">
        <f ca="1">IFERROR(__xludf.DUMMYFUNCTION("""COMPUTED_VALUE"""),"Latin")</f>
        <v>Latin</v>
      </c>
      <c r="T177" t="str">
        <f ca="1">IFERROR(__xludf.DUMMYFUNCTION("""COMPUTED_VALUE"""),"definite")</f>
        <v>definite</v>
      </c>
      <c r="U177" t="str">
        <f ca="1">IFERROR(__xludf.DUMMYFUNCTION("""COMPUTED_VALUE"""),"C2553")</f>
        <v>C2553</v>
      </c>
      <c r="V177" t="str">
        <f ca="1">IFERROR(__xludf.DUMMYFUNCTION("""COMPUTED_VALUE"""),"male")</f>
        <v>male</v>
      </c>
      <c r="Z177" t="str">
        <f ca="1">IFERROR(__xludf.DUMMYFUNCTION("""COMPUTED_VALUE"""),"175, 198, 202, 203, 204, 216, 219, 241")</f>
        <v>175, 198, 202, 203, 204, 216, 219, 241</v>
      </c>
      <c r="AA177" t="str">
        <f ca="1">IFERROR(__xludf.DUMMYFUNCTION("""COMPUTED_VALUE"""),"d")</f>
        <v>d</v>
      </c>
      <c r="AB177" t="str">
        <f ca="1">IFERROR(__xludf.DUMMYFUNCTION("""COMPUTED_VALUE"""),"suspect")</f>
        <v>suspect</v>
      </c>
      <c r="AD177" t="str">
        <f ca="1">IFERROR(__xludf.DUMMYFUNCTION("""COMPUTED_VALUE"""),"C3287")</f>
        <v>C3287</v>
      </c>
      <c r="AE177" t="str">
        <f ca="1">IFERROR(__xludf.DUMMYFUNCTION("""COMPUTED_VALUE"""),"alive")</f>
        <v>alive</v>
      </c>
      <c r="AF177" t="str">
        <f ca="1">IFERROR(__xludf.DUMMYFUNCTION("""COMPUTED_VALUE"""),"C1753")</f>
        <v>C1753</v>
      </c>
      <c r="AG177" t="str">
        <f ca="1">IFERROR(__xludf.DUMMYFUNCTION("""COMPUTED_VALUE"""),"1335-01-20")</f>
        <v>1335-01-20</v>
      </c>
      <c r="AH177" t="str">
        <f ca="1">IFERROR(__xludf.DUMMYFUNCTION("""COMPUTED_VALUE"""),"C2337")</f>
        <v>C2337</v>
      </c>
      <c r="AI177" t="str">
        <f ca="1">IFERROR(__xludf.DUMMYFUNCTION("""COMPUTED_VALUE"""),"brother")</f>
        <v>brother</v>
      </c>
      <c r="AJ177" t="str">
        <f ca="1">IFERROR(__xludf.DUMMYFUNCTION("""COMPUTED_VALUE"""),"P0248")</f>
        <v>P0248</v>
      </c>
      <c r="AK177" t="str">
        <f ca="1">IFERROR(__xludf.DUMMYFUNCTION("""COMPUTED_VALUE"""),"Michael de Fomia")</f>
        <v>Michael de Fomia</v>
      </c>
      <c r="AL177" t="str">
        <f ca="1">IFERROR(__xludf.DUMMYFUNCTION("""COMPUTED_VALUE"""),"C2341")</f>
        <v>C2341</v>
      </c>
      <c r="AM177" t="str">
        <f ca="1">IFERROR(__xludf.DUMMYFUNCTION("""COMPUTED_VALUE"""),"mother")</f>
        <v>mother</v>
      </c>
      <c r="AN177" t="str">
        <f ca="1">IFERROR(__xludf.DUMMYFUNCTION("""COMPUTED_VALUE"""),"P0326")</f>
        <v>P0326</v>
      </c>
      <c r="AO177" t="str">
        <f ca="1">IFERROR(__xludf.DUMMYFUNCTION("""COMPUTED_VALUE"""),"mater Aymoneti et Michaelis de Fomia")</f>
        <v>mater Aymoneti et Michaelis de Fomia</v>
      </c>
      <c r="AP177" t="str">
        <f ca="1">IFERROR(__xludf.DUMMYFUNCTION("""COMPUTED_VALUE"""),"C0147")</f>
        <v>C0147</v>
      </c>
      <c r="AQ177" t="str">
        <f ca="1">IFERROR(__xludf.DUMMYFUNCTION("""COMPUTED_VALUE"""),"warrantor")</f>
        <v>warrantor</v>
      </c>
      <c r="AR177" t="str">
        <f ca="1">IFERROR(__xludf.DUMMYFUNCTION("""COMPUTED_VALUE"""),"P0334")</f>
        <v>P0334</v>
      </c>
      <c r="AS177" t="str">
        <f ca="1">IFERROR(__xludf.DUMMYFUNCTION("""COMPUTED_VALUE"""),"Villelmus Caçii")</f>
        <v>Villelmus Caçii</v>
      </c>
      <c r="AU177" t="str">
        <f ca="1">IFERROR(__xludf.DUMMYFUNCTION("""COMPUTED_VALUE"""),"#VALUE!")</f>
        <v>#VALUE!</v>
      </c>
      <c r="AW177" t="str">
        <f ca="1">IFERROR(__xludf.DUMMYFUNCTION("""COMPUTED_VALUE"""),"#VALUE!")</f>
        <v>#VALUE!</v>
      </c>
      <c r="AY177" t="str">
        <f ca="1">IFERROR(__xludf.DUMMYFUNCTION("""COMPUTED_VALUE"""),"#VALUE!")</f>
        <v>#VALUE!</v>
      </c>
      <c r="BA177" t="str">
        <f ca="1">IFERROR(__xludf.DUMMYFUNCTION("""COMPUTED_VALUE"""),"#VALUE!")</f>
        <v>#VALUE!</v>
      </c>
      <c r="BC177" t="str">
        <f ca="1">IFERROR(__xludf.DUMMYFUNCTION("""COMPUTED_VALUE"""),"#VALUE!")</f>
        <v>#VALUE!</v>
      </c>
      <c r="BE177" t="str">
        <f ca="1">IFERROR(__xludf.DUMMYFUNCTION("""COMPUTED_VALUE"""),"#VALUE!")</f>
        <v>#VALUE!</v>
      </c>
      <c r="BG177" t="str">
        <f ca="1">IFERROR(__xludf.DUMMYFUNCTION("""COMPUTED_VALUE"""),"#VALUE!")</f>
        <v>#VALUE!</v>
      </c>
      <c r="BI177" t="str">
        <f ca="1">IFERROR(__xludf.DUMMYFUNCTION("""COMPUTED_VALUE"""),"#VALUE!")</f>
        <v>#VALUE!</v>
      </c>
      <c r="BK177" t="str">
        <f ca="1">IFERROR(__xludf.DUMMYFUNCTION("""COMPUTED_VALUE"""),"#VALUE!")</f>
        <v>#VALUE!</v>
      </c>
      <c r="BM177" t="str">
        <f ca="1">IFERROR(__xludf.DUMMYFUNCTION("""COMPUTED_VALUE"""),"#VALUE!")</f>
        <v>#VALUE!</v>
      </c>
      <c r="BO177" t="str">
        <f ca="1">IFERROR(__xludf.DUMMYFUNCTION("""COMPUTED_VALUE"""),"#VALUE!")</f>
        <v>#VALUE!</v>
      </c>
      <c r="BQ177" t="str">
        <f ca="1">IFERROR(__xludf.DUMMYFUNCTION("""COMPUTED_VALUE"""),"#VALUE!")</f>
        <v>#VALUE!</v>
      </c>
      <c r="BS177" t="str">
        <f ca="1">IFERROR(__xludf.DUMMYFUNCTION("""COMPUTED_VALUE"""),"#VALUE!")</f>
        <v>#VALUE!</v>
      </c>
      <c r="BU177" t="str">
        <f ca="1">IFERROR(__xludf.DUMMYFUNCTION("""COMPUTED_VALUE"""),"#VALUE!")</f>
        <v>#VALUE!</v>
      </c>
      <c r="BW177" t="str">
        <f ca="1">IFERROR(__xludf.DUMMYFUNCTION("""COMPUTED_VALUE"""),"#VALUE!")</f>
        <v>#VALUE!</v>
      </c>
      <c r="BY177" t="str">
        <f ca="1">IFERROR(__xludf.DUMMYFUNCTION("""COMPUTED_VALUE"""),"#VALUE!")</f>
        <v>#VALUE!</v>
      </c>
      <c r="CA177" t="str">
        <f ca="1">IFERROR(__xludf.DUMMYFUNCTION("""COMPUTED_VALUE"""),"#VALUE!")</f>
        <v>#VALUE!</v>
      </c>
      <c r="CC177" t="str">
        <f ca="1">IFERROR(__xludf.DUMMYFUNCTION("""COMPUTED_VALUE"""),"#VALUE!")</f>
        <v>#VALUE!</v>
      </c>
      <c r="CD177" t="str">
        <f ca="1">IFERROR(__xludf.DUMMYFUNCTION("""COMPUTED_VALUE"""),"C3598")</f>
        <v>C3598</v>
      </c>
      <c r="CE177" t="str">
        <f ca="1">IFERROR(__xludf.DUMMYFUNCTION("""COMPUTED_VALUE"""),"location of congregation")</f>
        <v>location of congregation</v>
      </c>
      <c r="CF177" t="str">
        <f ca="1">IFERROR(__xludf.DUMMYFUNCTION("""COMPUTED_VALUE"""),"L0117#L0099#L0032#L0098#L0100#L0101")</f>
        <v>L0117#L0099#L0032#L0098#L0100#L0101</v>
      </c>
      <c r="CG177" t="str">
        <f ca="1">IFERROR(__xludf.DUMMYFUNCTION("""COMPUTED_VALUE"""),"domus Michaelis de Fomia #domus Aymoneti de Fomia #domus Villelmi de Oddo #domus Michaelis Planche #domus de Boysono #domus Villelmi de Oddo")</f>
        <v>domus Michaelis de Fomia #domus Aymoneti de Fomia #domus Villelmi de Oddo #domus Michaelis Planche #domus de Boysono #domus Villelmi de Oddo</v>
      </c>
      <c r="CH177" t="str">
        <f ca="1">IFERROR(__xludf.DUMMYFUNCTION("""COMPUTED_VALUE"""),"P0334")</f>
        <v>P0334</v>
      </c>
      <c r="CI177" t="str">
        <f ca="1">IFERROR(__xludf.DUMMYFUNCTION("""COMPUTED_VALUE"""),"Villelmus Caçii")</f>
        <v>Villelmus Caçii</v>
      </c>
      <c r="CJ177" t="str">
        <f ca="1">IFERROR(__xludf.DUMMYFUNCTION("""COMPUTED_VALUE"""),"P0040#P0248")</f>
        <v>P0040#P0248</v>
      </c>
      <c r="CK177" t="str">
        <f ca="1">IFERROR(__xludf.DUMMYFUNCTION("""COMPUTED_VALUE"""),"Petrus de Rosseto #Michael de Fomia")</f>
        <v>Petrus de Rosseto #Michael de Fomia</v>
      </c>
      <c r="CS177" t="str">
        <f ca="1">IFERROR(__xludf.DUMMYFUNCTION("""COMPUTED_VALUE"""),"#VALUE!")</f>
        <v>#VALUE!</v>
      </c>
      <c r="CU177" t="str">
        <f ca="1">IFERROR(__xludf.DUMMYFUNCTION("""COMPUTED_VALUE"""),"#VALUE!")</f>
        <v>#VALUE!</v>
      </c>
      <c r="CW177" t="str">
        <f ca="1">IFERROR(__xludf.DUMMYFUNCTION("""COMPUTED_VALUE"""),"#VALUE!")</f>
        <v>#VALUE!</v>
      </c>
      <c r="CY177" t="str">
        <f ca="1">IFERROR(__xludf.DUMMYFUNCTION("""COMPUTED_VALUE"""),"#VALUE!")</f>
        <v>#VALUE!</v>
      </c>
      <c r="DC177" t="str">
        <f ca="1">IFERROR(__xludf.DUMMYFUNCTION("""COMPUTED_VALUE"""),"#VALUE!")</f>
        <v>#VALUE!</v>
      </c>
      <c r="DE177" t="str">
        <f ca="1">IFERROR(__xludf.DUMMYFUNCTION("""COMPUTED_VALUE"""),"#VALUE!")</f>
        <v>#VALUE!</v>
      </c>
      <c r="DF177" t="str">
        <f ca="1">IFERROR(__xludf.DUMMYFUNCTION("""COMPUTED_VALUE"""),"y")</f>
        <v>y</v>
      </c>
      <c r="DG177" t="str">
        <f ca="1">IFERROR(__xludf.DUMMYFUNCTION("""COMPUTED_VALUE"""),"202-203")</f>
        <v>202-203</v>
      </c>
      <c r="DH177" t="str">
        <f ca="1">IFERROR(__xludf.DUMMYFUNCTION("""COMPUTED_VALUE"""),"L0117#L0099#L0032#L0098#L0100#L0101")</f>
        <v>L0117#L0099#L0032#L0098#L0100#L0101</v>
      </c>
      <c r="DI177" t="str">
        <f ca="1">IFERROR(__xludf.DUMMYFUNCTION("""COMPUTED_VALUE"""),"domus Michaelis de Fomia #domus Aymoneti de Fomia #domus Villelmi de Oddo #domus Michaelis Planche #domus de Boysono #domus Villelmi de Oddo")</f>
        <v>domus Michaelis de Fomia #domus Aymoneti de Fomia #domus Villelmi de Oddo #domus Michaelis Planche #domus de Boysono #domus Villelmi de Oddo</v>
      </c>
      <c r="DJ177" t="str">
        <f ca="1">IFERROR(__xludf.DUMMYFUNCTION("""COMPUTED_VALUE"""),"domus #domus #domus #domus #domus #domus")</f>
        <v>domus #domus #domus #domus #domus #domus</v>
      </c>
      <c r="DL177" t="str">
        <f ca="1">IFERROR(__xludf.DUMMYFUNCTION("""COMPUTED_VALUE"""),"Davor Salihović")</f>
        <v>Davor Salihović</v>
      </c>
    </row>
    <row r="178" spans="1:116" ht="13.2" x14ac:dyDescent="0.25">
      <c r="A178" t="str">
        <f ca="1">IFERROR(__xludf.DUMMYFUNCTION("""COMPUTED_VALUE"""),"P0182")</f>
        <v>P0182</v>
      </c>
      <c r="B178" t="str">
        <f ca="1">IFERROR(__xludf.DUMMYFUNCTION("""COMPUTED_VALUE"""),"papa Clemens IV")</f>
        <v>papa Clemens IV</v>
      </c>
      <c r="C178" t="str">
        <f ca="1">IFERROR(__xludf.DUMMYFUNCTION("""COMPUTED_VALUE"""),"C3252")</f>
        <v>C3252</v>
      </c>
      <c r="D178" t="str">
        <f ca="1">IFERROR(__xludf.DUMMYFUNCTION("""COMPUTED_VALUE"""),"dominus")</f>
        <v>dominus</v>
      </c>
      <c r="E178" t="str">
        <f ca="1">IFERROR(__xludf.DUMMYFUNCTION("""COMPUTED_VALUE"""),"papa Clemens IV")</f>
        <v>papa Clemens IV</v>
      </c>
      <c r="S178" t="str">
        <f ca="1">IFERROR(__xludf.DUMMYFUNCTION("""COMPUTED_VALUE"""),"Latin")</f>
        <v>Latin</v>
      </c>
      <c r="T178" t="str">
        <f ca="1">IFERROR(__xludf.DUMMYFUNCTION("""COMPUTED_VALUE"""),"definite")</f>
        <v>definite</v>
      </c>
      <c r="U178" t="str">
        <f ca="1">IFERROR(__xludf.DUMMYFUNCTION("""COMPUTED_VALUE"""),"C2553")</f>
        <v>C2553</v>
      </c>
      <c r="V178" t="str">
        <f ca="1">IFERROR(__xludf.DUMMYFUNCTION("""COMPUTED_VALUE"""),"male")</f>
        <v>male</v>
      </c>
      <c r="Z178" t="str">
        <f ca="1">IFERROR(__xludf.DUMMYFUNCTION("""COMPUTED_VALUE"""),"176")</f>
        <v>176</v>
      </c>
      <c r="AA178" t="str">
        <f ca="1">IFERROR(__xludf.DUMMYFUNCTION("""COMPUTED_VALUE"""),"o")</f>
        <v>o</v>
      </c>
      <c r="AB178" t="str">
        <f ca="1">IFERROR(__xludf.DUMMYFUNCTION("""COMPUTED_VALUE"""),"NA")</f>
        <v>NA</v>
      </c>
      <c r="AC178" t="str">
        <f ca="1">IFERROR(__xludf.DUMMYFUNCTION("""COMPUTED_VALUE"""),"y")</f>
        <v>y</v>
      </c>
      <c r="AD178" t="str">
        <f ca="1">IFERROR(__xludf.DUMMYFUNCTION("""COMPUTED_VALUE"""),"C3288")</f>
        <v>C3288</v>
      </c>
      <c r="AE178" t="str">
        <f ca="1">IFERROR(__xludf.DUMMYFUNCTION("""COMPUTED_VALUE"""),"dead")</f>
        <v>dead</v>
      </c>
      <c r="AF178" t="str">
        <f ca="1">IFERROR(__xludf.DUMMYFUNCTION("""COMPUTED_VALUE"""),"C1749")</f>
        <v>C1749</v>
      </c>
      <c r="AG178" t="str">
        <f ca="1">IFERROR(__xludf.DUMMYFUNCTION("""COMPUTED_VALUE"""),"1335-01-20")</f>
        <v>1335-01-20</v>
      </c>
      <c r="AI178" t="str">
        <f ca="1">IFERROR(__xludf.DUMMYFUNCTION("""COMPUTED_VALUE"""),"#VALUE!")</f>
        <v>#VALUE!</v>
      </c>
      <c r="AK178" t="str">
        <f ca="1">IFERROR(__xludf.DUMMYFUNCTION("""COMPUTED_VALUE"""),"#VALUE!")</f>
        <v>#VALUE!</v>
      </c>
      <c r="AM178" t="str">
        <f ca="1">IFERROR(__xludf.DUMMYFUNCTION("""COMPUTED_VALUE"""),"#VALUE!")</f>
        <v>#VALUE!</v>
      </c>
      <c r="AO178" t="str">
        <f ca="1">IFERROR(__xludf.DUMMYFUNCTION("""COMPUTED_VALUE"""),"#VALUE!")</f>
        <v>#VALUE!</v>
      </c>
      <c r="AQ178" t="str">
        <f ca="1">IFERROR(__xludf.DUMMYFUNCTION("""COMPUTED_VALUE"""),"#VALUE!")</f>
        <v>#VALUE!</v>
      </c>
      <c r="AS178" t="str">
        <f ca="1">IFERROR(__xludf.DUMMYFUNCTION("""COMPUTED_VALUE"""),"#VALUE!")</f>
        <v>#VALUE!</v>
      </c>
      <c r="AU178" t="str">
        <f ca="1">IFERROR(__xludf.DUMMYFUNCTION("""COMPUTED_VALUE"""),"#VALUE!")</f>
        <v>#VALUE!</v>
      </c>
      <c r="AW178" t="str">
        <f ca="1">IFERROR(__xludf.DUMMYFUNCTION("""COMPUTED_VALUE"""),"#VALUE!")</f>
        <v>#VALUE!</v>
      </c>
      <c r="AY178" t="str">
        <f ca="1">IFERROR(__xludf.DUMMYFUNCTION("""COMPUTED_VALUE"""),"#VALUE!")</f>
        <v>#VALUE!</v>
      </c>
      <c r="BA178" t="str">
        <f ca="1">IFERROR(__xludf.DUMMYFUNCTION("""COMPUTED_VALUE"""),"#VALUE!")</f>
        <v>#VALUE!</v>
      </c>
      <c r="BC178" t="str">
        <f ca="1">IFERROR(__xludf.DUMMYFUNCTION("""COMPUTED_VALUE"""),"#VALUE!")</f>
        <v>#VALUE!</v>
      </c>
      <c r="BE178" t="str">
        <f ca="1">IFERROR(__xludf.DUMMYFUNCTION("""COMPUTED_VALUE"""),"#VALUE!")</f>
        <v>#VALUE!</v>
      </c>
      <c r="BG178" t="str">
        <f ca="1">IFERROR(__xludf.DUMMYFUNCTION("""COMPUTED_VALUE"""),"#VALUE!")</f>
        <v>#VALUE!</v>
      </c>
      <c r="BI178" t="str">
        <f ca="1">IFERROR(__xludf.DUMMYFUNCTION("""COMPUTED_VALUE"""),"#VALUE!")</f>
        <v>#VALUE!</v>
      </c>
      <c r="BK178" t="str">
        <f ca="1">IFERROR(__xludf.DUMMYFUNCTION("""COMPUTED_VALUE"""),"#VALUE!")</f>
        <v>#VALUE!</v>
      </c>
      <c r="BM178" t="str">
        <f ca="1">IFERROR(__xludf.DUMMYFUNCTION("""COMPUTED_VALUE"""),"#VALUE!")</f>
        <v>#VALUE!</v>
      </c>
      <c r="BO178" t="str">
        <f ca="1">IFERROR(__xludf.DUMMYFUNCTION("""COMPUTED_VALUE"""),"#VALUE!")</f>
        <v>#VALUE!</v>
      </c>
      <c r="BQ178" t="str">
        <f ca="1">IFERROR(__xludf.DUMMYFUNCTION("""COMPUTED_VALUE"""),"#VALUE!")</f>
        <v>#VALUE!</v>
      </c>
      <c r="BS178" t="str">
        <f ca="1">IFERROR(__xludf.DUMMYFUNCTION("""COMPUTED_VALUE"""),"#VALUE!")</f>
        <v>#VALUE!</v>
      </c>
      <c r="BU178" t="str">
        <f ca="1">IFERROR(__xludf.DUMMYFUNCTION("""COMPUTED_VALUE"""),"#VALUE!")</f>
        <v>#VALUE!</v>
      </c>
      <c r="BW178" t="str">
        <f ca="1">IFERROR(__xludf.DUMMYFUNCTION("""COMPUTED_VALUE"""),"#VALUE!")</f>
        <v>#VALUE!</v>
      </c>
      <c r="BY178" t="str">
        <f ca="1">IFERROR(__xludf.DUMMYFUNCTION("""COMPUTED_VALUE"""),"#VALUE!")</f>
        <v>#VALUE!</v>
      </c>
      <c r="CA178" t="str">
        <f ca="1">IFERROR(__xludf.DUMMYFUNCTION("""COMPUTED_VALUE"""),"#VALUE!")</f>
        <v>#VALUE!</v>
      </c>
      <c r="CC178" t="str">
        <f ca="1">IFERROR(__xludf.DUMMYFUNCTION("""COMPUTED_VALUE"""),"#VALUE!")</f>
        <v>#VALUE!</v>
      </c>
      <c r="CE178" t="str">
        <f ca="1">IFERROR(__xludf.DUMMYFUNCTION("""COMPUTED_VALUE"""),"#VALUE!")</f>
        <v>#VALUE!</v>
      </c>
      <c r="CG178" t="str">
        <f ca="1">IFERROR(__xludf.DUMMYFUNCTION("""COMPUTED_VALUE"""),"#VALUE!")</f>
        <v>#VALUE!</v>
      </c>
      <c r="CI178" t="str">
        <f ca="1">IFERROR(__xludf.DUMMYFUNCTION("""COMPUTED_VALUE"""),"#VALUE!")</f>
        <v>#VALUE!</v>
      </c>
      <c r="CK178" t="str">
        <f ca="1">IFERROR(__xludf.DUMMYFUNCTION("""COMPUTED_VALUE"""),"#VALUE!")</f>
        <v>#VALUE!</v>
      </c>
      <c r="CS178" t="str">
        <f ca="1">IFERROR(__xludf.DUMMYFUNCTION("""COMPUTED_VALUE"""),"#VALUE!")</f>
        <v>#VALUE!</v>
      </c>
      <c r="CU178" t="str">
        <f ca="1">IFERROR(__xludf.DUMMYFUNCTION("""COMPUTED_VALUE"""),"#VALUE!")</f>
        <v>#VALUE!</v>
      </c>
      <c r="CW178" t="str">
        <f ca="1">IFERROR(__xludf.DUMMYFUNCTION("""COMPUTED_VALUE"""),"#VALUE!")</f>
        <v>#VALUE!</v>
      </c>
      <c r="CX178" t="str">
        <f ca="1">IFERROR(__xludf.DUMMYFUNCTION("""COMPUTED_VALUE"""),"C3194")</f>
        <v>C3194</v>
      </c>
      <c r="CY178" t="str">
        <f ca="1">IFERROR(__xludf.DUMMYFUNCTION("""COMPUTED_VALUE"""),"papa")</f>
        <v>papa</v>
      </c>
      <c r="DA178" t="str">
        <f ca="1">IFERROR(__xludf.DUMMYFUNCTION("""COMPUTED_VALUE"""),"churchperson")</f>
        <v>churchperson</v>
      </c>
      <c r="DB178" t="str">
        <f ca="1">IFERROR(__xludf.DUMMYFUNCTION("""COMPUTED_VALUE"""),"C0194")</f>
        <v>C0194</v>
      </c>
      <c r="DC178" t="str">
        <f ca="1">IFERROR(__xludf.DUMMYFUNCTION("""COMPUTED_VALUE"""),"sacerdos")</f>
        <v>sacerdos</v>
      </c>
      <c r="DD178" t="str">
        <f ca="1">IFERROR(__xludf.DUMMYFUNCTION("""COMPUTED_VALUE"""),"C3194")</f>
        <v>C3194</v>
      </c>
      <c r="DE178" t="str">
        <f ca="1">IFERROR(__xludf.DUMMYFUNCTION("""COMPUTED_VALUE"""),"papa")</f>
        <v>papa</v>
      </c>
      <c r="DI178" t="str">
        <f ca="1">IFERROR(__xludf.DUMMYFUNCTION("""COMPUTED_VALUE"""),"#VALUE!")</f>
        <v>#VALUE!</v>
      </c>
      <c r="DJ178" t="str">
        <f ca="1">IFERROR(__xludf.DUMMYFUNCTION("""COMPUTED_VALUE"""),"#VALUE!")</f>
        <v>#VALUE!</v>
      </c>
      <c r="DL178" t="str">
        <f ca="1">IFERROR(__xludf.DUMMYFUNCTION("""COMPUTED_VALUE"""),"Davor Salihović")</f>
        <v>Davor Salihović</v>
      </c>
    </row>
    <row r="179" spans="1:116" ht="13.2" x14ac:dyDescent="0.25">
      <c r="A179" t="str">
        <f ca="1">IFERROR(__xludf.DUMMYFUNCTION("""COMPUTED_VALUE"""),"P0183")</f>
        <v>P0183</v>
      </c>
      <c r="B179" t="str">
        <f ca="1">IFERROR(__xludf.DUMMYFUNCTION("""COMPUTED_VALUE"""),"Martinus Pastre")</f>
        <v>Martinus Pastre</v>
      </c>
      <c r="D179" t="str">
        <f ca="1">IFERROR(__xludf.DUMMYFUNCTION("""COMPUTED_VALUE"""),"#VALUE!")</f>
        <v>#VALUE!</v>
      </c>
      <c r="E179" t="str">
        <f ca="1">IFERROR(__xludf.DUMMYFUNCTION("""COMPUTED_VALUE"""),"Martinus")</f>
        <v>Martinus</v>
      </c>
      <c r="K179" t="str">
        <f ca="1">IFERROR(__xludf.DUMMYFUNCTION("""COMPUTED_VALUE"""),"Pastre")</f>
        <v>Pastre</v>
      </c>
      <c r="L179" t="str">
        <f ca="1">IFERROR(__xludf.DUMMYFUNCTION("""COMPUTED_VALUE"""),"Pastre")</f>
        <v>Pastre</v>
      </c>
      <c r="P179" t="str">
        <f ca="1">IFERROR(__xludf.DUMMYFUNCTION("""COMPUTED_VALUE"""),"Paste")</f>
        <v>Paste</v>
      </c>
      <c r="S179" t="str">
        <f ca="1">IFERROR(__xludf.DUMMYFUNCTION("""COMPUTED_VALUE"""),"Latin")</f>
        <v>Latin</v>
      </c>
      <c r="T179" t="str">
        <f ca="1">IFERROR(__xludf.DUMMYFUNCTION("""COMPUTED_VALUE"""),"definite")</f>
        <v>definite</v>
      </c>
      <c r="U179" t="str">
        <f ca="1">IFERROR(__xludf.DUMMYFUNCTION("""COMPUTED_VALUE"""),"C2553")</f>
        <v>C2553</v>
      </c>
      <c r="V179" t="str">
        <f ca="1">IFERROR(__xludf.DUMMYFUNCTION("""COMPUTED_VALUE"""),"male")</f>
        <v>male</v>
      </c>
      <c r="Z179" t="str">
        <f ca="1">IFERROR(__xludf.DUMMYFUNCTION("""COMPUTED_VALUE"""),"176, 177, 182, 184, 187, 189, 191, 193, 194, 196, 198, 201, 202, 204, 206, 209, 211, 212, 213, 215, 216, 220, 221, 222, 223, 228, 237, 238, 239, 240, 241, 242, 243, 244, 245, 246, 247, 248, 249, 250")</f>
        <v>176, 177, 182, 184, 187, 189, 191, 193, 194, 196, 198, 201, 202, 204, 206, 209, 211, 212, 213, 215, 216, 220, 221, 222, 223, 228, 237, 238, 239, 240, 241, 242, 243, 244, 245, 246, 247, 248, 249, 250</v>
      </c>
      <c r="AA179" t="str">
        <f ca="1">IFERROR(__xludf.DUMMYFUNCTION("""COMPUTED_VALUE"""),"d")</f>
        <v>d</v>
      </c>
      <c r="AB179" t="str">
        <f ca="1">IFERROR(__xludf.DUMMYFUNCTION("""COMPUTED_VALUE"""),"suspect")</f>
        <v>suspect</v>
      </c>
      <c r="AD179" t="str">
        <f ca="1">IFERROR(__xludf.DUMMYFUNCTION("""COMPUTED_VALUE"""),"C3287")</f>
        <v>C3287</v>
      </c>
      <c r="AE179" t="str">
        <f ca="1">IFERROR(__xludf.DUMMYFUNCTION("""COMPUTED_VALUE"""),"alive")</f>
        <v>alive</v>
      </c>
      <c r="AF179" t="str">
        <f ca="1">IFERROR(__xludf.DUMMYFUNCTION("""COMPUTED_VALUE"""),"C1753")</f>
        <v>C1753</v>
      </c>
      <c r="AG179" t="str">
        <f ca="1">IFERROR(__xludf.DUMMYFUNCTION("""COMPUTED_VALUE"""),"1335-01-20")</f>
        <v>1335-01-20</v>
      </c>
      <c r="AI179" t="str">
        <f ca="1">IFERROR(__xludf.DUMMYFUNCTION("""COMPUTED_VALUE"""),"#VALUE!")</f>
        <v>#VALUE!</v>
      </c>
      <c r="AK179" t="str">
        <f ca="1">IFERROR(__xludf.DUMMYFUNCTION("""COMPUTED_VALUE"""),"#VALUE!")</f>
        <v>#VALUE!</v>
      </c>
      <c r="AM179" t="str">
        <f ca="1">IFERROR(__xludf.DUMMYFUNCTION("""COMPUTED_VALUE"""),"#VALUE!")</f>
        <v>#VALUE!</v>
      </c>
      <c r="AO179" t="str">
        <f ca="1">IFERROR(__xludf.DUMMYFUNCTION("""COMPUTED_VALUE"""),"#VALUE!")</f>
        <v>#VALUE!</v>
      </c>
      <c r="AQ179" t="str">
        <f ca="1">IFERROR(__xludf.DUMMYFUNCTION("""COMPUTED_VALUE"""),"#VALUE!")</f>
        <v>#VALUE!</v>
      </c>
      <c r="AS179" t="str">
        <f ca="1">IFERROR(__xludf.DUMMYFUNCTION("""COMPUTED_VALUE"""),"#VALUE!")</f>
        <v>#VALUE!</v>
      </c>
      <c r="AU179" t="str">
        <f ca="1">IFERROR(__xludf.DUMMYFUNCTION("""COMPUTED_VALUE"""),"#VALUE!")</f>
        <v>#VALUE!</v>
      </c>
      <c r="AW179" t="str">
        <f ca="1">IFERROR(__xludf.DUMMYFUNCTION("""COMPUTED_VALUE"""),"#VALUE!")</f>
        <v>#VALUE!</v>
      </c>
      <c r="AY179" t="str">
        <f ca="1">IFERROR(__xludf.DUMMYFUNCTION("""COMPUTED_VALUE"""),"#VALUE!")</f>
        <v>#VALUE!</v>
      </c>
      <c r="BA179" t="str">
        <f ca="1">IFERROR(__xludf.DUMMYFUNCTION("""COMPUTED_VALUE"""),"#VALUE!")</f>
        <v>#VALUE!</v>
      </c>
      <c r="BC179" t="str">
        <f ca="1">IFERROR(__xludf.DUMMYFUNCTION("""COMPUTED_VALUE"""),"#VALUE!")</f>
        <v>#VALUE!</v>
      </c>
      <c r="BE179" t="str">
        <f ca="1">IFERROR(__xludf.DUMMYFUNCTION("""COMPUTED_VALUE"""),"#VALUE!")</f>
        <v>#VALUE!</v>
      </c>
      <c r="BG179" t="str">
        <f ca="1">IFERROR(__xludf.DUMMYFUNCTION("""COMPUTED_VALUE"""),"#VALUE!")</f>
        <v>#VALUE!</v>
      </c>
      <c r="BI179" t="str">
        <f ca="1">IFERROR(__xludf.DUMMYFUNCTION("""COMPUTED_VALUE"""),"#VALUE!")</f>
        <v>#VALUE!</v>
      </c>
      <c r="BK179" t="str">
        <f ca="1">IFERROR(__xludf.DUMMYFUNCTION("""COMPUTED_VALUE"""),"#VALUE!")</f>
        <v>#VALUE!</v>
      </c>
      <c r="BM179" t="str">
        <f ca="1">IFERROR(__xludf.DUMMYFUNCTION("""COMPUTED_VALUE"""),"#VALUE!")</f>
        <v>#VALUE!</v>
      </c>
      <c r="BO179" t="str">
        <f ca="1">IFERROR(__xludf.DUMMYFUNCTION("""COMPUTED_VALUE"""),"#VALUE!")</f>
        <v>#VALUE!</v>
      </c>
      <c r="BQ179" t="str">
        <f ca="1">IFERROR(__xludf.DUMMYFUNCTION("""COMPUTED_VALUE"""),"#VALUE!")</f>
        <v>#VALUE!</v>
      </c>
      <c r="BS179" t="str">
        <f ca="1">IFERROR(__xludf.DUMMYFUNCTION("""COMPUTED_VALUE"""),"#VALUE!")</f>
        <v>#VALUE!</v>
      </c>
      <c r="BU179" t="str">
        <f ca="1">IFERROR(__xludf.DUMMYFUNCTION("""COMPUTED_VALUE"""),"#VALUE!")</f>
        <v>#VALUE!</v>
      </c>
      <c r="BW179" t="str">
        <f ca="1">IFERROR(__xludf.DUMMYFUNCTION("""COMPUTED_VALUE"""),"#VALUE!")</f>
        <v>#VALUE!</v>
      </c>
      <c r="BY179" t="str">
        <f ca="1">IFERROR(__xludf.DUMMYFUNCTION("""COMPUTED_VALUE"""),"#VALUE!")</f>
        <v>#VALUE!</v>
      </c>
      <c r="CA179" t="str">
        <f ca="1">IFERROR(__xludf.DUMMYFUNCTION("""COMPUTED_VALUE"""),"#VALUE!")</f>
        <v>#VALUE!</v>
      </c>
      <c r="CC179" t="str">
        <f ca="1">IFERROR(__xludf.DUMMYFUNCTION("""COMPUTED_VALUE"""),"#VALUE!")</f>
        <v>#VALUE!</v>
      </c>
      <c r="CD179" t="str">
        <f ca="1">IFERROR(__xludf.DUMMYFUNCTION("""COMPUTED_VALUE"""),"C3598")</f>
        <v>C3598</v>
      </c>
      <c r="CE179" t="str">
        <f ca="1">IFERROR(__xludf.DUMMYFUNCTION("""COMPUTED_VALUE"""),"location of congregation")</f>
        <v>location of congregation</v>
      </c>
      <c r="CF179" t="str">
        <f ca="1">IFERROR(__xludf.DUMMYFUNCTION("""COMPUTED_VALUE"""),"L0057#L0061#L0064#L0025#L0070#L0074#L0077#L0079#L0087#L0071#L0092#L0089#L0067#L0082#L0080#L0066#L0096#L0098#L0101#L0097#L0116#L0107#L0068#L0114#L0076#L0115#L0119#L0121#L0122#L0132#L0032#L0078")</f>
        <v>L0057#L0061#L0064#L0025#L0070#L0074#L0077#L0079#L0087#L0071#L0092#L0089#L0067#L0082#L0080#L0066#L0096#L0098#L0101#L0097#L0116#L0107#L0068#L0114#L0076#L0115#L0119#L0121#L0122#L0132#L0032#L0078</v>
      </c>
      <c r="CG179" t="str">
        <f ca="1">IFERROR(__xludf.DUMMYFUNCTION("""COMPUTED_VALUE"""),"domus de Combis #domus Amedei de Combravino #domus Stephani Vet #domus Villelmeti Domenici #domus Iohannis de Boysono #domus Vincentii #domus Margerite Borssete #domus Martinii Dominici #domus Petri de Rosseto #domus Iohannis Mulini de Sala #domus Humbert"&amp;"i Baroni de Coazze #domus Iohannis de Facio Ferrandi #domus Petri Rupphini #domus Iacobi Bernardi de Villanova #domus Petrii Burgi #domus Bernardi de Rosseto #domus Iohannis de Bonaudo #domus Michaelis Planche #domus Villelmi de Oddo #domus Iohannis Borre"&amp;"llati #domus Iohannis Borrelli de Iacobina #domus Iohannis Rocheti #domus Vieti de Mondino #domus Henrieti de Mondino #domus Iohannis Torenchi #domus Agnessone de Rosseto #domus Addorne, uxoris Iohannis Mulini #domus Broxie, uxoris Iacobi Bernardi #domus "&amp;"Margerite Planche #domus Aleysine Burgi #domus Villelmi de Oddo #domus Facii de Papono")</f>
        <v>domus de Combis #domus Amedei de Combravino #domus Stephani Vet #domus Villelmeti Domenici #domus Iohannis de Boysono #domus Vincentii #domus Margerite Borssete #domus Martinii Dominici #domus Petri de Rosseto #domus Iohannis Mulini de Sala #domus Humberti Baroni de Coazze #domus Iohannis de Facio Ferrandi #domus Petri Rupphini #domus Iacobi Bernardi de Villanova #domus Petrii Burgi #domus Bernardi de Rosseto #domus Iohannis de Bonaudo #domus Michaelis Planche #domus Villelmi de Oddo #domus Iohannis Borrellati #domus Iohannis Borrelli de Iacobina #domus Iohannis Rocheti #domus Vieti de Mondino #domus Henrieti de Mondino #domus Iohannis Torenchi #domus Agnessone de Rosseto #domus Addorne, uxoris Iohannis Mulini #domus Broxie, uxoris Iacobi Bernardi #domus Margerite Planche #domus Aleysine Burgi #domus Villelmi de Oddo #domus Facii de Papono</v>
      </c>
      <c r="CI179" t="str">
        <f ca="1">IFERROR(__xludf.DUMMYFUNCTION("""COMPUTED_VALUE"""),"#VALUE!")</f>
        <v>#VALUE!</v>
      </c>
      <c r="CK179" t="str">
        <f ca="1">IFERROR(__xludf.DUMMYFUNCTION("""COMPUTED_VALUE"""),"#VALUE!")</f>
        <v>#VALUE!</v>
      </c>
      <c r="CO179" t="str">
        <f ca="1">IFERROR(__xludf.DUMMYFUNCTION("""COMPUTED_VALUE"""),"Paste")</f>
        <v>Paste</v>
      </c>
      <c r="CR179" t="str">
        <f ca="1">IFERROR(__xludf.DUMMYFUNCTION("""COMPUTED_VALUE"""),"L0055")</f>
        <v>L0055</v>
      </c>
      <c r="CS179" t="str">
        <f ca="1">IFERROR(__xludf.DUMMYFUNCTION("""COMPUTED_VALUE"""),"Vallis Lucerne")</f>
        <v>Vallis Lucerne</v>
      </c>
      <c r="CU179" t="str">
        <f ca="1">IFERROR(__xludf.DUMMYFUNCTION("""COMPUTED_VALUE"""),"#VALUE!")</f>
        <v>#VALUE!</v>
      </c>
      <c r="CW179" t="str">
        <f ca="1">IFERROR(__xludf.DUMMYFUNCTION("""COMPUTED_VALUE"""),"#VALUE!")</f>
        <v>#VALUE!</v>
      </c>
      <c r="CX179" t="str">
        <f ca="1">IFERROR(__xludf.DUMMYFUNCTION("""COMPUTED_VALUE"""),"C3197")</f>
        <v>C3197</v>
      </c>
      <c r="CY179" t="str">
        <f ca="1">IFERROR(__xludf.DUMMYFUNCTION("""COMPUTED_VALUE"""),"Valdensis")</f>
        <v>Valdensis</v>
      </c>
      <c r="DA179" t="str">
        <f ca="1">IFERROR(__xludf.DUMMYFUNCTION("""COMPUTED_VALUE"""),"dissident minister")</f>
        <v>dissident minister</v>
      </c>
      <c r="DC179" t="str">
        <f ca="1">IFERROR(__xludf.DUMMYFUNCTION("""COMPUTED_VALUE"""),"#VALUE!")</f>
        <v>#VALUE!</v>
      </c>
      <c r="DD179" t="str">
        <f ca="1">IFERROR(__xludf.DUMMYFUNCTION("""COMPUTED_VALUE"""),"C3197")</f>
        <v>C3197</v>
      </c>
      <c r="DE179" t="str">
        <f ca="1">IFERROR(__xludf.DUMMYFUNCTION("""COMPUTED_VALUE"""),"Valdensis")</f>
        <v>Valdensis</v>
      </c>
      <c r="DH179" t="str">
        <f ca="1">IFERROR(__xludf.DUMMYFUNCTION("""COMPUTED_VALUE"""),"L0057#L0061#L0064#L0025#L0070#L0074#L0077#L0079#L0087#L0071#L0092#L0089#L0067#L0082#L0080#L0066#L0096#L0098#L0101#L0097#L0116#L0107#L0068#L0114#L0076#L0115#L0119#L0121#L0122#L0132#L0032#L0078")</f>
        <v>L0057#L0061#L0064#L0025#L0070#L0074#L0077#L0079#L0087#L0071#L0092#L0089#L0067#L0082#L0080#L0066#L0096#L0098#L0101#L0097#L0116#L0107#L0068#L0114#L0076#L0115#L0119#L0121#L0122#L0132#L0032#L0078</v>
      </c>
      <c r="DI179" t="str">
        <f ca="1">IFERROR(__xludf.DUMMYFUNCTION("""COMPUTED_VALUE"""),"domus de Combis #domus Amedei de Combravino #domus Stephani Vet #domus Villelmeti Domenici #domus Iohannis de Boysono #domus Vincentii #domus Margerite Borssete #domus Martinii Dominici #domus Petri de Rosseto #domus Iohannis Mulini de Sala #domus Humbert"&amp;"i Baroni de Coazze #domus Iohannis de Facio Ferrandi #domus Petri Rupphini #domus Iacobi Bernardi de Villanova #domus Petrii Burgi #domus Bernardi de Rosseto #domus Iohannis de Bonaudo #domus Michaelis Planche #domus Villelmi de Oddo #domus Iohannis Borre"&amp;"llati #domus Iohannis Borrelli de Iacobina #domus Iohannis Rocheti #domus Vieti de Mondino #domus Henrieti de Mondino #domus Iohannis Torenchi #domus Agnessone de Rosseto #domus Addorne, uxoris Iohannis Mulini #domus Broxie, uxoris Iacobi Bernardi #domus "&amp;"Margerite Planche #domus Aleysine Burgi #domus Villelmi de Oddo #domus Facii de Papono")</f>
        <v>domus de Combis #domus Amedei de Combravino #domus Stephani Vet #domus Villelmeti Domenici #domus Iohannis de Boysono #domus Vincentii #domus Margerite Borssete #domus Martinii Dominici #domus Petri de Rosseto #domus Iohannis Mulini de Sala #domus Humberti Baroni de Coazze #domus Iohannis de Facio Ferrandi #domus Petri Rupphini #domus Iacobi Bernardi de Villanova #domus Petrii Burgi #domus Bernardi de Rosseto #domus Iohannis de Bonaudo #domus Michaelis Planche #domus Villelmi de Oddo #domus Iohannis Borrellati #domus Iohannis Borrelli de Iacobina #domus Iohannis Rocheti #domus Vieti de Mondino #domus Henrieti de Mondino #domus Iohannis Torenchi #domus Agnessone de Rosseto #domus Addorne, uxoris Iohannis Mulini #domus Broxie, uxoris Iacobi Bernardi #domus Margerite Planche #domus Aleysine Burgi #domus Villelmi de Oddo #domus Facii de Papono</v>
      </c>
      <c r="DJ179" t="str">
        <f ca="1">IFERROR(__xludf.DUMMYFUNCTION("""COMPUTED_VALUE"""),"domus #domus #domus #domus #domus #domus #domus #domus #domus #domus #domus #domus #domus #domus #domus #domus #domus #domus #domus #domus #domus #domus #domus #domus #domus #domus #domus #domus #domus #domus #domus #domus")</f>
        <v>domus #domus #domus #domus #domus #domus #domus #domus #domus #domus #domus #domus #domus #domus #domus #domus #domus #domus #domus #domus #domus #domus #domus #domus #domus #domus #domus #domus #domus #domus #domus #domus</v>
      </c>
      <c r="DL179" t="str">
        <f ca="1">IFERROR(__xludf.DUMMYFUNCTION("""COMPUTED_VALUE"""),"Davor Salihović")</f>
        <v>Davor Salihović</v>
      </c>
    </row>
    <row r="180" spans="1:116" ht="13.2" x14ac:dyDescent="0.25">
      <c r="A180" t="str">
        <f ca="1">IFERROR(__xludf.DUMMYFUNCTION("""COMPUTED_VALUE"""),"P0184")</f>
        <v>P0184</v>
      </c>
      <c r="B180" t="str">
        <f ca="1">IFERROR(__xludf.DUMMYFUNCTION("""COMPUTED_VALUE"""),"Alexandria")</f>
        <v>Alexandria</v>
      </c>
      <c r="D180" t="str">
        <f ca="1">IFERROR(__xludf.DUMMYFUNCTION("""COMPUTED_VALUE"""),"#VALUE!")</f>
        <v>#VALUE!</v>
      </c>
      <c r="E180" t="str">
        <f ca="1">IFERROR(__xludf.DUMMYFUNCTION("""COMPUTED_VALUE"""),"Alexandria")</f>
        <v>Alexandria</v>
      </c>
      <c r="S180" t="str">
        <f ca="1">IFERROR(__xludf.DUMMYFUNCTION("""COMPUTED_VALUE"""),"Latin")</f>
        <v>Latin</v>
      </c>
      <c r="T180" t="str">
        <f ca="1">IFERROR(__xludf.DUMMYFUNCTION("""COMPUTED_VALUE"""),"definite")</f>
        <v>definite</v>
      </c>
      <c r="U180" t="str">
        <f ca="1">IFERROR(__xludf.DUMMYFUNCTION("""COMPUTED_VALUE"""),"C2552")</f>
        <v>C2552</v>
      </c>
      <c r="V180" t="str">
        <f ca="1">IFERROR(__xludf.DUMMYFUNCTION("""COMPUTED_VALUE"""),"female")</f>
        <v>female</v>
      </c>
      <c r="Z180" t="str">
        <f ca="1">IFERROR(__xludf.DUMMYFUNCTION("""COMPUTED_VALUE"""),"176")</f>
        <v>176</v>
      </c>
      <c r="AA180" t="str">
        <f ca="1">IFERROR(__xludf.DUMMYFUNCTION("""COMPUTED_VALUE"""),"d")</f>
        <v>d</v>
      </c>
      <c r="AB180" t="str">
        <f ca="1">IFERROR(__xludf.DUMMYFUNCTION("""COMPUTED_VALUE"""),"suspect")</f>
        <v>suspect</v>
      </c>
      <c r="AC180" t="str">
        <f ca="1">IFERROR(__xludf.DUMMYFUNCTION("""COMPUTED_VALUE"""),"y")</f>
        <v>y</v>
      </c>
      <c r="AD180" t="str">
        <f ca="1">IFERROR(__xludf.DUMMYFUNCTION("""COMPUTED_VALUE"""),"C3288")</f>
        <v>C3288</v>
      </c>
      <c r="AE180" t="str">
        <f ca="1">IFERROR(__xludf.DUMMYFUNCTION("""COMPUTED_VALUE"""),"dead")</f>
        <v>dead</v>
      </c>
      <c r="AF180" t="str">
        <f ca="1">IFERROR(__xludf.DUMMYFUNCTION("""COMPUTED_VALUE"""),"C1749")</f>
        <v>C1749</v>
      </c>
      <c r="AG180" t="str">
        <f ca="1">IFERROR(__xludf.DUMMYFUNCTION("""COMPUTED_VALUE"""),"1335-01-20")</f>
        <v>1335-01-20</v>
      </c>
      <c r="AH180" t="str">
        <f ca="1">IFERROR(__xludf.DUMMYFUNCTION("""COMPUTED_VALUE"""),"C2037")</f>
        <v>C2037</v>
      </c>
      <c r="AI180" t="str">
        <f ca="1">IFERROR(__xludf.DUMMYFUNCTION("""COMPUTED_VALUE"""),"cognate")</f>
        <v>cognate</v>
      </c>
      <c r="AJ180" t="str">
        <f ca="1">IFERROR(__xludf.DUMMYFUNCTION("""COMPUTED_VALUE"""),"P0185")</f>
        <v>P0185</v>
      </c>
      <c r="AK180" t="str">
        <f ca="1">IFERROR(__xludf.DUMMYFUNCTION("""COMPUTED_VALUE"""),"Villelma")</f>
        <v>Villelma</v>
      </c>
      <c r="AM180" t="str">
        <f ca="1">IFERROR(__xludf.DUMMYFUNCTION("""COMPUTED_VALUE"""),"#VALUE!")</f>
        <v>#VALUE!</v>
      </c>
      <c r="AO180" t="str">
        <f ca="1">IFERROR(__xludf.DUMMYFUNCTION("""COMPUTED_VALUE"""),"#VALUE!")</f>
        <v>#VALUE!</v>
      </c>
      <c r="AQ180" t="str">
        <f ca="1">IFERROR(__xludf.DUMMYFUNCTION("""COMPUTED_VALUE"""),"#VALUE!")</f>
        <v>#VALUE!</v>
      </c>
      <c r="AS180" t="str">
        <f ca="1">IFERROR(__xludf.DUMMYFUNCTION("""COMPUTED_VALUE"""),"#VALUE!")</f>
        <v>#VALUE!</v>
      </c>
      <c r="AU180" t="str">
        <f ca="1">IFERROR(__xludf.DUMMYFUNCTION("""COMPUTED_VALUE"""),"#VALUE!")</f>
        <v>#VALUE!</v>
      </c>
      <c r="AW180" t="str">
        <f ca="1">IFERROR(__xludf.DUMMYFUNCTION("""COMPUTED_VALUE"""),"#VALUE!")</f>
        <v>#VALUE!</v>
      </c>
      <c r="AY180" t="str">
        <f ca="1">IFERROR(__xludf.DUMMYFUNCTION("""COMPUTED_VALUE"""),"#VALUE!")</f>
        <v>#VALUE!</v>
      </c>
      <c r="BA180" t="str">
        <f ca="1">IFERROR(__xludf.DUMMYFUNCTION("""COMPUTED_VALUE"""),"#VALUE!")</f>
        <v>#VALUE!</v>
      </c>
      <c r="BC180" t="str">
        <f ca="1">IFERROR(__xludf.DUMMYFUNCTION("""COMPUTED_VALUE"""),"#VALUE!")</f>
        <v>#VALUE!</v>
      </c>
      <c r="BE180" t="str">
        <f ca="1">IFERROR(__xludf.DUMMYFUNCTION("""COMPUTED_VALUE"""),"#VALUE!")</f>
        <v>#VALUE!</v>
      </c>
      <c r="BG180" t="str">
        <f ca="1">IFERROR(__xludf.DUMMYFUNCTION("""COMPUTED_VALUE"""),"#VALUE!")</f>
        <v>#VALUE!</v>
      </c>
      <c r="BI180" t="str">
        <f ca="1">IFERROR(__xludf.DUMMYFUNCTION("""COMPUTED_VALUE"""),"#VALUE!")</f>
        <v>#VALUE!</v>
      </c>
      <c r="BK180" t="str">
        <f ca="1">IFERROR(__xludf.DUMMYFUNCTION("""COMPUTED_VALUE"""),"#VALUE!")</f>
        <v>#VALUE!</v>
      </c>
      <c r="BM180" t="str">
        <f ca="1">IFERROR(__xludf.DUMMYFUNCTION("""COMPUTED_VALUE"""),"#VALUE!")</f>
        <v>#VALUE!</v>
      </c>
      <c r="BO180" t="str">
        <f ca="1">IFERROR(__xludf.DUMMYFUNCTION("""COMPUTED_VALUE"""),"#VALUE!")</f>
        <v>#VALUE!</v>
      </c>
      <c r="BQ180" t="str">
        <f ca="1">IFERROR(__xludf.DUMMYFUNCTION("""COMPUTED_VALUE"""),"#VALUE!")</f>
        <v>#VALUE!</v>
      </c>
      <c r="BS180" t="str">
        <f ca="1">IFERROR(__xludf.DUMMYFUNCTION("""COMPUTED_VALUE"""),"#VALUE!")</f>
        <v>#VALUE!</v>
      </c>
      <c r="BU180" t="str">
        <f ca="1">IFERROR(__xludf.DUMMYFUNCTION("""COMPUTED_VALUE"""),"#VALUE!")</f>
        <v>#VALUE!</v>
      </c>
      <c r="BW180" t="str">
        <f ca="1">IFERROR(__xludf.DUMMYFUNCTION("""COMPUTED_VALUE"""),"#VALUE!")</f>
        <v>#VALUE!</v>
      </c>
      <c r="BY180" t="str">
        <f ca="1">IFERROR(__xludf.DUMMYFUNCTION("""COMPUTED_VALUE"""),"#VALUE!")</f>
        <v>#VALUE!</v>
      </c>
      <c r="CA180" t="str">
        <f ca="1">IFERROR(__xludf.DUMMYFUNCTION("""COMPUTED_VALUE"""),"#VALUE!")</f>
        <v>#VALUE!</v>
      </c>
      <c r="CC180" t="str">
        <f ca="1">IFERROR(__xludf.DUMMYFUNCTION("""COMPUTED_VALUE"""),"#VALUE!")</f>
        <v>#VALUE!</v>
      </c>
      <c r="CE180" t="str">
        <f ca="1">IFERROR(__xludf.DUMMYFUNCTION("""COMPUTED_VALUE"""),"#VALUE!")</f>
        <v>#VALUE!</v>
      </c>
      <c r="CG180" t="str">
        <f ca="1">IFERROR(__xludf.DUMMYFUNCTION("""COMPUTED_VALUE"""),"#VALUE!")</f>
        <v>#VALUE!</v>
      </c>
      <c r="CI180" t="str">
        <f ca="1">IFERROR(__xludf.DUMMYFUNCTION("""COMPUTED_VALUE"""),"#VALUE!")</f>
        <v>#VALUE!</v>
      </c>
      <c r="CK180" t="str">
        <f ca="1">IFERROR(__xludf.DUMMYFUNCTION("""COMPUTED_VALUE"""),"#VALUE!")</f>
        <v>#VALUE!</v>
      </c>
      <c r="CR180" t="str">
        <f ca="1">IFERROR(__xludf.DUMMYFUNCTION("""COMPUTED_VALUE"""),"L0054")</f>
        <v>L0054</v>
      </c>
      <c r="CS180" t="str">
        <f ca="1">IFERROR(__xludf.DUMMYFUNCTION("""COMPUTED_VALUE"""),"Villaretto")</f>
        <v>Villaretto</v>
      </c>
      <c r="CU180" t="str">
        <f ca="1">IFERROR(__xludf.DUMMYFUNCTION("""COMPUTED_VALUE"""),"#VALUE!")</f>
        <v>#VALUE!</v>
      </c>
      <c r="CW180" t="str">
        <f ca="1">IFERROR(__xludf.DUMMYFUNCTION("""COMPUTED_VALUE"""),"#VALUE!")</f>
        <v>#VALUE!</v>
      </c>
      <c r="CY180" t="str">
        <f ca="1">IFERROR(__xludf.DUMMYFUNCTION("""COMPUTED_VALUE"""),"#VALUE!")</f>
        <v>#VALUE!</v>
      </c>
      <c r="DC180" t="str">
        <f ca="1">IFERROR(__xludf.DUMMYFUNCTION("""COMPUTED_VALUE"""),"#VALUE!")</f>
        <v>#VALUE!</v>
      </c>
      <c r="DE180" t="str">
        <f ca="1">IFERROR(__xludf.DUMMYFUNCTION("""COMPUTED_VALUE"""),"#VALUE!")</f>
        <v>#VALUE!</v>
      </c>
      <c r="DI180" t="str">
        <f ca="1">IFERROR(__xludf.DUMMYFUNCTION("""COMPUTED_VALUE"""),"#VALUE!")</f>
        <v>#VALUE!</v>
      </c>
      <c r="DJ180" t="str">
        <f ca="1">IFERROR(__xludf.DUMMYFUNCTION("""COMPUTED_VALUE"""),"#VALUE!")</f>
        <v>#VALUE!</v>
      </c>
      <c r="DL180" t="str">
        <f ca="1">IFERROR(__xludf.DUMMYFUNCTION("""COMPUTED_VALUE"""),"Davor Salihović")</f>
        <v>Davor Salihović</v>
      </c>
    </row>
    <row r="181" spans="1:116" ht="13.2" x14ac:dyDescent="0.25">
      <c r="A181" t="str">
        <f ca="1">IFERROR(__xludf.DUMMYFUNCTION("""COMPUTED_VALUE"""),"P0185")</f>
        <v>P0185</v>
      </c>
      <c r="B181" t="str">
        <f ca="1">IFERROR(__xludf.DUMMYFUNCTION("""COMPUTED_VALUE"""),"Villelma")</f>
        <v>Villelma</v>
      </c>
      <c r="D181" t="str">
        <f ca="1">IFERROR(__xludf.DUMMYFUNCTION("""COMPUTED_VALUE"""),"#VALUE!")</f>
        <v>#VALUE!</v>
      </c>
      <c r="E181" t="str">
        <f ca="1">IFERROR(__xludf.DUMMYFUNCTION("""COMPUTED_VALUE"""),"Villelma")</f>
        <v>Villelma</v>
      </c>
      <c r="S181" t="str">
        <f ca="1">IFERROR(__xludf.DUMMYFUNCTION("""COMPUTED_VALUE"""),"Latin")</f>
        <v>Latin</v>
      </c>
      <c r="T181" t="str">
        <f ca="1">IFERROR(__xludf.DUMMYFUNCTION("""COMPUTED_VALUE"""),"definite")</f>
        <v>definite</v>
      </c>
      <c r="U181" t="str">
        <f ca="1">IFERROR(__xludf.DUMMYFUNCTION("""COMPUTED_VALUE"""),"C2552")</f>
        <v>C2552</v>
      </c>
      <c r="V181" t="str">
        <f ca="1">IFERROR(__xludf.DUMMYFUNCTION("""COMPUTED_VALUE"""),"female")</f>
        <v>female</v>
      </c>
      <c r="Z181" t="str">
        <f ca="1">IFERROR(__xludf.DUMMYFUNCTION("""COMPUTED_VALUE"""),"176")</f>
        <v>176</v>
      </c>
      <c r="AA181" t="str">
        <f ca="1">IFERROR(__xludf.DUMMYFUNCTION("""COMPUTED_VALUE"""),"d")</f>
        <v>d</v>
      </c>
      <c r="AB181" t="str">
        <f ca="1">IFERROR(__xludf.DUMMYFUNCTION("""COMPUTED_VALUE"""),"suspect")</f>
        <v>suspect</v>
      </c>
      <c r="AC181" t="str">
        <f ca="1">IFERROR(__xludf.DUMMYFUNCTION("""COMPUTED_VALUE"""),"y")</f>
        <v>y</v>
      </c>
      <c r="AD181" t="str">
        <f ca="1">IFERROR(__xludf.DUMMYFUNCTION("""COMPUTED_VALUE"""),"C3288")</f>
        <v>C3288</v>
      </c>
      <c r="AE181" t="str">
        <f ca="1">IFERROR(__xludf.DUMMYFUNCTION("""COMPUTED_VALUE"""),"dead")</f>
        <v>dead</v>
      </c>
      <c r="AF181" t="str">
        <f ca="1">IFERROR(__xludf.DUMMYFUNCTION("""COMPUTED_VALUE"""),"C1749")</f>
        <v>C1749</v>
      </c>
      <c r="AG181" t="str">
        <f ca="1">IFERROR(__xludf.DUMMYFUNCTION("""COMPUTED_VALUE"""),"1335-01-20")</f>
        <v>1335-01-20</v>
      </c>
      <c r="AH181" t="str">
        <f ca="1">IFERROR(__xludf.DUMMYFUNCTION("""COMPUTED_VALUE"""),"C2037")</f>
        <v>C2037</v>
      </c>
      <c r="AI181" t="str">
        <f ca="1">IFERROR(__xludf.DUMMYFUNCTION("""COMPUTED_VALUE"""),"cognate")</f>
        <v>cognate</v>
      </c>
      <c r="AJ181" t="str">
        <f ca="1">IFERROR(__xludf.DUMMYFUNCTION("""COMPUTED_VALUE"""),"P0184")</f>
        <v>P0184</v>
      </c>
      <c r="AK181" t="str">
        <f ca="1">IFERROR(__xludf.DUMMYFUNCTION("""COMPUTED_VALUE"""),"Alexandria")</f>
        <v>Alexandria</v>
      </c>
      <c r="AM181" t="str">
        <f ca="1">IFERROR(__xludf.DUMMYFUNCTION("""COMPUTED_VALUE"""),"#VALUE!")</f>
        <v>#VALUE!</v>
      </c>
      <c r="AO181" t="str">
        <f ca="1">IFERROR(__xludf.DUMMYFUNCTION("""COMPUTED_VALUE"""),"#VALUE!")</f>
        <v>#VALUE!</v>
      </c>
      <c r="AQ181" t="str">
        <f ca="1">IFERROR(__xludf.DUMMYFUNCTION("""COMPUTED_VALUE"""),"#VALUE!")</f>
        <v>#VALUE!</v>
      </c>
      <c r="AS181" t="str">
        <f ca="1">IFERROR(__xludf.DUMMYFUNCTION("""COMPUTED_VALUE"""),"#VALUE!")</f>
        <v>#VALUE!</v>
      </c>
      <c r="AU181" t="str">
        <f ca="1">IFERROR(__xludf.DUMMYFUNCTION("""COMPUTED_VALUE"""),"#VALUE!")</f>
        <v>#VALUE!</v>
      </c>
      <c r="AW181" t="str">
        <f ca="1">IFERROR(__xludf.DUMMYFUNCTION("""COMPUTED_VALUE"""),"#VALUE!")</f>
        <v>#VALUE!</v>
      </c>
      <c r="AY181" t="str">
        <f ca="1">IFERROR(__xludf.DUMMYFUNCTION("""COMPUTED_VALUE"""),"#VALUE!")</f>
        <v>#VALUE!</v>
      </c>
      <c r="BA181" t="str">
        <f ca="1">IFERROR(__xludf.DUMMYFUNCTION("""COMPUTED_VALUE"""),"#VALUE!")</f>
        <v>#VALUE!</v>
      </c>
      <c r="BC181" t="str">
        <f ca="1">IFERROR(__xludf.DUMMYFUNCTION("""COMPUTED_VALUE"""),"#VALUE!")</f>
        <v>#VALUE!</v>
      </c>
      <c r="BE181" t="str">
        <f ca="1">IFERROR(__xludf.DUMMYFUNCTION("""COMPUTED_VALUE"""),"#VALUE!")</f>
        <v>#VALUE!</v>
      </c>
      <c r="BG181" t="str">
        <f ca="1">IFERROR(__xludf.DUMMYFUNCTION("""COMPUTED_VALUE"""),"#VALUE!")</f>
        <v>#VALUE!</v>
      </c>
      <c r="BI181" t="str">
        <f ca="1">IFERROR(__xludf.DUMMYFUNCTION("""COMPUTED_VALUE"""),"#VALUE!")</f>
        <v>#VALUE!</v>
      </c>
      <c r="BK181" t="str">
        <f ca="1">IFERROR(__xludf.DUMMYFUNCTION("""COMPUTED_VALUE"""),"#VALUE!")</f>
        <v>#VALUE!</v>
      </c>
      <c r="BM181" t="str">
        <f ca="1">IFERROR(__xludf.DUMMYFUNCTION("""COMPUTED_VALUE"""),"#VALUE!")</f>
        <v>#VALUE!</v>
      </c>
      <c r="BO181" t="str">
        <f ca="1">IFERROR(__xludf.DUMMYFUNCTION("""COMPUTED_VALUE"""),"#VALUE!")</f>
        <v>#VALUE!</v>
      </c>
      <c r="BQ181" t="str">
        <f ca="1">IFERROR(__xludf.DUMMYFUNCTION("""COMPUTED_VALUE"""),"#VALUE!")</f>
        <v>#VALUE!</v>
      </c>
      <c r="BS181" t="str">
        <f ca="1">IFERROR(__xludf.DUMMYFUNCTION("""COMPUTED_VALUE"""),"#VALUE!")</f>
        <v>#VALUE!</v>
      </c>
      <c r="BU181" t="str">
        <f ca="1">IFERROR(__xludf.DUMMYFUNCTION("""COMPUTED_VALUE"""),"#VALUE!")</f>
        <v>#VALUE!</v>
      </c>
      <c r="BW181" t="str">
        <f ca="1">IFERROR(__xludf.DUMMYFUNCTION("""COMPUTED_VALUE"""),"#VALUE!")</f>
        <v>#VALUE!</v>
      </c>
      <c r="BY181" t="str">
        <f ca="1">IFERROR(__xludf.DUMMYFUNCTION("""COMPUTED_VALUE"""),"#VALUE!")</f>
        <v>#VALUE!</v>
      </c>
      <c r="CA181" t="str">
        <f ca="1">IFERROR(__xludf.DUMMYFUNCTION("""COMPUTED_VALUE"""),"#VALUE!")</f>
        <v>#VALUE!</v>
      </c>
      <c r="CC181" t="str">
        <f ca="1">IFERROR(__xludf.DUMMYFUNCTION("""COMPUTED_VALUE"""),"#VALUE!")</f>
        <v>#VALUE!</v>
      </c>
      <c r="CE181" t="str">
        <f ca="1">IFERROR(__xludf.DUMMYFUNCTION("""COMPUTED_VALUE"""),"#VALUE!")</f>
        <v>#VALUE!</v>
      </c>
      <c r="CG181" t="str">
        <f ca="1">IFERROR(__xludf.DUMMYFUNCTION("""COMPUTED_VALUE"""),"#VALUE!")</f>
        <v>#VALUE!</v>
      </c>
      <c r="CI181" t="str">
        <f ca="1">IFERROR(__xludf.DUMMYFUNCTION("""COMPUTED_VALUE"""),"#VALUE!")</f>
        <v>#VALUE!</v>
      </c>
      <c r="CK181" t="str">
        <f ca="1">IFERROR(__xludf.DUMMYFUNCTION("""COMPUTED_VALUE"""),"#VALUE!")</f>
        <v>#VALUE!</v>
      </c>
      <c r="CR181" t="str">
        <f ca="1">IFERROR(__xludf.DUMMYFUNCTION("""COMPUTED_VALUE"""),"L0054")</f>
        <v>L0054</v>
      </c>
      <c r="CS181" t="str">
        <f ca="1">IFERROR(__xludf.DUMMYFUNCTION("""COMPUTED_VALUE"""),"Villaretto")</f>
        <v>Villaretto</v>
      </c>
      <c r="CU181" t="str">
        <f ca="1">IFERROR(__xludf.DUMMYFUNCTION("""COMPUTED_VALUE"""),"#VALUE!")</f>
        <v>#VALUE!</v>
      </c>
      <c r="CW181" t="str">
        <f ca="1">IFERROR(__xludf.DUMMYFUNCTION("""COMPUTED_VALUE"""),"#VALUE!")</f>
        <v>#VALUE!</v>
      </c>
      <c r="CY181" t="str">
        <f ca="1">IFERROR(__xludf.DUMMYFUNCTION("""COMPUTED_VALUE"""),"#VALUE!")</f>
        <v>#VALUE!</v>
      </c>
      <c r="DC181" t="str">
        <f ca="1">IFERROR(__xludf.DUMMYFUNCTION("""COMPUTED_VALUE"""),"#VALUE!")</f>
        <v>#VALUE!</v>
      </c>
      <c r="DE181" t="str">
        <f ca="1">IFERROR(__xludf.DUMMYFUNCTION("""COMPUTED_VALUE"""),"#VALUE!")</f>
        <v>#VALUE!</v>
      </c>
      <c r="DI181" t="str">
        <f ca="1">IFERROR(__xludf.DUMMYFUNCTION("""COMPUTED_VALUE"""),"#VALUE!")</f>
        <v>#VALUE!</v>
      </c>
      <c r="DJ181" t="str">
        <f ca="1">IFERROR(__xludf.DUMMYFUNCTION("""COMPUTED_VALUE"""),"#VALUE!")</f>
        <v>#VALUE!</v>
      </c>
      <c r="DL181" t="str">
        <f ca="1">IFERROR(__xludf.DUMMYFUNCTION("""COMPUTED_VALUE"""),"Davor Salihović")</f>
        <v>Davor Salihović</v>
      </c>
    </row>
    <row r="182" spans="1:116" ht="13.2" x14ac:dyDescent="0.25">
      <c r="A182" t="str">
        <f ca="1">IFERROR(__xludf.DUMMYFUNCTION("""COMPUTED_VALUE"""),"P0186")</f>
        <v>P0186</v>
      </c>
      <c r="B182" t="str">
        <f ca="1">IFERROR(__xludf.DUMMYFUNCTION("""COMPUTED_VALUE"""),"Iohannes Delbacono")</f>
        <v>Iohannes Delbacono</v>
      </c>
      <c r="D182" t="str">
        <f ca="1">IFERROR(__xludf.DUMMYFUNCTION("""COMPUTED_VALUE"""),"#VALUE!")</f>
        <v>#VALUE!</v>
      </c>
      <c r="E182" t="str">
        <f ca="1">IFERROR(__xludf.DUMMYFUNCTION("""COMPUTED_VALUE"""),"Iohannes")</f>
        <v>Iohannes</v>
      </c>
      <c r="K182" t="str">
        <f ca="1">IFERROR(__xludf.DUMMYFUNCTION("""COMPUTED_VALUE"""),"Delbacono")</f>
        <v>Delbacono</v>
      </c>
      <c r="L182" t="str">
        <f ca="1">IFERROR(__xludf.DUMMYFUNCTION("""COMPUTED_VALUE"""),"Delbacono")</f>
        <v>Delbacono</v>
      </c>
      <c r="S182" t="str">
        <f ca="1">IFERROR(__xludf.DUMMYFUNCTION("""COMPUTED_VALUE"""),"Latin")</f>
        <v>Latin</v>
      </c>
      <c r="T182" t="str">
        <f ca="1">IFERROR(__xludf.DUMMYFUNCTION("""COMPUTED_VALUE"""),"definite")</f>
        <v>definite</v>
      </c>
      <c r="U182" t="str">
        <f ca="1">IFERROR(__xludf.DUMMYFUNCTION("""COMPUTED_VALUE"""),"C2553")</f>
        <v>C2553</v>
      </c>
      <c r="V182" t="str">
        <f ca="1">IFERROR(__xludf.DUMMYFUNCTION("""COMPUTED_VALUE"""),"male")</f>
        <v>male</v>
      </c>
      <c r="Z182" t="str">
        <f ca="1">IFERROR(__xludf.DUMMYFUNCTION("""COMPUTED_VALUE"""),"176, 178")</f>
        <v>176, 178</v>
      </c>
      <c r="AA182" t="str">
        <f ca="1">IFERROR(__xludf.DUMMYFUNCTION("""COMPUTED_VALUE"""),"d")</f>
        <v>d</v>
      </c>
      <c r="AB182" t="str">
        <f ca="1">IFERROR(__xludf.DUMMYFUNCTION("""COMPUTED_VALUE"""),"suspect")</f>
        <v>suspect</v>
      </c>
      <c r="AE182" t="str">
        <f ca="1">IFERROR(__xludf.DUMMYFUNCTION("""COMPUTED_VALUE"""),"#VALUE!")</f>
        <v>#VALUE!</v>
      </c>
      <c r="AF182" t="str">
        <f ca="1">IFERROR(__xludf.DUMMYFUNCTION("""COMPUTED_VALUE"""),"#N/A")</f>
        <v>#N/A</v>
      </c>
      <c r="AG182" t="str">
        <f ca="1">IFERROR(__xludf.DUMMYFUNCTION("""COMPUTED_VALUE"""),"#N/A")</f>
        <v>#N/A</v>
      </c>
      <c r="AI182" t="str">
        <f ca="1">IFERROR(__xludf.DUMMYFUNCTION("""COMPUTED_VALUE"""),"#VALUE!")</f>
        <v>#VALUE!</v>
      </c>
      <c r="AK182" t="str">
        <f ca="1">IFERROR(__xludf.DUMMYFUNCTION("""COMPUTED_VALUE"""),"#VALUE!")</f>
        <v>#VALUE!</v>
      </c>
      <c r="AM182" t="str">
        <f ca="1">IFERROR(__xludf.DUMMYFUNCTION("""COMPUTED_VALUE"""),"#VALUE!")</f>
        <v>#VALUE!</v>
      </c>
      <c r="AO182" t="str">
        <f ca="1">IFERROR(__xludf.DUMMYFUNCTION("""COMPUTED_VALUE"""),"#VALUE!")</f>
        <v>#VALUE!</v>
      </c>
      <c r="AQ182" t="str">
        <f ca="1">IFERROR(__xludf.DUMMYFUNCTION("""COMPUTED_VALUE"""),"#VALUE!")</f>
        <v>#VALUE!</v>
      </c>
      <c r="AS182" t="str">
        <f ca="1">IFERROR(__xludf.DUMMYFUNCTION("""COMPUTED_VALUE"""),"#VALUE!")</f>
        <v>#VALUE!</v>
      </c>
      <c r="AU182" t="str">
        <f ca="1">IFERROR(__xludf.DUMMYFUNCTION("""COMPUTED_VALUE"""),"#VALUE!")</f>
        <v>#VALUE!</v>
      </c>
      <c r="AW182" t="str">
        <f ca="1">IFERROR(__xludf.DUMMYFUNCTION("""COMPUTED_VALUE"""),"#VALUE!")</f>
        <v>#VALUE!</v>
      </c>
      <c r="AY182" t="str">
        <f ca="1">IFERROR(__xludf.DUMMYFUNCTION("""COMPUTED_VALUE"""),"#VALUE!")</f>
        <v>#VALUE!</v>
      </c>
      <c r="BA182" t="str">
        <f ca="1">IFERROR(__xludf.DUMMYFUNCTION("""COMPUTED_VALUE"""),"#VALUE!")</f>
        <v>#VALUE!</v>
      </c>
      <c r="BC182" t="str">
        <f ca="1">IFERROR(__xludf.DUMMYFUNCTION("""COMPUTED_VALUE"""),"#VALUE!")</f>
        <v>#VALUE!</v>
      </c>
      <c r="BE182" t="str">
        <f ca="1">IFERROR(__xludf.DUMMYFUNCTION("""COMPUTED_VALUE"""),"#VALUE!")</f>
        <v>#VALUE!</v>
      </c>
      <c r="BG182" t="str">
        <f ca="1">IFERROR(__xludf.DUMMYFUNCTION("""COMPUTED_VALUE"""),"#VALUE!")</f>
        <v>#VALUE!</v>
      </c>
      <c r="BI182" t="str">
        <f ca="1">IFERROR(__xludf.DUMMYFUNCTION("""COMPUTED_VALUE"""),"#VALUE!")</f>
        <v>#VALUE!</v>
      </c>
      <c r="BK182" t="str">
        <f ca="1">IFERROR(__xludf.DUMMYFUNCTION("""COMPUTED_VALUE"""),"#VALUE!")</f>
        <v>#VALUE!</v>
      </c>
      <c r="BM182" t="str">
        <f ca="1">IFERROR(__xludf.DUMMYFUNCTION("""COMPUTED_VALUE"""),"#VALUE!")</f>
        <v>#VALUE!</v>
      </c>
      <c r="BO182" t="str">
        <f ca="1">IFERROR(__xludf.DUMMYFUNCTION("""COMPUTED_VALUE"""),"#VALUE!")</f>
        <v>#VALUE!</v>
      </c>
      <c r="BQ182" t="str">
        <f ca="1">IFERROR(__xludf.DUMMYFUNCTION("""COMPUTED_VALUE"""),"#VALUE!")</f>
        <v>#VALUE!</v>
      </c>
      <c r="BS182" t="str">
        <f ca="1">IFERROR(__xludf.DUMMYFUNCTION("""COMPUTED_VALUE"""),"#VALUE!")</f>
        <v>#VALUE!</v>
      </c>
      <c r="BU182" t="str">
        <f ca="1">IFERROR(__xludf.DUMMYFUNCTION("""COMPUTED_VALUE"""),"#VALUE!")</f>
        <v>#VALUE!</v>
      </c>
      <c r="BW182" t="str">
        <f ca="1">IFERROR(__xludf.DUMMYFUNCTION("""COMPUTED_VALUE"""),"#VALUE!")</f>
        <v>#VALUE!</v>
      </c>
      <c r="BY182" t="str">
        <f ca="1">IFERROR(__xludf.DUMMYFUNCTION("""COMPUTED_VALUE"""),"#VALUE!")</f>
        <v>#VALUE!</v>
      </c>
      <c r="CA182" t="str">
        <f ca="1">IFERROR(__xludf.DUMMYFUNCTION("""COMPUTED_VALUE"""),"#VALUE!")</f>
        <v>#VALUE!</v>
      </c>
      <c r="CC182" t="str">
        <f ca="1">IFERROR(__xludf.DUMMYFUNCTION("""COMPUTED_VALUE"""),"#VALUE!")</f>
        <v>#VALUE!</v>
      </c>
      <c r="CD182" t="str">
        <f ca="1">IFERROR(__xludf.DUMMYFUNCTION("""COMPUTED_VALUE"""),"C3598")</f>
        <v>C3598</v>
      </c>
      <c r="CE182" t="str">
        <f ca="1">IFERROR(__xludf.DUMMYFUNCTION("""COMPUTED_VALUE"""),"location of congregation")</f>
        <v>location of congregation</v>
      </c>
      <c r="CF182" t="str">
        <f ca="1">IFERROR(__xludf.DUMMYFUNCTION("""COMPUTED_VALUE"""),"L0059#L0072")</f>
        <v>L0059#L0072</v>
      </c>
      <c r="CG182" t="str">
        <f ca="1">IFERROR(__xludf.DUMMYFUNCTION("""COMPUTED_VALUE"""),"domus Michaelis Richaudi #domus Merineti Alberia")</f>
        <v>domus Michaelis Richaudi #domus Merineti Alberia</v>
      </c>
      <c r="CI182" t="str">
        <f ca="1">IFERROR(__xludf.DUMMYFUNCTION("""COMPUTED_VALUE"""),"#VALUE!")</f>
        <v>#VALUE!</v>
      </c>
      <c r="CK182" t="str">
        <f ca="1">IFERROR(__xludf.DUMMYFUNCTION("""COMPUTED_VALUE"""),"#VALUE!")</f>
        <v>#VALUE!</v>
      </c>
      <c r="CS182" t="str">
        <f ca="1">IFERROR(__xludf.DUMMYFUNCTION("""COMPUTED_VALUE"""),"#VALUE!")</f>
        <v>#VALUE!</v>
      </c>
      <c r="CU182" t="str">
        <f ca="1">IFERROR(__xludf.DUMMYFUNCTION("""COMPUTED_VALUE"""),"#VALUE!")</f>
        <v>#VALUE!</v>
      </c>
      <c r="CW182" t="str">
        <f ca="1">IFERROR(__xludf.DUMMYFUNCTION("""COMPUTED_VALUE"""),"#VALUE!")</f>
        <v>#VALUE!</v>
      </c>
      <c r="CX182" t="str">
        <f ca="1">IFERROR(__xludf.DUMMYFUNCTION("""COMPUTED_VALUE"""),"C3197")</f>
        <v>C3197</v>
      </c>
      <c r="CY182" t="str">
        <f ca="1">IFERROR(__xludf.DUMMYFUNCTION("""COMPUTED_VALUE"""),"Valdensis")</f>
        <v>Valdensis</v>
      </c>
      <c r="DA182" t="str">
        <f ca="1">IFERROR(__xludf.DUMMYFUNCTION("""COMPUTED_VALUE"""),"dissident minister")</f>
        <v>dissident minister</v>
      </c>
      <c r="DC182" t="str">
        <f ca="1">IFERROR(__xludf.DUMMYFUNCTION("""COMPUTED_VALUE"""),"#VALUE!")</f>
        <v>#VALUE!</v>
      </c>
      <c r="DD182" t="str">
        <f ca="1">IFERROR(__xludf.DUMMYFUNCTION("""COMPUTED_VALUE"""),"C3197")</f>
        <v>C3197</v>
      </c>
      <c r="DE182" t="str">
        <f ca="1">IFERROR(__xludf.DUMMYFUNCTION("""COMPUTED_VALUE"""),"Valdensis")</f>
        <v>Valdensis</v>
      </c>
      <c r="DH182" t="str">
        <f ca="1">IFERROR(__xludf.DUMMYFUNCTION("""COMPUTED_VALUE"""),"L0059#L0072")</f>
        <v>L0059#L0072</v>
      </c>
      <c r="DI182" t="str">
        <f ca="1">IFERROR(__xludf.DUMMYFUNCTION("""COMPUTED_VALUE"""),"domus Michaelis Richaudi #domus Merineti Alberia")</f>
        <v>domus Michaelis Richaudi #domus Merineti Alberia</v>
      </c>
      <c r="DJ182" t="str">
        <f ca="1">IFERROR(__xludf.DUMMYFUNCTION("""COMPUTED_VALUE"""),"domus #domus")</f>
        <v>domus #domus</v>
      </c>
      <c r="DL182" t="str">
        <f ca="1">IFERROR(__xludf.DUMMYFUNCTION("""COMPUTED_VALUE"""),"Davor Salihović")</f>
        <v>Davor Salihović</v>
      </c>
    </row>
    <row r="183" spans="1:116" ht="13.2" x14ac:dyDescent="0.25">
      <c r="A183" t="str">
        <f ca="1">IFERROR(__xludf.DUMMYFUNCTION("""COMPUTED_VALUE"""),"P0187")</f>
        <v>P0187</v>
      </c>
      <c r="B183" t="str">
        <f ca="1">IFERROR(__xludf.DUMMYFUNCTION("""COMPUTED_VALUE"""),"Michael Richaudi")</f>
        <v>Michael Richaudi</v>
      </c>
      <c r="D183" t="str">
        <f ca="1">IFERROR(__xludf.DUMMYFUNCTION("""COMPUTED_VALUE"""),"#VALUE!")</f>
        <v>#VALUE!</v>
      </c>
      <c r="E183" t="str">
        <f ca="1">IFERROR(__xludf.DUMMYFUNCTION("""COMPUTED_VALUE"""),"Michael")</f>
        <v>Michael</v>
      </c>
      <c r="K183" t="str">
        <f ca="1">IFERROR(__xludf.DUMMYFUNCTION("""COMPUTED_VALUE"""),"Richaudi")</f>
        <v>Richaudi</v>
      </c>
      <c r="L183" t="str">
        <f ca="1">IFERROR(__xludf.DUMMYFUNCTION("""COMPUTED_VALUE"""),"Richaudi")</f>
        <v>Richaudi</v>
      </c>
      <c r="S183" t="str">
        <f ca="1">IFERROR(__xludf.DUMMYFUNCTION("""COMPUTED_VALUE"""),"Latin")</f>
        <v>Latin</v>
      </c>
      <c r="T183" t="str">
        <f ca="1">IFERROR(__xludf.DUMMYFUNCTION("""COMPUTED_VALUE"""),"definite")</f>
        <v>definite</v>
      </c>
      <c r="U183" t="str">
        <f ca="1">IFERROR(__xludf.DUMMYFUNCTION("""COMPUTED_VALUE"""),"C2553")</f>
        <v>C2553</v>
      </c>
      <c r="V183" t="str">
        <f ca="1">IFERROR(__xludf.DUMMYFUNCTION("""COMPUTED_VALUE"""),"male")</f>
        <v>male</v>
      </c>
      <c r="Z183" t="str">
        <f ca="1">IFERROR(__xludf.DUMMYFUNCTION("""COMPUTED_VALUE"""),"176")</f>
        <v>176</v>
      </c>
      <c r="AA183" t="str">
        <f ca="1">IFERROR(__xludf.DUMMYFUNCTION("""COMPUTED_VALUE"""),"d")</f>
        <v>d</v>
      </c>
      <c r="AB183" t="str">
        <f ca="1">IFERROR(__xludf.DUMMYFUNCTION("""COMPUTED_VALUE"""),"suspect")</f>
        <v>suspect</v>
      </c>
      <c r="AE183" t="str">
        <f ca="1">IFERROR(__xludf.DUMMYFUNCTION("""COMPUTED_VALUE"""),"#VALUE!")</f>
        <v>#VALUE!</v>
      </c>
      <c r="AF183" t="str">
        <f ca="1">IFERROR(__xludf.DUMMYFUNCTION("""COMPUTED_VALUE"""),"#N/A")</f>
        <v>#N/A</v>
      </c>
      <c r="AG183" t="str">
        <f ca="1">IFERROR(__xludf.DUMMYFUNCTION("""COMPUTED_VALUE"""),"#N/A")</f>
        <v>#N/A</v>
      </c>
      <c r="AH183" t="str">
        <f ca="1">IFERROR(__xludf.DUMMYFUNCTION("""COMPUTED_VALUE"""),"C2336")</f>
        <v>C2336</v>
      </c>
      <c r="AI183" t="str">
        <f ca="1">IFERROR(__xludf.DUMMYFUNCTION("""COMPUTED_VALUE"""),"son")</f>
        <v>son</v>
      </c>
      <c r="AJ183" t="str">
        <f ca="1">IFERROR(__xludf.DUMMYFUNCTION("""COMPUTED_VALUE"""),"P0188")</f>
        <v>P0188</v>
      </c>
      <c r="AK183" t="str">
        <f ca="1">IFERROR(__xludf.DUMMYFUNCTION("""COMPUTED_VALUE"""),"Micheletus, filius Michaelis Richaudi")</f>
        <v>Micheletus, filius Michaelis Richaudi</v>
      </c>
      <c r="AL183" t="str">
        <f ca="1">IFERROR(__xludf.DUMMYFUNCTION("""COMPUTED_VALUE"""),"C2348")</f>
        <v>C2348</v>
      </c>
      <c r="AM183" t="str">
        <f ca="1">IFERROR(__xludf.DUMMYFUNCTION("""COMPUTED_VALUE"""),"wife")</f>
        <v>wife</v>
      </c>
      <c r="AN183" t="str">
        <f ca="1">IFERROR(__xludf.DUMMYFUNCTION("""COMPUTED_VALUE"""),"P0189")</f>
        <v>P0189</v>
      </c>
      <c r="AO183" t="str">
        <f ca="1">IFERROR(__xludf.DUMMYFUNCTION("""COMPUTED_VALUE"""),"uxor Michaelis Richaudi")</f>
        <v>uxor Michaelis Richaudi</v>
      </c>
      <c r="AQ183" t="str">
        <f ca="1">IFERROR(__xludf.DUMMYFUNCTION("""COMPUTED_VALUE"""),"#VALUE!")</f>
        <v>#VALUE!</v>
      </c>
      <c r="AS183" t="str">
        <f ca="1">IFERROR(__xludf.DUMMYFUNCTION("""COMPUTED_VALUE"""),"#VALUE!")</f>
        <v>#VALUE!</v>
      </c>
      <c r="AU183" t="str">
        <f ca="1">IFERROR(__xludf.DUMMYFUNCTION("""COMPUTED_VALUE"""),"#VALUE!")</f>
        <v>#VALUE!</v>
      </c>
      <c r="AW183" t="str">
        <f ca="1">IFERROR(__xludf.DUMMYFUNCTION("""COMPUTED_VALUE"""),"#VALUE!")</f>
        <v>#VALUE!</v>
      </c>
      <c r="AY183" t="str">
        <f ca="1">IFERROR(__xludf.DUMMYFUNCTION("""COMPUTED_VALUE"""),"#VALUE!")</f>
        <v>#VALUE!</v>
      </c>
      <c r="BA183" t="str">
        <f ca="1">IFERROR(__xludf.DUMMYFUNCTION("""COMPUTED_VALUE"""),"#VALUE!")</f>
        <v>#VALUE!</v>
      </c>
      <c r="BC183" t="str">
        <f ca="1">IFERROR(__xludf.DUMMYFUNCTION("""COMPUTED_VALUE"""),"#VALUE!")</f>
        <v>#VALUE!</v>
      </c>
      <c r="BE183" t="str">
        <f ca="1">IFERROR(__xludf.DUMMYFUNCTION("""COMPUTED_VALUE"""),"#VALUE!")</f>
        <v>#VALUE!</v>
      </c>
      <c r="BG183" t="str">
        <f ca="1">IFERROR(__xludf.DUMMYFUNCTION("""COMPUTED_VALUE"""),"#VALUE!")</f>
        <v>#VALUE!</v>
      </c>
      <c r="BI183" t="str">
        <f ca="1">IFERROR(__xludf.DUMMYFUNCTION("""COMPUTED_VALUE"""),"#VALUE!")</f>
        <v>#VALUE!</v>
      </c>
      <c r="BK183" t="str">
        <f ca="1">IFERROR(__xludf.DUMMYFUNCTION("""COMPUTED_VALUE"""),"#VALUE!")</f>
        <v>#VALUE!</v>
      </c>
      <c r="BM183" t="str">
        <f ca="1">IFERROR(__xludf.DUMMYFUNCTION("""COMPUTED_VALUE"""),"#VALUE!")</f>
        <v>#VALUE!</v>
      </c>
      <c r="BO183" t="str">
        <f ca="1">IFERROR(__xludf.DUMMYFUNCTION("""COMPUTED_VALUE"""),"#VALUE!")</f>
        <v>#VALUE!</v>
      </c>
      <c r="BQ183" t="str">
        <f ca="1">IFERROR(__xludf.DUMMYFUNCTION("""COMPUTED_VALUE"""),"#VALUE!")</f>
        <v>#VALUE!</v>
      </c>
      <c r="BS183" t="str">
        <f ca="1">IFERROR(__xludf.DUMMYFUNCTION("""COMPUTED_VALUE"""),"#VALUE!")</f>
        <v>#VALUE!</v>
      </c>
      <c r="BU183" t="str">
        <f ca="1">IFERROR(__xludf.DUMMYFUNCTION("""COMPUTED_VALUE"""),"#VALUE!")</f>
        <v>#VALUE!</v>
      </c>
      <c r="BW183" t="str">
        <f ca="1">IFERROR(__xludf.DUMMYFUNCTION("""COMPUTED_VALUE"""),"#VALUE!")</f>
        <v>#VALUE!</v>
      </c>
      <c r="BY183" t="str">
        <f ca="1">IFERROR(__xludf.DUMMYFUNCTION("""COMPUTED_VALUE"""),"#VALUE!")</f>
        <v>#VALUE!</v>
      </c>
      <c r="CA183" t="str">
        <f ca="1">IFERROR(__xludf.DUMMYFUNCTION("""COMPUTED_VALUE"""),"#VALUE!")</f>
        <v>#VALUE!</v>
      </c>
      <c r="CC183" t="str">
        <f ca="1">IFERROR(__xludf.DUMMYFUNCTION("""COMPUTED_VALUE"""),"#VALUE!")</f>
        <v>#VALUE!</v>
      </c>
      <c r="CD183" t="str">
        <f ca="1">IFERROR(__xludf.DUMMYFUNCTION("""COMPUTED_VALUE"""),"C3598")</f>
        <v>C3598</v>
      </c>
      <c r="CE183" t="str">
        <f ca="1">IFERROR(__xludf.DUMMYFUNCTION("""COMPUTED_VALUE"""),"location of congregation")</f>
        <v>location of congregation</v>
      </c>
      <c r="CF183" t="str">
        <f ca="1">IFERROR(__xludf.DUMMYFUNCTION("""COMPUTED_VALUE"""),"L0059")</f>
        <v>L0059</v>
      </c>
      <c r="CG183" t="str">
        <f ca="1">IFERROR(__xludf.DUMMYFUNCTION("""COMPUTED_VALUE"""),"domus Michaelis Richaudi")</f>
        <v>domus Michaelis Richaudi</v>
      </c>
      <c r="CI183" t="str">
        <f ca="1">IFERROR(__xludf.DUMMYFUNCTION("""COMPUTED_VALUE"""),"#VALUE!")</f>
        <v>#VALUE!</v>
      </c>
      <c r="CK183" t="str">
        <f ca="1">IFERROR(__xludf.DUMMYFUNCTION("""COMPUTED_VALUE"""),"#VALUE!")</f>
        <v>#VALUE!</v>
      </c>
      <c r="CS183" t="str">
        <f ca="1">IFERROR(__xludf.DUMMYFUNCTION("""COMPUTED_VALUE"""),"#VALUE!")</f>
        <v>#VALUE!</v>
      </c>
      <c r="CU183" t="str">
        <f ca="1">IFERROR(__xludf.DUMMYFUNCTION("""COMPUTED_VALUE"""),"#VALUE!")</f>
        <v>#VALUE!</v>
      </c>
      <c r="CV183" t="str">
        <f ca="1">IFERROR(__xludf.DUMMYFUNCTION("""COMPUTED_VALUE"""),"L0058")</f>
        <v>L0058</v>
      </c>
      <c r="CW183" t="str">
        <f ca="1">IFERROR(__xludf.DUMMYFUNCTION("""COMPUTED_VALUE"""),"Usseaux")</f>
        <v>Usseaux</v>
      </c>
      <c r="CY183" t="str">
        <f ca="1">IFERROR(__xludf.DUMMYFUNCTION("""COMPUTED_VALUE"""),"#VALUE!")</f>
        <v>#VALUE!</v>
      </c>
      <c r="DC183" t="str">
        <f ca="1">IFERROR(__xludf.DUMMYFUNCTION("""COMPUTED_VALUE"""),"#VALUE!")</f>
        <v>#VALUE!</v>
      </c>
      <c r="DE183" t="str">
        <f ca="1">IFERROR(__xludf.DUMMYFUNCTION("""COMPUTED_VALUE"""),"#VALUE!")</f>
        <v>#VALUE!</v>
      </c>
      <c r="DH183" t="str">
        <f ca="1">IFERROR(__xludf.DUMMYFUNCTION("""COMPUTED_VALUE"""),"L0059")</f>
        <v>L0059</v>
      </c>
      <c r="DI183" t="str">
        <f ca="1">IFERROR(__xludf.DUMMYFUNCTION("""COMPUTED_VALUE"""),"domus Michaelis Richaudi")</f>
        <v>domus Michaelis Richaudi</v>
      </c>
      <c r="DJ183" t="str">
        <f ca="1">IFERROR(__xludf.DUMMYFUNCTION("""COMPUTED_VALUE"""),"domus")</f>
        <v>domus</v>
      </c>
      <c r="DL183" t="str">
        <f ca="1">IFERROR(__xludf.DUMMYFUNCTION("""COMPUTED_VALUE"""),"Davor Salihović")</f>
        <v>Davor Salihović</v>
      </c>
    </row>
    <row r="184" spans="1:116" ht="13.2" x14ac:dyDescent="0.25">
      <c r="A184" t="str">
        <f ca="1">IFERROR(__xludf.DUMMYFUNCTION("""COMPUTED_VALUE"""),"P0188")</f>
        <v>P0188</v>
      </c>
      <c r="B184" t="str">
        <f ca="1">IFERROR(__xludf.DUMMYFUNCTION("""COMPUTED_VALUE"""),"Micheletus, filius Michaelis Richaudi")</f>
        <v>Micheletus, filius Michaelis Richaudi</v>
      </c>
      <c r="D184" t="str">
        <f ca="1">IFERROR(__xludf.DUMMYFUNCTION("""COMPUTED_VALUE"""),"#VALUE!")</f>
        <v>#VALUE!</v>
      </c>
      <c r="E184" t="str">
        <f ca="1">IFERROR(__xludf.DUMMYFUNCTION("""COMPUTED_VALUE"""),"Micheletus")</f>
        <v>Micheletus</v>
      </c>
      <c r="Q184" t="str">
        <f ca="1">IFERROR(__xludf.DUMMYFUNCTION("""COMPUTED_VALUE"""),"filius Michaelis Richaudi")</f>
        <v>filius Michaelis Richaudi</v>
      </c>
      <c r="S184" t="str">
        <f ca="1">IFERROR(__xludf.DUMMYFUNCTION("""COMPUTED_VALUE"""),"Latin")</f>
        <v>Latin</v>
      </c>
      <c r="T184" t="str">
        <f ca="1">IFERROR(__xludf.DUMMYFUNCTION("""COMPUTED_VALUE"""),"definite")</f>
        <v>definite</v>
      </c>
      <c r="U184" t="str">
        <f ca="1">IFERROR(__xludf.DUMMYFUNCTION("""COMPUTED_VALUE"""),"C2553")</f>
        <v>C2553</v>
      </c>
      <c r="V184" t="str">
        <f ca="1">IFERROR(__xludf.DUMMYFUNCTION("""COMPUTED_VALUE"""),"male")</f>
        <v>male</v>
      </c>
      <c r="Z184" t="str">
        <f ca="1">IFERROR(__xludf.DUMMYFUNCTION("""COMPUTED_VALUE"""),"176")</f>
        <v>176</v>
      </c>
      <c r="AA184" t="str">
        <f ca="1">IFERROR(__xludf.DUMMYFUNCTION("""COMPUTED_VALUE"""),"d")</f>
        <v>d</v>
      </c>
      <c r="AB184" t="str">
        <f ca="1">IFERROR(__xludf.DUMMYFUNCTION("""COMPUTED_VALUE"""),"suspect")</f>
        <v>suspect</v>
      </c>
      <c r="AE184" t="str">
        <f ca="1">IFERROR(__xludf.DUMMYFUNCTION("""COMPUTED_VALUE"""),"#VALUE!")</f>
        <v>#VALUE!</v>
      </c>
      <c r="AF184" t="str">
        <f ca="1">IFERROR(__xludf.DUMMYFUNCTION("""COMPUTED_VALUE"""),"#N/A")</f>
        <v>#N/A</v>
      </c>
      <c r="AG184" t="str">
        <f ca="1">IFERROR(__xludf.DUMMYFUNCTION("""COMPUTED_VALUE"""),"#N/A")</f>
        <v>#N/A</v>
      </c>
      <c r="AI184" t="str">
        <f ca="1">IFERROR(__xludf.DUMMYFUNCTION("""COMPUTED_VALUE"""),"#VALUE!")</f>
        <v>#VALUE!</v>
      </c>
      <c r="AK184" t="str">
        <f ca="1">IFERROR(__xludf.DUMMYFUNCTION("""COMPUTED_VALUE"""),"#VALUE!")</f>
        <v>#VALUE!</v>
      </c>
      <c r="AM184" t="str">
        <f ca="1">IFERROR(__xludf.DUMMYFUNCTION("""COMPUTED_VALUE"""),"#VALUE!")</f>
        <v>#VALUE!</v>
      </c>
      <c r="AO184" t="str">
        <f ca="1">IFERROR(__xludf.DUMMYFUNCTION("""COMPUTED_VALUE"""),"#VALUE!")</f>
        <v>#VALUE!</v>
      </c>
      <c r="AQ184" t="str">
        <f ca="1">IFERROR(__xludf.DUMMYFUNCTION("""COMPUTED_VALUE"""),"#VALUE!")</f>
        <v>#VALUE!</v>
      </c>
      <c r="AS184" t="str">
        <f ca="1">IFERROR(__xludf.DUMMYFUNCTION("""COMPUTED_VALUE"""),"#VALUE!")</f>
        <v>#VALUE!</v>
      </c>
      <c r="AU184" t="str">
        <f ca="1">IFERROR(__xludf.DUMMYFUNCTION("""COMPUTED_VALUE"""),"#VALUE!")</f>
        <v>#VALUE!</v>
      </c>
      <c r="AW184" t="str">
        <f ca="1">IFERROR(__xludf.DUMMYFUNCTION("""COMPUTED_VALUE"""),"#VALUE!")</f>
        <v>#VALUE!</v>
      </c>
      <c r="AY184" t="str">
        <f ca="1">IFERROR(__xludf.DUMMYFUNCTION("""COMPUTED_VALUE"""),"#VALUE!")</f>
        <v>#VALUE!</v>
      </c>
      <c r="BA184" t="str">
        <f ca="1">IFERROR(__xludf.DUMMYFUNCTION("""COMPUTED_VALUE"""),"#VALUE!")</f>
        <v>#VALUE!</v>
      </c>
      <c r="BC184" t="str">
        <f ca="1">IFERROR(__xludf.DUMMYFUNCTION("""COMPUTED_VALUE"""),"#VALUE!")</f>
        <v>#VALUE!</v>
      </c>
      <c r="BE184" t="str">
        <f ca="1">IFERROR(__xludf.DUMMYFUNCTION("""COMPUTED_VALUE"""),"#VALUE!")</f>
        <v>#VALUE!</v>
      </c>
      <c r="BG184" t="str">
        <f ca="1">IFERROR(__xludf.DUMMYFUNCTION("""COMPUTED_VALUE"""),"#VALUE!")</f>
        <v>#VALUE!</v>
      </c>
      <c r="BI184" t="str">
        <f ca="1">IFERROR(__xludf.DUMMYFUNCTION("""COMPUTED_VALUE"""),"#VALUE!")</f>
        <v>#VALUE!</v>
      </c>
      <c r="BK184" t="str">
        <f ca="1">IFERROR(__xludf.DUMMYFUNCTION("""COMPUTED_VALUE"""),"#VALUE!")</f>
        <v>#VALUE!</v>
      </c>
      <c r="BM184" t="str">
        <f ca="1">IFERROR(__xludf.DUMMYFUNCTION("""COMPUTED_VALUE"""),"#VALUE!")</f>
        <v>#VALUE!</v>
      </c>
      <c r="BO184" t="str">
        <f ca="1">IFERROR(__xludf.DUMMYFUNCTION("""COMPUTED_VALUE"""),"#VALUE!")</f>
        <v>#VALUE!</v>
      </c>
      <c r="BQ184" t="str">
        <f ca="1">IFERROR(__xludf.DUMMYFUNCTION("""COMPUTED_VALUE"""),"#VALUE!")</f>
        <v>#VALUE!</v>
      </c>
      <c r="BS184" t="str">
        <f ca="1">IFERROR(__xludf.DUMMYFUNCTION("""COMPUTED_VALUE"""),"#VALUE!")</f>
        <v>#VALUE!</v>
      </c>
      <c r="BU184" t="str">
        <f ca="1">IFERROR(__xludf.DUMMYFUNCTION("""COMPUTED_VALUE"""),"#VALUE!")</f>
        <v>#VALUE!</v>
      </c>
      <c r="BW184" t="str">
        <f ca="1">IFERROR(__xludf.DUMMYFUNCTION("""COMPUTED_VALUE"""),"#VALUE!")</f>
        <v>#VALUE!</v>
      </c>
      <c r="BY184" t="str">
        <f ca="1">IFERROR(__xludf.DUMMYFUNCTION("""COMPUTED_VALUE"""),"#VALUE!")</f>
        <v>#VALUE!</v>
      </c>
      <c r="CA184" t="str">
        <f ca="1">IFERROR(__xludf.DUMMYFUNCTION("""COMPUTED_VALUE"""),"#VALUE!")</f>
        <v>#VALUE!</v>
      </c>
      <c r="CC184" t="str">
        <f ca="1">IFERROR(__xludf.DUMMYFUNCTION("""COMPUTED_VALUE"""),"#VALUE!")</f>
        <v>#VALUE!</v>
      </c>
      <c r="CD184" t="str">
        <f ca="1">IFERROR(__xludf.DUMMYFUNCTION("""COMPUTED_VALUE"""),"C3598")</f>
        <v>C3598</v>
      </c>
      <c r="CE184" t="str">
        <f ca="1">IFERROR(__xludf.DUMMYFUNCTION("""COMPUTED_VALUE"""),"location of congregation")</f>
        <v>location of congregation</v>
      </c>
      <c r="CF184" t="str">
        <f ca="1">IFERROR(__xludf.DUMMYFUNCTION("""COMPUTED_VALUE"""),"L0059")</f>
        <v>L0059</v>
      </c>
      <c r="CG184" t="str">
        <f ca="1">IFERROR(__xludf.DUMMYFUNCTION("""COMPUTED_VALUE"""),"domus Michaelis Richaudi")</f>
        <v>domus Michaelis Richaudi</v>
      </c>
      <c r="CI184" t="str">
        <f ca="1">IFERROR(__xludf.DUMMYFUNCTION("""COMPUTED_VALUE"""),"#VALUE!")</f>
        <v>#VALUE!</v>
      </c>
      <c r="CK184" t="str">
        <f ca="1">IFERROR(__xludf.DUMMYFUNCTION("""COMPUTED_VALUE"""),"#VALUE!")</f>
        <v>#VALUE!</v>
      </c>
      <c r="CS184" t="str">
        <f ca="1">IFERROR(__xludf.DUMMYFUNCTION("""COMPUTED_VALUE"""),"#VALUE!")</f>
        <v>#VALUE!</v>
      </c>
      <c r="CU184" t="str">
        <f ca="1">IFERROR(__xludf.DUMMYFUNCTION("""COMPUTED_VALUE"""),"#VALUE!")</f>
        <v>#VALUE!</v>
      </c>
      <c r="CW184" t="str">
        <f ca="1">IFERROR(__xludf.DUMMYFUNCTION("""COMPUTED_VALUE"""),"#VALUE!")</f>
        <v>#VALUE!</v>
      </c>
      <c r="CY184" t="str">
        <f ca="1">IFERROR(__xludf.DUMMYFUNCTION("""COMPUTED_VALUE"""),"#VALUE!")</f>
        <v>#VALUE!</v>
      </c>
      <c r="DC184" t="str">
        <f ca="1">IFERROR(__xludf.DUMMYFUNCTION("""COMPUTED_VALUE"""),"#VALUE!")</f>
        <v>#VALUE!</v>
      </c>
      <c r="DE184" t="str">
        <f ca="1">IFERROR(__xludf.DUMMYFUNCTION("""COMPUTED_VALUE"""),"#VALUE!")</f>
        <v>#VALUE!</v>
      </c>
      <c r="DH184" t="str">
        <f ca="1">IFERROR(__xludf.DUMMYFUNCTION("""COMPUTED_VALUE"""),"L0059")</f>
        <v>L0059</v>
      </c>
      <c r="DI184" t="str">
        <f ca="1">IFERROR(__xludf.DUMMYFUNCTION("""COMPUTED_VALUE"""),"domus Michaelis Richaudi")</f>
        <v>domus Michaelis Richaudi</v>
      </c>
      <c r="DJ184" t="str">
        <f ca="1">IFERROR(__xludf.DUMMYFUNCTION("""COMPUTED_VALUE"""),"domus")</f>
        <v>domus</v>
      </c>
      <c r="DL184" t="str">
        <f ca="1">IFERROR(__xludf.DUMMYFUNCTION("""COMPUTED_VALUE"""),"Davor Salihović")</f>
        <v>Davor Salihović</v>
      </c>
    </row>
    <row r="185" spans="1:116" ht="13.2" x14ac:dyDescent="0.25">
      <c r="A185" t="str">
        <f ca="1">IFERROR(__xludf.DUMMYFUNCTION("""COMPUTED_VALUE"""),"P0189")</f>
        <v>P0189</v>
      </c>
      <c r="B185" t="str">
        <f ca="1">IFERROR(__xludf.DUMMYFUNCTION("""COMPUTED_VALUE"""),"uxor Michaelis Richaudi")</f>
        <v>uxor Michaelis Richaudi</v>
      </c>
      <c r="D185" t="str">
        <f ca="1">IFERROR(__xludf.DUMMYFUNCTION("""COMPUTED_VALUE"""),"#VALUE!")</f>
        <v>#VALUE!</v>
      </c>
      <c r="E185" t="str">
        <f ca="1">IFERROR(__xludf.DUMMYFUNCTION("""COMPUTED_VALUE"""),"uxor Michaelis Richaudi")</f>
        <v>uxor Michaelis Richaudi</v>
      </c>
      <c r="Q185" t="str">
        <f ca="1">IFERROR(__xludf.DUMMYFUNCTION("""COMPUTED_VALUE"""),"uxor Michaelis Richaudi")</f>
        <v>uxor Michaelis Richaudi</v>
      </c>
      <c r="S185" t="str">
        <f ca="1">IFERROR(__xludf.DUMMYFUNCTION("""COMPUTED_VALUE"""),"Latin")</f>
        <v>Latin</v>
      </c>
      <c r="T185" t="str">
        <f ca="1">IFERROR(__xludf.DUMMYFUNCTION("""COMPUTED_VALUE"""),"indefinite")</f>
        <v>indefinite</v>
      </c>
      <c r="U185" t="str">
        <f ca="1">IFERROR(__xludf.DUMMYFUNCTION("""COMPUTED_VALUE"""),"C2552")</f>
        <v>C2552</v>
      </c>
      <c r="V185" t="str">
        <f ca="1">IFERROR(__xludf.DUMMYFUNCTION("""COMPUTED_VALUE"""),"female")</f>
        <v>female</v>
      </c>
      <c r="Z185" t="str">
        <f ca="1">IFERROR(__xludf.DUMMYFUNCTION("""COMPUTED_VALUE"""),"176")</f>
        <v>176</v>
      </c>
      <c r="AA185" t="str">
        <f ca="1">IFERROR(__xludf.DUMMYFUNCTION("""COMPUTED_VALUE"""),"d")</f>
        <v>d</v>
      </c>
      <c r="AB185" t="str">
        <f ca="1">IFERROR(__xludf.DUMMYFUNCTION("""COMPUTED_VALUE"""),"suspect")</f>
        <v>suspect</v>
      </c>
      <c r="AE185" t="str">
        <f ca="1">IFERROR(__xludf.DUMMYFUNCTION("""COMPUTED_VALUE"""),"#VALUE!")</f>
        <v>#VALUE!</v>
      </c>
      <c r="AF185" t="str">
        <f ca="1">IFERROR(__xludf.DUMMYFUNCTION("""COMPUTED_VALUE"""),"#N/A")</f>
        <v>#N/A</v>
      </c>
      <c r="AG185" t="str">
        <f ca="1">IFERROR(__xludf.DUMMYFUNCTION("""COMPUTED_VALUE"""),"#N/A")</f>
        <v>#N/A</v>
      </c>
      <c r="AH185" t="str">
        <f ca="1">IFERROR(__xludf.DUMMYFUNCTION("""COMPUTED_VALUE"""),"C2336")</f>
        <v>C2336</v>
      </c>
      <c r="AI185" t="str">
        <f ca="1">IFERROR(__xludf.DUMMYFUNCTION("""COMPUTED_VALUE"""),"son")</f>
        <v>son</v>
      </c>
      <c r="AJ185" t="str">
        <f ca="1">IFERROR(__xludf.DUMMYFUNCTION("""COMPUTED_VALUE"""),"P0188")</f>
        <v>P0188</v>
      </c>
      <c r="AK185" t="str">
        <f ca="1">IFERROR(__xludf.DUMMYFUNCTION("""COMPUTED_VALUE"""),"Micheletus, filius Michaelis Richaudi")</f>
        <v>Micheletus, filius Michaelis Richaudi</v>
      </c>
      <c r="AM185" t="str">
        <f ca="1">IFERROR(__xludf.DUMMYFUNCTION("""COMPUTED_VALUE"""),"#VALUE!")</f>
        <v>#VALUE!</v>
      </c>
      <c r="AO185" t="str">
        <f ca="1">IFERROR(__xludf.DUMMYFUNCTION("""COMPUTED_VALUE"""),"#VALUE!")</f>
        <v>#VALUE!</v>
      </c>
      <c r="AQ185" t="str">
        <f ca="1">IFERROR(__xludf.DUMMYFUNCTION("""COMPUTED_VALUE"""),"#VALUE!")</f>
        <v>#VALUE!</v>
      </c>
      <c r="AS185" t="str">
        <f ca="1">IFERROR(__xludf.DUMMYFUNCTION("""COMPUTED_VALUE"""),"#VALUE!")</f>
        <v>#VALUE!</v>
      </c>
      <c r="AU185" t="str">
        <f ca="1">IFERROR(__xludf.DUMMYFUNCTION("""COMPUTED_VALUE"""),"#VALUE!")</f>
        <v>#VALUE!</v>
      </c>
      <c r="AW185" t="str">
        <f ca="1">IFERROR(__xludf.DUMMYFUNCTION("""COMPUTED_VALUE"""),"#VALUE!")</f>
        <v>#VALUE!</v>
      </c>
      <c r="AY185" t="str">
        <f ca="1">IFERROR(__xludf.DUMMYFUNCTION("""COMPUTED_VALUE"""),"#VALUE!")</f>
        <v>#VALUE!</v>
      </c>
      <c r="BA185" t="str">
        <f ca="1">IFERROR(__xludf.DUMMYFUNCTION("""COMPUTED_VALUE"""),"#VALUE!")</f>
        <v>#VALUE!</v>
      </c>
      <c r="BC185" t="str">
        <f ca="1">IFERROR(__xludf.DUMMYFUNCTION("""COMPUTED_VALUE"""),"#VALUE!")</f>
        <v>#VALUE!</v>
      </c>
      <c r="BE185" t="str">
        <f ca="1">IFERROR(__xludf.DUMMYFUNCTION("""COMPUTED_VALUE"""),"#VALUE!")</f>
        <v>#VALUE!</v>
      </c>
      <c r="BG185" t="str">
        <f ca="1">IFERROR(__xludf.DUMMYFUNCTION("""COMPUTED_VALUE"""),"#VALUE!")</f>
        <v>#VALUE!</v>
      </c>
      <c r="BI185" t="str">
        <f ca="1">IFERROR(__xludf.DUMMYFUNCTION("""COMPUTED_VALUE"""),"#VALUE!")</f>
        <v>#VALUE!</v>
      </c>
      <c r="BK185" t="str">
        <f ca="1">IFERROR(__xludf.DUMMYFUNCTION("""COMPUTED_VALUE"""),"#VALUE!")</f>
        <v>#VALUE!</v>
      </c>
      <c r="BM185" t="str">
        <f ca="1">IFERROR(__xludf.DUMMYFUNCTION("""COMPUTED_VALUE"""),"#VALUE!")</f>
        <v>#VALUE!</v>
      </c>
      <c r="BO185" t="str">
        <f ca="1">IFERROR(__xludf.DUMMYFUNCTION("""COMPUTED_VALUE"""),"#VALUE!")</f>
        <v>#VALUE!</v>
      </c>
      <c r="BQ185" t="str">
        <f ca="1">IFERROR(__xludf.DUMMYFUNCTION("""COMPUTED_VALUE"""),"#VALUE!")</f>
        <v>#VALUE!</v>
      </c>
      <c r="BS185" t="str">
        <f ca="1">IFERROR(__xludf.DUMMYFUNCTION("""COMPUTED_VALUE"""),"#VALUE!")</f>
        <v>#VALUE!</v>
      </c>
      <c r="BU185" t="str">
        <f ca="1">IFERROR(__xludf.DUMMYFUNCTION("""COMPUTED_VALUE"""),"#VALUE!")</f>
        <v>#VALUE!</v>
      </c>
      <c r="BW185" t="str">
        <f ca="1">IFERROR(__xludf.DUMMYFUNCTION("""COMPUTED_VALUE"""),"#VALUE!")</f>
        <v>#VALUE!</v>
      </c>
      <c r="BY185" t="str">
        <f ca="1">IFERROR(__xludf.DUMMYFUNCTION("""COMPUTED_VALUE"""),"#VALUE!")</f>
        <v>#VALUE!</v>
      </c>
      <c r="CA185" t="str">
        <f ca="1">IFERROR(__xludf.DUMMYFUNCTION("""COMPUTED_VALUE"""),"#VALUE!")</f>
        <v>#VALUE!</v>
      </c>
      <c r="CC185" t="str">
        <f ca="1">IFERROR(__xludf.DUMMYFUNCTION("""COMPUTED_VALUE"""),"#VALUE!")</f>
        <v>#VALUE!</v>
      </c>
      <c r="CD185" t="str">
        <f ca="1">IFERROR(__xludf.DUMMYFUNCTION("""COMPUTED_VALUE"""),"C3598")</f>
        <v>C3598</v>
      </c>
      <c r="CE185" t="str">
        <f ca="1">IFERROR(__xludf.DUMMYFUNCTION("""COMPUTED_VALUE"""),"location of congregation")</f>
        <v>location of congregation</v>
      </c>
      <c r="CF185" t="str">
        <f ca="1">IFERROR(__xludf.DUMMYFUNCTION("""COMPUTED_VALUE"""),"L0059")</f>
        <v>L0059</v>
      </c>
      <c r="CG185" t="str">
        <f ca="1">IFERROR(__xludf.DUMMYFUNCTION("""COMPUTED_VALUE"""),"domus Michaelis Richaudi")</f>
        <v>domus Michaelis Richaudi</v>
      </c>
      <c r="CI185" t="str">
        <f ca="1">IFERROR(__xludf.DUMMYFUNCTION("""COMPUTED_VALUE"""),"#VALUE!")</f>
        <v>#VALUE!</v>
      </c>
      <c r="CK185" t="str">
        <f ca="1">IFERROR(__xludf.DUMMYFUNCTION("""COMPUTED_VALUE"""),"#VALUE!")</f>
        <v>#VALUE!</v>
      </c>
      <c r="CS185" t="str">
        <f ca="1">IFERROR(__xludf.DUMMYFUNCTION("""COMPUTED_VALUE"""),"#VALUE!")</f>
        <v>#VALUE!</v>
      </c>
      <c r="CU185" t="str">
        <f ca="1">IFERROR(__xludf.DUMMYFUNCTION("""COMPUTED_VALUE"""),"#VALUE!")</f>
        <v>#VALUE!</v>
      </c>
      <c r="CV185" t="str">
        <f ca="1">IFERROR(__xludf.DUMMYFUNCTION("""COMPUTED_VALUE"""),"L0058")</f>
        <v>L0058</v>
      </c>
      <c r="CW185" t="str">
        <f ca="1">IFERROR(__xludf.DUMMYFUNCTION("""COMPUTED_VALUE"""),"Usseaux")</f>
        <v>Usseaux</v>
      </c>
      <c r="CY185" t="str">
        <f ca="1">IFERROR(__xludf.DUMMYFUNCTION("""COMPUTED_VALUE"""),"#VALUE!")</f>
        <v>#VALUE!</v>
      </c>
      <c r="DC185" t="str">
        <f ca="1">IFERROR(__xludf.DUMMYFUNCTION("""COMPUTED_VALUE"""),"#VALUE!")</f>
        <v>#VALUE!</v>
      </c>
      <c r="DE185" t="str">
        <f ca="1">IFERROR(__xludf.DUMMYFUNCTION("""COMPUTED_VALUE"""),"#VALUE!")</f>
        <v>#VALUE!</v>
      </c>
      <c r="DH185" t="str">
        <f ca="1">IFERROR(__xludf.DUMMYFUNCTION("""COMPUTED_VALUE"""),"L0059")</f>
        <v>L0059</v>
      </c>
      <c r="DI185" t="str">
        <f ca="1">IFERROR(__xludf.DUMMYFUNCTION("""COMPUTED_VALUE"""),"domus Michaelis Richaudi")</f>
        <v>domus Michaelis Richaudi</v>
      </c>
      <c r="DJ185" t="str">
        <f ca="1">IFERROR(__xludf.DUMMYFUNCTION("""COMPUTED_VALUE"""),"domus")</f>
        <v>domus</v>
      </c>
      <c r="DL185" t="str">
        <f ca="1">IFERROR(__xludf.DUMMYFUNCTION("""COMPUTED_VALUE"""),"Davor Salihović")</f>
        <v>Davor Salihović</v>
      </c>
    </row>
    <row r="186" spans="1:116" ht="13.2" x14ac:dyDescent="0.25">
      <c r="A186" t="str">
        <f ca="1">IFERROR(__xludf.DUMMYFUNCTION("""COMPUTED_VALUE"""),"P0190")</f>
        <v>P0190</v>
      </c>
      <c r="B186" t="str">
        <f ca="1">IFERROR(__xludf.DUMMYFUNCTION("""COMPUTED_VALUE"""),"Iohannes Valenconus")</f>
        <v>Iohannes Valenconus</v>
      </c>
      <c r="D186" t="str">
        <f ca="1">IFERROR(__xludf.DUMMYFUNCTION("""COMPUTED_VALUE"""),"#VALUE!")</f>
        <v>#VALUE!</v>
      </c>
      <c r="E186" t="str">
        <f ca="1">IFERROR(__xludf.DUMMYFUNCTION("""COMPUTED_VALUE"""),"Iohannes")</f>
        <v>Iohannes</v>
      </c>
      <c r="K186" t="str">
        <f ca="1">IFERROR(__xludf.DUMMYFUNCTION("""COMPUTED_VALUE"""),"Valenconus")</f>
        <v>Valenconus</v>
      </c>
      <c r="L186" t="str">
        <f ca="1">IFERROR(__xludf.DUMMYFUNCTION("""COMPUTED_VALUE"""),"Valenconus")</f>
        <v>Valenconus</v>
      </c>
      <c r="S186" t="str">
        <f ca="1">IFERROR(__xludf.DUMMYFUNCTION("""COMPUTED_VALUE"""),"Latin")</f>
        <v>Latin</v>
      </c>
      <c r="T186" t="str">
        <f ca="1">IFERROR(__xludf.DUMMYFUNCTION("""COMPUTED_VALUE"""),"definite")</f>
        <v>definite</v>
      </c>
      <c r="U186" t="str">
        <f ca="1">IFERROR(__xludf.DUMMYFUNCTION("""COMPUTED_VALUE"""),"C2553")</f>
        <v>C2553</v>
      </c>
      <c r="V186" t="str">
        <f ca="1">IFERROR(__xludf.DUMMYFUNCTION("""COMPUTED_VALUE"""),"male")</f>
        <v>male</v>
      </c>
      <c r="Z186" t="str">
        <f ca="1">IFERROR(__xludf.DUMMYFUNCTION("""COMPUTED_VALUE"""),"176")</f>
        <v>176</v>
      </c>
      <c r="AA186" t="str">
        <f ca="1">IFERROR(__xludf.DUMMYFUNCTION("""COMPUTED_VALUE"""),"d")</f>
        <v>d</v>
      </c>
      <c r="AB186" t="str">
        <f ca="1">IFERROR(__xludf.DUMMYFUNCTION("""COMPUTED_VALUE"""),"suspect")</f>
        <v>suspect</v>
      </c>
      <c r="AE186" t="str">
        <f ca="1">IFERROR(__xludf.DUMMYFUNCTION("""COMPUTED_VALUE"""),"#VALUE!")</f>
        <v>#VALUE!</v>
      </c>
      <c r="AF186" t="str">
        <f ca="1">IFERROR(__xludf.DUMMYFUNCTION("""COMPUTED_VALUE"""),"#N/A")</f>
        <v>#N/A</v>
      </c>
      <c r="AG186" t="str">
        <f ca="1">IFERROR(__xludf.DUMMYFUNCTION("""COMPUTED_VALUE"""),"#N/A")</f>
        <v>#N/A</v>
      </c>
      <c r="AI186" t="str">
        <f ca="1">IFERROR(__xludf.DUMMYFUNCTION("""COMPUTED_VALUE"""),"#VALUE!")</f>
        <v>#VALUE!</v>
      </c>
      <c r="AK186" t="str">
        <f ca="1">IFERROR(__xludf.DUMMYFUNCTION("""COMPUTED_VALUE"""),"#VALUE!")</f>
        <v>#VALUE!</v>
      </c>
      <c r="AM186" t="str">
        <f ca="1">IFERROR(__xludf.DUMMYFUNCTION("""COMPUTED_VALUE"""),"#VALUE!")</f>
        <v>#VALUE!</v>
      </c>
      <c r="AO186" t="str">
        <f ca="1">IFERROR(__xludf.DUMMYFUNCTION("""COMPUTED_VALUE"""),"#VALUE!")</f>
        <v>#VALUE!</v>
      </c>
      <c r="AQ186" t="str">
        <f ca="1">IFERROR(__xludf.DUMMYFUNCTION("""COMPUTED_VALUE"""),"#VALUE!")</f>
        <v>#VALUE!</v>
      </c>
      <c r="AS186" t="str">
        <f ca="1">IFERROR(__xludf.DUMMYFUNCTION("""COMPUTED_VALUE"""),"#VALUE!")</f>
        <v>#VALUE!</v>
      </c>
      <c r="AU186" t="str">
        <f ca="1">IFERROR(__xludf.DUMMYFUNCTION("""COMPUTED_VALUE"""),"#VALUE!")</f>
        <v>#VALUE!</v>
      </c>
      <c r="AW186" t="str">
        <f ca="1">IFERROR(__xludf.DUMMYFUNCTION("""COMPUTED_VALUE"""),"#VALUE!")</f>
        <v>#VALUE!</v>
      </c>
      <c r="AY186" t="str">
        <f ca="1">IFERROR(__xludf.DUMMYFUNCTION("""COMPUTED_VALUE"""),"#VALUE!")</f>
        <v>#VALUE!</v>
      </c>
      <c r="BA186" t="str">
        <f ca="1">IFERROR(__xludf.DUMMYFUNCTION("""COMPUTED_VALUE"""),"#VALUE!")</f>
        <v>#VALUE!</v>
      </c>
      <c r="BC186" t="str">
        <f ca="1">IFERROR(__xludf.DUMMYFUNCTION("""COMPUTED_VALUE"""),"#VALUE!")</f>
        <v>#VALUE!</v>
      </c>
      <c r="BE186" t="str">
        <f ca="1">IFERROR(__xludf.DUMMYFUNCTION("""COMPUTED_VALUE"""),"#VALUE!")</f>
        <v>#VALUE!</v>
      </c>
      <c r="BG186" t="str">
        <f ca="1">IFERROR(__xludf.DUMMYFUNCTION("""COMPUTED_VALUE"""),"#VALUE!")</f>
        <v>#VALUE!</v>
      </c>
      <c r="BI186" t="str">
        <f ca="1">IFERROR(__xludf.DUMMYFUNCTION("""COMPUTED_VALUE"""),"#VALUE!")</f>
        <v>#VALUE!</v>
      </c>
      <c r="BK186" t="str">
        <f ca="1">IFERROR(__xludf.DUMMYFUNCTION("""COMPUTED_VALUE"""),"#VALUE!")</f>
        <v>#VALUE!</v>
      </c>
      <c r="BM186" t="str">
        <f ca="1">IFERROR(__xludf.DUMMYFUNCTION("""COMPUTED_VALUE"""),"#VALUE!")</f>
        <v>#VALUE!</v>
      </c>
      <c r="BO186" t="str">
        <f ca="1">IFERROR(__xludf.DUMMYFUNCTION("""COMPUTED_VALUE"""),"#VALUE!")</f>
        <v>#VALUE!</v>
      </c>
      <c r="BQ186" t="str">
        <f ca="1">IFERROR(__xludf.DUMMYFUNCTION("""COMPUTED_VALUE"""),"#VALUE!")</f>
        <v>#VALUE!</v>
      </c>
      <c r="BS186" t="str">
        <f ca="1">IFERROR(__xludf.DUMMYFUNCTION("""COMPUTED_VALUE"""),"#VALUE!")</f>
        <v>#VALUE!</v>
      </c>
      <c r="BU186" t="str">
        <f ca="1">IFERROR(__xludf.DUMMYFUNCTION("""COMPUTED_VALUE"""),"#VALUE!")</f>
        <v>#VALUE!</v>
      </c>
      <c r="BW186" t="str">
        <f ca="1">IFERROR(__xludf.DUMMYFUNCTION("""COMPUTED_VALUE"""),"#VALUE!")</f>
        <v>#VALUE!</v>
      </c>
      <c r="BY186" t="str">
        <f ca="1">IFERROR(__xludf.DUMMYFUNCTION("""COMPUTED_VALUE"""),"#VALUE!")</f>
        <v>#VALUE!</v>
      </c>
      <c r="CA186" t="str">
        <f ca="1">IFERROR(__xludf.DUMMYFUNCTION("""COMPUTED_VALUE"""),"#VALUE!")</f>
        <v>#VALUE!</v>
      </c>
      <c r="CC186" t="str">
        <f ca="1">IFERROR(__xludf.DUMMYFUNCTION("""COMPUTED_VALUE"""),"#VALUE!")</f>
        <v>#VALUE!</v>
      </c>
      <c r="CD186" t="str">
        <f ca="1">IFERROR(__xludf.DUMMYFUNCTION("""COMPUTED_VALUE"""),"C3598")</f>
        <v>C3598</v>
      </c>
      <c r="CE186" t="str">
        <f ca="1">IFERROR(__xludf.DUMMYFUNCTION("""COMPUTED_VALUE"""),"location of congregation")</f>
        <v>location of congregation</v>
      </c>
      <c r="CF186" t="str">
        <f ca="1">IFERROR(__xludf.DUMMYFUNCTION("""COMPUTED_VALUE"""),"L0060")</f>
        <v>L0060</v>
      </c>
      <c r="CG186" t="str">
        <f ca="1">IFERROR(__xludf.DUMMYFUNCTION("""COMPUTED_VALUE"""),"domus Petri Balbi de Coazze")</f>
        <v>domus Petri Balbi de Coazze</v>
      </c>
      <c r="CI186" t="str">
        <f ca="1">IFERROR(__xludf.DUMMYFUNCTION("""COMPUTED_VALUE"""),"#VALUE!")</f>
        <v>#VALUE!</v>
      </c>
      <c r="CK186" t="str">
        <f ca="1">IFERROR(__xludf.DUMMYFUNCTION("""COMPUTED_VALUE"""),"#VALUE!")</f>
        <v>#VALUE!</v>
      </c>
      <c r="CR186" t="str">
        <f ca="1">IFERROR(__xludf.DUMMYFUNCTION("""COMPUTED_VALUE"""),"L0058")</f>
        <v>L0058</v>
      </c>
      <c r="CS186" t="str">
        <f ca="1">IFERROR(__xludf.DUMMYFUNCTION("""COMPUTED_VALUE"""),"Usseaux")</f>
        <v>Usseaux</v>
      </c>
      <c r="CU186" t="str">
        <f ca="1">IFERROR(__xludf.DUMMYFUNCTION("""COMPUTED_VALUE"""),"#VALUE!")</f>
        <v>#VALUE!</v>
      </c>
      <c r="CW186" t="str">
        <f ca="1">IFERROR(__xludf.DUMMYFUNCTION("""COMPUTED_VALUE"""),"#VALUE!")</f>
        <v>#VALUE!</v>
      </c>
      <c r="CX186" t="str">
        <f ca="1">IFERROR(__xludf.DUMMYFUNCTION("""COMPUTED_VALUE"""),"C3197")</f>
        <v>C3197</v>
      </c>
      <c r="CY186" t="str">
        <f ca="1">IFERROR(__xludf.DUMMYFUNCTION("""COMPUTED_VALUE"""),"Valdensis")</f>
        <v>Valdensis</v>
      </c>
      <c r="DA186" t="str">
        <f ca="1">IFERROR(__xludf.DUMMYFUNCTION("""COMPUTED_VALUE"""),"dissident minister")</f>
        <v>dissident minister</v>
      </c>
      <c r="DC186" t="str">
        <f ca="1">IFERROR(__xludf.DUMMYFUNCTION("""COMPUTED_VALUE"""),"#VALUE!")</f>
        <v>#VALUE!</v>
      </c>
      <c r="DD186" t="str">
        <f ca="1">IFERROR(__xludf.DUMMYFUNCTION("""COMPUTED_VALUE"""),"C3197")</f>
        <v>C3197</v>
      </c>
      <c r="DE186" t="str">
        <f ca="1">IFERROR(__xludf.DUMMYFUNCTION("""COMPUTED_VALUE"""),"Valdensis")</f>
        <v>Valdensis</v>
      </c>
      <c r="DH186" t="str">
        <f ca="1">IFERROR(__xludf.DUMMYFUNCTION("""COMPUTED_VALUE"""),"L0060")</f>
        <v>L0060</v>
      </c>
      <c r="DI186" t="str">
        <f ca="1">IFERROR(__xludf.DUMMYFUNCTION("""COMPUTED_VALUE"""),"domus Petri Balbi de Coazze")</f>
        <v>domus Petri Balbi de Coazze</v>
      </c>
      <c r="DJ186" t="str">
        <f ca="1">IFERROR(__xludf.DUMMYFUNCTION("""COMPUTED_VALUE"""),"domus")</f>
        <v>domus</v>
      </c>
      <c r="DL186" t="str">
        <f ca="1">IFERROR(__xludf.DUMMYFUNCTION("""COMPUTED_VALUE"""),"Davor Salihović")</f>
        <v>Davor Salihović</v>
      </c>
    </row>
    <row r="187" spans="1:116" ht="13.2" x14ac:dyDescent="0.25">
      <c r="A187" t="str">
        <f ca="1">IFERROR(__xludf.DUMMYFUNCTION("""COMPUTED_VALUE"""),"P0191")</f>
        <v>P0191</v>
      </c>
      <c r="B187" t="str">
        <f ca="1">IFERROR(__xludf.DUMMYFUNCTION("""COMPUTED_VALUE"""),"Petrus Balbi junior")</f>
        <v>Petrus Balbi junior</v>
      </c>
      <c r="D187" t="str">
        <f ca="1">IFERROR(__xludf.DUMMYFUNCTION("""COMPUTED_VALUE"""),"#VALUE!")</f>
        <v>#VALUE!</v>
      </c>
      <c r="E187" t="str">
        <f ca="1">IFERROR(__xludf.DUMMYFUNCTION("""COMPUTED_VALUE"""),"Petrus")</f>
        <v>Petrus</v>
      </c>
      <c r="K187" t="str">
        <f ca="1">IFERROR(__xludf.DUMMYFUNCTION("""COMPUTED_VALUE"""),"Balbi")</f>
        <v>Balbi</v>
      </c>
      <c r="L187" t="str">
        <f ca="1">IFERROR(__xludf.DUMMYFUNCTION("""COMPUTED_VALUE"""),"Balbi")</f>
        <v>Balbi</v>
      </c>
      <c r="R187" t="str">
        <f ca="1">IFERROR(__xludf.DUMMYFUNCTION("""COMPUTED_VALUE"""),"junior")</f>
        <v>junior</v>
      </c>
      <c r="S187" t="str">
        <f ca="1">IFERROR(__xludf.DUMMYFUNCTION("""COMPUTED_VALUE"""),"Latin")</f>
        <v>Latin</v>
      </c>
      <c r="T187" t="str">
        <f ca="1">IFERROR(__xludf.DUMMYFUNCTION("""COMPUTED_VALUE"""),"definite")</f>
        <v>definite</v>
      </c>
      <c r="U187" t="str">
        <f ca="1">IFERROR(__xludf.DUMMYFUNCTION("""COMPUTED_VALUE"""),"C2553")</f>
        <v>C2553</v>
      </c>
      <c r="V187" t="str">
        <f ca="1">IFERROR(__xludf.DUMMYFUNCTION("""COMPUTED_VALUE"""),"male")</f>
        <v>male</v>
      </c>
      <c r="Z187" t="str">
        <f ca="1">IFERROR(__xludf.DUMMYFUNCTION("""COMPUTED_VALUE"""),"176, 187, 188")</f>
        <v>176, 187, 188</v>
      </c>
      <c r="AA187" t="str">
        <f ca="1">IFERROR(__xludf.DUMMYFUNCTION("""COMPUTED_VALUE"""),"d")</f>
        <v>d</v>
      </c>
      <c r="AB187" t="str">
        <f ca="1">IFERROR(__xludf.DUMMYFUNCTION("""COMPUTED_VALUE"""),"suspect")</f>
        <v>suspect</v>
      </c>
      <c r="AE187" t="str">
        <f ca="1">IFERROR(__xludf.DUMMYFUNCTION("""COMPUTED_VALUE"""),"#VALUE!")</f>
        <v>#VALUE!</v>
      </c>
      <c r="AF187" t="str">
        <f ca="1">IFERROR(__xludf.DUMMYFUNCTION("""COMPUTED_VALUE"""),"#N/A")</f>
        <v>#N/A</v>
      </c>
      <c r="AG187" t="str">
        <f ca="1">IFERROR(__xludf.DUMMYFUNCTION("""COMPUTED_VALUE"""),"#N/A")</f>
        <v>#N/A</v>
      </c>
      <c r="AH187" t="str">
        <f ca="1">IFERROR(__xludf.DUMMYFUNCTION("""COMPUTED_VALUE"""),"C2348")</f>
        <v>C2348</v>
      </c>
      <c r="AI187" t="str">
        <f ca="1">IFERROR(__xludf.DUMMYFUNCTION("""COMPUTED_VALUE"""),"wife")</f>
        <v>wife</v>
      </c>
      <c r="AJ187" t="str">
        <f ca="1">IFERROR(__xludf.DUMMYFUNCTION("""COMPUTED_VALUE"""),"P0192")</f>
        <v>P0192</v>
      </c>
      <c r="AK187" t="str">
        <f ca="1">IFERROR(__xludf.DUMMYFUNCTION("""COMPUTED_VALUE"""),"Alaysia, uxor Petri Balbi")</f>
        <v>Alaysia, uxor Petri Balbi</v>
      </c>
      <c r="AL187" t="str">
        <f ca="1">IFERROR(__xludf.DUMMYFUNCTION("""COMPUTED_VALUE"""),"C2335")</f>
        <v>C2335</v>
      </c>
      <c r="AM187" t="str">
        <f ca="1">IFERROR(__xludf.DUMMYFUNCTION("""COMPUTED_VALUE"""),"daughter")</f>
        <v>daughter</v>
      </c>
      <c r="AN187" t="str">
        <f ca="1">IFERROR(__xludf.DUMMYFUNCTION("""COMPUTED_VALUE"""),"P0194")</f>
        <v>P0194</v>
      </c>
      <c r="AO187" t="str">
        <f ca="1">IFERROR(__xludf.DUMMYFUNCTION("""COMPUTED_VALUE"""),"filia Petri Balbi")</f>
        <v>filia Petri Balbi</v>
      </c>
      <c r="AP187" t="str">
        <f ca="1">IFERROR(__xludf.DUMMYFUNCTION("""COMPUTED_VALUE"""),"C2347")</f>
        <v>C2347</v>
      </c>
      <c r="AQ187" t="str">
        <f ca="1">IFERROR(__xludf.DUMMYFUNCTION("""COMPUTED_VALUE"""),"sister")</f>
        <v>sister</v>
      </c>
      <c r="AR187" t="str">
        <f ca="1">IFERROR(__xludf.DUMMYFUNCTION("""COMPUTED_VALUE"""),"P0266")</f>
        <v>P0266</v>
      </c>
      <c r="AS187" t="str">
        <f ca="1">IFERROR(__xludf.DUMMYFUNCTION("""COMPUTED_VALUE"""),"Iohanna, uxor Martini Dominici")</f>
        <v>Iohanna, uxor Martini Dominici</v>
      </c>
      <c r="AU187" t="str">
        <f ca="1">IFERROR(__xludf.DUMMYFUNCTION("""COMPUTED_VALUE"""),"#VALUE!")</f>
        <v>#VALUE!</v>
      </c>
      <c r="AW187" t="str">
        <f ca="1">IFERROR(__xludf.DUMMYFUNCTION("""COMPUTED_VALUE"""),"#VALUE!")</f>
        <v>#VALUE!</v>
      </c>
      <c r="AY187" t="str">
        <f ca="1">IFERROR(__xludf.DUMMYFUNCTION("""COMPUTED_VALUE"""),"#VALUE!")</f>
        <v>#VALUE!</v>
      </c>
      <c r="BA187" t="str">
        <f ca="1">IFERROR(__xludf.DUMMYFUNCTION("""COMPUTED_VALUE"""),"#VALUE!")</f>
        <v>#VALUE!</v>
      </c>
      <c r="BC187" t="str">
        <f ca="1">IFERROR(__xludf.DUMMYFUNCTION("""COMPUTED_VALUE"""),"#VALUE!")</f>
        <v>#VALUE!</v>
      </c>
      <c r="BE187" t="str">
        <f ca="1">IFERROR(__xludf.DUMMYFUNCTION("""COMPUTED_VALUE"""),"#VALUE!")</f>
        <v>#VALUE!</v>
      </c>
      <c r="BG187" t="str">
        <f ca="1">IFERROR(__xludf.DUMMYFUNCTION("""COMPUTED_VALUE"""),"#VALUE!")</f>
        <v>#VALUE!</v>
      </c>
      <c r="BI187" t="str">
        <f ca="1">IFERROR(__xludf.DUMMYFUNCTION("""COMPUTED_VALUE"""),"#VALUE!")</f>
        <v>#VALUE!</v>
      </c>
      <c r="BK187" t="str">
        <f ca="1">IFERROR(__xludf.DUMMYFUNCTION("""COMPUTED_VALUE"""),"#VALUE!")</f>
        <v>#VALUE!</v>
      </c>
      <c r="BM187" t="str">
        <f ca="1">IFERROR(__xludf.DUMMYFUNCTION("""COMPUTED_VALUE"""),"#VALUE!")</f>
        <v>#VALUE!</v>
      </c>
      <c r="BO187" t="str">
        <f ca="1">IFERROR(__xludf.DUMMYFUNCTION("""COMPUTED_VALUE"""),"#VALUE!")</f>
        <v>#VALUE!</v>
      </c>
      <c r="BQ187" t="str">
        <f ca="1">IFERROR(__xludf.DUMMYFUNCTION("""COMPUTED_VALUE"""),"#VALUE!")</f>
        <v>#VALUE!</v>
      </c>
      <c r="BS187" t="str">
        <f ca="1">IFERROR(__xludf.DUMMYFUNCTION("""COMPUTED_VALUE"""),"#VALUE!")</f>
        <v>#VALUE!</v>
      </c>
      <c r="BU187" t="str">
        <f ca="1">IFERROR(__xludf.DUMMYFUNCTION("""COMPUTED_VALUE"""),"#VALUE!")</f>
        <v>#VALUE!</v>
      </c>
      <c r="BW187" t="str">
        <f ca="1">IFERROR(__xludf.DUMMYFUNCTION("""COMPUTED_VALUE"""),"#VALUE!")</f>
        <v>#VALUE!</v>
      </c>
      <c r="BY187" t="str">
        <f ca="1">IFERROR(__xludf.DUMMYFUNCTION("""COMPUTED_VALUE"""),"#VALUE!")</f>
        <v>#VALUE!</v>
      </c>
      <c r="CA187" t="str">
        <f ca="1">IFERROR(__xludf.DUMMYFUNCTION("""COMPUTED_VALUE"""),"#VALUE!")</f>
        <v>#VALUE!</v>
      </c>
      <c r="CC187" t="str">
        <f ca="1">IFERROR(__xludf.DUMMYFUNCTION("""COMPUTED_VALUE"""),"#VALUE!")</f>
        <v>#VALUE!</v>
      </c>
      <c r="CD187" t="str">
        <f ca="1">IFERROR(__xludf.DUMMYFUNCTION("""COMPUTED_VALUE"""),"C3598")</f>
        <v>C3598</v>
      </c>
      <c r="CE187" t="str">
        <f ca="1">IFERROR(__xludf.DUMMYFUNCTION("""COMPUTED_VALUE"""),"location of congregation")</f>
        <v>location of congregation</v>
      </c>
      <c r="CF187" t="str">
        <f ca="1">IFERROR(__xludf.DUMMYFUNCTION("""COMPUTED_VALUE"""),"L0060")</f>
        <v>L0060</v>
      </c>
      <c r="CG187" t="str">
        <f ca="1">IFERROR(__xludf.DUMMYFUNCTION("""COMPUTED_VALUE"""),"domus Petri Balbi de Coazze")</f>
        <v>domus Petri Balbi de Coazze</v>
      </c>
      <c r="CI187" t="str">
        <f ca="1">IFERROR(__xludf.DUMMYFUNCTION("""COMPUTED_VALUE"""),"#VALUE!")</f>
        <v>#VALUE!</v>
      </c>
      <c r="CK187" t="str">
        <f ca="1">IFERROR(__xludf.DUMMYFUNCTION("""COMPUTED_VALUE"""),"#VALUE!")</f>
        <v>#VALUE!</v>
      </c>
      <c r="CR187" t="str">
        <f ca="1">IFERROR(__xludf.DUMMYFUNCTION("""COMPUTED_VALUE"""),"L0002")</f>
        <v>L0002</v>
      </c>
      <c r="CS187" t="str">
        <f ca="1">IFERROR(__xludf.DUMMYFUNCTION("""COMPUTED_VALUE"""),"Coazze")</f>
        <v>Coazze</v>
      </c>
      <c r="CU187" t="str">
        <f ca="1">IFERROR(__xludf.DUMMYFUNCTION("""COMPUTED_VALUE"""),"#VALUE!")</f>
        <v>#VALUE!</v>
      </c>
      <c r="CW187" t="str">
        <f ca="1">IFERROR(__xludf.DUMMYFUNCTION("""COMPUTED_VALUE"""),"#VALUE!")</f>
        <v>#VALUE!</v>
      </c>
      <c r="CY187" t="str">
        <f ca="1">IFERROR(__xludf.DUMMYFUNCTION("""COMPUTED_VALUE"""),"#VALUE!")</f>
        <v>#VALUE!</v>
      </c>
      <c r="DC187" t="str">
        <f ca="1">IFERROR(__xludf.DUMMYFUNCTION("""COMPUTED_VALUE"""),"#VALUE!")</f>
        <v>#VALUE!</v>
      </c>
      <c r="DE187" t="str">
        <f ca="1">IFERROR(__xludf.DUMMYFUNCTION("""COMPUTED_VALUE"""),"#VALUE!")</f>
        <v>#VALUE!</v>
      </c>
      <c r="DH187" t="str">
        <f ca="1">IFERROR(__xludf.DUMMYFUNCTION("""COMPUTED_VALUE"""),"L0060")</f>
        <v>L0060</v>
      </c>
      <c r="DI187" t="str">
        <f ca="1">IFERROR(__xludf.DUMMYFUNCTION("""COMPUTED_VALUE"""),"domus Petri Balbi de Coazze")</f>
        <v>domus Petri Balbi de Coazze</v>
      </c>
      <c r="DJ187" t="str">
        <f ca="1">IFERROR(__xludf.DUMMYFUNCTION("""COMPUTED_VALUE"""),"domus")</f>
        <v>domus</v>
      </c>
      <c r="DL187" t="str">
        <f ca="1">IFERROR(__xludf.DUMMYFUNCTION("""COMPUTED_VALUE"""),"Davor Salihović")</f>
        <v>Davor Salihović</v>
      </c>
    </row>
    <row r="188" spans="1:116" ht="13.2" x14ac:dyDescent="0.25">
      <c r="A188" t="str">
        <f ca="1">IFERROR(__xludf.DUMMYFUNCTION("""COMPUTED_VALUE"""),"P0192")</f>
        <v>P0192</v>
      </c>
      <c r="B188" t="str">
        <f ca="1">IFERROR(__xludf.DUMMYFUNCTION("""COMPUTED_VALUE"""),"Alaysia, uxor Petri Balbi")</f>
        <v>Alaysia, uxor Petri Balbi</v>
      </c>
      <c r="D188" t="str">
        <f ca="1">IFERROR(__xludf.DUMMYFUNCTION("""COMPUTED_VALUE"""),"#VALUE!")</f>
        <v>#VALUE!</v>
      </c>
      <c r="E188" t="str">
        <f ca="1">IFERROR(__xludf.DUMMYFUNCTION("""COMPUTED_VALUE"""),"Alaysia")</f>
        <v>Alaysia</v>
      </c>
      <c r="Q188" t="str">
        <f ca="1">IFERROR(__xludf.DUMMYFUNCTION("""COMPUTED_VALUE"""),"uxor Petri Balbi")</f>
        <v>uxor Petri Balbi</v>
      </c>
      <c r="S188" t="str">
        <f ca="1">IFERROR(__xludf.DUMMYFUNCTION("""COMPUTED_VALUE"""),"Latin")</f>
        <v>Latin</v>
      </c>
      <c r="T188" t="str">
        <f ca="1">IFERROR(__xludf.DUMMYFUNCTION("""COMPUTED_VALUE"""),"definite")</f>
        <v>definite</v>
      </c>
      <c r="U188" t="str">
        <f ca="1">IFERROR(__xludf.DUMMYFUNCTION("""COMPUTED_VALUE"""),"C2552")</f>
        <v>C2552</v>
      </c>
      <c r="V188" t="str">
        <f ca="1">IFERROR(__xludf.DUMMYFUNCTION("""COMPUTED_VALUE"""),"female")</f>
        <v>female</v>
      </c>
      <c r="Z188" t="str">
        <f ca="1">IFERROR(__xludf.DUMMYFUNCTION("""COMPUTED_VALUE"""),"176, 188")</f>
        <v>176, 188</v>
      </c>
      <c r="AA188" t="str">
        <f ca="1">IFERROR(__xludf.DUMMYFUNCTION("""COMPUTED_VALUE"""),"d")</f>
        <v>d</v>
      </c>
      <c r="AB188" t="str">
        <f ca="1">IFERROR(__xludf.DUMMYFUNCTION("""COMPUTED_VALUE"""),"suspect")</f>
        <v>suspect</v>
      </c>
      <c r="AE188" t="str">
        <f ca="1">IFERROR(__xludf.DUMMYFUNCTION("""COMPUTED_VALUE"""),"#VALUE!")</f>
        <v>#VALUE!</v>
      </c>
      <c r="AF188" t="str">
        <f ca="1">IFERROR(__xludf.DUMMYFUNCTION("""COMPUTED_VALUE"""),"#N/A")</f>
        <v>#N/A</v>
      </c>
      <c r="AG188" t="str">
        <f ca="1">IFERROR(__xludf.DUMMYFUNCTION("""COMPUTED_VALUE"""),"#N/A")</f>
        <v>#N/A</v>
      </c>
      <c r="AH188" t="str">
        <f ca="1">IFERROR(__xludf.DUMMYFUNCTION("""COMPUTED_VALUE"""),"C2347")</f>
        <v>C2347</v>
      </c>
      <c r="AI188" t="str">
        <f ca="1">IFERROR(__xludf.DUMMYFUNCTION("""COMPUTED_VALUE"""),"sister")</f>
        <v>sister</v>
      </c>
      <c r="AJ188" t="str">
        <f ca="1">IFERROR(__xludf.DUMMYFUNCTION("""COMPUTED_VALUE"""),"P0193")</f>
        <v>P0193</v>
      </c>
      <c r="AK188" t="str">
        <f ca="1">IFERROR(__xludf.DUMMYFUNCTION("""COMPUTED_VALUE"""),"Caterina, soror Alaysie, uxoris Petri Balbi")</f>
        <v>Caterina, soror Alaysie, uxoris Petri Balbi</v>
      </c>
      <c r="AM188" t="str">
        <f ca="1">IFERROR(__xludf.DUMMYFUNCTION("""COMPUTED_VALUE"""),"#VALUE!")</f>
        <v>#VALUE!</v>
      </c>
      <c r="AO188" t="str">
        <f ca="1">IFERROR(__xludf.DUMMYFUNCTION("""COMPUTED_VALUE"""),"#VALUE!")</f>
        <v>#VALUE!</v>
      </c>
      <c r="AQ188" t="str">
        <f ca="1">IFERROR(__xludf.DUMMYFUNCTION("""COMPUTED_VALUE"""),"#VALUE!")</f>
        <v>#VALUE!</v>
      </c>
      <c r="AS188" t="str">
        <f ca="1">IFERROR(__xludf.DUMMYFUNCTION("""COMPUTED_VALUE"""),"#VALUE!")</f>
        <v>#VALUE!</v>
      </c>
      <c r="AU188" t="str">
        <f ca="1">IFERROR(__xludf.DUMMYFUNCTION("""COMPUTED_VALUE"""),"#VALUE!")</f>
        <v>#VALUE!</v>
      </c>
      <c r="AW188" t="str">
        <f ca="1">IFERROR(__xludf.DUMMYFUNCTION("""COMPUTED_VALUE"""),"#VALUE!")</f>
        <v>#VALUE!</v>
      </c>
      <c r="AY188" t="str">
        <f ca="1">IFERROR(__xludf.DUMMYFUNCTION("""COMPUTED_VALUE"""),"#VALUE!")</f>
        <v>#VALUE!</v>
      </c>
      <c r="BA188" t="str">
        <f ca="1">IFERROR(__xludf.DUMMYFUNCTION("""COMPUTED_VALUE"""),"#VALUE!")</f>
        <v>#VALUE!</v>
      </c>
      <c r="BC188" t="str">
        <f ca="1">IFERROR(__xludf.DUMMYFUNCTION("""COMPUTED_VALUE"""),"#VALUE!")</f>
        <v>#VALUE!</v>
      </c>
      <c r="BE188" t="str">
        <f ca="1">IFERROR(__xludf.DUMMYFUNCTION("""COMPUTED_VALUE"""),"#VALUE!")</f>
        <v>#VALUE!</v>
      </c>
      <c r="BG188" t="str">
        <f ca="1">IFERROR(__xludf.DUMMYFUNCTION("""COMPUTED_VALUE"""),"#VALUE!")</f>
        <v>#VALUE!</v>
      </c>
      <c r="BI188" t="str">
        <f ca="1">IFERROR(__xludf.DUMMYFUNCTION("""COMPUTED_VALUE"""),"#VALUE!")</f>
        <v>#VALUE!</v>
      </c>
      <c r="BK188" t="str">
        <f ca="1">IFERROR(__xludf.DUMMYFUNCTION("""COMPUTED_VALUE"""),"#VALUE!")</f>
        <v>#VALUE!</v>
      </c>
      <c r="BM188" t="str">
        <f ca="1">IFERROR(__xludf.DUMMYFUNCTION("""COMPUTED_VALUE"""),"#VALUE!")</f>
        <v>#VALUE!</v>
      </c>
      <c r="BO188" t="str">
        <f ca="1">IFERROR(__xludf.DUMMYFUNCTION("""COMPUTED_VALUE"""),"#VALUE!")</f>
        <v>#VALUE!</v>
      </c>
      <c r="BQ188" t="str">
        <f ca="1">IFERROR(__xludf.DUMMYFUNCTION("""COMPUTED_VALUE"""),"#VALUE!")</f>
        <v>#VALUE!</v>
      </c>
      <c r="BS188" t="str">
        <f ca="1">IFERROR(__xludf.DUMMYFUNCTION("""COMPUTED_VALUE"""),"#VALUE!")</f>
        <v>#VALUE!</v>
      </c>
      <c r="BU188" t="str">
        <f ca="1">IFERROR(__xludf.DUMMYFUNCTION("""COMPUTED_VALUE"""),"#VALUE!")</f>
        <v>#VALUE!</v>
      </c>
      <c r="BW188" t="str">
        <f ca="1">IFERROR(__xludf.DUMMYFUNCTION("""COMPUTED_VALUE"""),"#VALUE!")</f>
        <v>#VALUE!</v>
      </c>
      <c r="BY188" t="str">
        <f ca="1">IFERROR(__xludf.DUMMYFUNCTION("""COMPUTED_VALUE"""),"#VALUE!")</f>
        <v>#VALUE!</v>
      </c>
      <c r="CA188" t="str">
        <f ca="1">IFERROR(__xludf.DUMMYFUNCTION("""COMPUTED_VALUE"""),"#VALUE!")</f>
        <v>#VALUE!</v>
      </c>
      <c r="CC188" t="str">
        <f ca="1">IFERROR(__xludf.DUMMYFUNCTION("""COMPUTED_VALUE"""),"#VALUE!")</f>
        <v>#VALUE!</v>
      </c>
      <c r="CD188" t="str">
        <f ca="1">IFERROR(__xludf.DUMMYFUNCTION("""COMPUTED_VALUE"""),"C3598")</f>
        <v>C3598</v>
      </c>
      <c r="CE188" t="str">
        <f ca="1">IFERROR(__xludf.DUMMYFUNCTION("""COMPUTED_VALUE"""),"location of congregation")</f>
        <v>location of congregation</v>
      </c>
      <c r="CF188" t="str">
        <f ca="1">IFERROR(__xludf.DUMMYFUNCTION("""COMPUTED_VALUE"""),"L0060")</f>
        <v>L0060</v>
      </c>
      <c r="CG188" t="str">
        <f ca="1">IFERROR(__xludf.DUMMYFUNCTION("""COMPUTED_VALUE"""),"domus Petri Balbi de Coazze")</f>
        <v>domus Petri Balbi de Coazze</v>
      </c>
      <c r="CI188" t="str">
        <f ca="1">IFERROR(__xludf.DUMMYFUNCTION("""COMPUTED_VALUE"""),"#VALUE!")</f>
        <v>#VALUE!</v>
      </c>
      <c r="CK188" t="str">
        <f ca="1">IFERROR(__xludf.DUMMYFUNCTION("""COMPUTED_VALUE"""),"#VALUE!")</f>
        <v>#VALUE!</v>
      </c>
      <c r="CS188" t="str">
        <f ca="1">IFERROR(__xludf.DUMMYFUNCTION("""COMPUTED_VALUE"""),"#VALUE!")</f>
        <v>#VALUE!</v>
      </c>
      <c r="CU188" t="str">
        <f ca="1">IFERROR(__xludf.DUMMYFUNCTION("""COMPUTED_VALUE"""),"#VALUE!")</f>
        <v>#VALUE!</v>
      </c>
      <c r="CW188" t="str">
        <f ca="1">IFERROR(__xludf.DUMMYFUNCTION("""COMPUTED_VALUE"""),"#VALUE!")</f>
        <v>#VALUE!</v>
      </c>
      <c r="CY188" t="str">
        <f ca="1">IFERROR(__xludf.DUMMYFUNCTION("""COMPUTED_VALUE"""),"#VALUE!")</f>
        <v>#VALUE!</v>
      </c>
      <c r="DC188" t="str">
        <f ca="1">IFERROR(__xludf.DUMMYFUNCTION("""COMPUTED_VALUE"""),"#VALUE!")</f>
        <v>#VALUE!</v>
      </c>
      <c r="DE188" t="str">
        <f ca="1">IFERROR(__xludf.DUMMYFUNCTION("""COMPUTED_VALUE"""),"#VALUE!")</f>
        <v>#VALUE!</v>
      </c>
      <c r="DH188" t="str">
        <f ca="1">IFERROR(__xludf.DUMMYFUNCTION("""COMPUTED_VALUE"""),"L0060")</f>
        <v>L0060</v>
      </c>
      <c r="DI188" t="str">
        <f ca="1">IFERROR(__xludf.DUMMYFUNCTION("""COMPUTED_VALUE"""),"domus Petri Balbi de Coazze")</f>
        <v>domus Petri Balbi de Coazze</v>
      </c>
      <c r="DJ188" t="str">
        <f ca="1">IFERROR(__xludf.DUMMYFUNCTION("""COMPUTED_VALUE"""),"domus")</f>
        <v>domus</v>
      </c>
      <c r="DL188" t="str">
        <f ca="1">IFERROR(__xludf.DUMMYFUNCTION("""COMPUTED_VALUE"""),"Davor Salihović")</f>
        <v>Davor Salihović</v>
      </c>
    </row>
    <row r="189" spans="1:116" ht="13.2" x14ac:dyDescent="0.25">
      <c r="A189" t="str">
        <f ca="1">IFERROR(__xludf.DUMMYFUNCTION("""COMPUTED_VALUE"""),"P0193")</f>
        <v>P0193</v>
      </c>
      <c r="B189" t="str">
        <f ca="1">IFERROR(__xludf.DUMMYFUNCTION("""COMPUTED_VALUE"""),"Caterina, soror Alaysie, uxoris Petri Balbi")</f>
        <v>Caterina, soror Alaysie, uxoris Petri Balbi</v>
      </c>
      <c r="D189" t="str">
        <f ca="1">IFERROR(__xludf.DUMMYFUNCTION("""COMPUTED_VALUE"""),"#VALUE!")</f>
        <v>#VALUE!</v>
      </c>
      <c r="E189" t="str">
        <f ca="1">IFERROR(__xludf.DUMMYFUNCTION("""COMPUTED_VALUE"""),"Caterina")</f>
        <v>Caterina</v>
      </c>
      <c r="Q189" t="str">
        <f ca="1">IFERROR(__xludf.DUMMYFUNCTION("""COMPUTED_VALUE"""),"soror Alaysie")</f>
        <v>soror Alaysie</v>
      </c>
      <c r="S189" t="str">
        <f ca="1">IFERROR(__xludf.DUMMYFUNCTION("""COMPUTED_VALUE"""),"Latin")</f>
        <v>Latin</v>
      </c>
      <c r="T189" t="str">
        <f ca="1">IFERROR(__xludf.DUMMYFUNCTION("""COMPUTED_VALUE"""),"definite")</f>
        <v>definite</v>
      </c>
      <c r="U189" t="str">
        <f ca="1">IFERROR(__xludf.DUMMYFUNCTION("""COMPUTED_VALUE"""),"C2552")</f>
        <v>C2552</v>
      </c>
      <c r="V189" t="str">
        <f ca="1">IFERROR(__xludf.DUMMYFUNCTION("""COMPUTED_VALUE"""),"female")</f>
        <v>female</v>
      </c>
      <c r="Z189" t="str">
        <f ca="1">IFERROR(__xludf.DUMMYFUNCTION("""COMPUTED_VALUE"""),"176")</f>
        <v>176</v>
      </c>
      <c r="AA189" t="str">
        <f ca="1">IFERROR(__xludf.DUMMYFUNCTION("""COMPUTED_VALUE"""),"d")</f>
        <v>d</v>
      </c>
      <c r="AB189" t="str">
        <f ca="1">IFERROR(__xludf.DUMMYFUNCTION("""COMPUTED_VALUE"""),"suspect")</f>
        <v>suspect</v>
      </c>
      <c r="AE189" t="str">
        <f ca="1">IFERROR(__xludf.DUMMYFUNCTION("""COMPUTED_VALUE"""),"#VALUE!")</f>
        <v>#VALUE!</v>
      </c>
      <c r="AF189" t="str">
        <f ca="1">IFERROR(__xludf.DUMMYFUNCTION("""COMPUTED_VALUE"""),"#N/A")</f>
        <v>#N/A</v>
      </c>
      <c r="AG189" t="str">
        <f ca="1">IFERROR(__xludf.DUMMYFUNCTION("""COMPUTED_VALUE"""),"#N/A")</f>
        <v>#N/A</v>
      </c>
      <c r="AI189" t="str">
        <f ca="1">IFERROR(__xludf.DUMMYFUNCTION("""COMPUTED_VALUE"""),"#VALUE!")</f>
        <v>#VALUE!</v>
      </c>
      <c r="AK189" t="str">
        <f ca="1">IFERROR(__xludf.DUMMYFUNCTION("""COMPUTED_VALUE"""),"#VALUE!")</f>
        <v>#VALUE!</v>
      </c>
      <c r="AM189" t="str">
        <f ca="1">IFERROR(__xludf.DUMMYFUNCTION("""COMPUTED_VALUE"""),"#VALUE!")</f>
        <v>#VALUE!</v>
      </c>
      <c r="AO189" t="str">
        <f ca="1">IFERROR(__xludf.DUMMYFUNCTION("""COMPUTED_VALUE"""),"#VALUE!")</f>
        <v>#VALUE!</v>
      </c>
      <c r="AQ189" t="str">
        <f ca="1">IFERROR(__xludf.DUMMYFUNCTION("""COMPUTED_VALUE"""),"#VALUE!")</f>
        <v>#VALUE!</v>
      </c>
      <c r="AS189" t="str">
        <f ca="1">IFERROR(__xludf.DUMMYFUNCTION("""COMPUTED_VALUE"""),"#VALUE!")</f>
        <v>#VALUE!</v>
      </c>
      <c r="AU189" t="str">
        <f ca="1">IFERROR(__xludf.DUMMYFUNCTION("""COMPUTED_VALUE"""),"#VALUE!")</f>
        <v>#VALUE!</v>
      </c>
      <c r="AW189" t="str">
        <f ca="1">IFERROR(__xludf.DUMMYFUNCTION("""COMPUTED_VALUE"""),"#VALUE!")</f>
        <v>#VALUE!</v>
      </c>
      <c r="AY189" t="str">
        <f ca="1">IFERROR(__xludf.DUMMYFUNCTION("""COMPUTED_VALUE"""),"#VALUE!")</f>
        <v>#VALUE!</v>
      </c>
      <c r="BA189" t="str">
        <f ca="1">IFERROR(__xludf.DUMMYFUNCTION("""COMPUTED_VALUE"""),"#VALUE!")</f>
        <v>#VALUE!</v>
      </c>
      <c r="BC189" t="str">
        <f ca="1">IFERROR(__xludf.DUMMYFUNCTION("""COMPUTED_VALUE"""),"#VALUE!")</f>
        <v>#VALUE!</v>
      </c>
      <c r="BE189" t="str">
        <f ca="1">IFERROR(__xludf.DUMMYFUNCTION("""COMPUTED_VALUE"""),"#VALUE!")</f>
        <v>#VALUE!</v>
      </c>
      <c r="BG189" t="str">
        <f ca="1">IFERROR(__xludf.DUMMYFUNCTION("""COMPUTED_VALUE"""),"#VALUE!")</f>
        <v>#VALUE!</v>
      </c>
      <c r="BI189" t="str">
        <f ca="1">IFERROR(__xludf.DUMMYFUNCTION("""COMPUTED_VALUE"""),"#VALUE!")</f>
        <v>#VALUE!</v>
      </c>
      <c r="BK189" t="str">
        <f ca="1">IFERROR(__xludf.DUMMYFUNCTION("""COMPUTED_VALUE"""),"#VALUE!")</f>
        <v>#VALUE!</v>
      </c>
      <c r="BM189" t="str">
        <f ca="1">IFERROR(__xludf.DUMMYFUNCTION("""COMPUTED_VALUE"""),"#VALUE!")</f>
        <v>#VALUE!</v>
      </c>
      <c r="BO189" t="str">
        <f ca="1">IFERROR(__xludf.DUMMYFUNCTION("""COMPUTED_VALUE"""),"#VALUE!")</f>
        <v>#VALUE!</v>
      </c>
      <c r="BQ189" t="str">
        <f ca="1">IFERROR(__xludf.DUMMYFUNCTION("""COMPUTED_VALUE"""),"#VALUE!")</f>
        <v>#VALUE!</v>
      </c>
      <c r="BS189" t="str">
        <f ca="1">IFERROR(__xludf.DUMMYFUNCTION("""COMPUTED_VALUE"""),"#VALUE!")</f>
        <v>#VALUE!</v>
      </c>
      <c r="BU189" t="str">
        <f ca="1">IFERROR(__xludf.DUMMYFUNCTION("""COMPUTED_VALUE"""),"#VALUE!")</f>
        <v>#VALUE!</v>
      </c>
      <c r="BW189" t="str">
        <f ca="1">IFERROR(__xludf.DUMMYFUNCTION("""COMPUTED_VALUE"""),"#VALUE!")</f>
        <v>#VALUE!</v>
      </c>
      <c r="BY189" t="str">
        <f ca="1">IFERROR(__xludf.DUMMYFUNCTION("""COMPUTED_VALUE"""),"#VALUE!")</f>
        <v>#VALUE!</v>
      </c>
      <c r="CA189" t="str">
        <f ca="1">IFERROR(__xludf.DUMMYFUNCTION("""COMPUTED_VALUE"""),"#VALUE!")</f>
        <v>#VALUE!</v>
      </c>
      <c r="CC189" t="str">
        <f ca="1">IFERROR(__xludf.DUMMYFUNCTION("""COMPUTED_VALUE"""),"#VALUE!")</f>
        <v>#VALUE!</v>
      </c>
      <c r="CD189" t="str">
        <f ca="1">IFERROR(__xludf.DUMMYFUNCTION("""COMPUTED_VALUE"""),"C3598")</f>
        <v>C3598</v>
      </c>
      <c r="CE189" t="str">
        <f ca="1">IFERROR(__xludf.DUMMYFUNCTION("""COMPUTED_VALUE"""),"location of congregation")</f>
        <v>location of congregation</v>
      </c>
      <c r="CF189" t="str">
        <f ca="1">IFERROR(__xludf.DUMMYFUNCTION("""COMPUTED_VALUE"""),"L0060")</f>
        <v>L0060</v>
      </c>
      <c r="CG189" t="str">
        <f ca="1">IFERROR(__xludf.DUMMYFUNCTION("""COMPUTED_VALUE"""),"domus Petri Balbi de Coazze")</f>
        <v>domus Petri Balbi de Coazze</v>
      </c>
      <c r="CI189" t="str">
        <f ca="1">IFERROR(__xludf.DUMMYFUNCTION("""COMPUTED_VALUE"""),"#VALUE!")</f>
        <v>#VALUE!</v>
      </c>
      <c r="CK189" t="str">
        <f ca="1">IFERROR(__xludf.DUMMYFUNCTION("""COMPUTED_VALUE"""),"#VALUE!")</f>
        <v>#VALUE!</v>
      </c>
      <c r="CS189" t="str">
        <f ca="1">IFERROR(__xludf.DUMMYFUNCTION("""COMPUTED_VALUE"""),"#VALUE!")</f>
        <v>#VALUE!</v>
      </c>
      <c r="CU189" t="str">
        <f ca="1">IFERROR(__xludf.DUMMYFUNCTION("""COMPUTED_VALUE"""),"#VALUE!")</f>
        <v>#VALUE!</v>
      </c>
      <c r="CW189" t="str">
        <f ca="1">IFERROR(__xludf.DUMMYFUNCTION("""COMPUTED_VALUE"""),"#VALUE!")</f>
        <v>#VALUE!</v>
      </c>
      <c r="CY189" t="str">
        <f ca="1">IFERROR(__xludf.DUMMYFUNCTION("""COMPUTED_VALUE"""),"#VALUE!")</f>
        <v>#VALUE!</v>
      </c>
      <c r="DC189" t="str">
        <f ca="1">IFERROR(__xludf.DUMMYFUNCTION("""COMPUTED_VALUE"""),"#VALUE!")</f>
        <v>#VALUE!</v>
      </c>
      <c r="DE189" t="str">
        <f ca="1">IFERROR(__xludf.DUMMYFUNCTION("""COMPUTED_VALUE"""),"#VALUE!")</f>
        <v>#VALUE!</v>
      </c>
      <c r="DH189" t="str">
        <f ca="1">IFERROR(__xludf.DUMMYFUNCTION("""COMPUTED_VALUE"""),"L0060")</f>
        <v>L0060</v>
      </c>
      <c r="DI189" t="str">
        <f ca="1">IFERROR(__xludf.DUMMYFUNCTION("""COMPUTED_VALUE"""),"domus Petri Balbi de Coazze")</f>
        <v>domus Petri Balbi de Coazze</v>
      </c>
      <c r="DJ189" t="str">
        <f ca="1">IFERROR(__xludf.DUMMYFUNCTION("""COMPUTED_VALUE"""),"domus")</f>
        <v>domus</v>
      </c>
      <c r="DL189" t="str">
        <f ca="1">IFERROR(__xludf.DUMMYFUNCTION("""COMPUTED_VALUE"""),"Davor Salihović")</f>
        <v>Davor Salihović</v>
      </c>
    </row>
    <row r="190" spans="1:116" ht="13.2" x14ac:dyDescent="0.25">
      <c r="A190" t="str">
        <f ca="1">IFERROR(__xludf.DUMMYFUNCTION("""COMPUTED_VALUE"""),"P0194")</f>
        <v>P0194</v>
      </c>
      <c r="B190" t="str">
        <f ca="1">IFERROR(__xludf.DUMMYFUNCTION("""COMPUTED_VALUE"""),"filia Petri Balbi")</f>
        <v>filia Petri Balbi</v>
      </c>
      <c r="D190" t="str">
        <f ca="1">IFERROR(__xludf.DUMMYFUNCTION("""COMPUTED_VALUE"""),"#VALUE!")</f>
        <v>#VALUE!</v>
      </c>
      <c r="E190" t="str">
        <f ca="1">IFERROR(__xludf.DUMMYFUNCTION("""COMPUTED_VALUE"""),"filia Petri Balbi")</f>
        <v>filia Petri Balbi</v>
      </c>
      <c r="Q190" t="str">
        <f ca="1">IFERROR(__xludf.DUMMYFUNCTION("""COMPUTED_VALUE"""),"filia Petri Balbi")</f>
        <v>filia Petri Balbi</v>
      </c>
      <c r="S190" t="str">
        <f ca="1">IFERROR(__xludf.DUMMYFUNCTION("""COMPUTED_VALUE"""),"Latin")</f>
        <v>Latin</v>
      </c>
      <c r="T190" t="str">
        <f ca="1">IFERROR(__xludf.DUMMYFUNCTION("""COMPUTED_VALUE"""),"indefinite")</f>
        <v>indefinite</v>
      </c>
      <c r="U190" t="str">
        <f ca="1">IFERROR(__xludf.DUMMYFUNCTION("""COMPUTED_VALUE"""),"C2552")</f>
        <v>C2552</v>
      </c>
      <c r="V190" t="str">
        <f ca="1">IFERROR(__xludf.DUMMYFUNCTION("""COMPUTED_VALUE"""),"female")</f>
        <v>female</v>
      </c>
      <c r="Z190" t="str">
        <f ca="1">IFERROR(__xludf.DUMMYFUNCTION("""COMPUTED_VALUE"""),"176")</f>
        <v>176</v>
      </c>
      <c r="AA190" t="str">
        <f ca="1">IFERROR(__xludf.DUMMYFUNCTION("""COMPUTED_VALUE"""),"d")</f>
        <v>d</v>
      </c>
      <c r="AB190" t="str">
        <f ca="1">IFERROR(__xludf.DUMMYFUNCTION("""COMPUTED_VALUE"""),"suspect")</f>
        <v>suspect</v>
      </c>
      <c r="AE190" t="str">
        <f ca="1">IFERROR(__xludf.DUMMYFUNCTION("""COMPUTED_VALUE"""),"#VALUE!")</f>
        <v>#VALUE!</v>
      </c>
      <c r="AF190" t="str">
        <f ca="1">IFERROR(__xludf.DUMMYFUNCTION("""COMPUTED_VALUE"""),"#N/A")</f>
        <v>#N/A</v>
      </c>
      <c r="AG190" t="str">
        <f ca="1">IFERROR(__xludf.DUMMYFUNCTION("""COMPUTED_VALUE"""),"#N/A")</f>
        <v>#N/A</v>
      </c>
      <c r="AI190" t="str">
        <f ca="1">IFERROR(__xludf.DUMMYFUNCTION("""COMPUTED_VALUE"""),"#VALUE!")</f>
        <v>#VALUE!</v>
      </c>
      <c r="AK190" t="str">
        <f ca="1">IFERROR(__xludf.DUMMYFUNCTION("""COMPUTED_VALUE"""),"#VALUE!")</f>
        <v>#VALUE!</v>
      </c>
      <c r="AM190" t="str">
        <f ca="1">IFERROR(__xludf.DUMMYFUNCTION("""COMPUTED_VALUE"""),"#VALUE!")</f>
        <v>#VALUE!</v>
      </c>
      <c r="AO190" t="str">
        <f ca="1">IFERROR(__xludf.DUMMYFUNCTION("""COMPUTED_VALUE"""),"#VALUE!")</f>
        <v>#VALUE!</v>
      </c>
      <c r="AQ190" t="str">
        <f ca="1">IFERROR(__xludf.DUMMYFUNCTION("""COMPUTED_VALUE"""),"#VALUE!")</f>
        <v>#VALUE!</v>
      </c>
      <c r="AS190" t="str">
        <f ca="1">IFERROR(__xludf.DUMMYFUNCTION("""COMPUTED_VALUE"""),"#VALUE!")</f>
        <v>#VALUE!</v>
      </c>
      <c r="AU190" t="str">
        <f ca="1">IFERROR(__xludf.DUMMYFUNCTION("""COMPUTED_VALUE"""),"#VALUE!")</f>
        <v>#VALUE!</v>
      </c>
      <c r="AW190" t="str">
        <f ca="1">IFERROR(__xludf.DUMMYFUNCTION("""COMPUTED_VALUE"""),"#VALUE!")</f>
        <v>#VALUE!</v>
      </c>
      <c r="AY190" t="str">
        <f ca="1">IFERROR(__xludf.DUMMYFUNCTION("""COMPUTED_VALUE"""),"#VALUE!")</f>
        <v>#VALUE!</v>
      </c>
      <c r="BA190" t="str">
        <f ca="1">IFERROR(__xludf.DUMMYFUNCTION("""COMPUTED_VALUE"""),"#VALUE!")</f>
        <v>#VALUE!</v>
      </c>
      <c r="BC190" t="str">
        <f ca="1">IFERROR(__xludf.DUMMYFUNCTION("""COMPUTED_VALUE"""),"#VALUE!")</f>
        <v>#VALUE!</v>
      </c>
      <c r="BE190" t="str">
        <f ca="1">IFERROR(__xludf.DUMMYFUNCTION("""COMPUTED_VALUE"""),"#VALUE!")</f>
        <v>#VALUE!</v>
      </c>
      <c r="BG190" t="str">
        <f ca="1">IFERROR(__xludf.DUMMYFUNCTION("""COMPUTED_VALUE"""),"#VALUE!")</f>
        <v>#VALUE!</v>
      </c>
      <c r="BI190" t="str">
        <f ca="1">IFERROR(__xludf.DUMMYFUNCTION("""COMPUTED_VALUE"""),"#VALUE!")</f>
        <v>#VALUE!</v>
      </c>
      <c r="BK190" t="str">
        <f ca="1">IFERROR(__xludf.DUMMYFUNCTION("""COMPUTED_VALUE"""),"#VALUE!")</f>
        <v>#VALUE!</v>
      </c>
      <c r="BM190" t="str">
        <f ca="1">IFERROR(__xludf.DUMMYFUNCTION("""COMPUTED_VALUE"""),"#VALUE!")</f>
        <v>#VALUE!</v>
      </c>
      <c r="BO190" t="str">
        <f ca="1">IFERROR(__xludf.DUMMYFUNCTION("""COMPUTED_VALUE"""),"#VALUE!")</f>
        <v>#VALUE!</v>
      </c>
      <c r="BQ190" t="str">
        <f ca="1">IFERROR(__xludf.DUMMYFUNCTION("""COMPUTED_VALUE"""),"#VALUE!")</f>
        <v>#VALUE!</v>
      </c>
      <c r="BS190" t="str">
        <f ca="1">IFERROR(__xludf.DUMMYFUNCTION("""COMPUTED_VALUE"""),"#VALUE!")</f>
        <v>#VALUE!</v>
      </c>
      <c r="BU190" t="str">
        <f ca="1">IFERROR(__xludf.DUMMYFUNCTION("""COMPUTED_VALUE"""),"#VALUE!")</f>
        <v>#VALUE!</v>
      </c>
      <c r="BW190" t="str">
        <f ca="1">IFERROR(__xludf.DUMMYFUNCTION("""COMPUTED_VALUE"""),"#VALUE!")</f>
        <v>#VALUE!</v>
      </c>
      <c r="BY190" t="str">
        <f ca="1">IFERROR(__xludf.DUMMYFUNCTION("""COMPUTED_VALUE"""),"#VALUE!")</f>
        <v>#VALUE!</v>
      </c>
      <c r="CA190" t="str">
        <f ca="1">IFERROR(__xludf.DUMMYFUNCTION("""COMPUTED_VALUE"""),"#VALUE!")</f>
        <v>#VALUE!</v>
      </c>
      <c r="CC190" t="str">
        <f ca="1">IFERROR(__xludf.DUMMYFUNCTION("""COMPUTED_VALUE"""),"#VALUE!")</f>
        <v>#VALUE!</v>
      </c>
      <c r="CD190" t="str">
        <f ca="1">IFERROR(__xludf.DUMMYFUNCTION("""COMPUTED_VALUE"""),"C3598")</f>
        <v>C3598</v>
      </c>
      <c r="CE190" t="str">
        <f ca="1">IFERROR(__xludf.DUMMYFUNCTION("""COMPUTED_VALUE"""),"location of congregation")</f>
        <v>location of congregation</v>
      </c>
      <c r="CF190" t="str">
        <f ca="1">IFERROR(__xludf.DUMMYFUNCTION("""COMPUTED_VALUE"""),"L0060")</f>
        <v>L0060</v>
      </c>
      <c r="CG190" t="str">
        <f ca="1">IFERROR(__xludf.DUMMYFUNCTION("""COMPUTED_VALUE"""),"domus Petri Balbi de Coazze")</f>
        <v>domus Petri Balbi de Coazze</v>
      </c>
      <c r="CI190" t="str">
        <f ca="1">IFERROR(__xludf.DUMMYFUNCTION("""COMPUTED_VALUE"""),"#VALUE!")</f>
        <v>#VALUE!</v>
      </c>
      <c r="CK190" t="str">
        <f ca="1">IFERROR(__xludf.DUMMYFUNCTION("""COMPUTED_VALUE"""),"#VALUE!")</f>
        <v>#VALUE!</v>
      </c>
      <c r="CS190" t="str">
        <f ca="1">IFERROR(__xludf.DUMMYFUNCTION("""COMPUTED_VALUE"""),"#VALUE!")</f>
        <v>#VALUE!</v>
      </c>
      <c r="CU190" t="str">
        <f ca="1">IFERROR(__xludf.DUMMYFUNCTION("""COMPUTED_VALUE"""),"#VALUE!")</f>
        <v>#VALUE!</v>
      </c>
      <c r="CW190" t="str">
        <f ca="1">IFERROR(__xludf.DUMMYFUNCTION("""COMPUTED_VALUE"""),"#VALUE!")</f>
        <v>#VALUE!</v>
      </c>
      <c r="CY190" t="str">
        <f ca="1">IFERROR(__xludf.DUMMYFUNCTION("""COMPUTED_VALUE"""),"#VALUE!")</f>
        <v>#VALUE!</v>
      </c>
      <c r="DC190" t="str">
        <f ca="1">IFERROR(__xludf.DUMMYFUNCTION("""COMPUTED_VALUE"""),"#VALUE!")</f>
        <v>#VALUE!</v>
      </c>
      <c r="DE190" t="str">
        <f ca="1">IFERROR(__xludf.DUMMYFUNCTION("""COMPUTED_VALUE"""),"#VALUE!")</f>
        <v>#VALUE!</v>
      </c>
      <c r="DH190" t="str">
        <f ca="1">IFERROR(__xludf.DUMMYFUNCTION("""COMPUTED_VALUE"""),"L0060")</f>
        <v>L0060</v>
      </c>
      <c r="DI190" t="str">
        <f ca="1">IFERROR(__xludf.DUMMYFUNCTION("""COMPUTED_VALUE"""),"domus Petri Balbi de Coazze")</f>
        <v>domus Petri Balbi de Coazze</v>
      </c>
      <c r="DJ190" t="str">
        <f ca="1">IFERROR(__xludf.DUMMYFUNCTION("""COMPUTED_VALUE"""),"domus")</f>
        <v>domus</v>
      </c>
      <c r="DL190" t="str">
        <f ca="1">IFERROR(__xludf.DUMMYFUNCTION("""COMPUTED_VALUE"""),"Davor Salihović")</f>
        <v>Davor Salihović</v>
      </c>
    </row>
    <row r="191" spans="1:116" ht="13.2" x14ac:dyDescent="0.25">
      <c r="A191" t="str">
        <f ca="1">IFERROR(__xludf.DUMMYFUNCTION("""COMPUTED_VALUE"""),"P0195")</f>
        <v>P0195</v>
      </c>
      <c r="B191" t="str">
        <f ca="1">IFERROR(__xludf.DUMMYFUNCTION("""COMPUTED_VALUE"""),"Amedeus de Conba Varino")</f>
        <v>Amedeus de Conba Varino</v>
      </c>
      <c r="D191" t="str">
        <f ca="1">IFERROR(__xludf.DUMMYFUNCTION("""COMPUTED_VALUE"""),"#VALUE!")</f>
        <v>#VALUE!</v>
      </c>
      <c r="E191" t="str">
        <f ca="1">IFERROR(__xludf.DUMMYFUNCTION("""COMPUTED_VALUE"""),"Amedeus")</f>
        <v>Amedeus</v>
      </c>
      <c r="J191" t="str">
        <f ca="1">IFERROR(__xludf.DUMMYFUNCTION("""COMPUTED_VALUE"""),"de")</f>
        <v>de</v>
      </c>
      <c r="K191" t="str">
        <f ca="1">IFERROR(__xludf.DUMMYFUNCTION("""COMPUTED_VALUE"""),"Conba Varino")</f>
        <v>Conba Varino</v>
      </c>
      <c r="L191" t="str">
        <f ca="1">IFERROR(__xludf.DUMMYFUNCTION("""COMPUTED_VALUE"""),"de Conba Varino")</f>
        <v>de Conba Varino</v>
      </c>
      <c r="S191" t="str">
        <f ca="1">IFERROR(__xludf.DUMMYFUNCTION("""COMPUTED_VALUE"""),"Latin")</f>
        <v>Latin</v>
      </c>
      <c r="T191" t="str">
        <f ca="1">IFERROR(__xludf.DUMMYFUNCTION("""COMPUTED_VALUE"""),"definite")</f>
        <v>definite</v>
      </c>
      <c r="U191" t="str">
        <f ca="1">IFERROR(__xludf.DUMMYFUNCTION("""COMPUTED_VALUE"""),"C2553")</f>
        <v>C2553</v>
      </c>
      <c r="V191" t="str">
        <f ca="1">IFERROR(__xludf.DUMMYFUNCTION("""COMPUTED_VALUE"""),"male")</f>
        <v>male</v>
      </c>
      <c r="Z191" t="str">
        <f ca="1">IFERROR(__xludf.DUMMYFUNCTION("""COMPUTED_VALUE"""),"177, 184")</f>
        <v>177, 184</v>
      </c>
      <c r="AA191" t="str">
        <f ca="1">IFERROR(__xludf.DUMMYFUNCTION("""COMPUTED_VALUE"""),"d")</f>
        <v>d</v>
      </c>
      <c r="AB191" t="str">
        <f ca="1">IFERROR(__xludf.DUMMYFUNCTION("""COMPUTED_VALUE"""),"suspect")</f>
        <v>suspect</v>
      </c>
      <c r="AE191" t="str">
        <f ca="1">IFERROR(__xludf.DUMMYFUNCTION("""COMPUTED_VALUE"""),"#VALUE!")</f>
        <v>#VALUE!</v>
      </c>
      <c r="AF191" t="str">
        <f ca="1">IFERROR(__xludf.DUMMYFUNCTION("""COMPUTED_VALUE"""),"#N/A")</f>
        <v>#N/A</v>
      </c>
      <c r="AG191" t="str">
        <f ca="1">IFERROR(__xludf.DUMMYFUNCTION("""COMPUTED_VALUE"""),"#N/A")</f>
        <v>#N/A</v>
      </c>
      <c r="AH191" t="str">
        <f ca="1">IFERROR(__xludf.DUMMYFUNCTION("""COMPUTED_VALUE"""),"C2337")</f>
        <v>C2337</v>
      </c>
      <c r="AI191" t="str">
        <f ca="1">IFERROR(__xludf.DUMMYFUNCTION("""COMPUTED_VALUE"""),"brother")</f>
        <v>brother</v>
      </c>
      <c r="AJ191" t="str">
        <f ca="1">IFERROR(__xludf.DUMMYFUNCTION("""COMPUTED_VALUE"""),"P0198")</f>
        <v>P0198</v>
      </c>
      <c r="AK191" t="str">
        <f ca="1">IFERROR(__xludf.DUMMYFUNCTION("""COMPUTED_VALUE"""),"Bonetus, frater Amedei de Conba Varino")</f>
        <v>Bonetus, frater Amedei de Conba Varino</v>
      </c>
      <c r="AM191" t="str">
        <f ca="1">IFERROR(__xludf.DUMMYFUNCTION("""COMPUTED_VALUE"""),"#VALUE!")</f>
        <v>#VALUE!</v>
      </c>
      <c r="AO191" t="str">
        <f ca="1">IFERROR(__xludf.DUMMYFUNCTION("""COMPUTED_VALUE"""),"#VALUE!")</f>
        <v>#VALUE!</v>
      </c>
      <c r="AQ191" t="str">
        <f ca="1">IFERROR(__xludf.DUMMYFUNCTION("""COMPUTED_VALUE"""),"#VALUE!")</f>
        <v>#VALUE!</v>
      </c>
      <c r="AS191" t="str">
        <f ca="1">IFERROR(__xludf.DUMMYFUNCTION("""COMPUTED_VALUE"""),"#VALUE!")</f>
        <v>#VALUE!</v>
      </c>
      <c r="AU191" t="str">
        <f ca="1">IFERROR(__xludf.DUMMYFUNCTION("""COMPUTED_VALUE"""),"#VALUE!")</f>
        <v>#VALUE!</v>
      </c>
      <c r="AW191" t="str">
        <f ca="1">IFERROR(__xludf.DUMMYFUNCTION("""COMPUTED_VALUE"""),"#VALUE!")</f>
        <v>#VALUE!</v>
      </c>
      <c r="AY191" t="str">
        <f ca="1">IFERROR(__xludf.DUMMYFUNCTION("""COMPUTED_VALUE"""),"#VALUE!")</f>
        <v>#VALUE!</v>
      </c>
      <c r="BA191" t="str">
        <f ca="1">IFERROR(__xludf.DUMMYFUNCTION("""COMPUTED_VALUE"""),"#VALUE!")</f>
        <v>#VALUE!</v>
      </c>
      <c r="BC191" t="str">
        <f ca="1">IFERROR(__xludf.DUMMYFUNCTION("""COMPUTED_VALUE"""),"#VALUE!")</f>
        <v>#VALUE!</v>
      </c>
      <c r="BE191" t="str">
        <f ca="1">IFERROR(__xludf.DUMMYFUNCTION("""COMPUTED_VALUE"""),"#VALUE!")</f>
        <v>#VALUE!</v>
      </c>
      <c r="BG191" t="str">
        <f ca="1">IFERROR(__xludf.DUMMYFUNCTION("""COMPUTED_VALUE"""),"#VALUE!")</f>
        <v>#VALUE!</v>
      </c>
      <c r="BI191" t="str">
        <f ca="1">IFERROR(__xludf.DUMMYFUNCTION("""COMPUTED_VALUE"""),"#VALUE!")</f>
        <v>#VALUE!</v>
      </c>
      <c r="BK191" t="str">
        <f ca="1">IFERROR(__xludf.DUMMYFUNCTION("""COMPUTED_VALUE"""),"#VALUE!")</f>
        <v>#VALUE!</v>
      </c>
      <c r="BM191" t="str">
        <f ca="1">IFERROR(__xludf.DUMMYFUNCTION("""COMPUTED_VALUE"""),"#VALUE!")</f>
        <v>#VALUE!</v>
      </c>
      <c r="BO191" t="str">
        <f ca="1">IFERROR(__xludf.DUMMYFUNCTION("""COMPUTED_VALUE"""),"#VALUE!")</f>
        <v>#VALUE!</v>
      </c>
      <c r="BQ191" t="str">
        <f ca="1">IFERROR(__xludf.DUMMYFUNCTION("""COMPUTED_VALUE"""),"#VALUE!")</f>
        <v>#VALUE!</v>
      </c>
      <c r="BS191" t="str">
        <f ca="1">IFERROR(__xludf.DUMMYFUNCTION("""COMPUTED_VALUE"""),"#VALUE!")</f>
        <v>#VALUE!</v>
      </c>
      <c r="BU191" t="str">
        <f ca="1">IFERROR(__xludf.DUMMYFUNCTION("""COMPUTED_VALUE"""),"#VALUE!")</f>
        <v>#VALUE!</v>
      </c>
      <c r="BW191" t="str">
        <f ca="1">IFERROR(__xludf.DUMMYFUNCTION("""COMPUTED_VALUE"""),"#VALUE!")</f>
        <v>#VALUE!</v>
      </c>
      <c r="BY191" t="str">
        <f ca="1">IFERROR(__xludf.DUMMYFUNCTION("""COMPUTED_VALUE"""),"#VALUE!")</f>
        <v>#VALUE!</v>
      </c>
      <c r="CA191" t="str">
        <f ca="1">IFERROR(__xludf.DUMMYFUNCTION("""COMPUTED_VALUE"""),"#VALUE!")</f>
        <v>#VALUE!</v>
      </c>
      <c r="CC191" t="str">
        <f ca="1">IFERROR(__xludf.DUMMYFUNCTION("""COMPUTED_VALUE"""),"#VALUE!")</f>
        <v>#VALUE!</v>
      </c>
      <c r="CD191" t="str">
        <f ca="1">IFERROR(__xludf.DUMMYFUNCTION("""COMPUTED_VALUE"""),"C3598")</f>
        <v>C3598</v>
      </c>
      <c r="CE191" t="str">
        <f ca="1">IFERROR(__xludf.DUMMYFUNCTION("""COMPUTED_VALUE"""),"location of congregation")</f>
        <v>location of congregation</v>
      </c>
      <c r="CF191" t="str">
        <f ca="1">IFERROR(__xludf.DUMMYFUNCTION("""COMPUTED_VALUE"""),"L0061")</f>
        <v>L0061</v>
      </c>
      <c r="CG191" t="str">
        <f ca="1">IFERROR(__xludf.DUMMYFUNCTION("""COMPUTED_VALUE"""),"domus Amedei de Combravino")</f>
        <v>domus Amedei de Combravino</v>
      </c>
      <c r="CI191" t="str">
        <f ca="1">IFERROR(__xludf.DUMMYFUNCTION("""COMPUTED_VALUE"""),"#VALUE!")</f>
        <v>#VALUE!</v>
      </c>
      <c r="CK191" t="str">
        <f ca="1">IFERROR(__xludf.DUMMYFUNCTION("""COMPUTED_VALUE"""),"#VALUE!")</f>
        <v>#VALUE!</v>
      </c>
      <c r="CR191" t="str">
        <f ca="1">IFERROR(__xludf.DUMMYFUNCTION("""COMPUTED_VALUE"""),"L0062")</f>
        <v>L0062</v>
      </c>
      <c r="CS191" t="str">
        <f ca="1">IFERROR(__xludf.DUMMYFUNCTION("""COMPUTED_VALUE"""),"Combravino")</f>
        <v>Combravino</v>
      </c>
      <c r="CU191" t="str">
        <f ca="1">IFERROR(__xludf.DUMMYFUNCTION("""COMPUTED_VALUE"""),"#VALUE!")</f>
        <v>#VALUE!</v>
      </c>
      <c r="CW191" t="str">
        <f ca="1">IFERROR(__xludf.DUMMYFUNCTION("""COMPUTED_VALUE"""),"#VALUE!")</f>
        <v>#VALUE!</v>
      </c>
      <c r="CY191" t="str">
        <f ca="1">IFERROR(__xludf.DUMMYFUNCTION("""COMPUTED_VALUE"""),"#VALUE!")</f>
        <v>#VALUE!</v>
      </c>
      <c r="DC191" t="str">
        <f ca="1">IFERROR(__xludf.DUMMYFUNCTION("""COMPUTED_VALUE"""),"#VALUE!")</f>
        <v>#VALUE!</v>
      </c>
      <c r="DE191" t="str">
        <f ca="1">IFERROR(__xludf.DUMMYFUNCTION("""COMPUTED_VALUE"""),"#VALUE!")</f>
        <v>#VALUE!</v>
      </c>
      <c r="DH191" t="str">
        <f ca="1">IFERROR(__xludf.DUMMYFUNCTION("""COMPUTED_VALUE"""),"L0061")</f>
        <v>L0061</v>
      </c>
      <c r="DI191" t="str">
        <f ca="1">IFERROR(__xludf.DUMMYFUNCTION("""COMPUTED_VALUE"""),"domus Amedei de Combravino")</f>
        <v>domus Amedei de Combravino</v>
      </c>
      <c r="DJ191" t="str">
        <f ca="1">IFERROR(__xludf.DUMMYFUNCTION("""COMPUTED_VALUE"""),"domus")</f>
        <v>domus</v>
      </c>
      <c r="DL191" t="str">
        <f ca="1">IFERROR(__xludf.DUMMYFUNCTION("""COMPUTED_VALUE"""),"Davor Salihović")</f>
        <v>Davor Salihović</v>
      </c>
    </row>
    <row r="192" spans="1:116" ht="13.2" x14ac:dyDescent="0.25">
      <c r="A192" t="str">
        <f ca="1">IFERROR(__xludf.DUMMYFUNCTION("""COMPUTED_VALUE"""),"P0196")</f>
        <v>P0196</v>
      </c>
      <c r="B192" t="str">
        <f ca="1">IFERROR(__xludf.DUMMYFUNCTION("""COMPUTED_VALUE"""),"Stephanus Vec")</f>
        <v>Stephanus Vec</v>
      </c>
      <c r="D192" t="str">
        <f ca="1">IFERROR(__xludf.DUMMYFUNCTION("""COMPUTED_VALUE"""),"#VALUE!")</f>
        <v>#VALUE!</v>
      </c>
      <c r="E192" t="str">
        <f ca="1">IFERROR(__xludf.DUMMYFUNCTION("""COMPUTED_VALUE"""),"Stephanus")</f>
        <v>Stephanus</v>
      </c>
      <c r="K192" t="str">
        <f ca="1">IFERROR(__xludf.DUMMYFUNCTION("""COMPUTED_VALUE"""),"Vec")</f>
        <v>Vec</v>
      </c>
      <c r="L192" t="str">
        <f ca="1">IFERROR(__xludf.DUMMYFUNCTION("""COMPUTED_VALUE"""),"Vec")</f>
        <v>Vec</v>
      </c>
      <c r="P192" t="str">
        <f ca="1">IFERROR(__xludf.DUMMYFUNCTION("""COMPUTED_VALUE"""),"Vet")</f>
        <v>Vet</v>
      </c>
      <c r="Q192" t="str">
        <f ca="1">IFERROR(__xludf.DUMMYFUNCTION("""COMPUTED_VALUE"""),"filius Rollandi Vec")</f>
        <v>filius Rollandi Vec</v>
      </c>
      <c r="S192" t="str">
        <f ca="1">IFERROR(__xludf.DUMMYFUNCTION("""COMPUTED_VALUE"""),"Latin")</f>
        <v>Latin</v>
      </c>
      <c r="T192" t="str">
        <f ca="1">IFERROR(__xludf.DUMMYFUNCTION("""COMPUTED_VALUE"""),"definite")</f>
        <v>definite</v>
      </c>
      <c r="U192" t="str">
        <f ca="1">IFERROR(__xludf.DUMMYFUNCTION("""COMPUTED_VALUE"""),"C2553")</f>
        <v>C2553</v>
      </c>
      <c r="V192" t="str">
        <f ca="1">IFERROR(__xludf.DUMMYFUNCTION("""COMPUTED_VALUE"""),"male")</f>
        <v>male</v>
      </c>
      <c r="Z192" t="str">
        <f ca="1">IFERROR(__xludf.DUMMYFUNCTION("""COMPUTED_VALUE"""),"177, 179, 180, 181, 182, 183, 184, 238, 251")</f>
        <v>177, 179, 180, 181, 182, 183, 184, 238, 251</v>
      </c>
      <c r="AA192" t="str">
        <f ca="1">IFERROR(__xludf.DUMMYFUNCTION("""COMPUTED_VALUE"""),"d")</f>
        <v>d</v>
      </c>
      <c r="AB192" t="str">
        <f ca="1">IFERROR(__xludf.DUMMYFUNCTION("""COMPUTED_VALUE"""),"suspect")</f>
        <v>suspect</v>
      </c>
      <c r="AD192" t="str">
        <f ca="1">IFERROR(__xludf.DUMMYFUNCTION("""COMPUTED_VALUE"""),"C3287")</f>
        <v>C3287</v>
      </c>
      <c r="AE192" t="str">
        <f ca="1">IFERROR(__xludf.DUMMYFUNCTION("""COMPUTED_VALUE"""),"alive")</f>
        <v>alive</v>
      </c>
      <c r="AF192" t="str">
        <f ca="1">IFERROR(__xludf.DUMMYFUNCTION("""COMPUTED_VALUE"""),"C1753")</f>
        <v>C1753</v>
      </c>
      <c r="AG192" t="str">
        <f ca="1">IFERROR(__xludf.DUMMYFUNCTION("""COMPUTED_VALUE"""),"1335-01-20")</f>
        <v>1335-01-20</v>
      </c>
      <c r="AH192" t="str">
        <f ca="1">IFERROR(__xludf.DUMMYFUNCTION("""COMPUTED_VALUE"""),"C2039")</f>
        <v>C2039</v>
      </c>
      <c r="AI192" t="str">
        <f ca="1">IFERROR(__xludf.DUMMYFUNCTION("""COMPUTED_VALUE"""),"kinperson")</f>
        <v>kinperson</v>
      </c>
      <c r="AJ192" t="str">
        <f ca="1">IFERROR(__xludf.DUMMYFUNCTION("""COMPUTED_VALUE"""),"G0021")</f>
        <v>G0021</v>
      </c>
      <c r="AK192" t="str">
        <f ca="1">IFERROR(__xludf.DUMMYFUNCTION("""COMPUTED_VALUE"""),"illi de domo Stephani Vet")</f>
        <v>illi de domo Stephani Vet</v>
      </c>
      <c r="AL192" t="str">
        <f ca="1">IFERROR(__xludf.DUMMYFUNCTION("""COMPUTED_VALUE"""),"C2337")</f>
        <v>C2337</v>
      </c>
      <c r="AM192" t="str">
        <f ca="1">IFERROR(__xludf.DUMMYFUNCTION("""COMPUTED_VALUE"""),"brother")</f>
        <v>brother</v>
      </c>
      <c r="AN192" t="str">
        <f ca="1">IFERROR(__xludf.DUMMYFUNCTION("""COMPUTED_VALUE"""),"P0201")</f>
        <v>P0201</v>
      </c>
      <c r="AO192" t="str">
        <f ca="1">IFERROR(__xludf.DUMMYFUNCTION("""COMPUTED_VALUE"""),"Bertholinus Vec")</f>
        <v>Bertholinus Vec</v>
      </c>
      <c r="AP192" t="str">
        <f ca="1">IFERROR(__xludf.DUMMYFUNCTION("""COMPUTED_VALUE"""),"C2337")</f>
        <v>C2337</v>
      </c>
      <c r="AQ192" t="str">
        <f ca="1">IFERROR(__xludf.DUMMYFUNCTION("""COMPUTED_VALUE"""),"brother")</f>
        <v>brother</v>
      </c>
      <c r="AR192" t="str">
        <f ca="1">IFERROR(__xludf.DUMMYFUNCTION("""COMPUTED_VALUE"""),"P0202")</f>
        <v>P0202</v>
      </c>
      <c r="AS192" t="str">
        <f ca="1">IFERROR(__xludf.DUMMYFUNCTION("""COMPUTED_VALUE"""),"Iacobinus Vec")</f>
        <v>Iacobinus Vec</v>
      </c>
      <c r="AT192" t="str">
        <f ca="1">IFERROR(__xludf.DUMMYFUNCTION("""COMPUTED_VALUE"""),"C0147")</f>
        <v>C0147</v>
      </c>
      <c r="AU192" t="str">
        <f ca="1">IFERROR(__xludf.DUMMYFUNCTION("""COMPUTED_VALUE"""),"warrantor")</f>
        <v>warrantor</v>
      </c>
      <c r="AV192" t="str">
        <f ca="1">IFERROR(__xludf.DUMMYFUNCTION("""COMPUTED_VALUE"""),"P0253")</f>
        <v>P0253</v>
      </c>
      <c r="AW192" t="str">
        <f ca="1">IFERROR(__xludf.DUMMYFUNCTION("""COMPUTED_VALUE"""),"Franciscus Lorenceti")</f>
        <v>Franciscus Lorenceti</v>
      </c>
      <c r="AY192" t="str">
        <f ca="1">IFERROR(__xludf.DUMMYFUNCTION("""COMPUTED_VALUE"""),"#VALUE!")</f>
        <v>#VALUE!</v>
      </c>
      <c r="BA192" t="str">
        <f ca="1">IFERROR(__xludf.DUMMYFUNCTION("""COMPUTED_VALUE"""),"#VALUE!")</f>
        <v>#VALUE!</v>
      </c>
      <c r="BC192" t="str">
        <f ca="1">IFERROR(__xludf.DUMMYFUNCTION("""COMPUTED_VALUE"""),"#VALUE!")</f>
        <v>#VALUE!</v>
      </c>
      <c r="BE192" t="str">
        <f ca="1">IFERROR(__xludf.DUMMYFUNCTION("""COMPUTED_VALUE"""),"#VALUE!")</f>
        <v>#VALUE!</v>
      </c>
      <c r="BG192" t="str">
        <f ca="1">IFERROR(__xludf.DUMMYFUNCTION("""COMPUTED_VALUE"""),"#VALUE!")</f>
        <v>#VALUE!</v>
      </c>
      <c r="BI192" t="str">
        <f ca="1">IFERROR(__xludf.DUMMYFUNCTION("""COMPUTED_VALUE"""),"#VALUE!")</f>
        <v>#VALUE!</v>
      </c>
      <c r="BK192" t="str">
        <f ca="1">IFERROR(__xludf.DUMMYFUNCTION("""COMPUTED_VALUE"""),"#VALUE!")</f>
        <v>#VALUE!</v>
      </c>
      <c r="BM192" t="str">
        <f ca="1">IFERROR(__xludf.DUMMYFUNCTION("""COMPUTED_VALUE"""),"#VALUE!")</f>
        <v>#VALUE!</v>
      </c>
      <c r="BO192" t="str">
        <f ca="1">IFERROR(__xludf.DUMMYFUNCTION("""COMPUTED_VALUE"""),"#VALUE!")</f>
        <v>#VALUE!</v>
      </c>
      <c r="BQ192" t="str">
        <f ca="1">IFERROR(__xludf.DUMMYFUNCTION("""COMPUTED_VALUE"""),"#VALUE!")</f>
        <v>#VALUE!</v>
      </c>
      <c r="BS192" t="str">
        <f ca="1">IFERROR(__xludf.DUMMYFUNCTION("""COMPUTED_VALUE"""),"#VALUE!")</f>
        <v>#VALUE!</v>
      </c>
      <c r="BU192" t="str">
        <f ca="1">IFERROR(__xludf.DUMMYFUNCTION("""COMPUTED_VALUE"""),"#VALUE!")</f>
        <v>#VALUE!</v>
      </c>
      <c r="BW192" t="str">
        <f ca="1">IFERROR(__xludf.DUMMYFUNCTION("""COMPUTED_VALUE"""),"#VALUE!")</f>
        <v>#VALUE!</v>
      </c>
      <c r="BY192" t="str">
        <f ca="1">IFERROR(__xludf.DUMMYFUNCTION("""COMPUTED_VALUE"""),"#VALUE!")</f>
        <v>#VALUE!</v>
      </c>
      <c r="CA192" t="str">
        <f ca="1">IFERROR(__xludf.DUMMYFUNCTION("""COMPUTED_VALUE"""),"#VALUE!")</f>
        <v>#VALUE!</v>
      </c>
      <c r="CC192" t="str">
        <f ca="1">IFERROR(__xludf.DUMMYFUNCTION("""COMPUTED_VALUE"""),"#VALUE!")</f>
        <v>#VALUE!</v>
      </c>
      <c r="CD192" t="str">
        <f ca="1">IFERROR(__xludf.DUMMYFUNCTION("""COMPUTED_VALUE"""),"C3598")</f>
        <v>C3598</v>
      </c>
      <c r="CE192" t="str">
        <f ca="1">IFERROR(__xludf.DUMMYFUNCTION("""COMPUTED_VALUE"""),"location of congregation")</f>
        <v>location of congregation</v>
      </c>
      <c r="CF192" t="str">
        <f ca="1">IFERROR(__xludf.DUMMYFUNCTION("""COMPUTED_VALUE"""),"L0061#L0064#L0074#L0077")</f>
        <v>L0061#L0064#L0074#L0077</v>
      </c>
      <c r="CG192" t="str">
        <f ca="1">IFERROR(__xludf.DUMMYFUNCTION("""COMPUTED_VALUE"""),"domus Amedei de Combravino #domus Stephani Vet #domus Vincentii #domus Margerite Borssete")</f>
        <v>domus Amedei de Combravino #domus Stephani Vet #domus Vincentii #domus Margerite Borssete</v>
      </c>
      <c r="CH192" t="str">
        <f ca="1">IFERROR(__xludf.DUMMYFUNCTION("""COMPUTED_VALUE"""),"P0253")</f>
        <v>P0253</v>
      </c>
      <c r="CI192" t="str">
        <f ca="1">IFERROR(__xludf.DUMMYFUNCTION("""COMPUTED_VALUE"""),"Franciscus Lorenceti")</f>
        <v>Franciscus Lorenceti</v>
      </c>
      <c r="CK192" t="str">
        <f ca="1">IFERROR(__xludf.DUMMYFUNCTION("""COMPUTED_VALUE"""),"#VALUE!")</f>
        <v>#VALUE!</v>
      </c>
      <c r="CO192" t="str">
        <f ca="1">IFERROR(__xludf.DUMMYFUNCTION("""COMPUTED_VALUE"""),"Vet")</f>
        <v>Vet</v>
      </c>
      <c r="CS192" t="str">
        <f ca="1">IFERROR(__xludf.DUMMYFUNCTION("""COMPUTED_VALUE"""),"#VALUE!")</f>
        <v>#VALUE!</v>
      </c>
      <c r="CU192" t="str">
        <f ca="1">IFERROR(__xludf.DUMMYFUNCTION("""COMPUTED_VALUE"""),"#VALUE!")</f>
        <v>#VALUE!</v>
      </c>
      <c r="CW192" t="str">
        <f ca="1">IFERROR(__xludf.DUMMYFUNCTION("""COMPUTED_VALUE"""),"#VALUE!")</f>
        <v>#VALUE!</v>
      </c>
      <c r="CY192" t="str">
        <f ca="1">IFERROR(__xludf.DUMMYFUNCTION("""COMPUTED_VALUE"""),"#VALUE!")</f>
        <v>#VALUE!</v>
      </c>
      <c r="DC192" t="str">
        <f ca="1">IFERROR(__xludf.DUMMYFUNCTION("""COMPUTED_VALUE"""),"#VALUE!")</f>
        <v>#VALUE!</v>
      </c>
      <c r="DE192" t="str">
        <f ca="1">IFERROR(__xludf.DUMMYFUNCTION("""COMPUTED_VALUE"""),"#VALUE!")</f>
        <v>#VALUE!</v>
      </c>
      <c r="DF192" t="str">
        <f ca="1">IFERROR(__xludf.DUMMYFUNCTION("""COMPUTED_VALUE"""),"y")</f>
        <v>y</v>
      </c>
      <c r="DG192" t="str">
        <f ca="1">IFERROR(__xludf.DUMMYFUNCTION("""COMPUTED_VALUE"""),"180, 183-184")</f>
        <v>180, 183-184</v>
      </c>
      <c r="DH192" t="str">
        <f ca="1">IFERROR(__xludf.DUMMYFUNCTION("""COMPUTED_VALUE"""),"L0061#L0064#L0074#L0077")</f>
        <v>L0061#L0064#L0074#L0077</v>
      </c>
      <c r="DI192" t="str">
        <f ca="1">IFERROR(__xludf.DUMMYFUNCTION("""COMPUTED_VALUE"""),"domus Amedei de Combravino #domus Stephani Vet #domus Vincentii #domus Margerite Borssete")</f>
        <v>domus Amedei de Combravino #domus Stephani Vet #domus Vincentii #domus Margerite Borssete</v>
      </c>
      <c r="DJ192" t="str">
        <f ca="1">IFERROR(__xludf.DUMMYFUNCTION("""COMPUTED_VALUE"""),"domus #domus #domus #domus")</f>
        <v>domus #domus #domus #domus</v>
      </c>
      <c r="DL192" t="str">
        <f ca="1">IFERROR(__xludf.DUMMYFUNCTION("""COMPUTED_VALUE"""),"Davor Salihović")</f>
        <v>Davor Salihović</v>
      </c>
    </row>
    <row r="193" spans="1:116" ht="13.2" x14ac:dyDescent="0.25">
      <c r="A193" t="str">
        <f ca="1">IFERROR(__xludf.DUMMYFUNCTION("""COMPUTED_VALUE"""),"P0197")</f>
        <v>P0197</v>
      </c>
      <c r="B193" t="str">
        <f ca="1">IFERROR(__xludf.DUMMYFUNCTION("""COMPUTED_VALUE"""),"Rollandus Vec")</f>
        <v>Rollandus Vec</v>
      </c>
      <c r="D193" t="str">
        <f ca="1">IFERROR(__xludf.DUMMYFUNCTION("""COMPUTED_VALUE"""),"#VALUE!")</f>
        <v>#VALUE!</v>
      </c>
      <c r="E193" t="str">
        <f ca="1">IFERROR(__xludf.DUMMYFUNCTION("""COMPUTED_VALUE"""),"Rollandus")</f>
        <v>Rollandus</v>
      </c>
      <c r="K193" t="str">
        <f ca="1">IFERROR(__xludf.DUMMYFUNCTION("""COMPUTED_VALUE"""),"Vec")</f>
        <v>Vec</v>
      </c>
      <c r="L193" t="str">
        <f ca="1">IFERROR(__xludf.DUMMYFUNCTION("""COMPUTED_VALUE"""),"Vec")</f>
        <v>Vec</v>
      </c>
      <c r="P193" t="str">
        <f ca="1">IFERROR(__xludf.DUMMYFUNCTION("""COMPUTED_VALUE"""),"Vet")</f>
        <v>Vet</v>
      </c>
      <c r="S193" t="str">
        <f ca="1">IFERROR(__xludf.DUMMYFUNCTION("""COMPUTED_VALUE"""),"Latin")</f>
        <v>Latin</v>
      </c>
      <c r="T193" t="str">
        <f ca="1">IFERROR(__xludf.DUMMYFUNCTION("""COMPUTED_VALUE"""),"definite")</f>
        <v>definite</v>
      </c>
      <c r="U193" t="str">
        <f ca="1">IFERROR(__xludf.DUMMYFUNCTION("""COMPUTED_VALUE"""),"C2553")</f>
        <v>C2553</v>
      </c>
      <c r="V193" t="str">
        <f ca="1">IFERROR(__xludf.DUMMYFUNCTION("""COMPUTED_VALUE"""),"male")</f>
        <v>male</v>
      </c>
      <c r="Z193" t="str">
        <f ca="1">IFERROR(__xludf.DUMMYFUNCTION("""COMPUTED_VALUE"""),"177, 179")</f>
        <v>177, 179</v>
      </c>
      <c r="AA193" t="str">
        <f ca="1">IFERROR(__xludf.DUMMYFUNCTION("""COMPUTED_VALUE"""),"o")</f>
        <v>o</v>
      </c>
      <c r="AB193" t="str">
        <f ca="1">IFERROR(__xludf.DUMMYFUNCTION("""COMPUTED_VALUE"""),"NA")</f>
        <v>NA</v>
      </c>
      <c r="AC193" t="str">
        <f ca="1">IFERROR(__xludf.DUMMYFUNCTION("""COMPUTED_VALUE"""),"y")</f>
        <v>y</v>
      </c>
      <c r="AD193" t="str">
        <f ca="1">IFERROR(__xludf.DUMMYFUNCTION("""COMPUTED_VALUE"""),"C3288")</f>
        <v>C3288</v>
      </c>
      <c r="AE193" t="str">
        <f ca="1">IFERROR(__xludf.DUMMYFUNCTION("""COMPUTED_VALUE"""),"dead")</f>
        <v>dead</v>
      </c>
      <c r="AF193" t="str">
        <f ca="1">IFERROR(__xludf.DUMMYFUNCTION("""COMPUTED_VALUE"""),"C1749")</f>
        <v>C1749</v>
      </c>
      <c r="AG193" t="str">
        <f ca="1">IFERROR(__xludf.DUMMYFUNCTION("""COMPUTED_VALUE"""),"1335-01-20")</f>
        <v>1335-01-20</v>
      </c>
      <c r="AH193" t="str">
        <f ca="1">IFERROR(__xludf.DUMMYFUNCTION("""COMPUTED_VALUE"""),"C2336")</f>
        <v>C2336</v>
      </c>
      <c r="AI193" t="str">
        <f ca="1">IFERROR(__xludf.DUMMYFUNCTION("""COMPUTED_VALUE"""),"son")</f>
        <v>son</v>
      </c>
      <c r="AJ193" t="str">
        <f ca="1">IFERROR(__xludf.DUMMYFUNCTION("""COMPUTED_VALUE"""),"P0196")</f>
        <v>P0196</v>
      </c>
      <c r="AK193" t="str">
        <f ca="1">IFERROR(__xludf.DUMMYFUNCTION("""COMPUTED_VALUE"""),"Stephanus Vec")</f>
        <v>Stephanus Vec</v>
      </c>
      <c r="AL193" t="str">
        <f ca="1">IFERROR(__xludf.DUMMYFUNCTION("""COMPUTED_VALUE"""),"C2336")</f>
        <v>C2336</v>
      </c>
      <c r="AM193" t="str">
        <f ca="1">IFERROR(__xludf.DUMMYFUNCTION("""COMPUTED_VALUE"""),"son")</f>
        <v>son</v>
      </c>
      <c r="AN193" t="str">
        <f ca="1">IFERROR(__xludf.DUMMYFUNCTION("""COMPUTED_VALUE"""),"P0202")</f>
        <v>P0202</v>
      </c>
      <c r="AO193" t="str">
        <f ca="1">IFERROR(__xludf.DUMMYFUNCTION("""COMPUTED_VALUE"""),"Iacobinus Vec")</f>
        <v>Iacobinus Vec</v>
      </c>
      <c r="AQ193" t="str">
        <f ca="1">IFERROR(__xludf.DUMMYFUNCTION("""COMPUTED_VALUE"""),"#VALUE!")</f>
        <v>#VALUE!</v>
      </c>
      <c r="AS193" t="str">
        <f ca="1">IFERROR(__xludf.DUMMYFUNCTION("""COMPUTED_VALUE"""),"#VALUE!")</f>
        <v>#VALUE!</v>
      </c>
      <c r="AU193" t="str">
        <f ca="1">IFERROR(__xludf.DUMMYFUNCTION("""COMPUTED_VALUE"""),"#VALUE!")</f>
        <v>#VALUE!</v>
      </c>
      <c r="AW193" t="str">
        <f ca="1">IFERROR(__xludf.DUMMYFUNCTION("""COMPUTED_VALUE"""),"#VALUE!")</f>
        <v>#VALUE!</v>
      </c>
      <c r="AY193" t="str">
        <f ca="1">IFERROR(__xludf.DUMMYFUNCTION("""COMPUTED_VALUE"""),"#VALUE!")</f>
        <v>#VALUE!</v>
      </c>
      <c r="BA193" t="str">
        <f ca="1">IFERROR(__xludf.DUMMYFUNCTION("""COMPUTED_VALUE"""),"#VALUE!")</f>
        <v>#VALUE!</v>
      </c>
      <c r="BC193" t="str">
        <f ca="1">IFERROR(__xludf.DUMMYFUNCTION("""COMPUTED_VALUE"""),"#VALUE!")</f>
        <v>#VALUE!</v>
      </c>
      <c r="BE193" t="str">
        <f ca="1">IFERROR(__xludf.DUMMYFUNCTION("""COMPUTED_VALUE"""),"#VALUE!")</f>
        <v>#VALUE!</v>
      </c>
      <c r="BG193" t="str">
        <f ca="1">IFERROR(__xludf.DUMMYFUNCTION("""COMPUTED_VALUE"""),"#VALUE!")</f>
        <v>#VALUE!</v>
      </c>
      <c r="BI193" t="str">
        <f ca="1">IFERROR(__xludf.DUMMYFUNCTION("""COMPUTED_VALUE"""),"#VALUE!")</f>
        <v>#VALUE!</v>
      </c>
      <c r="BK193" t="str">
        <f ca="1">IFERROR(__xludf.DUMMYFUNCTION("""COMPUTED_VALUE"""),"#VALUE!")</f>
        <v>#VALUE!</v>
      </c>
      <c r="BM193" t="str">
        <f ca="1">IFERROR(__xludf.DUMMYFUNCTION("""COMPUTED_VALUE"""),"#VALUE!")</f>
        <v>#VALUE!</v>
      </c>
      <c r="BO193" t="str">
        <f ca="1">IFERROR(__xludf.DUMMYFUNCTION("""COMPUTED_VALUE"""),"#VALUE!")</f>
        <v>#VALUE!</v>
      </c>
      <c r="BQ193" t="str">
        <f ca="1">IFERROR(__xludf.DUMMYFUNCTION("""COMPUTED_VALUE"""),"#VALUE!")</f>
        <v>#VALUE!</v>
      </c>
      <c r="BS193" t="str">
        <f ca="1">IFERROR(__xludf.DUMMYFUNCTION("""COMPUTED_VALUE"""),"#VALUE!")</f>
        <v>#VALUE!</v>
      </c>
      <c r="BU193" t="str">
        <f ca="1">IFERROR(__xludf.DUMMYFUNCTION("""COMPUTED_VALUE"""),"#VALUE!")</f>
        <v>#VALUE!</v>
      </c>
      <c r="BW193" t="str">
        <f ca="1">IFERROR(__xludf.DUMMYFUNCTION("""COMPUTED_VALUE"""),"#VALUE!")</f>
        <v>#VALUE!</v>
      </c>
      <c r="BY193" t="str">
        <f ca="1">IFERROR(__xludf.DUMMYFUNCTION("""COMPUTED_VALUE"""),"#VALUE!")</f>
        <v>#VALUE!</v>
      </c>
      <c r="CA193" t="str">
        <f ca="1">IFERROR(__xludf.DUMMYFUNCTION("""COMPUTED_VALUE"""),"#VALUE!")</f>
        <v>#VALUE!</v>
      </c>
      <c r="CC193" t="str">
        <f ca="1">IFERROR(__xludf.DUMMYFUNCTION("""COMPUTED_VALUE"""),"#VALUE!")</f>
        <v>#VALUE!</v>
      </c>
      <c r="CE193" t="str">
        <f ca="1">IFERROR(__xludf.DUMMYFUNCTION("""COMPUTED_VALUE"""),"#VALUE!")</f>
        <v>#VALUE!</v>
      </c>
      <c r="CG193" t="str">
        <f ca="1">IFERROR(__xludf.DUMMYFUNCTION("""COMPUTED_VALUE"""),"#VALUE!")</f>
        <v>#VALUE!</v>
      </c>
      <c r="CI193" t="str">
        <f ca="1">IFERROR(__xludf.DUMMYFUNCTION("""COMPUTED_VALUE"""),"#VALUE!")</f>
        <v>#VALUE!</v>
      </c>
      <c r="CK193" t="str">
        <f ca="1">IFERROR(__xludf.DUMMYFUNCTION("""COMPUTED_VALUE"""),"#VALUE!")</f>
        <v>#VALUE!</v>
      </c>
      <c r="CO193" t="str">
        <f ca="1">IFERROR(__xludf.DUMMYFUNCTION("""COMPUTED_VALUE"""),"Vet")</f>
        <v>Vet</v>
      </c>
      <c r="CS193" t="str">
        <f ca="1">IFERROR(__xludf.DUMMYFUNCTION("""COMPUTED_VALUE"""),"#VALUE!")</f>
        <v>#VALUE!</v>
      </c>
      <c r="CU193" t="str">
        <f ca="1">IFERROR(__xludf.DUMMYFUNCTION("""COMPUTED_VALUE"""),"#VALUE!")</f>
        <v>#VALUE!</v>
      </c>
      <c r="CW193" t="str">
        <f ca="1">IFERROR(__xludf.DUMMYFUNCTION("""COMPUTED_VALUE"""),"#VALUE!")</f>
        <v>#VALUE!</v>
      </c>
      <c r="CY193" t="str">
        <f ca="1">IFERROR(__xludf.DUMMYFUNCTION("""COMPUTED_VALUE"""),"#VALUE!")</f>
        <v>#VALUE!</v>
      </c>
      <c r="DC193" t="str">
        <f ca="1">IFERROR(__xludf.DUMMYFUNCTION("""COMPUTED_VALUE"""),"#VALUE!")</f>
        <v>#VALUE!</v>
      </c>
      <c r="DE193" t="str">
        <f ca="1">IFERROR(__xludf.DUMMYFUNCTION("""COMPUTED_VALUE"""),"#VALUE!")</f>
        <v>#VALUE!</v>
      </c>
      <c r="DI193" t="str">
        <f ca="1">IFERROR(__xludf.DUMMYFUNCTION("""COMPUTED_VALUE"""),"#VALUE!")</f>
        <v>#VALUE!</v>
      </c>
      <c r="DJ193" t="str">
        <f ca="1">IFERROR(__xludf.DUMMYFUNCTION("""COMPUTED_VALUE"""),"#VALUE!")</f>
        <v>#VALUE!</v>
      </c>
      <c r="DL193" t="str">
        <f ca="1">IFERROR(__xludf.DUMMYFUNCTION("""COMPUTED_VALUE"""),"Davor Salihović")</f>
        <v>Davor Salihović</v>
      </c>
    </row>
    <row r="194" spans="1:116" ht="13.2" x14ac:dyDescent="0.25">
      <c r="A194" t="str">
        <f ca="1">IFERROR(__xludf.DUMMYFUNCTION("""COMPUTED_VALUE"""),"P0198")</f>
        <v>P0198</v>
      </c>
      <c r="B194" t="str">
        <f ca="1">IFERROR(__xludf.DUMMYFUNCTION("""COMPUTED_VALUE"""),"Bonetus, frater Amedei de Conba Varino")</f>
        <v>Bonetus, frater Amedei de Conba Varino</v>
      </c>
      <c r="D194" t="str">
        <f ca="1">IFERROR(__xludf.DUMMYFUNCTION("""COMPUTED_VALUE"""),"#VALUE!")</f>
        <v>#VALUE!</v>
      </c>
      <c r="E194" t="str">
        <f ca="1">IFERROR(__xludf.DUMMYFUNCTION("""COMPUTED_VALUE"""),"Bonetus")</f>
        <v>Bonetus</v>
      </c>
      <c r="Q194" t="str">
        <f ca="1">IFERROR(__xludf.DUMMYFUNCTION("""COMPUTED_VALUE"""),"frater Amedei de Conba Varino")</f>
        <v>frater Amedei de Conba Varino</v>
      </c>
      <c r="S194" t="str">
        <f ca="1">IFERROR(__xludf.DUMMYFUNCTION("""COMPUTED_VALUE"""),"Latin")</f>
        <v>Latin</v>
      </c>
      <c r="T194" t="str">
        <f ca="1">IFERROR(__xludf.DUMMYFUNCTION("""COMPUTED_VALUE"""),"definite")</f>
        <v>definite</v>
      </c>
      <c r="U194" t="str">
        <f ca="1">IFERROR(__xludf.DUMMYFUNCTION("""COMPUTED_VALUE"""),"C2553")</f>
        <v>C2553</v>
      </c>
      <c r="V194" t="str">
        <f ca="1">IFERROR(__xludf.DUMMYFUNCTION("""COMPUTED_VALUE"""),"male")</f>
        <v>male</v>
      </c>
      <c r="Z194" t="str">
        <f ca="1">IFERROR(__xludf.DUMMYFUNCTION("""COMPUTED_VALUE"""),"177")</f>
        <v>177</v>
      </c>
      <c r="AA194" t="str">
        <f ca="1">IFERROR(__xludf.DUMMYFUNCTION("""COMPUTED_VALUE"""),"d")</f>
        <v>d</v>
      </c>
      <c r="AB194" t="str">
        <f ca="1">IFERROR(__xludf.DUMMYFUNCTION("""COMPUTED_VALUE"""),"suspect")</f>
        <v>suspect</v>
      </c>
      <c r="AE194" t="str">
        <f ca="1">IFERROR(__xludf.DUMMYFUNCTION("""COMPUTED_VALUE"""),"#VALUE!")</f>
        <v>#VALUE!</v>
      </c>
      <c r="AF194" t="str">
        <f ca="1">IFERROR(__xludf.DUMMYFUNCTION("""COMPUTED_VALUE"""),"#N/A")</f>
        <v>#N/A</v>
      </c>
      <c r="AG194" t="str">
        <f ca="1">IFERROR(__xludf.DUMMYFUNCTION("""COMPUTED_VALUE"""),"#N/A")</f>
        <v>#N/A</v>
      </c>
      <c r="AI194" t="str">
        <f ca="1">IFERROR(__xludf.DUMMYFUNCTION("""COMPUTED_VALUE"""),"#VALUE!")</f>
        <v>#VALUE!</v>
      </c>
      <c r="AK194" t="str">
        <f ca="1">IFERROR(__xludf.DUMMYFUNCTION("""COMPUTED_VALUE"""),"#VALUE!")</f>
        <v>#VALUE!</v>
      </c>
      <c r="AM194" t="str">
        <f ca="1">IFERROR(__xludf.DUMMYFUNCTION("""COMPUTED_VALUE"""),"#VALUE!")</f>
        <v>#VALUE!</v>
      </c>
      <c r="AO194" t="str">
        <f ca="1">IFERROR(__xludf.DUMMYFUNCTION("""COMPUTED_VALUE"""),"#VALUE!")</f>
        <v>#VALUE!</v>
      </c>
      <c r="AQ194" t="str">
        <f ca="1">IFERROR(__xludf.DUMMYFUNCTION("""COMPUTED_VALUE"""),"#VALUE!")</f>
        <v>#VALUE!</v>
      </c>
      <c r="AS194" t="str">
        <f ca="1">IFERROR(__xludf.DUMMYFUNCTION("""COMPUTED_VALUE"""),"#VALUE!")</f>
        <v>#VALUE!</v>
      </c>
      <c r="AU194" t="str">
        <f ca="1">IFERROR(__xludf.DUMMYFUNCTION("""COMPUTED_VALUE"""),"#VALUE!")</f>
        <v>#VALUE!</v>
      </c>
      <c r="AW194" t="str">
        <f ca="1">IFERROR(__xludf.DUMMYFUNCTION("""COMPUTED_VALUE"""),"#VALUE!")</f>
        <v>#VALUE!</v>
      </c>
      <c r="AY194" t="str">
        <f ca="1">IFERROR(__xludf.DUMMYFUNCTION("""COMPUTED_VALUE"""),"#VALUE!")</f>
        <v>#VALUE!</v>
      </c>
      <c r="BA194" t="str">
        <f ca="1">IFERROR(__xludf.DUMMYFUNCTION("""COMPUTED_VALUE"""),"#VALUE!")</f>
        <v>#VALUE!</v>
      </c>
      <c r="BC194" t="str">
        <f ca="1">IFERROR(__xludf.DUMMYFUNCTION("""COMPUTED_VALUE"""),"#VALUE!")</f>
        <v>#VALUE!</v>
      </c>
      <c r="BE194" t="str">
        <f ca="1">IFERROR(__xludf.DUMMYFUNCTION("""COMPUTED_VALUE"""),"#VALUE!")</f>
        <v>#VALUE!</v>
      </c>
      <c r="BG194" t="str">
        <f ca="1">IFERROR(__xludf.DUMMYFUNCTION("""COMPUTED_VALUE"""),"#VALUE!")</f>
        <v>#VALUE!</v>
      </c>
      <c r="BI194" t="str">
        <f ca="1">IFERROR(__xludf.DUMMYFUNCTION("""COMPUTED_VALUE"""),"#VALUE!")</f>
        <v>#VALUE!</v>
      </c>
      <c r="BK194" t="str">
        <f ca="1">IFERROR(__xludf.DUMMYFUNCTION("""COMPUTED_VALUE"""),"#VALUE!")</f>
        <v>#VALUE!</v>
      </c>
      <c r="BM194" t="str">
        <f ca="1">IFERROR(__xludf.DUMMYFUNCTION("""COMPUTED_VALUE"""),"#VALUE!")</f>
        <v>#VALUE!</v>
      </c>
      <c r="BO194" t="str">
        <f ca="1">IFERROR(__xludf.DUMMYFUNCTION("""COMPUTED_VALUE"""),"#VALUE!")</f>
        <v>#VALUE!</v>
      </c>
      <c r="BQ194" t="str">
        <f ca="1">IFERROR(__xludf.DUMMYFUNCTION("""COMPUTED_VALUE"""),"#VALUE!")</f>
        <v>#VALUE!</v>
      </c>
      <c r="BS194" t="str">
        <f ca="1">IFERROR(__xludf.DUMMYFUNCTION("""COMPUTED_VALUE"""),"#VALUE!")</f>
        <v>#VALUE!</v>
      </c>
      <c r="BU194" t="str">
        <f ca="1">IFERROR(__xludf.DUMMYFUNCTION("""COMPUTED_VALUE"""),"#VALUE!")</f>
        <v>#VALUE!</v>
      </c>
      <c r="BW194" t="str">
        <f ca="1">IFERROR(__xludf.DUMMYFUNCTION("""COMPUTED_VALUE"""),"#VALUE!")</f>
        <v>#VALUE!</v>
      </c>
      <c r="BY194" t="str">
        <f ca="1">IFERROR(__xludf.DUMMYFUNCTION("""COMPUTED_VALUE"""),"#VALUE!")</f>
        <v>#VALUE!</v>
      </c>
      <c r="CA194" t="str">
        <f ca="1">IFERROR(__xludf.DUMMYFUNCTION("""COMPUTED_VALUE"""),"#VALUE!")</f>
        <v>#VALUE!</v>
      </c>
      <c r="CC194" t="str">
        <f ca="1">IFERROR(__xludf.DUMMYFUNCTION("""COMPUTED_VALUE"""),"#VALUE!")</f>
        <v>#VALUE!</v>
      </c>
      <c r="CD194" t="str">
        <f ca="1">IFERROR(__xludf.DUMMYFUNCTION("""COMPUTED_VALUE"""),"C3598")</f>
        <v>C3598</v>
      </c>
      <c r="CE194" t="str">
        <f ca="1">IFERROR(__xludf.DUMMYFUNCTION("""COMPUTED_VALUE"""),"location of congregation")</f>
        <v>location of congregation</v>
      </c>
      <c r="CF194" t="str">
        <f ca="1">IFERROR(__xludf.DUMMYFUNCTION("""COMPUTED_VALUE"""),"L0061")</f>
        <v>L0061</v>
      </c>
      <c r="CG194" t="str">
        <f ca="1">IFERROR(__xludf.DUMMYFUNCTION("""COMPUTED_VALUE"""),"domus Amedei de Combravino")</f>
        <v>domus Amedei de Combravino</v>
      </c>
      <c r="CI194" t="str">
        <f ca="1">IFERROR(__xludf.DUMMYFUNCTION("""COMPUTED_VALUE"""),"#VALUE!")</f>
        <v>#VALUE!</v>
      </c>
      <c r="CK194" t="str">
        <f ca="1">IFERROR(__xludf.DUMMYFUNCTION("""COMPUTED_VALUE"""),"#VALUE!")</f>
        <v>#VALUE!</v>
      </c>
      <c r="CS194" t="str">
        <f ca="1">IFERROR(__xludf.DUMMYFUNCTION("""COMPUTED_VALUE"""),"#VALUE!")</f>
        <v>#VALUE!</v>
      </c>
      <c r="CU194" t="str">
        <f ca="1">IFERROR(__xludf.DUMMYFUNCTION("""COMPUTED_VALUE"""),"#VALUE!")</f>
        <v>#VALUE!</v>
      </c>
      <c r="CW194" t="str">
        <f ca="1">IFERROR(__xludf.DUMMYFUNCTION("""COMPUTED_VALUE"""),"#VALUE!")</f>
        <v>#VALUE!</v>
      </c>
      <c r="CY194" t="str">
        <f ca="1">IFERROR(__xludf.DUMMYFUNCTION("""COMPUTED_VALUE"""),"#VALUE!")</f>
        <v>#VALUE!</v>
      </c>
      <c r="DC194" t="str">
        <f ca="1">IFERROR(__xludf.DUMMYFUNCTION("""COMPUTED_VALUE"""),"#VALUE!")</f>
        <v>#VALUE!</v>
      </c>
      <c r="DE194" t="str">
        <f ca="1">IFERROR(__xludf.DUMMYFUNCTION("""COMPUTED_VALUE"""),"#VALUE!")</f>
        <v>#VALUE!</v>
      </c>
      <c r="DH194" t="str">
        <f ca="1">IFERROR(__xludf.DUMMYFUNCTION("""COMPUTED_VALUE"""),"L0061")</f>
        <v>L0061</v>
      </c>
      <c r="DI194" t="str">
        <f ca="1">IFERROR(__xludf.DUMMYFUNCTION("""COMPUTED_VALUE"""),"domus Amedei de Combravino")</f>
        <v>domus Amedei de Combravino</v>
      </c>
      <c r="DJ194" t="str">
        <f ca="1">IFERROR(__xludf.DUMMYFUNCTION("""COMPUTED_VALUE"""),"domus")</f>
        <v>domus</v>
      </c>
      <c r="DL194" t="str">
        <f ca="1">IFERROR(__xludf.DUMMYFUNCTION("""COMPUTED_VALUE"""),"Davor Salihović")</f>
        <v>Davor Salihović</v>
      </c>
    </row>
    <row r="195" spans="1:116" ht="13.2" x14ac:dyDescent="0.25">
      <c r="A195" t="str">
        <f ca="1">IFERROR(__xludf.DUMMYFUNCTION("""COMPUTED_VALUE"""),"P0199")</f>
        <v>P0199</v>
      </c>
      <c r="B195" t="str">
        <f ca="1">IFERROR(__xludf.DUMMYFUNCTION("""COMPUTED_VALUE"""),"Caterina")</f>
        <v>Caterina</v>
      </c>
      <c r="D195" t="str">
        <f ca="1">IFERROR(__xludf.DUMMYFUNCTION("""COMPUTED_VALUE"""),"#VALUE!")</f>
        <v>#VALUE!</v>
      </c>
      <c r="E195" t="str">
        <f ca="1">IFERROR(__xludf.DUMMYFUNCTION("""COMPUTED_VALUE"""),"Caterina")</f>
        <v>Caterina</v>
      </c>
      <c r="S195" t="str">
        <f ca="1">IFERROR(__xludf.DUMMYFUNCTION("""COMPUTED_VALUE"""),"Latin")</f>
        <v>Latin</v>
      </c>
      <c r="T195" t="str">
        <f ca="1">IFERROR(__xludf.DUMMYFUNCTION("""COMPUTED_VALUE"""),"indefinite")</f>
        <v>indefinite</v>
      </c>
      <c r="U195" t="str">
        <f ca="1">IFERROR(__xludf.DUMMYFUNCTION("""COMPUTED_VALUE"""),"C2552")</f>
        <v>C2552</v>
      </c>
      <c r="V195" t="str">
        <f ca="1">IFERROR(__xludf.DUMMYFUNCTION("""COMPUTED_VALUE"""),"female")</f>
        <v>female</v>
      </c>
      <c r="Z195" t="str">
        <f ca="1">IFERROR(__xludf.DUMMYFUNCTION("""COMPUTED_VALUE"""),"177")</f>
        <v>177</v>
      </c>
      <c r="AA195" t="str">
        <f ca="1">IFERROR(__xludf.DUMMYFUNCTION("""COMPUTED_VALUE"""),"d")</f>
        <v>d</v>
      </c>
      <c r="AB195" t="str">
        <f ca="1">IFERROR(__xludf.DUMMYFUNCTION("""COMPUTED_VALUE"""),"suspect")</f>
        <v>suspect</v>
      </c>
      <c r="AE195" t="str">
        <f ca="1">IFERROR(__xludf.DUMMYFUNCTION("""COMPUTED_VALUE"""),"#VALUE!")</f>
        <v>#VALUE!</v>
      </c>
      <c r="AF195" t="str">
        <f ca="1">IFERROR(__xludf.DUMMYFUNCTION("""COMPUTED_VALUE"""),"#N/A")</f>
        <v>#N/A</v>
      </c>
      <c r="AG195" t="str">
        <f ca="1">IFERROR(__xludf.DUMMYFUNCTION("""COMPUTED_VALUE"""),"#N/A")</f>
        <v>#N/A</v>
      </c>
      <c r="AI195" t="str">
        <f ca="1">IFERROR(__xludf.DUMMYFUNCTION("""COMPUTED_VALUE"""),"#VALUE!")</f>
        <v>#VALUE!</v>
      </c>
      <c r="AK195" t="str">
        <f ca="1">IFERROR(__xludf.DUMMYFUNCTION("""COMPUTED_VALUE"""),"#VALUE!")</f>
        <v>#VALUE!</v>
      </c>
      <c r="AM195" t="str">
        <f ca="1">IFERROR(__xludf.DUMMYFUNCTION("""COMPUTED_VALUE"""),"#VALUE!")</f>
        <v>#VALUE!</v>
      </c>
      <c r="AO195" t="str">
        <f ca="1">IFERROR(__xludf.DUMMYFUNCTION("""COMPUTED_VALUE"""),"#VALUE!")</f>
        <v>#VALUE!</v>
      </c>
      <c r="AQ195" t="str">
        <f ca="1">IFERROR(__xludf.DUMMYFUNCTION("""COMPUTED_VALUE"""),"#VALUE!")</f>
        <v>#VALUE!</v>
      </c>
      <c r="AS195" t="str">
        <f ca="1">IFERROR(__xludf.DUMMYFUNCTION("""COMPUTED_VALUE"""),"#VALUE!")</f>
        <v>#VALUE!</v>
      </c>
      <c r="AU195" t="str">
        <f ca="1">IFERROR(__xludf.DUMMYFUNCTION("""COMPUTED_VALUE"""),"#VALUE!")</f>
        <v>#VALUE!</v>
      </c>
      <c r="AW195" t="str">
        <f ca="1">IFERROR(__xludf.DUMMYFUNCTION("""COMPUTED_VALUE"""),"#VALUE!")</f>
        <v>#VALUE!</v>
      </c>
      <c r="AY195" t="str">
        <f ca="1">IFERROR(__xludf.DUMMYFUNCTION("""COMPUTED_VALUE"""),"#VALUE!")</f>
        <v>#VALUE!</v>
      </c>
      <c r="BA195" t="str">
        <f ca="1">IFERROR(__xludf.DUMMYFUNCTION("""COMPUTED_VALUE"""),"#VALUE!")</f>
        <v>#VALUE!</v>
      </c>
      <c r="BC195" t="str">
        <f ca="1">IFERROR(__xludf.DUMMYFUNCTION("""COMPUTED_VALUE"""),"#VALUE!")</f>
        <v>#VALUE!</v>
      </c>
      <c r="BE195" t="str">
        <f ca="1">IFERROR(__xludf.DUMMYFUNCTION("""COMPUTED_VALUE"""),"#VALUE!")</f>
        <v>#VALUE!</v>
      </c>
      <c r="BG195" t="str">
        <f ca="1">IFERROR(__xludf.DUMMYFUNCTION("""COMPUTED_VALUE"""),"#VALUE!")</f>
        <v>#VALUE!</v>
      </c>
      <c r="BI195" t="str">
        <f ca="1">IFERROR(__xludf.DUMMYFUNCTION("""COMPUTED_VALUE"""),"#VALUE!")</f>
        <v>#VALUE!</v>
      </c>
      <c r="BK195" t="str">
        <f ca="1">IFERROR(__xludf.DUMMYFUNCTION("""COMPUTED_VALUE"""),"#VALUE!")</f>
        <v>#VALUE!</v>
      </c>
      <c r="BM195" t="str">
        <f ca="1">IFERROR(__xludf.DUMMYFUNCTION("""COMPUTED_VALUE"""),"#VALUE!")</f>
        <v>#VALUE!</v>
      </c>
      <c r="BO195" t="str">
        <f ca="1">IFERROR(__xludf.DUMMYFUNCTION("""COMPUTED_VALUE"""),"#VALUE!")</f>
        <v>#VALUE!</v>
      </c>
      <c r="BQ195" t="str">
        <f ca="1">IFERROR(__xludf.DUMMYFUNCTION("""COMPUTED_VALUE"""),"#VALUE!")</f>
        <v>#VALUE!</v>
      </c>
      <c r="BS195" t="str">
        <f ca="1">IFERROR(__xludf.DUMMYFUNCTION("""COMPUTED_VALUE"""),"#VALUE!")</f>
        <v>#VALUE!</v>
      </c>
      <c r="BU195" t="str">
        <f ca="1">IFERROR(__xludf.DUMMYFUNCTION("""COMPUTED_VALUE"""),"#VALUE!")</f>
        <v>#VALUE!</v>
      </c>
      <c r="BW195" t="str">
        <f ca="1">IFERROR(__xludf.DUMMYFUNCTION("""COMPUTED_VALUE"""),"#VALUE!")</f>
        <v>#VALUE!</v>
      </c>
      <c r="BY195" t="str">
        <f ca="1">IFERROR(__xludf.DUMMYFUNCTION("""COMPUTED_VALUE"""),"#VALUE!")</f>
        <v>#VALUE!</v>
      </c>
      <c r="CA195" t="str">
        <f ca="1">IFERROR(__xludf.DUMMYFUNCTION("""COMPUTED_VALUE"""),"#VALUE!")</f>
        <v>#VALUE!</v>
      </c>
      <c r="CC195" t="str">
        <f ca="1">IFERROR(__xludf.DUMMYFUNCTION("""COMPUTED_VALUE"""),"#VALUE!")</f>
        <v>#VALUE!</v>
      </c>
      <c r="CD195" t="str">
        <f ca="1">IFERROR(__xludf.DUMMYFUNCTION("""COMPUTED_VALUE"""),"C3598")</f>
        <v>C3598</v>
      </c>
      <c r="CE195" t="str">
        <f ca="1">IFERROR(__xludf.DUMMYFUNCTION("""COMPUTED_VALUE"""),"location of congregation")</f>
        <v>location of congregation</v>
      </c>
      <c r="CF195" t="str">
        <f ca="1">IFERROR(__xludf.DUMMYFUNCTION("""COMPUTED_VALUE"""),"L0061")</f>
        <v>L0061</v>
      </c>
      <c r="CG195" t="str">
        <f ca="1">IFERROR(__xludf.DUMMYFUNCTION("""COMPUTED_VALUE"""),"domus Amedei de Combravino")</f>
        <v>domus Amedei de Combravino</v>
      </c>
      <c r="CI195" t="str">
        <f ca="1">IFERROR(__xludf.DUMMYFUNCTION("""COMPUTED_VALUE"""),"#VALUE!")</f>
        <v>#VALUE!</v>
      </c>
      <c r="CK195" t="str">
        <f ca="1">IFERROR(__xludf.DUMMYFUNCTION("""COMPUTED_VALUE"""),"#VALUE!")</f>
        <v>#VALUE!</v>
      </c>
      <c r="CS195" t="str">
        <f ca="1">IFERROR(__xludf.DUMMYFUNCTION("""COMPUTED_VALUE"""),"#VALUE!")</f>
        <v>#VALUE!</v>
      </c>
      <c r="CU195" t="str">
        <f ca="1">IFERROR(__xludf.DUMMYFUNCTION("""COMPUTED_VALUE"""),"#VALUE!")</f>
        <v>#VALUE!</v>
      </c>
      <c r="CV195" t="str">
        <f ca="1">IFERROR(__xludf.DUMMYFUNCTION("""COMPUTED_VALUE"""),"L0005")</f>
        <v>L0005</v>
      </c>
      <c r="CW195" t="str">
        <f ca="1">IFERROR(__xludf.DUMMYFUNCTION("""COMPUTED_VALUE"""),"Valgioie")</f>
        <v>Valgioie</v>
      </c>
      <c r="CY195" t="str">
        <f ca="1">IFERROR(__xludf.DUMMYFUNCTION("""COMPUTED_VALUE"""),"#VALUE!")</f>
        <v>#VALUE!</v>
      </c>
      <c r="DC195" t="str">
        <f ca="1">IFERROR(__xludf.DUMMYFUNCTION("""COMPUTED_VALUE"""),"#VALUE!")</f>
        <v>#VALUE!</v>
      </c>
      <c r="DE195" t="str">
        <f ca="1">IFERROR(__xludf.DUMMYFUNCTION("""COMPUTED_VALUE"""),"#VALUE!")</f>
        <v>#VALUE!</v>
      </c>
      <c r="DH195" t="str">
        <f ca="1">IFERROR(__xludf.DUMMYFUNCTION("""COMPUTED_VALUE"""),"L0061")</f>
        <v>L0061</v>
      </c>
      <c r="DI195" t="str">
        <f ca="1">IFERROR(__xludf.DUMMYFUNCTION("""COMPUTED_VALUE"""),"domus Amedei de Combravino")</f>
        <v>domus Amedei de Combravino</v>
      </c>
      <c r="DJ195" t="str">
        <f ca="1">IFERROR(__xludf.DUMMYFUNCTION("""COMPUTED_VALUE"""),"domus")</f>
        <v>domus</v>
      </c>
      <c r="DL195" t="str">
        <f ca="1">IFERROR(__xludf.DUMMYFUNCTION("""COMPUTED_VALUE"""),"Davor Salihović")</f>
        <v>Davor Salihović</v>
      </c>
    </row>
    <row r="196" spans="1:116" ht="13.2" x14ac:dyDescent="0.25">
      <c r="A196" t="str">
        <f ca="1">IFERROR(__xludf.DUMMYFUNCTION("""COMPUTED_VALUE"""),"P0200")</f>
        <v>P0200</v>
      </c>
      <c r="B196" t="str">
        <f ca="1">IFERROR(__xludf.DUMMYFUNCTION("""COMPUTED_VALUE"""),"mulier")</f>
        <v>mulier</v>
      </c>
      <c r="D196" t="str">
        <f ca="1">IFERROR(__xludf.DUMMYFUNCTION("""COMPUTED_VALUE"""),"#VALUE!")</f>
        <v>#VALUE!</v>
      </c>
      <c r="E196" t="str">
        <f ca="1">IFERROR(__xludf.DUMMYFUNCTION("""COMPUTED_VALUE"""),"mulier")</f>
        <v>mulier</v>
      </c>
      <c r="S196" t="str">
        <f ca="1">IFERROR(__xludf.DUMMYFUNCTION("""COMPUTED_VALUE"""),"Latin")</f>
        <v>Latin</v>
      </c>
      <c r="T196" t="str">
        <f ca="1">IFERROR(__xludf.DUMMYFUNCTION("""COMPUTED_VALUE"""),"indefinite")</f>
        <v>indefinite</v>
      </c>
      <c r="U196" t="str">
        <f ca="1">IFERROR(__xludf.DUMMYFUNCTION("""COMPUTED_VALUE"""),"C2552")</f>
        <v>C2552</v>
      </c>
      <c r="V196" t="str">
        <f ca="1">IFERROR(__xludf.DUMMYFUNCTION("""COMPUTED_VALUE"""),"female")</f>
        <v>female</v>
      </c>
      <c r="Z196" t="str">
        <f ca="1">IFERROR(__xludf.DUMMYFUNCTION("""COMPUTED_VALUE"""),"177")</f>
        <v>177</v>
      </c>
      <c r="AA196" t="str">
        <f ca="1">IFERROR(__xludf.DUMMYFUNCTION("""COMPUTED_VALUE"""),"d")</f>
        <v>d</v>
      </c>
      <c r="AB196" t="str">
        <f ca="1">IFERROR(__xludf.DUMMYFUNCTION("""COMPUTED_VALUE"""),"suspect")</f>
        <v>suspect</v>
      </c>
      <c r="AE196" t="str">
        <f ca="1">IFERROR(__xludf.DUMMYFUNCTION("""COMPUTED_VALUE"""),"#VALUE!")</f>
        <v>#VALUE!</v>
      </c>
      <c r="AF196" t="str">
        <f ca="1">IFERROR(__xludf.DUMMYFUNCTION("""COMPUTED_VALUE"""),"#N/A")</f>
        <v>#N/A</v>
      </c>
      <c r="AG196" t="str">
        <f ca="1">IFERROR(__xludf.DUMMYFUNCTION("""COMPUTED_VALUE"""),"#N/A")</f>
        <v>#N/A</v>
      </c>
      <c r="AI196" t="str">
        <f ca="1">IFERROR(__xludf.DUMMYFUNCTION("""COMPUTED_VALUE"""),"#VALUE!")</f>
        <v>#VALUE!</v>
      </c>
      <c r="AK196" t="str">
        <f ca="1">IFERROR(__xludf.DUMMYFUNCTION("""COMPUTED_VALUE"""),"#VALUE!")</f>
        <v>#VALUE!</v>
      </c>
      <c r="AM196" t="str">
        <f ca="1">IFERROR(__xludf.DUMMYFUNCTION("""COMPUTED_VALUE"""),"#VALUE!")</f>
        <v>#VALUE!</v>
      </c>
      <c r="AO196" t="str">
        <f ca="1">IFERROR(__xludf.DUMMYFUNCTION("""COMPUTED_VALUE"""),"#VALUE!")</f>
        <v>#VALUE!</v>
      </c>
      <c r="AQ196" t="str">
        <f ca="1">IFERROR(__xludf.DUMMYFUNCTION("""COMPUTED_VALUE"""),"#VALUE!")</f>
        <v>#VALUE!</v>
      </c>
      <c r="AS196" t="str">
        <f ca="1">IFERROR(__xludf.DUMMYFUNCTION("""COMPUTED_VALUE"""),"#VALUE!")</f>
        <v>#VALUE!</v>
      </c>
      <c r="AU196" t="str">
        <f ca="1">IFERROR(__xludf.DUMMYFUNCTION("""COMPUTED_VALUE"""),"#VALUE!")</f>
        <v>#VALUE!</v>
      </c>
      <c r="AW196" t="str">
        <f ca="1">IFERROR(__xludf.DUMMYFUNCTION("""COMPUTED_VALUE"""),"#VALUE!")</f>
        <v>#VALUE!</v>
      </c>
      <c r="AY196" t="str">
        <f ca="1">IFERROR(__xludf.DUMMYFUNCTION("""COMPUTED_VALUE"""),"#VALUE!")</f>
        <v>#VALUE!</v>
      </c>
      <c r="BA196" t="str">
        <f ca="1">IFERROR(__xludf.DUMMYFUNCTION("""COMPUTED_VALUE"""),"#VALUE!")</f>
        <v>#VALUE!</v>
      </c>
      <c r="BC196" t="str">
        <f ca="1">IFERROR(__xludf.DUMMYFUNCTION("""COMPUTED_VALUE"""),"#VALUE!")</f>
        <v>#VALUE!</v>
      </c>
      <c r="BE196" t="str">
        <f ca="1">IFERROR(__xludf.DUMMYFUNCTION("""COMPUTED_VALUE"""),"#VALUE!")</f>
        <v>#VALUE!</v>
      </c>
      <c r="BG196" t="str">
        <f ca="1">IFERROR(__xludf.DUMMYFUNCTION("""COMPUTED_VALUE"""),"#VALUE!")</f>
        <v>#VALUE!</v>
      </c>
      <c r="BI196" t="str">
        <f ca="1">IFERROR(__xludf.DUMMYFUNCTION("""COMPUTED_VALUE"""),"#VALUE!")</f>
        <v>#VALUE!</v>
      </c>
      <c r="BK196" t="str">
        <f ca="1">IFERROR(__xludf.DUMMYFUNCTION("""COMPUTED_VALUE"""),"#VALUE!")</f>
        <v>#VALUE!</v>
      </c>
      <c r="BM196" t="str">
        <f ca="1">IFERROR(__xludf.DUMMYFUNCTION("""COMPUTED_VALUE"""),"#VALUE!")</f>
        <v>#VALUE!</v>
      </c>
      <c r="BO196" t="str">
        <f ca="1">IFERROR(__xludf.DUMMYFUNCTION("""COMPUTED_VALUE"""),"#VALUE!")</f>
        <v>#VALUE!</v>
      </c>
      <c r="BQ196" t="str">
        <f ca="1">IFERROR(__xludf.DUMMYFUNCTION("""COMPUTED_VALUE"""),"#VALUE!")</f>
        <v>#VALUE!</v>
      </c>
      <c r="BS196" t="str">
        <f ca="1">IFERROR(__xludf.DUMMYFUNCTION("""COMPUTED_VALUE"""),"#VALUE!")</f>
        <v>#VALUE!</v>
      </c>
      <c r="BU196" t="str">
        <f ca="1">IFERROR(__xludf.DUMMYFUNCTION("""COMPUTED_VALUE"""),"#VALUE!")</f>
        <v>#VALUE!</v>
      </c>
      <c r="BW196" t="str">
        <f ca="1">IFERROR(__xludf.DUMMYFUNCTION("""COMPUTED_VALUE"""),"#VALUE!")</f>
        <v>#VALUE!</v>
      </c>
      <c r="BY196" t="str">
        <f ca="1">IFERROR(__xludf.DUMMYFUNCTION("""COMPUTED_VALUE"""),"#VALUE!")</f>
        <v>#VALUE!</v>
      </c>
      <c r="CA196" t="str">
        <f ca="1">IFERROR(__xludf.DUMMYFUNCTION("""COMPUTED_VALUE"""),"#VALUE!")</f>
        <v>#VALUE!</v>
      </c>
      <c r="CC196" t="str">
        <f ca="1">IFERROR(__xludf.DUMMYFUNCTION("""COMPUTED_VALUE"""),"#VALUE!")</f>
        <v>#VALUE!</v>
      </c>
      <c r="CD196" t="str">
        <f ca="1">IFERROR(__xludf.DUMMYFUNCTION("""COMPUTED_VALUE"""),"C3598")</f>
        <v>C3598</v>
      </c>
      <c r="CE196" t="str">
        <f ca="1">IFERROR(__xludf.DUMMYFUNCTION("""COMPUTED_VALUE"""),"location of congregation")</f>
        <v>location of congregation</v>
      </c>
      <c r="CF196" t="str">
        <f ca="1">IFERROR(__xludf.DUMMYFUNCTION("""COMPUTED_VALUE"""),"L0061")</f>
        <v>L0061</v>
      </c>
      <c r="CG196" t="str">
        <f ca="1">IFERROR(__xludf.DUMMYFUNCTION("""COMPUTED_VALUE"""),"domus Amedei de Combravino")</f>
        <v>domus Amedei de Combravino</v>
      </c>
      <c r="CI196" t="str">
        <f ca="1">IFERROR(__xludf.DUMMYFUNCTION("""COMPUTED_VALUE"""),"#VALUE!")</f>
        <v>#VALUE!</v>
      </c>
      <c r="CK196" t="str">
        <f ca="1">IFERROR(__xludf.DUMMYFUNCTION("""COMPUTED_VALUE"""),"#VALUE!")</f>
        <v>#VALUE!</v>
      </c>
      <c r="CS196" t="str">
        <f ca="1">IFERROR(__xludf.DUMMYFUNCTION("""COMPUTED_VALUE"""),"#VALUE!")</f>
        <v>#VALUE!</v>
      </c>
      <c r="CU196" t="str">
        <f ca="1">IFERROR(__xludf.DUMMYFUNCTION("""COMPUTED_VALUE"""),"#VALUE!")</f>
        <v>#VALUE!</v>
      </c>
      <c r="CV196" t="str">
        <f ca="1">IFERROR(__xludf.DUMMYFUNCTION("""COMPUTED_VALUE"""),"L0005")</f>
        <v>L0005</v>
      </c>
      <c r="CW196" t="str">
        <f ca="1">IFERROR(__xludf.DUMMYFUNCTION("""COMPUTED_VALUE"""),"Valgioie")</f>
        <v>Valgioie</v>
      </c>
      <c r="CY196" t="str">
        <f ca="1">IFERROR(__xludf.DUMMYFUNCTION("""COMPUTED_VALUE"""),"#VALUE!")</f>
        <v>#VALUE!</v>
      </c>
      <c r="DC196" t="str">
        <f ca="1">IFERROR(__xludf.DUMMYFUNCTION("""COMPUTED_VALUE"""),"#VALUE!")</f>
        <v>#VALUE!</v>
      </c>
      <c r="DE196" t="str">
        <f ca="1">IFERROR(__xludf.DUMMYFUNCTION("""COMPUTED_VALUE"""),"#VALUE!")</f>
        <v>#VALUE!</v>
      </c>
      <c r="DH196" t="str">
        <f ca="1">IFERROR(__xludf.DUMMYFUNCTION("""COMPUTED_VALUE"""),"L0061")</f>
        <v>L0061</v>
      </c>
      <c r="DI196" t="str">
        <f ca="1">IFERROR(__xludf.DUMMYFUNCTION("""COMPUTED_VALUE"""),"domus Amedei de Combravino")</f>
        <v>domus Amedei de Combravino</v>
      </c>
      <c r="DJ196" t="str">
        <f ca="1">IFERROR(__xludf.DUMMYFUNCTION("""COMPUTED_VALUE"""),"domus")</f>
        <v>domus</v>
      </c>
      <c r="DL196" t="str">
        <f ca="1">IFERROR(__xludf.DUMMYFUNCTION("""COMPUTED_VALUE"""),"Davor Salihović")</f>
        <v>Davor Salihović</v>
      </c>
    </row>
    <row r="197" spans="1:116" ht="13.2" x14ac:dyDescent="0.25">
      <c r="A197" t="str">
        <f ca="1">IFERROR(__xludf.DUMMYFUNCTION("""COMPUTED_VALUE"""),"P0201")</f>
        <v>P0201</v>
      </c>
      <c r="B197" t="str">
        <f ca="1">IFERROR(__xludf.DUMMYFUNCTION("""COMPUTED_VALUE"""),"Bertholinus Vec")</f>
        <v>Bertholinus Vec</v>
      </c>
      <c r="D197" t="str">
        <f ca="1">IFERROR(__xludf.DUMMYFUNCTION("""COMPUTED_VALUE"""),"#VALUE!")</f>
        <v>#VALUE!</v>
      </c>
      <c r="E197" t="str">
        <f ca="1">IFERROR(__xludf.DUMMYFUNCTION("""COMPUTED_VALUE"""),"Bertholinus")</f>
        <v>Bertholinus</v>
      </c>
      <c r="K197" t="str">
        <f ca="1">IFERROR(__xludf.DUMMYFUNCTION("""COMPUTED_VALUE"""),"Vec")</f>
        <v>Vec</v>
      </c>
      <c r="L197" t="str">
        <f ca="1">IFERROR(__xludf.DUMMYFUNCTION("""COMPUTED_VALUE"""),"Vec")</f>
        <v>Vec</v>
      </c>
      <c r="S197" t="str">
        <f ca="1">IFERROR(__xludf.DUMMYFUNCTION("""COMPUTED_VALUE"""),"Latin")</f>
        <v>Latin</v>
      </c>
      <c r="T197" t="str">
        <f ca="1">IFERROR(__xludf.DUMMYFUNCTION("""COMPUTED_VALUE"""),"definite")</f>
        <v>definite</v>
      </c>
      <c r="U197" t="str">
        <f ca="1">IFERROR(__xludf.DUMMYFUNCTION("""COMPUTED_VALUE"""),"C2553")</f>
        <v>C2553</v>
      </c>
      <c r="V197" t="str">
        <f ca="1">IFERROR(__xludf.DUMMYFUNCTION("""COMPUTED_VALUE"""),"male")</f>
        <v>male</v>
      </c>
      <c r="Z197" t="str">
        <f ca="1">IFERROR(__xludf.DUMMYFUNCTION("""COMPUTED_VALUE"""),"177")</f>
        <v>177</v>
      </c>
      <c r="AA197" t="str">
        <f ca="1">IFERROR(__xludf.DUMMYFUNCTION("""COMPUTED_VALUE"""),"d")</f>
        <v>d</v>
      </c>
      <c r="AB197" t="str">
        <f ca="1">IFERROR(__xludf.DUMMYFUNCTION("""COMPUTED_VALUE"""),"suspect")</f>
        <v>suspect</v>
      </c>
      <c r="AE197" t="str">
        <f ca="1">IFERROR(__xludf.DUMMYFUNCTION("""COMPUTED_VALUE"""),"#VALUE!")</f>
        <v>#VALUE!</v>
      </c>
      <c r="AF197" t="str">
        <f ca="1">IFERROR(__xludf.DUMMYFUNCTION("""COMPUTED_VALUE"""),"#N/A")</f>
        <v>#N/A</v>
      </c>
      <c r="AG197" t="str">
        <f ca="1">IFERROR(__xludf.DUMMYFUNCTION("""COMPUTED_VALUE"""),"#N/A")</f>
        <v>#N/A</v>
      </c>
      <c r="AH197" t="str">
        <f ca="1">IFERROR(__xludf.DUMMYFUNCTION("""COMPUTED_VALUE"""),"C2348")</f>
        <v>C2348</v>
      </c>
      <c r="AI197" t="str">
        <f ca="1">IFERROR(__xludf.DUMMYFUNCTION("""COMPUTED_VALUE"""),"wife")</f>
        <v>wife</v>
      </c>
      <c r="AJ197" t="str">
        <f ca="1">IFERROR(__xludf.DUMMYFUNCTION("""COMPUTED_VALUE"""),"P0204")</f>
        <v>P0204</v>
      </c>
      <c r="AK197" t="str">
        <f ca="1">IFERROR(__xludf.DUMMYFUNCTION("""COMPUTED_VALUE"""),"uxor Bertholini Vec")</f>
        <v>uxor Bertholini Vec</v>
      </c>
      <c r="AM197" t="str">
        <f ca="1">IFERROR(__xludf.DUMMYFUNCTION("""COMPUTED_VALUE"""),"#VALUE!")</f>
        <v>#VALUE!</v>
      </c>
      <c r="AO197" t="str">
        <f ca="1">IFERROR(__xludf.DUMMYFUNCTION("""COMPUTED_VALUE"""),"#VALUE!")</f>
        <v>#VALUE!</v>
      </c>
      <c r="AQ197" t="str">
        <f ca="1">IFERROR(__xludf.DUMMYFUNCTION("""COMPUTED_VALUE"""),"#VALUE!")</f>
        <v>#VALUE!</v>
      </c>
      <c r="AS197" t="str">
        <f ca="1">IFERROR(__xludf.DUMMYFUNCTION("""COMPUTED_VALUE"""),"#VALUE!")</f>
        <v>#VALUE!</v>
      </c>
      <c r="AU197" t="str">
        <f ca="1">IFERROR(__xludf.DUMMYFUNCTION("""COMPUTED_VALUE"""),"#VALUE!")</f>
        <v>#VALUE!</v>
      </c>
      <c r="AW197" t="str">
        <f ca="1">IFERROR(__xludf.DUMMYFUNCTION("""COMPUTED_VALUE"""),"#VALUE!")</f>
        <v>#VALUE!</v>
      </c>
      <c r="AY197" t="str">
        <f ca="1">IFERROR(__xludf.DUMMYFUNCTION("""COMPUTED_VALUE"""),"#VALUE!")</f>
        <v>#VALUE!</v>
      </c>
      <c r="BA197" t="str">
        <f ca="1">IFERROR(__xludf.DUMMYFUNCTION("""COMPUTED_VALUE"""),"#VALUE!")</f>
        <v>#VALUE!</v>
      </c>
      <c r="BC197" t="str">
        <f ca="1">IFERROR(__xludf.DUMMYFUNCTION("""COMPUTED_VALUE"""),"#VALUE!")</f>
        <v>#VALUE!</v>
      </c>
      <c r="BE197" t="str">
        <f ca="1">IFERROR(__xludf.DUMMYFUNCTION("""COMPUTED_VALUE"""),"#VALUE!")</f>
        <v>#VALUE!</v>
      </c>
      <c r="BG197" t="str">
        <f ca="1">IFERROR(__xludf.DUMMYFUNCTION("""COMPUTED_VALUE"""),"#VALUE!")</f>
        <v>#VALUE!</v>
      </c>
      <c r="BI197" t="str">
        <f ca="1">IFERROR(__xludf.DUMMYFUNCTION("""COMPUTED_VALUE"""),"#VALUE!")</f>
        <v>#VALUE!</v>
      </c>
      <c r="BK197" t="str">
        <f ca="1">IFERROR(__xludf.DUMMYFUNCTION("""COMPUTED_VALUE"""),"#VALUE!")</f>
        <v>#VALUE!</v>
      </c>
      <c r="BM197" t="str">
        <f ca="1">IFERROR(__xludf.DUMMYFUNCTION("""COMPUTED_VALUE"""),"#VALUE!")</f>
        <v>#VALUE!</v>
      </c>
      <c r="BO197" t="str">
        <f ca="1">IFERROR(__xludf.DUMMYFUNCTION("""COMPUTED_VALUE"""),"#VALUE!")</f>
        <v>#VALUE!</v>
      </c>
      <c r="BQ197" t="str">
        <f ca="1">IFERROR(__xludf.DUMMYFUNCTION("""COMPUTED_VALUE"""),"#VALUE!")</f>
        <v>#VALUE!</v>
      </c>
      <c r="BS197" t="str">
        <f ca="1">IFERROR(__xludf.DUMMYFUNCTION("""COMPUTED_VALUE"""),"#VALUE!")</f>
        <v>#VALUE!</v>
      </c>
      <c r="BU197" t="str">
        <f ca="1">IFERROR(__xludf.DUMMYFUNCTION("""COMPUTED_VALUE"""),"#VALUE!")</f>
        <v>#VALUE!</v>
      </c>
      <c r="BW197" t="str">
        <f ca="1">IFERROR(__xludf.DUMMYFUNCTION("""COMPUTED_VALUE"""),"#VALUE!")</f>
        <v>#VALUE!</v>
      </c>
      <c r="BY197" t="str">
        <f ca="1">IFERROR(__xludf.DUMMYFUNCTION("""COMPUTED_VALUE"""),"#VALUE!")</f>
        <v>#VALUE!</v>
      </c>
      <c r="CA197" t="str">
        <f ca="1">IFERROR(__xludf.DUMMYFUNCTION("""COMPUTED_VALUE"""),"#VALUE!")</f>
        <v>#VALUE!</v>
      </c>
      <c r="CC197" t="str">
        <f ca="1">IFERROR(__xludf.DUMMYFUNCTION("""COMPUTED_VALUE"""),"#VALUE!")</f>
        <v>#VALUE!</v>
      </c>
      <c r="CD197" t="str">
        <f ca="1">IFERROR(__xludf.DUMMYFUNCTION("""COMPUTED_VALUE"""),"C3598")</f>
        <v>C3598</v>
      </c>
      <c r="CE197" t="str">
        <f ca="1">IFERROR(__xludf.DUMMYFUNCTION("""COMPUTED_VALUE"""),"location of congregation")</f>
        <v>location of congregation</v>
      </c>
      <c r="CF197" t="str">
        <f ca="1">IFERROR(__xludf.DUMMYFUNCTION("""COMPUTED_VALUE"""),"L0064")</f>
        <v>L0064</v>
      </c>
      <c r="CG197" t="str">
        <f ca="1">IFERROR(__xludf.DUMMYFUNCTION("""COMPUTED_VALUE"""),"domus Stephani Vet")</f>
        <v>domus Stephani Vet</v>
      </c>
      <c r="CI197" t="str">
        <f ca="1">IFERROR(__xludf.DUMMYFUNCTION("""COMPUTED_VALUE"""),"#VALUE!")</f>
        <v>#VALUE!</v>
      </c>
      <c r="CK197" t="str">
        <f ca="1">IFERROR(__xludf.DUMMYFUNCTION("""COMPUTED_VALUE"""),"#VALUE!")</f>
        <v>#VALUE!</v>
      </c>
      <c r="CS197" t="str">
        <f ca="1">IFERROR(__xludf.DUMMYFUNCTION("""COMPUTED_VALUE"""),"#VALUE!")</f>
        <v>#VALUE!</v>
      </c>
      <c r="CU197" t="str">
        <f ca="1">IFERROR(__xludf.DUMMYFUNCTION("""COMPUTED_VALUE"""),"#VALUE!")</f>
        <v>#VALUE!</v>
      </c>
      <c r="CW197" t="str">
        <f ca="1">IFERROR(__xludf.DUMMYFUNCTION("""COMPUTED_VALUE"""),"#VALUE!")</f>
        <v>#VALUE!</v>
      </c>
      <c r="CY197" t="str">
        <f ca="1">IFERROR(__xludf.DUMMYFUNCTION("""COMPUTED_VALUE"""),"#VALUE!")</f>
        <v>#VALUE!</v>
      </c>
      <c r="DC197" t="str">
        <f ca="1">IFERROR(__xludf.DUMMYFUNCTION("""COMPUTED_VALUE"""),"#VALUE!")</f>
        <v>#VALUE!</v>
      </c>
      <c r="DE197" t="str">
        <f ca="1">IFERROR(__xludf.DUMMYFUNCTION("""COMPUTED_VALUE"""),"#VALUE!")</f>
        <v>#VALUE!</v>
      </c>
      <c r="DH197" t="str">
        <f ca="1">IFERROR(__xludf.DUMMYFUNCTION("""COMPUTED_VALUE"""),"L0064")</f>
        <v>L0064</v>
      </c>
      <c r="DI197" t="str">
        <f ca="1">IFERROR(__xludf.DUMMYFUNCTION("""COMPUTED_VALUE"""),"domus Stephani Vet")</f>
        <v>domus Stephani Vet</v>
      </c>
      <c r="DJ197" t="str">
        <f ca="1">IFERROR(__xludf.DUMMYFUNCTION("""COMPUTED_VALUE"""),"domus")</f>
        <v>domus</v>
      </c>
      <c r="DL197" t="str">
        <f ca="1">IFERROR(__xludf.DUMMYFUNCTION("""COMPUTED_VALUE"""),"Davor Salihović")</f>
        <v>Davor Salihović</v>
      </c>
    </row>
    <row r="198" spans="1:116" ht="13.2" x14ac:dyDescent="0.25">
      <c r="A198" t="str">
        <f ca="1">IFERROR(__xludf.DUMMYFUNCTION("""COMPUTED_VALUE"""),"P0202")</f>
        <v>P0202</v>
      </c>
      <c r="B198" t="str">
        <f ca="1">IFERROR(__xludf.DUMMYFUNCTION("""COMPUTED_VALUE"""),"Iacobinus Vec")</f>
        <v>Iacobinus Vec</v>
      </c>
      <c r="D198" t="str">
        <f ca="1">IFERROR(__xludf.DUMMYFUNCTION("""COMPUTED_VALUE"""),"#VALUE!")</f>
        <v>#VALUE!</v>
      </c>
      <c r="E198" t="str">
        <f ca="1">IFERROR(__xludf.DUMMYFUNCTION("""COMPUTED_VALUE"""),"Iacobinus")</f>
        <v>Iacobinus</v>
      </c>
      <c r="K198" t="str">
        <f ca="1">IFERROR(__xludf.DUMMYFUNCTION("""COMPUTED_VALUE"""),"Vec")</f>
        <v>Vec</v>
      </c>
      <c r="L198" t="str">
        <f ca="1">IFERROR(__xludf.DUMMYFUNCTION("""COMPUTED_VALUE"""),"Vec")</f>
        <v>Vec</v>
      </c>
      <c r="P198" t="str">
        <f ca="1">IFERROR(__xludf.DUMMYFUNCTION("""COMPUTED_VALUE"""),"Vet")</f>
        <v>Vet</v>
      </c>
      <c r="S198" t="str">
        <f ca="1">IFERROR(__xludf.DUMMYFUNCTION("""COMPUTED_VALUE"""),"Latin")</f>
        <v>Latin</v>
      </c>
      <c r="T198" t="str">
        <f ca="1">IFERROR(__xludf.DUMMYFUNCTION("""COMPUTED_VALUE"""),"definite")</f>
        <v>definite</v>
      </c>
      <c r="U198" t="str">
        <f ca="1">IFERROR(__xludf.DUMMYFUNCTION("""COMPUTED_VALUE"""),"C2553")</f>
        <v>C2553</v>
      </c>
      <c r="V198" t="str">
        <f ca="1">IFERROR(__xludf.DUMMYFUNCTION("""COMPUTED_VALUE"""),"male")</f>
        <v>male</v>
      </c>
      <c r="Z198" t="str">
        <f ca="1">IFERROR(__xludf.DUMMYFUNCTION("""COMPUTED_VALUE"""),"177, 179, 181")</f>
        <v>177, 179, 181</v>
      </c>
      <c r="AA198" t="str">
        <f ca="1">IFERROR(__xludf.DUMMYFUNCTION("""COMPUTED_VALUE"""),"d")</f>
        <v>d</v>
      </c>
      <c r="AB198" t="str">
        <f ca="1">IFERROR(__xludf.DUMMYFUNCTION("""COMPUTED_VALUE"""),"suspect")</f>
        <v>suspect</v>
      </c>
      <c r="AD198" t="str">
        <f ca="1">IFERROR(__xludf.DUMMYFUNCTION("""COMPUTED_VALUE"""),"C3287")</f>
        <v>C3287</v>
      </c>
      <c r="AE198" t="str">
        <f ca="1">IFERROR(__xludf.DUMMYFUNCTION("""COMPUTED_VALUE"""),"alive")</f>
        <v>alive</v>
      </c>
      <c r="AF198" t="str">
        <f ca="1">IFERROR(__xludf.DUMMYFUNCTION("""COMPUTED_VALUE"""),"C1753")</f>
        <v>C1753</v>
      </c>
      <c r="AG198" t="str">
        <f ca="1">IFERROR(__xludf.DUMMYFUNCTION("""COMPUTED_VALUE"""),"1335-01-20")</f>
        <v>1335-01-20</v>
      </c>
      <c r="AI198" t="str">
        <f ca="1">IFERROR(__xludf.DUMMYFUNCTION("""COMPUTED_VALUE"""),"#VALUE!")</f>
        <v>#VALUE!</v>
      </c>
      <c r="AK198" t="str">
        <f ca="1">IFERROR(__xludf.DUMMYFUNCTION("""COMPUTED_VALUE"""),"#VALUE!")</f>
        <v>#VALUE!</v>
      </c>
      <c r="AL198" t="str">
        <f ca="1">IFERROR(__xludf.DUMMYFUNCTION("""COMPUTED_VALUE"""),"C2348")</f>
        <v>C2348</v>
      </c>
      <c r="AM198" t="str">
        <f ca="1">IFERROR(__xludf.DUMMYFUNCTION("""COMPUTED_VALUE"""),"wife")</f>
        <v>wife</v>
      </c>
      <c r="AN198" t="str">
        <f ca="1">IFERROR(__xludf.DUMMYFUNCTION("""COMPUTED_VALUE"""),"P0205")</f>
        <v>P0205</v>
      </c>
      <c r="AO198" t="str">
        <f ca="1">IFERROR(__xludf.DUMMYFUNCTION("""COMPUTED_VALUE"""),"uxor Iacobini Vec")</f>
        <v>uxor Iacobini Vec</v>
      </c>
      <c r="AP198" t="str">
        <f ca="1">IFERROR(__xludf.DUMMYFUNCTION("""COMPUTED_VALUE"""),"C0147")</f>
        <v>C0147</v>
      </c>
      <c r="AQ198" t="str">
        <f ca="1">IFERROR(__xludf.DUMMYFUNCTION("""COMPUTED_VALUE"""),"warrantor")</f>
        <v>warrantor</v>
      </c>
      <c r="AR198" t="str">
        <f ca="1">IFERROR(__xludf.DUMMYFUNCTION("""COMPUTED_VALUE"""),"P0055")</f>
        <v>P0055</v>
      </c>
      <c r="AS198" t="str">
        <f ca="1">IFERROR(__xludf.DUMMYFUNCTION("""COMPUTED_VALUE"""),"Petrus Rupphini")</f>
        <v>Petrus Rupphini</v>
      </c>
      <c r="AU198" t="str">
        <f ca="1">IFERROR(__xludf.DUMMYFUNCTION("""COMPUTED_VALUE"""),"#VALUE!")</f>
        <v>#VALUE!</v>
      </c>
      <c r="AW198" t="str">
        <f ca="1">IFERROR(__xludf.DUMMYFUNCTION("""COMPUTED_VALUE"""),"#VALUE!")</f>
        <v>#VALUE!</v>
      </c>
      <c r="AY198" t="str">
        <f ca="1">IFERROR(__xludf.DUMMYFUNCTION("""COMPUTED_VALUE"""),"#VALUE!")</f>
        <v>#VALUE!</v>
      </c>
      <c r="BA198" t="str">
        <f ca="1">IFERROR(__xludf.DUMMYFUNCTION("""COMPUTED_VALUE"""),"#VALUE!")</f>
        <v>#VALUE!</v>
      </c>
      <c r="BC198" t="str">
        <f ca="1">IFERROR(__xludf.DUMMYFUNCTION("""COMPUTED_VALUE"""),"#VALUE!")</f>
        <v>#VALUE!</v>
      </c>
      <c r="BE198" t="str">
        <f ca="1">IFERROR(__xludf.DUMMYFUNCTION("""COMPUTED_VALUE"""),"#VALUE!")</f>
        <v>#VALUE!</v>
      </c>
      <c r="BG198" t="str">
        <f ca="1">IFERROR(__xludf.DUMMYFUNCTION("""COMPUTED_VALUE"""),"#VALUE!")</f>
        <v>#VALUE!</v>
      </c>
      <c r="BI198" t="str">
        <f ca="1">IFERROR(__xludf.DUMMYFUNCTION("""COMPUTED_VALUE"""),"#VALUE!")</f>
        <v>#VALUE!</v>
      </c>
      <c r="BK198" t="str">
        <f ca="1">IFERROR(__xludf.DUMMYFUNCTION("""COMPUTED_VALUE"""),"#VALUE!")</f>
        <v>#VALUE!</v>
      </c>
      <c r="BM198" t="str">
        <f ca="1">IFERROR(__xludf.DUMMYFUNCTION("""COMPUTED_VALUE"""),"#VALUE!")</f>
        <v>#VALUE!</v>
      </c>
      <c r="BO198" t="str">
        <f ca="1">IFERROR(__xludf.DUMMYFUNCTION("""COMPUTED_VALUE"""),"#VALUE!")</f>
        <v>#VALUE!</v>
      </c>
      <c r="BQ198" t="str">
        <f ca="1">IFERROR(__xludf.DUMMYFUNCTION("""COMPUTED_VALUE"""),"#VALUE!")</f>
        <v>#VALUE!</v>
      </c>
      <c r="BS198" t="str">
        <f ca="1">IFERROR(__xludf.DUMMYFUNCTION("""COMPUTED_VALUE"""),"#VALUE!")</f>
        <v>#VALUE!</v>
      </c>
      <c r="BU198" t="str">
        <f ca="1">IFERROR(__xludf.DUMMYFUNCTION("""COMPUTED_VALUE"""),"#VALUE!")</f>
        <v>#VALUE!</v>
      </c>
      <c r="BW198" t="str">
        <f ca="1">IFERROR(__xludf.DUMMYFUNCTION("""COMPUTED_VALUE"""),"#VALUE!")</f>
        <v>#VALUE!</v>
      </c>
      <c r="BY198" t="str">
        <f ca="1">IFERROR(__xludf.DUMMYFUNCTION("""COMPUTED_VALUE"""),"#VALUE!")</f>
        <v>#VALUE!</v>
      </c>
      <c r="CA198" t="str">
        <f ca="1">IFERROR(__xludf.DUMMYFUNCTION("""COMPUTED_VALUE"""),"#VALUE!")</f>
        <v>#VALUE!</v>
      </c>
      <c r="CC198" t="str">
        <f ca="1">IFERROR(__xludf.DUMMYFUNCTION("""COMPUTED_VALUE"""),"#VALUE!")</f>
        <v>#VALUE!</v>
      </c>
      <c r="CD198" t="str">
        <f ca="1">IFERROR(__xludf.DUMMYFUNCTION("""COMPUTED_VALUE"""),"C3598")</f>
        <v>C3598</v>
      </c>
      <c r="CE198" t="str">
        <f ca="1">IFERROR(__xludf.DUMMYFUNCTION("""COMPUTED_VALUE"""),"location of congregation")</f>
        <v>location of congregation</v>
      </c>
      <c r="CF198" t="str">
        <f ca="1">IFERROR(__xludf.DUMMYFUNCTION("""COMPUTED_VALUE"""),"L0064")</f>
        <v>L0064</v>
      </c>
      <c r="CG198" t="str">
        <f ca="1">IFERROR(__xludf.DUMMYFUNCTION("""COMPUTED_VALUE"""),"domus Stephani Vet")</f>
        <v>domus Stephani Vet</v>
      </c>
      <c r="CH198" t="str">
        <f ca="1">IFERROR(__xludf.DUMMYFUNCTION("""COMPUTED_VALUE"""),"P0055")</f>
        <v>P0055</v>
      </c>
      <c r="CI198" t="str">
        <f ca="1">IFERROR(__xludf.DUMMYFUNCTION("""COMPUTED_VALUE"""),"Petrus Rupphini")</f>
        <v>Petrus Rupphini</v>
      </c>
      <c r="CK198" t="str">
        <f ca="1">IFERROR(__xludf.DUMMYFUNCTION("""COMPUTED_VALUE"""),"#VALUE!")</f>
        <v>#VALUE!</v>
      </c>
      <c r="CO198" t="str">
        <f ca="1">IFERROR(__xludf.DUMMYFUNCTION("""COMPUTED_VALUE"""),"Vet")</f>
        <v>Vet</v>
      </c>
      <c r="CS198" t="str">
        <f ca="1">IFERROR(__xludf.DUMMYFUNCTION("""COMPUTED_VALUE"""),"#VALUE!")</f>
        <v>#VALUE!</v>
      </c>
      <c r="CU198" t="str">
        <f ca="1">IFERROR(__xludf.DUMMYFUNCTION("""COMPUTED_VALUE"""),"#VALUE!")</f>
        <v>#VALUE!</v>
      </c>
      <c r="CW198" t="str">
        <f ca="1">IFERROR(__xludf.DUMMYFUNCTION("""COMPUTED_VALUE"""),"#VALUE!")</f>
        <v>#VALUE!</v>
      </c>
      <c r="CY198" t="str">
        <f ca="1">IFERROR(__xludf.DUMMYFUNCTION("""COMPUTED_VALUE"""),"#VALUE!")</f>
        <v>#VALUE!</v>
      </c>
      <c r="DC198" t="str">
        <f ca="1">IFERROR(__xludf.DUMMYFUNCTION("""COMPUTED_VALUE"""),"#VALUE!")</f>
        <v>#VALUE!</v>
      </c>
      <c r="DE198" t="str">
        <f ca="1">IFERROR(__xludf.DUMMYFUNCTION("""COMPUTED_VALUE"""),"#VALUE!")</f>
        <v>#VALUE!</v>
      </c>
      <c r="DF198" t="str">
        <f ca="1">IFERROR(__xludf.DUMMYFUNCTION("""COMPUTED_VALUE"""),"y")</f>
        <v>y</v>
      </c>
      <c r="DG198" t="str">
        <f ca="1">IFERROR(__xludf.DUMMYFUNCTION("""COMPUTED_VALUE"""),"181-182")</f>
        <v>181-182</v>
      </c>
      <c r="DH198" t="str">
        <f ca="1">IFERROR(__xludf.DUMMYFUNCTION("""COMPUTED_VALUE"""),"L0064")</f>
        <v>L0064</v>
      </c>
      <c r="DI198" t="str">
        <f ca="1">IFERROR(__xludf.DUMMYFUNCTION("""COMPUTED_VALUE"""),"domus Stephani Vet")</f>
        <v>domus Stephani Vet</v>
      </c>
      <c r="DJ198" t="str">
        <f ca="1">IFERROR(__xludf.DUMMYFUNCTION("""COMPUTED_VALUE"""),"domus")</f>
        <v>domus</v>
      </c>
      <c r="DL198" t="str">
        <f ca="1">IFERROR(__xludf.DUMMYFUNCTION("""COMPUTED_VALUE"""),"Davor Salihović")</f>
        <v>Davor Salihović</v>
      </c>
    </row>
    <row r="199" spans="1:116" ht="13.2" x14ac:dyDescent="0.25">
      <c r="A199" t="str">
        <f ca="1">IFERROR(__xludf.DUMMYFUNCTION("""COMPUTED_VALUE"""),"P0203")</f>
        <v>P0203</v>
      </c>
      <c r="B199" t="str">
        <f ca="1">IFERROR(__xludf.DUMMYFUNCTION("""COMPUTED_VALUE"""),"mater Vec")</f>
        <v>mater Vec</v>
      </c>
      <c r="D199" t="str">
        <f ca="1">IFERROR(__xludf.DUMMYFUNCTION("""COMPUTED_VALUE"""),"#VALUE!")</f>
        <v>#VALUE!</v>
      </c>
      <c r="E199" t="str">
        <f ca="1">IFERROR(__xludf.DUMMYFUNCTION("""COMPUTED_VALUE"""),"mater Vec")</f>
        <v>mater Vec</v>
      </c>
      <c r="S199" t="str">
        <f ca="1">IFERROR(__xludf.DUMMYFUNCTION("""COMPUTED_VALUE"""),"Latin")</f>
        <v>Latin</v>
      </c>
      <c r="T199" t="str">
        <f ca="1">IFERROR(__xludf.DUMMYFUNCTION("""COMPUTED_VALUE"""),"definite")</f>
        <v>definite</v>
      </c>
      <c r="U199" t="str">
        <f ca="1">IFERROR(__xludf.DUMMYFUNCTION("""COMPUTED_VALUE"""),"C2552")</f>
        <v>C2552</v>
      </c>
      <c r="V199" t="str">
        <f ca="1">IFERROR(__xludf.DUMMYFUNCTION("""COMPUTED_VALUE"""),"female")</f>
        <v>female</v>
      </c>
      <c r="Z199" t="str">
        <f ca="1">IFERROR(__xludf.DUMMYFUNCTION("""COMPUTED_VALUE"""),"177")</f>
        <v>177</v>
      </c>
      <c r="AA199" t="str">
        <f ca="1">IFERROR(__xludf.DUMMYFUNCTION("""COMPUTED_VALUE"""),"d")</f>
        <v>d</v>
      </c>
      <c r="AB199" t="str">
        <f ca="1">IFERROR(__xludf.DUMMYFUNCTION("""COMPUTED_VALUE"""),"suspect")</f>
        <v>suspect</v>
      </c>
      <c r="AE199" t="str">
        <f ca="1">IFERROR(__xludf.DUMMYFUNCTION("""COMPUTED_VALUE"""),"#VALUE!")</f>
        <v>#VALUE!</v>
      </c>
      <c r="AF199" t="str">
        <f ca="1">IFERROR(__xludf.DUMMYFUNCTION("""COMPUTED_VALUE"""),"#N/A")</f>
        <v>#N/A</v>
      </c>
      <c r="AG199" t="str">
        <f ca="1">IFERROR(__xludf.DUMMYFUNCTION("""COMPUTED_VALUE"""),"#N/A")</f>
        <v>#N/A</v>
      </c>
      <c r="AH199" t="str">
        <f ca="1">IFERROR(__xludf.DUMMYFUNCTION("""COMPUTED_VALUE"""),"C2336")</f>
        <v>C2336</v>
      </c>
      <c r="AI199" t="str">
        <f ca="1">IFERROR(__xludf.DUMMYFUNCTION("""COMPUTED_VALUE"""),"son")</f>
        <v>son</v>
      </c>
      <c r="AJ199" t="str">
        <f ca="1">IFERROR(__xludf.DUMMYFUNCTION("""COMPUTED_VALUE"""),"P0196")</f>
        <v>P0196</v>
      </c>
      <c r="AK199" t="str">
        <f ca="1">IFERROR(__xludf.DUMMYFUNCTION("""COMPUTED_VALUE"""),"Stephanus Vec")</f>
        <v>Stephanus Vec</v>
      </c>
      <c r="AL199" t="str">
        <f ca="1">IFERROR(__xludf.DUMMYFUNCTION("""COMPUTED_VALUE"""),"C2336")</f>
        <v>C2336</v>
      </c>
      <c r="AM199" t="str">
        <f ca="1">IFERROR(__xludf.DUMMYFUNCTION("""COMPUTED_VALUE"""),"son")</f>
        <v>son</v>
      </c>
      <c r="AN199" t="str">
        <f ca="1">IFERROR(__xludf.DUMMYFUNCTION("""COMPUTED_VALUE"""),"P0201")</f>
        <v>P0201</v>
      </c>
      <c r="AO199" t="str">
        <f ca="1">IFERROR(__xludf.DUMMYFUNCTION("""COMPUTED_VALUE"""),"Bertholinus Vec")</f>
        <v>Bertholinus Vec</v>
      </c>
      <c r="AP199" t="str">
        <f ca="1">IFERROR(__xludf.DUMMYFUNCTION("""COMPUTED_VALUE"""),"C2336")</f>
        <v>C2336</v>
      </c>
      <c r="AQ199" t="str">
        <f ca="1">IFERROR(__xludf.DUMMYFUNCTION("""COMPUTED_VALUE"""),"son")</f>
        <v>son</v>
      </c>
      <c r="AR199" t="str">
        <f ca="1">IFERROR(__xludf.DUMMYFUNCTION("""COMPUTED_VALUE"""),"P0202")</f>
        <v>P0202</v>
      </c>
      <c r="AS199" t="str">
        <f ca="1">IFERROR(__xludf.DUMMYFUNCTION("""COMPUTED_VALUE"""),"Iacobinus Vec")</f>
        <v>Iacobinus Vec</v>
      </c>
      <c r="AU199" t="str">
        <f ca="1">IFERROR(__xludf.DUMMYFUNCTION("""COMPUTED_VALUE"""),"#VALUE!")</f>
        <v>#VALUE!</v>
      </c>
      <c r="AW199" t="str">
        <f ca="1">IFERROR(__xludf.DUMMYFUNCTION("""COMPUTED_VALUE"""),"#VALUE!")</f>
        <v>#VALUE!</v>
      </c>
      <c r="AY199" t="str">
        <f ca="1">IFERROR(__xludf.DUMMYFUNCTION("""COMPUTED_VALUE"""),"#VALUE!")</f>
        <v>#VALUE!</v>
      </c>
      <c r="BA199" t="str">
        <f ca="1">IFERROR(__xludf.DUMMYFUNCTION("""COMPUTED_VALUE"""),"#VALUE!")</f>
        <v>#VALUE!</v>
      </c>
      <c r="BC199" t="str">
        <f ca="1">IFERROR(__xludf.DUMMYFUNCTION("""COMPUTED_VALUE"""),"#VALUE!")</f>
        <v>#VALUE!</v>
      </c>
      <c r="BE199" t="str">
        <f ca="1">IFERROR(__xludf.DUMMYFUNCTION("""COMPUTED_VALUE"""),"#VALUE!")</f>
        <v>#VALUE!</v>
      </c>
      <c r="BG199" t="str">
        <f ca="1">IFERROR(__xludf.DUMMYFUNCTION("""COMPUTED_VALUE"""),"#VALUE!")</f>
        <v>#VALUE!</v>
      </c>
      <c r="BI199" t="str">
        <f ca="1">IFERROR(__xludf.DUMMYFUNCTION("""COMPUTED_VALUE"""),"#VALUE!")</f>
        <v>#VALUE!</v>
      </c>
      <c r="BK199" t="str">
        <f ca="1">IFERROR(__xludf.DUMMYFUNCTION("""COMPUTED_VALUE"""),"#VALUE!")</f>
        <v>#VALUE!</v>
      </c>
      <c r="BM199" t="str">
        <f ca="1">IFERROR(__xludf.DUMMYFUNCTION("""COMPUTED_VALUE"""),"#VALUE!")</f>
        <v>#VALUE!</v>
      </c>
      <c r="BO199" t="str">
        <f ca="1">IFERROR(__xludf.DUMMYFUNCTION("""COMPUTED_VALUE"""),"#VALUE!")</f>
        <v>#VALUE!</v>
      </c>
      <c r="BQ199" t="str">
        <f ca="1">IFERROR(__xludf.DUMMYFUNCTION("""COMPUTED_VALUE"""),"#VALUE!")</f>
        <v>#VALUE!</v>
      </c>
      <c r="BS199" t="str">
        <f ca="1">IFERROR(__xludf.DUMMYFUNCTION("""COMPUTED_VALUE"""),"#VALUE!")</f>
        <v>#VALUE!</v>
      </c>
      <c r="BU199" t="str">
        <f ca="1">IFERROR(__xludf.DUMMYFUNCTION("""COMPUTED_VALUE"""),"#VALUE!")</f>
        <v>#VALUE!</v>
      </c>
      <c r="BW199" t="str">
        <f ca="1">IFERROR(__xludf.DUMMYFUNCTION("""COMPUTED_VALUE"""),"#VALUE!")</f>
        <v>#VALUE!</v>
      </c>
      <c r="BY199" t="str">
        <f ca="1">IFERROR(__xludf.DUMMYFUNCTION("""COMPUTED_VALUE"""),"#VALUE!")</f>
        <v>#VALUE!</v>
      </c>
      <c r="CA199" t="str">
        <f ca="1">IFERROR(__xludf.DUMMYFUNCTION("""COMPUTED_VALUE"""),"#VALUE!")</f>
        <v>#VALUE!</v>
      </c>
      <c r="CC199" t="str">
        <f ca="1">IFERROR(__xludf.DUMMYFUNCTION("""COMPUTED_VALUE"""),"#VALUE!")</f>
        <v>#VALUE!</v>
      </c>
      <c r="CD199" t="str">
        <f ca="1">IFERROR(__xludf.DUMMYFUNCTION("""COMPUTED_VALUE"""),"C3598")</f>
        <v>C3598</v>
      </c>
      <c r="CE199" t="str">
        <f ca="1">IFERROR(__xludf.DUMMYFUNCTION("""COMPUTED_VALUE"""),"location of congregation")</f>
        <v>location of congregation</v>
      </c>
      <c r="CF199" t="str">
        <f ca="1">IFERROR(__xludf.DUMMYFUNCTION("""COMPUTED_VALUE"""),"L0064")</f>
        <v>L0064</v>
      </c>
      <c r="CG199" t="str">
        <f ca="1">IFERROR(__xludf.DUMMYFUNCTION("""COMPUTED_VALUE"""),"domus Stephani Vet")</f>
        <v>domus Stephani Vet</v>
      </c>
      <c r="CI199" t="str">
        <f ca="1">IFERROR(__xludf.DUMMYFUNCTION("""COMPUTED_VALUE"""),"#VALUE!")</f>
        <v>#VALUE!</v>
      </c>
      <c r="CK199" t="str">
        <f ca="1">IFERROR(__xludf.DUMMYFUNCTION("""COMPUTED_VALUE"""),"#VALUE!")</f>
        <v>#VALUE!</v>
      </c>
      <c r="CS199" t="str">
        <f ca="1">IFERROR(__xludf.DUMMYFUNCTION("""COMPUTED_VALUE"""),"#VALUE!")</f>
        <v>#VALUE!</v>
      </c>
      <c r="CU199" t="str">
        <f ca="1">IFERROR(__xludf.DUMMYFUNCTION("""COMPUTED_VALUE"""),"#VALUE!")</f>
        <v>#VALUE!</v>
      </c>
      <c r="CW199" t="str">
        <f ca="1">IFERROR(__xludf.DUMMYFUNCTION("""COMPUTED_VALUE"""),"#VALUE!")</f>
        <v>#VALUE!</v>
      </c>
      <c r="CY199" t="str">
        <f ca="1">IFERROR(__xludf.DUMMYFUNCTION("""COMPUTED_VALUE"""),"#VALUE!")</f>
        <v>#VALUE!</v>
      </c>
      <c r="DC199" t="str">
        <f ca="1">IFERROR(__xludf.DUMMYFUNCTION("""COMPUTED_VALUE"""),"#VALUE!")</f>
        <v>#VALUE!</v>
      </c>
      <c r="DE199" t="str">
        <f ca="1">IFERROR(__xludf.DUMMYFUNCTION("""COMPUTED_VALUE"""),"#VALUE!")</f>
        <v>#VALUE!</v>
      </c>
      <c r="DH199" t="str">
        <f ca="1">IFERROR(__xludf.DUMMYFUNCTION("""COMPUTED_VALUE"""),"L0064")</f>
        <v>L0064</v>
      </c>
      <c r="DI199" t="str">
        <f ca="1">IFERROR(__xludf.DUMMYFUNCTION("""COMPUTED_VALUE"""),"domus Stephani Vet")</f>
        <v>domus Stephani Vet</v>
      </c>
      <c r="DJ199" t="str">
        <f ca="1">IFERROR(__xludf.DUMMYFUNCTION("""COMPUTED_VALUE"""),"domus")</f>
        <v>domus</v>
      </c>
      <c r="DL199" t="str">
        <f ca="1">IFERROR(__xludf.DUMMYFUNCTION("""COMPUTED_VALUE"""),"Davor Salihović")</f>
        <v>Davor Salihović</v>
      </c>
    </row>
    <row r="200" spans="1:116" ht="13.2" x14ac:dyDescent="0.25">
      <c r="A200" t="str">
        <f ca="1">IFERROR(__xludf.DUMMYFUNCTION("""COMPUTED_VALUE"""),"P0204")</f>
        <v>P0204</v>
      </c>
      <c r="B200" t="str">
        <f ca="1">IFERROR(__xludf.DUMMYFUNCTION("""COMPUTED_VALUE"""),"uxor Bertholini Vec")</f>
        <v>uxor Bertholini Vec</v>
      </c>
      <c r="D200" t="str">
        <f ca="1">IFERROR(__xludf.DUMMYFUNCTION("""COMPUTED_VALUE"""),"#VALUE!")</f>
        <v>#VALUE!</v>
      </c>
      <c r="E200" t="str">
        <f ca="1">IFERROR(__xludf.DUMMYFUNCTION("""COMPUTED_VALUE"""),"uxor Bertholini Vec")</f>
        <v>uxor Bertholini Vec</v>
      </c>
      <c r="Q200" t="str">
        <f ca="1">IFERROR(__xludf.DUMMYFUNCTION("""COMPUTED_VALUE"""),"uxor Bertholini vec")</f>
        <v>uxor Bertholini vec</v>
      </c>
      <c r="S200" t="str">
        <f ca="1">IFERROR(__xludf.DUMMYFUNCTION("""COMPUTED_VALUE"""),"Latin")</f>
        <v>Latin</v>
      </c>
      <c r="T200" t="str">
        <f ca="1">IFERROR(__xludf.DUMMYFUNCTION("""COMPUTED_VALUE"""),"definite")</f>
        <v>definite</v>
      </c>
      <c r="U200" t="str">
        <f ca="1">IFERROR(__xludf.DUMMYFUNCTION("""COMPUTED_VALUE"""),"C2552")</f>
        <v>C2552</v>
      </c>
      <c r="V200" t="str">
        <f ca="1">IFERROR(__xludf.DUMMYFUNCTION("""COMPUTED_VALUE"""),"female")</f>
        <v>female</v>
      </c>
      <c r="Z200" t="str">
        <f ca="1">IFERROR(__xludf.DUMMYFUNCTION("""COMPUTED_VALUE"""),"177")</f>
        <v>177</v>
      </c>
      <c r="AA200" t="str">
        <f ca="1">IFERROR(__xludf.DUMMYFUNCTION("""COMPUTED_VALUE"""),"d")</f>
        <v>d</v>
      </c>
      <c r="AB200" t="str">
        <f ca="1">IFERROR(__xludf.DUMMYFUNCTION("""COMPUTED_VALUE"""),"suspect")</f>
        <v>suspect</v>
      </c>
      <c r="AE200" t="str">
        <f ca="1">IFERROR(__xludf.DUMMYFUNCTION("""COMPUTED_VALUE"""),"#VALUE!")</f>
        <v>#VALUE!</v>
      </c>
      <c r="AF200" t="str">
        <f ca="1">IFERROR(__xludf.DUMMYFUNCTION("""COMPUTED_VALUE"""),"#N/A")</f>
        <v>#N/A</v>
      </c>
      <c r="AG200" t="str">
        <f ca="1">IFERROR(__xludf.DUMMYFUNCTION("""COMPUTED_VALUE"""),"#N/A")</f>
        <v>#N/A</v>
      </c>
      <c r="AI200" t="str">
        <f ca="1">IFERROR(__xludf.DUMMYFUNCTION("""COMPUTED_VALUE"""),"#VALUE!")</f>
        <v>#VALUE!</v>
      </c>
      <c r="AK200" t="str">
        <f ca="1">IFERROR(__xludf.DUMMYFUNCTION("""COMPUTED_VALUE"""),"#VALUE!")</f>
        <v>#VALUE!</v>
      </c>
      <c r="AM200" t="str">
        <f ca="1">IFERROR(__xludf.DUMMYFUNCTION("""COMPUTED_VALUE"""),"#VALUE!")</f>
        <v>#VALUE!</v>
      </c>
      <c r="AO200" t="str">
        <f ca="1">IFERROR(__xludf.DUMMYFUNCTION("""COMPUTED_VALUE"""),"#VALUE!")</f>
        <v>#VALUE!</v>
      </c>
      <c r="AQ200" t="str">
        <f ca="1">IFERROR(__xludf.DUMMYFUNCTION("""COMPUTED_VALUE"""),"#VALUE!")</f>
        <v>#VALUE!</v>
      </c>
      <c r="AS200" t="str">
        <f ca="1">IFERROR(__xludf.DUMMYFUNCTION("""COMPUTED_VALUE"""),"#VALUE!")</f>
        <v>#VALUE!</v>
      </c>
      <c r="AU200" t="str">
        <f ca="1">IFERROR(__xludf.DUMMYFUNCTION("""COMPUTED_VALUE"""),"#VALUE!")</f>
        <v>#VALUE!</v>
      </c>
      <c r="AW200" t="str">
        <f ca="1">IFERROR(__xludf.DUMMYFUNCTION("""COMPUTED_VALUE"""),"#VALUE!")</f>
        <v>#VALUE!</v>
      </c>
      <c r="AY200" t="str">
        <f ca="1">IFERROR(__xludf.DUMMYFUNCTION("""COMPUTED_VALUE"""),"#VALUE!")</f>
        <v>#VALUE!</v>
      </c>
      <c r="BA200" t="str">
        <f ca="1">IFERROR(__xludf.DUMMYFUNCTION("""COMPUTED_VALUE"""),"#VALUE!")</f>
        <v>#VALUE!</v>
      </c>
      <c r="BC200" t="str">
        <f ca="1">IFERROR(__xludf.DUMMYFUNCTION("""COMPUTED_VALUE"""),"#VALUE!")</f>
        <v>#VALUE!</v>
      </c>
      <c r="BE200" t="str">
        <f ca="1">IFERROR(__xludf.DUMMYFUNCTION("""COMPUTED_VALUE"""),"#VALUE!")</f>
        <v>#VALUE!</v>
      </c>
      <c r="BG200" t="str">
        <f ca="1">IFERROR(__xludf.DUMMYFUNCTION("""COMPUTED_VALUE"""),"#VALUE!")</f>
        <v>#VALUE!</v>
      </c>
      <c r="BI200" t="str">
        <f ca="1">IFERROR(__xludf.DUMMYFUNCTION("""COMPUTED_VALUE"""),"#VALUE!")</f>
        <v>#VALUE!</v>
      </c>
      <c r="BK200" t="str">
        <f ca="1">IFERROR(__xludf.DUMMYFUNCTION("""COMPUTED_VALUE"""),"#VALUE!")</f>
        <v>#VALUE!</v>
      </c>
      <c r="BM200" t="str">
        <f ca="1">IFERROR(__xludf.DUMMYFUNCTION("""COMPUTED_VALUE"""),"#VALUE!")</f>
        <v>#VALUE!</v>
      </c>
      <c r="BO200" t="str">
        <f ca="1">IFERROR(__xludf.DUMMYFUNCTION("""COMPUTED_VALUE"""),"#VALUE!")</f>
        <v>#VALUE!</v>
      </c>
      <c r="BQ200" t="str">
        <f ca="1">IFERROR(__xludf.DUMMYFUNCTION("""COMPUTED_VALUE"""),"#VALUE!")</f>
        <v>#VALUE!</v>
      </c>
      <c r="BS200" t="str">
        <f ca="1">IFERROR(__xludf.DUMMYFUNCTION("""COMPUTED_VALUE"""),"#VALUE!")</f>
        <v>#VALUE!</v>
      </c>
      <c r="BU200" t="str">
        <f ca="1">IFERROR(__xludf.DUMMYFUNCTION("""COMPUTED_VALUE"""),"#VALUE!")</f>
        <v>#VALUE!</v>
      </c>
      <c r="BW200" t="str">
        <f ca="1">IFERROR(__xludf.DUMMYFUNCTION("""COMPUTED_VALUE"""),"#VALUE!")</f>
        <v>#VALUE!</v>
      </c>
      <c r="BY200" t="str">
        <f ca="1">IFERROR(__xludf.DUMMYFUNCTION("""COMPUTED_VALUE"""),"#VALUE!")</f>
        <v>#VALUE!</v>
      </c>
      <c r="CA200" t="str">
        <f ca="1">IFERROR(__xludf.DUMMYFUNCTION("""COMPUTED_VALUE"""),"#VALUE!")</f>
        <v>#VALUE!</v>
      </c>
      <c r="CC200" t="str">
        <f ca="1">IFERROR(__xludf.DUMMYFUNCTION("""COMPUTED_VALUE"""),"#VALUE!")</f>
        <v>#VALUE!</v>
      </c>
      <c r="CD200" t="str">
        <f ca="1">IFERROR(__xludf.DUMMYFUNCTION("""COMPUTED_VALUE"""),"C3598")</f>
        <v>C3598</v>
      </c>
      <c r="CE200" t="str">
        <f ca="1">IFERROR(__xludf.DUMMYFUNCTION("""COMPUTED_VALUE"""),"location of congregation")</f>
        <v>location of congregation</v>
      </c>
      <c r="CF200" t="str">
        <f ca="1">IFERROR(__xludf.DUMMYFUNCTION("""COMPUTED_VALUE"""),"L0064")</f>
        <v>L0064</v>
      </c>
      <c r="CG200" t="str">
        <f ca="1">IFERROR(__xludf.DUMMYFUNCTION("""COMPUTED_VALUE"""),"domus Stephani Vet")</f>
        <v>domus Stephani Vet</v>
      </c>
      <c r="CI200" t="str">
        <f ca="1">IFERROR(__xludf.DUMMYFUNCTION("""COMPUTED_VALUE"""),"#VALUE!")</f>
        <v>#VALUE!</v>
      </c>
      <c r="CK200" t="str">
        <f ca="1">IFERROR(__xludf.DUMMYFUNCTION("""COMPUTED_VALUE"""),"#VALUE!")</f>
        <v>#VALUE!</v>
      </c>
      <c r="CS200" t="str">
        <f ca="1">IFERROR(__xludf.DUMMYFUNCTION("""COMPUTED_VALUE"""),"#VALUE!")</f>
        <v>#VALUE!</v>
      </c>
      <c r="CU200" t="str">
        <f ca="1">IFERROR(__xludf.DUMMYFUNCTION("""COMPUTED_VALUE"""),"#VALUE!")</f>
        <v>#VALUE!</v>
      </c>
      <c r="CW200" t="str">
        <f ca="1">IFERROR(__xludf.DUMMYFUNCTION("""COMPUTED_VALUE"""),"#VALUE!")</f>
        <v>#VALUE!</v>
      </c>
      <c r="CY200" t="str">
        <f ca="1">IFERROR(__xludf.DUMMYFUNCTION("""COMPUTED_VALUE"""),"#VALUE!")</f>
        <v>#VALUE!</v>
      </c>
      <c r="DC200" t="str">
        <f ca="1">IFERROR(__xludf.DUMMYFUNCTION("""COMPUTED_VALUE"""),"#VALUE!")</f>
        <v>#VALUE!</v>
      </c>
      <c r="DE200" t="str">
        <f ca="1">IFERROR(__xludf.DUMMYFUNCTION("""COMPUTED_VALUE"""),"#VALUE!")</f>
        <v>#VALUE!</v>
      </c>
      <c r="DH200" t="str">
        <f ca="1">IFERROR(__xludf.DUMMYFUNCTION("""COMPUTED_VALUE"""),"L0064")</f>
        <v>L0064</v>
      </c>
      <c r="DI200" t="str">
        <f ca="1">IFERROR(__xludf.DUMMYFUNCTION("""COMPUTED_VALUE"""),"domus Stephani Vet")</f>
        <v>domus Stephani Vet</v>
      </c>
      <c r="DJ200" t="str">
        <f ca="1">IFERROR(__xludf.DUMMYFUNCTION("""COMPUTED_VALUE"""),"domus")</f>
        <v>domus</v>
      </c>
      <c r="DL200" t="str">
        <f ca="1">IFERROR(__xludf.DUMMYFUNCTION("""COMPUTED_VALUE"""),"Davor Salihović")</f>
        <v>Davor Salihović</v>
      </c>
    </row>
    <row r="201" spans="1:116" ht="13.2" x14ac:dyDescent="0.25">
      <c r="A201" t="str">
        <f ca="1">IFERROR(__xludf.DUMMYFUNCTION("""COMPUTED_VALUE"""),"P0205")</f>
        <v>P0205</v>
      </c>
      <c r="B201" t="str">
        <f ca="1">IFERROR(__xludf.DUMMYFUNCTION("""COMPUTED_VALUE"""),"uxor Iacobini Vec")</f>
        <v>uxor Iacobini Vec</v>
      </c>
      <c r="D201" t="str">
        <f ca="1">IFERROR(__xludf.DUMMYFUNCTION("""COMPUTED_VALUE"""),"#VALUE!")</f>
        <v>#VALUE!</v>
      </c>
      <c r="E201" t="str">
        <f ca="1">IFERROR(__xludf.DUMMYFUNCTION("""COMPUTED_VALUE"""),"uxor Iacobini Vec")</f>
        <v>uxor Iacobini Vec</v>
      </c>
      <c r="Q201" t="str">
        <f ca="1">IFERROR(__xludf.DUMMYFUNCTION("""COMPUTED_VALUE"""),"uxor Iacobini Vec")</f>
        <v>uxor Iacobini Vec</v>
      </c>
      <c r="S201" t="str">
        <f ca="1">IFERROR(__xludf.DUMMYFUNCTION("""COMPUTED_VALUE"""),"Latin")</f>
        <v>Latin</v>
      </c>
      <c r="T201" t="str">
        <f ca="1">IFERROR(__xludf.DUMMYFUNCTION("""COMPUTED_VALUE"""),"definite")</f>
        <v>definite</v>
      </c>
      <c r="U201" t="str">
        <f ca="1">IFERROR(__xludf.DUMMYFUNCTION("""COMPUTED_VALUE"""),"C2552")</f>
        <v>C2552</v>
      </c>
      <c r="V201" t="str">
        <f ca="1">IFERROR(__xludf.DUMMYFUNCTION("""COMPUTED_VALUE"""),"female")</f>
        <v>female</v>
      </c>
      <c r="Z201" t="str">
        <f ca="1">IFERROR(__xludf.DUMMYFUNCTION("""COMPUTED_VALUE"""),"177")</f>
        <v>177</v>
      </c>
      <c r="AA201" t="str">
        <f ca="1">IFERROR(__xludf.DUMMYFUNCTION("""COMPUTED_VALUE"""),"d")</f>
        <v>d</v>
      </c>
      <c r="AB201" t="str">
        <f ca="1">IFERROR(__xludf.DUMMYFUNCTION("""COMPUTED_VALUE"""),"suspect")</f>
        <v>suspect</v>
      </c>
      <c r="AE201" t="str">
        <f ca="1">IFERROR(__xludf.DUMMYFUNCTION("""COMPUTED_VALUE"""),"#VALUE!")</f>
        <v>#VALUE!</v>
      </c>
      <c r="AF201" t="str">
        <f ca="1">IFERROR(__xludf.DUMMYFUNCTION("""COMPUTED_VALUE"""),"#N/A")</f>
        <v>#N/A</v>
      </c>
      <c r="AG201" t="str">
        <f ca="1">IFERROR(__xludf.DUMMYFUNCTION("""COMPUTED_VALUE"""),"#N/A")</f>
        <v>#N/A</v>
      </c>
      <c r="AI201" t="str">
        <f ca="1">IFERROR(__xludf.DUMMYFUNCTION("""COMPUTED_VALUE"""),"#VALUE!")</f>
        <v>#VALUE!</v>
      </c>
      <c r="AK201" t="str">
        <f ca="1">IFERROR(__xludf.DUMMYFUNCTION("""COMPUTED_VALUE"""),"#VALUE!")</f>
        <v>#VALUE!</v>
      </c>
      <c r="AM201" t="str">
        <f ca="1">IFERROR(__xludf.DUMMYFUNCTION("""COMPUTED_VALUE"""),"#VALUE!")</f>
        <v>#VALUE!</v>
      </c>
      <c r="AO201" t="str">
        <f ca="1">IFERROR(__xludf.DUMMYFUNCTION("""COMPUTED_VALUE"""),"#VALUE!")</f>
        <v>#VALUE!</v>
      </c>
      <c r="AQ201" t="str">
        <f ca="1">IFERROR(__xludf.DUMMYFUNCTION("""COMPUTED_VALUE"""),"#VALUE!")</f>
        <v>#VALUE!</v>
      </c>
      <c r="AS201" t="str">
        <f ca="1">IFERROR(__xludf.DUMMYFUNCTION("""COMPUTED_VALUE"""),"#VALUE!")</f>
        <v>#VALUE!</v>
      </c>
      <c r="AU201" t="str">
        <f ca="1">IFERROR(__xludf.DUMMYFUNCTION("""COMPUTED_VALUE"""),"#VALUE!")</f>
        <v>#VALUE!</v>
      </c>
      <c r="AW201" t="str">
        <f ca="1">IFERROR(__xludf.DUMMYFUNCTION("""COMPUTED_VALUE"""),"#VALUE!")</f>
        <v>#VALUE!</v>
      </c>
      <c r="AY201" t="str">
        <f ca="1">IFERROR(__xludf.DUMMYFUNCTION("""COMPUTED_VALUE"""),"#VALUE!")</f>
        <v>#VALUE!</v>
      </c>
      <c r="BA201" t="str">
        <f ca="1">IFERROR(__xludf.DUMMYFUNCTION("""COMPUTED_VALUE"""),"#VALUE!")</f>
        <v>#VALUE!</v>
      </c>
      <c r="BC201" t="str">
        <f ca="1">IFERROR(__xludf.DUMMYFUNCTION("""COMPUTED_VALUE"""),"#VALUE!")</f>
        <v>#VALUE!</v>
      </c>
      <c r="BE201" t="str">
        <f ca="1">IFERROR(__xludf.DUMMYFUNCTION("""COMPUTED_VALUE"""),"#VALUE!")</f>
        <v>#VALUE!</v>
      </c>
      <c r="BG201" t="str">
        <f ca="1">IFERROR(__xludf.DUMMYFUNCTION("""COMPUTED_VALUE"""),"#VALUE!")</f>
        <v>#VALUE!</v>
      </c>
      <c r="BI201" t="str">
        <f ca="1">IFERROR(__xludf.DUMMYFUNCTION("""COMPUTED_VALUE"""),"#VALUE!")</f>
        <v>#VALUE!</v>
      </c>
      <c r="BK201" t="str">
        <f ca="1">IFERROR(__xludf.DUMMYFUNCTION("""COMPUTED_VALUE"""),"#VALUE!")</f>
        <v>#VALUE!</v>
      </c>
      <c r="BM201" t="str">
        <f ca="1">IFERROR(__xludf.DUMMYFUNCTION("""COMPUTED_VALUE"""),"#VALUE!")</f>
        <v>#VALUE!</v>
      </c>
      <c r="BO201" t="str">
        <f ca="1">IFERROR(__xludf.DUMMYFUNCTION("""COMPUTED_VALUE"""),"#VALUE!")</f>
        <v>#VALUE!</v>
      </c>
      <c r="BQ201" t="str">
        <f ca="1">IFERROR(__xludf.DUMMYFUNCTION("""COMPUTED_VALUE"""),"#VALUE!")</f>
        <v>#VALUE!</v>
      </c>
      <c r="BS201" t="str">
        <f ca="1">IFERROR(__xludf.DUMMYFUNCTION("""COMPUTED_VALUE"""),"#VALUE!")</f>
        <v>#VALUE!</v>
      </c>
      <c r="BU201" t="str">
        <f ca="1">IFERROR(__xludf.DUMMYFUNCTION("""COMPUTED_VALUE"""),"#VALUE!")</f>
        <v>#VALUE!</v>
      </c>
      <c r="BW201" t="str">
        <f ca="1">IFERROR(__xludf.DUMMYFUNCTION("""COMPUTED_VALUE"""),"#VALUE!")</f>
        <v>#VALUE!</v>
      </c>
      <c r="BY201" t="str">
        <f ca="1">IFERROR(__xludf.DUMMYFUNCTION("""COMPUTED_VALUE"""),"#VALUE!")</f>
        <v>#VALUE!</v>
      </c>
      <c r="CA201" t="str">
        <f ca="1">IFERROR(__xludf.DUMMYFUNCTION("""COMPUTED_VALUE"""),"#VALUE!")</f>
        <v>#VALUE!</v>
      </c>
      <c r="CC201" t="str">
        <f ca="1">IFERROR(__xludf.DUMMYFUNCTION("""COMPUTED_VALUE"""),"#VALUE!")</f>
        <v>#VALUE!</v>
      </c>
      <c r="CD201" t="str">
        <f ca="1">IFERROR(__xludf.DUMMYFUNCTION("""COMPUTED_VALUE"""),"C3598")</f>
        <v>C3598</v>
      </c>
      <c r="CE201" t="str">
        <f ca="1">IFERROR(__xludf.DUMMYFUNCTION("""COMPUTED_VALUE"""),"location of congregation")</f>
        <v>location of congregation</v>
      </c>
      <c r="CF201" t="str">
        <f ca="1">IFERROR(__xludf.DUMMYFUNCTION("""COMPUTED_VALUE"""),"L0064")</f>
        <v>L0064</v>
      </c>
      <c r="CG201" t="str">
        <f ca="1">IFERROR(__xludf.DUMMYFUNCTION("""COMPUTED_VALUE"""),"domus Stephani Vet")</f>
        <v>domus Stephani Vet</v>
      </c>
      <c r="CI201" t="str">
        <f ca="1">IFERROR(__xludf.DUMMYFUNCTION("""COMPUTED_VALUE"""),"#VALUE!")</f>
        <v>#VALUE!</v>
      </c>
      <c r="CK201" t="str">
        <f ca="1">IFERROR(__xludf.DUMMYFUNCTION("""COMPUTED_VALUE"""),"#VALUE!")</f>
        <v>#VALUE!</v>
      </c>
      <c r="CS201" t="str">
        <f ca="1">IFERROR(__xludf.DUMMYFUNCTION("""COMPUTED_VALUE"""),"#VALUE!")</f>
        <v>#VALUE!</v>
      </c>
      <c r="CU201" t="str">
        <f ca="1">IFERROR(__xludf.DUMMYFUNCTION("""COMPUTED_VALUE"""),"#VALUE!")</f>
        <v>#VALUE!</v>
      </c>
      <c r="CW201" t="str">
        <f ca="1">IFERROR(__xludf.DUMMYFUNCTION("""COMPUTED_VALUE"""),"#VALUE!")</f>
        <v>#VALUE!</v>
      </c>
      <c r="CY201" t="str">
        <f ca="1">IFERROR(__xludf.DUMMYFUNCTION("""COMPUTED_VALUE"""),"#VALUE!")</f>
        <v>#VALUE!</v>
      </c>
      <c r="DC201" t="str">
        <f ca="1">IFERROR(__xludf.DUMMYFUNCTION("""COMPUTED_VALUE"""),"#VALUE!")</f>
        <v>#VALUE!</v>
      </c>
      <c r="DE201" t="str">
        <f ca="1">IFERROR(__xludf.DUMMYFUNCTION("""COMPUTED_VALUE"""),"#VALUE!")</f>
        <v>#VALUE!</v>
      </c>
      <c r="DH201" t="str">
        <f ca="1">IFERROR(__xludf.DUMMYFUNCTION("""COMPUTED_VALUE"""),"L0064")</f>
        <v>L0064</v>
      </c>
      <c r="DI201" t="str">
        <f ca="1">IFERROR(__xludf.DUMMYFUNCTION("""COMPUTED_VALUE"""),"domus Stephani Vet")</f>
        <v>domus Stephani Vet</v>
      </c>
      <c r="DJ201" t="str">
        <f ca="1">IFERROR(__xludf.DUMMYFUNCTION("""COMPUTED_VALUE"""),"domus")</f>
        <v>domus</v>
      </c>
      <c r="DL201" t="str">
        <f ca="1">IFERROR(__xludf.DUMMYFUNCTION("""COMPUTED_VALUE"""),"Davor Salihović")</f>
        <v>Davor Salihović</v>
      </c>
    </row>
    <row r="202" spans="1:116" ht="13.2" x14ac:dyDescent="0.25">
      <c r="A202" t="str">
        <f ca="1">IFERROR(__xludf.DUMMYFUNCTION("""COMPUTED_VALUE"""),"P0206")</f>
        <v>P0206</v>
      </c>
      <c r="B202" t="str">
        <f ca="1">IFERROR(__xludf.DUMMYFUNCTION("""COMPUTED_VALUE"""),"Franciscus")</f>
        <v>Franciscus</v>
      </c>
      <c r="C202" t="str">
        <f ca="1">IFERROR(__xludf.DUMMYFUNCTION("""COMPUTED_VALUE"""),"C3519")</f>
        <v>C3519</v>
      </c>
      <c r="D202" t="str">
        <f ca="1">IFERROR(__xludf.DUMMYFUNCTION("""COMPUTED_VALUE"""),"seygnor")</f>
        <v>seygnor</v>
      </c>
      <c r="E202" t="str">
        <f ca="1">IFERROR(__xludf.DUMMYFUNCTION("""COMPUTED_VALUE"""),"Franciscus")</f>
        <v>Franciscus</v>
      </c>
      <c r="Q202" t="str">
        <f ca="1">IFERROR(__xludf.DUMMYFUNCTION("""COMPUTED_VALUE"""),"Valdensis")</f>
        <v>Valdensis</v>
      </c>
      <c r="S202" t="str">
        <f ca="1">IFERROR(__xludf.DUMMYFUNCTION("""COMPUTED_VALUE"""),"Latin")</f>
        <v>Latin</v>
      </c>
      <c r="T202" t="str">
        <f ca="1">IFERROR(__xludf.DUMMYFUNCTION("""COMPUTED_VALUE"""),"definite")</f>
        <v>definite</v>
      </c>
      <c r="U202" t="str">
        <f ca="1">IFERROR(__xludf.DUMMYFUNCTION("""COMPUTED_VALUE"""),"C2553")</f>
        <v>C2553</v>
      </c>
      <c r="V202" t="str">
        <f ca="1">IFERROR(__xludf.DUMMYFUNCTION("""COMPUTED_VALUE"""),"male")</f>
        <v>male</v>
      </c>
      <c r="Z202" t="str">
        <f ca="1">IFERROR(__xludf.DUMMYFUNCTION("""COMPUTED_VALUE"""),"177, 178, 180, 181, 182, 183, 185, 186, 187, 188, 190, 191, 192, 193, 194, 195, 196, 197, 198, 199, 201, 202, 203, 204, 205, 206, 207, 208, 209, 211, 212, 213, 215, 216, 217, 218, 220, 221, 222, 223, 224, 225, 226, 227, 228, 229, 230, 231, 232, 233, 234, "&amp;"235, 236, 237, 238, 239, 240, 241, 242, 243, 244, 245, 246, 247, 248, 249, 250")</f>
        <v>177, 178, 180, 181, 182, 183, 185, 186, 187, 188, 190, 191, 192, 193, 194, 195, 196, 197, 198, 199, 201, 202, 203, 204, 205, 206, 207, 208, 209, 211, 212, 213, 215, 216, 217, 218, 220, 221, 222, 223, 224, 225, 226, 227, 228, 229, 230, 231, 232, 233, 234, 235, 236, 237, 238, 239, 240, 241, 242, 243, 244, 245, 246, 247, 248, 249, 250</v>
      </c>
      <c r="AA202" t="str">
        <f ca="1">IFERROR(__xludf.DUMMYFUNCTION("""COMPUTED_VALUE"""),"d")</f>
        <v>d</v>
      </c>
      <c r="AB202" t="str">
        <f ca="1">IFERROR(__xludf.DUMMYFUNCTION("""COMPUTED_VALUE"""),"suspect")</f>
        <v>suspect</v>
      </c>
      <c r="AE202" t="str">
        <f ca="1">IFERROR(__xludf.DUMMYFUNCTION("""COMPUTED_VALUE"""),"#VALUE!")</f>
        <v>#VALUE!</v>
      </c>
      <c r="AF202" t="str">
        <f ca="1">IFERROR(__xludf.DUMMYFUNCTION("""COMPUTED_VALUE"""),"#N/A")</f>
        <v>#N/A</v>
      </c>
      <c r="AG202" t="str">
        <f ca="1">IFERROR(__xludf.DUMMYFUNCTION("""COMPUTED_VALUE"""),"#N/A")</f>
        <v>#N/A</v>
      </c>
      <c r="AH202" t="str">
        <f ca="1">IFERROR(__xludf.DUMMYFUNCTION("""COMPUTED_VALUE"""),"C2358")</f>
        <v>C2358</v>
      </c>
      <c r="AI202" t="str">
        <f ca="1">IFERROR(__xludf.DUMMYFUNCTION("""COMPUTED_VALUE"""),"associate")</f>
        <v>associate</v>
      </c>
      <c r="AJ202" t="str">
        <f ca="1">IFERROR(__xludf.DUMMYFUNCTION("""COMPUTED_VALUE"""),"G0049")</f>
        <v>G0049</v>
      </c>
      <c r="AK202" t="str">
        <f ca="1">IFERROR(__xludf.DUMMYFUNCTION("""COMPUTED_VALUE"""),"duo socii Francisci")</f>
        <v>duo socii Francisci</v>
      </c>
      <c r="AM202" t="str">
        <f ca="1">IFERROR(__xludf.DUMMYFUNCTION("""COMPUTED_VALUE"""),"#VALUE!")</f>
        <v>#VALUE!</v>
      </c>
      <c r="AO202" t="str">
        <f ca="1">IFERROR(__xludf.DUMMYFUNCTION("""COMPUTED_VALUE"""),"#VALUE!")</f>
        <v>#VALUE!</v>
      </c>
      <c r="AQ202" t="str">
        <f ca="1">IFERROR(__xludf.DUMMYFUNCTION("""COMPUTED_VALUE"""),"#VALUE!")</f>
        <v>#VALUE!</v>
      </c>
      <c r="AS202" t="str">
        <f ca="1">IFERROR(__xludf.DUMMYFUNCTION("""COMPUTED_VALUE"""),"#VALUE!")</f>
        <v>#VALUE!</v>
      </c>
      <c r="AU202" t="str">
        <f ca="1">IFERROR(__xludf.DUMMYFUNCTION("""COMPUTED_VALUE"""),"#VALUE!")</f>
        <v>#VALUE!</v>
      </c>
      <c r="AW202" t="str">
        <f ca="1">IFERROR(__xludf.DUMMYFUNCTION("""COMPUTED_VALUE"""),"#VALUE!")</f>
        <v>#VALUE!</v>
      </c>
      <c r="AY202" t="str">
        <f ca="1">IFERROR(__xludf.DUMMYFUNCTION("""COMPUTED_VALUE"""),"#VALUE!")</f>
        <v>#VALUE!</v>
      </c>
      <c r="BA202" t="str">
        <f ca="1">IFERROR(__xludf.DUMMYFUNCTION("""COMPUTED_VALUE"""),"#VALUE!")</f>
        <v>#VALUE!</v>
      </c>
      <c r="BC202" t="str">
        <f ca="1">IFERROR(__xludf.DUMMYFUNCTION("""COMPUTED_VALUE"""),"#VALUE!")</f>
        <v>#VALUE!</v>
      </c>
      <c r="BE202" t="str">
        <f ca="1">IFERROR(__xludf.DUMMYFUNCTION("""COMPUTED_VALUE"""),"#VALUE!")</f>
        <v>#VALUE!</v>
      </c>
      <c r="BG202" t="str">
        <f ca="1">IFERROR(__xludf.DUMMYFUNCTION("""COMPUTED_VALUE"""),"#VALUE!")</f>
        <v>#VALUE!</v>
      </c>
      <c r="BI202" t="str">
        <f ca="1">IFERROR(__xludf.DUMMYFUNCTION("""COMPUTED_VALUE"""),"#VALUE!")</f>
        <v>#VALUE!</v>
      </c>
      <c r="BK202" t="str">
        <f ca="1">IFERROR(__xludf.DUMMYFUNCTION("""COMPUTED_VALUE"""),"#VALUE!")</f>
        <v>#VALUE!</v>
      </c>
      <c r="BM202" t="str">
        <f ca="1">IFERROR(__xludf.DUMMYFUNCTION("""COMPUTED_VALUE"""),"#VALUE!")</f>
        <v>#VALUE!</v>
      </c>
      <c r="BO202" t="str">
        <f ca="1">IFERROR(__xludf.DUMMYFUNCTION("""COMPUTED_VALUE"""),"#VALUE!")</f>
        <v>#VALUE!</v>
      </c>
      <c r="BQ202" t="str">
        <f ca="1">IFERROR(__xludf.DUMMYFUNCTION("""COMPUTED_VALUE"""),"#VALUE!")</f>
        <v>#VALUE!</v>
      </c>
      <c r="BS202" t="str">
        <f ca="1">IFERROR(__xludf.DUMMYFUNCTION("""COMPUTED_VALUE"""),"#VALUE!")</f>
        <v>#VALUE!</v>
      </c>
      <c r="BU202" t="str">
        <f ca="1">IFERROR(__xludf.DUMMYFUNCTION("""COMPUTED_VALUE"""),"#VALUE!")</f>
        <v>#VALUE!</v>
      </c>
      <c r="BW202" t="str">
        <f ca="1">IFERROR(__xludf.DUMMYFUNCTION("""COMPUTED_VALUE"""),"#VALUE!")</f>
        <v>#VALUE!</v>
      </c>
      <c r="BY202" t="str">
        <f ca="1">IFERROR(__xludf.DUMMYFUNCTION("""COMPUTED_VALUE"""),"#VALUE!")</f>
        <v>#VALUE!</v>
      </c>
      <c r="CA202" t="str">
        <f ca="1">IFERROR(__xludf.DUMMYFUNCTION("""COMPUTED_VALUE"""),"#VALUE!")</f>
        <v>#VALUE!</v>
      </c>
      <c r="CC202" t="str">
        <f ca="1">IFERROR(__xludf.DUMMYFUNCTION("""COMPUTED_VALUE"""),"#VALUE!")</f>
        <v>#VALUE!</v>
      </c>
      <c r="CD202" t="str">
        <f ca="1">IFERROR(__xludf.DUMMYFUNCTION("""COMPUTED_VALUE"""),"C3598")</f>
        <v>C3598</v>
      </c>
      <c r="CE202" t="str">
        <f ca="1">IFERROR(__xludf.DUMMYFUNCTION("""COMPUTED_VALUE"""),"location of congregation")</f>
        <v>location of congregation</v>
      </c>
      <c r="CF202" t="str">
        <f ca="1">IFERROR(__xludf.DUMMYFUNCTION("""COMPUTED_VALUE"""),"L0065#L0067#L0068#L0069#L0025#L0071#L0077#L0066#L0079#L0080#L0083#L0084#L0060#L0088#L0089#L0090#L0032#L0082#L0117#L0096#L0097#L0094#L0099#L0098#L0100#L0101#L0104#L0106#L0108#L0114#L0076#L0115#L0117#L0118#L0119#L0120#L0121#L0076#L0122#L0130#L0131#L0132#L01"&amp;"33#L0137#L0139#L0140#L0143")</f>
        <v>L0065#L0067#L0068#L0069#L0025#L0071#L0077#L0066#L0079#L0080#L0083#L0084#L0060#L0088#L0089#L0090#L0032#L0082#L0117#L0096#L0097#L0094#L0099#L0098#L0100#L0101#L0104#L0106#L0108#L0114#L0076#L0115#L0117#L0118#L0119#L0120#L0121#L0076#L0122#L0130#L0131#L0132#L0133#L0137#L0139#L0140#L0143</v>
      </c>
      <c r="CG202" t="str">
        <f ca="1">IFERROR(__xludf.DUMMYFUNCTION("""COMPUTED_VALUE"""),"domus Iohannis de Castagno de Giaveno #domus Petri Rupphini #domus Vieti de Mondino #domus Iohannis Martini #domus Villelmeti Domenici #domus Iohannis Mulini de Sala #domus Margerite Borssete #domus Bernardi de Rosseto #domus Martinii Dominici #domus Petr"&amp;"ii Burgi #domus Nicoleti Feliçati de Villanova #domus Boneti de Girardo #domus Petri Balbi de Coazze #tectum Petri de Rosseto #domus Iohannis de Facio Ferrandi #domus Thome de Iohanne Iordani #domus Villelmi de Oddo #domus Iacobi Bernardi de Villanova #do"&amp;"mus Michaelis de Fomia #domus Iohannis de Bonaudo #domus Iohannis Borrellati #domus Roberti de Aprili de Selvaggio #domus Aymoneti de Fomia #domus Michaelis Planche #domus de Boysono #domus Villelmi de Oddo #domus Beatricis de Oddo #domus Petri de Boysono"&amp;" #domus Petri de Oddo #domus Henrieti de Mondino #domus Iohannis Torenchi #domus Agnessone de Rosseto #domus Michaelis de Fomia #domus matris Peronete et Michaelis Planche #domus Addorne, uxoris Iohannis Mulini #domus Petri Guerssi #domus Broxie, uxoris I"&amp;"acobi Bernardi #domus Iohannis Torenchi #domus Margerite Planche #domus Iacobete de Mondino #domus Ronde Feliçati #domus Aleysine Burgi #domus Sandrie Torenchi #domus Petri de Facio #domus Laurencii de Collo #domus Iacobi Milla #domus Iohannis de Oddo")</f>
        <v>domus Iohannis de Castagno de Giaveno #domus Petri Rupphini #domus Vieti de Mondino #domus Iohannis Martini #domus Villelmeti Domenici #domus Iohannis Mulini de Sala #domus Margerite Borssete #domus Bernardi de Rosseto #domus Martinii Dominici #domus Petrii Burgi #domus Nicoleti Feliçati de Villanova #domus Boneti de Girardo #domus Petri Balbi de Coazze #tectum Petri de Rosseto #domus Iohannis de Facio Ferrandi #domus Thome de Iohanne Iordani #domus Villelmi de Oddo #domus Iacobi Bernardi de Villanova #domus Michaelis de Fomia #domus Iohannis de Bonaudo #domus Iohannis Borrellati #domus Roberti de Aprili de Selvaggio #domus Aymoneti de Fomia #domus Michaelis Planche #domus de Boysono #domus Villelmi de Oddo #domus Beatricis de Oddo #domus Petri de Boysono #domus Petri de Oddo #domus Henrieti de Mondino #domus Iohannis Torenchi #domus Agnessone de Rosseto #domus Michaelis de Fomia #domus matris Peronete et Michaelis Planche #domus Addorne, uxoris Iohannis Mulini #domus Petri Guerssi #domus Broxie, uxoris Iacobi Bernardi #domus Iohannis Torenchi #domus Margerite Planche #domus Iacobete de Mondino #domus Ronde Feliçati #domus Aleysine Burgi #domus Sandrie Torenchi #domus Petri de Facio #domus Laurencii de Collo #domus Iacobi Milla #domus Iohannis de Oddo</v>
      </c>
      <c r="CI202" t="str">
        <f ca="1">IFERROR(__xludf.DUMMYFUNCTION("""COMPUTED_VALUE"""),"#VALUE!")</f>
        <v>#VALUE!</v>
      </c>
      <c r="CK202" t="str">
        <f ca="1">IFERROR(__xludf.DUMMYFUNCTION("""COMPUTED_VALUE"""),"#VALUE!")</f>
        <v>#VALUE!</v>
      </c>
      <c r="CS202" t="str">
        <f ca="1">IFERROR(__xludf.DUMMYFUNCTION("""COMPUTED_VALUE"""),"#VALUE!")</f>
        <v>#VALUE!</v>
      </c>
      <c r="CU202" t="str">
        <f ca="1">IFERROR(__xludf.DUMMYFUNCTION("""COMPUTED_VALUE"""),"#VALUE!")</f>
        <v>#VALUE!</v>
      </c>
      <c r="CW202" t="str">
        <f ca="1">IFERROR(__xludf.DUMMYFUNCTION("""COMPUTED_VALUE"""),"#VALUE!")</f>
        <v>#VALUE!</v>
      </c>
      <c r="CX202" t="str">
        <f ca="1">IFERROR(__xludf.DUMMYFUNCTION("""COMPUTED_VALUE"""),"C3197")</f>
        <v>C3197</v>
      </c>
      <c r="CY202" t="str">
        <f ca="1">IFERROR(__xludf.DUMMYFUNCTION("""COMPUTED_VALUE"""),"Valdensis")</f>
        <v>Valdensis</v>
      </c>
      <c r="DA202" t="str">
        <f ca="1">IFERROR(__xludf.DUMMYFUNCTION("""COMPUTED_VALUE"""),"dissident minister")</f>
        <v>dissident minister</v>
      </c>
      <c r="DC202" t="str">
        <f ca="1">IFERROR(__xludf.DUMMYFUNCTION("""COMPUTED_VALUE"""),"#VALUE!")</f>
        <v>#VALUE!</v>
      </c>
      <c r="DD202" t="str">
        <f ca="1">IFERROR(__xludf.DUMMYFUNCTION("""COMPUTED_VALUE"""),"C3197")</f>
        <v>C3197</v>
      </c>
      <c r="DE202" t="str">
        <f ca="1">IFERROR(__xludf.DUMMYFUNCTION("""COMPUTED_VALUE"""),"Valdensis")</f>
        <v>Valdensis</v>
      </c>
      <c r="DH202" t="str">
        <f ca="1">IFERROR(__xludf.DUMMYFUNCTION("""COMPUTED_VALUE"""),"L0065#L0067#L0068#L0069#L0025#L0071#L0077#L0066#L0079#L0080#L0083#L0084#L0060#L0088#L0089#L0090#L0032#L0082#L0117#L0096#L0097#L0094#L0099#L0098#L0100#L0101#L0104#L0106#L0108#L0114#L0076#L0115#L0117#L0118#L0119#L0120#L0121#L0076#L0122#L0130#L0131#L0132#L01"&amp;"33#L0137#L0139#L0140#L0143")</f>
        <v>L0065#L0067#L0068#L0069#L0025#L0071#L0077#L0066#L0079#L0080#L0083#L0084#L0060#L0088#L0089#L0090#L0032#L0082#L0117#L0096#L0097#L0094#L0099#L0098#L0100#L0101#L0104#L0106#L0108#L0114#L0076#L0115#L0117#L0118#L0119#L0120#L0121#L0076#L0122#L0130#L0131#L0132#L0133#L0137#L0139#L0140#L0143</v>
      </c>
      <c r="DI202" t="str">
        <f ca="1">IFERROR(__xludf.DUMMYFUNCTION("""COMPUTED_VALUE"""),"domus Iohannis de Castagno de Giaveno #domus Petri Rupphini #domus Vieti de Mondino #domus Iohannis Martini #domus Villelmeti Domenici #domus Iohannis Mulini de Sala #domus Margerite Borssete #domus Bernardi de Rosseto #domus Martinii Dominici #domus Petr"&amp;"ii Burgi #domus Nicoleti Feliçati de Villanova #domus Boneti de Girardo #domus Petri Balbi de Coazze #tectum Petri de Rosseto #domus Iohannis de Facio Ferrandi #domus Thome de Iohanne Iordani #domus Villelmi de Oddo #domus Iacobi Bernardi de Villanova #do"&amp;"mus Michaelis de Fomia #domus Iohannis de Bonaudo #domus Iohannis Borrellati #domus Roberti de Aprili de Selvaggio #domus Aymoneti de Fomia #domus Michaelis Planche #domus de Boysono #domus Villelmi de Oddo #domus Beatricis de Oddo #domus Petri de Boysono"&amp;" #domus Petri de Oddo #domus Henrieti de Mondino #domus Iohannis Torenchi #domus Agnessone de Rosseto #domus Michaelis de Fomia #domus matris Peronete et Michaelis Planche #domus Addorne, uxoris Iohannis Mulini #domus Petri Guerssi #domus Broxie, uxoris I"&amp;"acobi Bernardi #domus Iohannis Torenchi #domus Margerite Planche #domus Iacobete de Mondino #domus Ronde Feliçati #domus Aleysine Burgi #domus Sandrie Torenchi #domus Petri de Facio #domus Laurencii de Collo #domus Iacobi Milla #domus Iohannis de Oddo")</f>
        <v>domus Iohannis de Castagno de Giaveno #domus Petri Rupphini #domus Vieti de Mondino #domus Iohannis Martini #domus Villelmeti Domenici #domus Iohannis Mulini de Sala #domus Margerite Borssete #domus Bernardi de Rosseto #domus Martinii Dominici #domus Petrii Burgi #domus Nicoleti Feliçati de Villanova #domus Boneti de Girardo #domus Petri Balbi de Coazze #tectum Petri de Rosseto #domus Iohannis de Facio Ferrandi #domus Thome de Iohanne Iordani #domus Villelmi de Oddo #domus Iacobi Bernardi de Villanova #domus Michaelis de Fomia #domus Iohannis de Bonaudo #domus Iohannis Borrellati #domus Roberti de Aprili de Selvaggio #domus Aymoneti de Fomia #domus Michaelis Planche #domus de Boysono #domus Villelmi de Oddo #domus Beatricis de Oddo #domus Petri de Boysono #domus Petri de Oddo #domus Henrieti de Mondino #domus Iohannis Torenchi #domus Agnessone de Rosseto #domus Michaelis de Fomia #domus matris Peronete et Michaelis Planche #domus Addorne, uxoris Iohannis Mulini #domus Petri Guerssi #domus Broxie, uxoris Iacobi Bernardi #domus Iohannis Torenchi #domus Margerite Planche #domus Iacobete de Mondino #domus Ronde Feliçati #domus Aleysine Burgi #domus Sandrie Torenchi #domus Petri de Facio #domus Laurencii de Collo #domus Iacobi Milla #domus Iohannis de Oddo</v>
      </c>
      <c r="DJ202" t="str">
        <f ca="1">IFERROR(__xludf.DUMMYFUNCTION("""COMPUTED_VALUE"""),"domus #domus #domus #domus #domus #domus #domus #domus #domus #domus #domus #domus #domus #building #domus #domus #domus #domus #domus #domus #domus #domus #domus #domus #domus #domus #domus #domus #domus #domus #domus #domus #domus #domus #domus #domus #"&amp;"domus #domus #domus #domus #domus #domus #domus #domus #domus #domus #domus")</f>
        <v>domus #domus #domus #domus #domus #domus #domus #domus #domus #domus #domus #domus #domus #building #domus #domus #domus #domus #domus #domus #domus #domus #domus #domus #domus #domus #domus #domus #domus #domus #domus #domus #domus #domus #domus #domus #domus #domus #domus #domus #domus #domus #domus #domus #domus #domus #domus</v>
      </c>
      <c r="DL202" t="str">
        <f ca="1">IFERROR(__xludf.DUMMYFUNCTION("""COMPUTED_VALUE"""),"Davor Salihović")</f>
        <v>Davor Salihović</v>
      </c>
    </row>
    <row r="203" spans="1:116" ht="13.2" x14ac:dyDescent="0.25">
      <c r="A203" t="str">
        <f ca="1">IFERROR(__xludf.DUMMYFUNCTION("""COMPUTED_VALUE"""),"P0207")</f>
        <v>P0207</v>
      </c>
      <c r="B203" t="str">
        <f ca="1">IFERROR(__xludf.DUMMYFUNCTION("""COMPUTED_VALUE"""),"Iacobinus, filius Iohannis de Castaygno")</f>
        <v>Iacobinus, filius Iohannis de Castaygno</v>
      </c>
      <c r="D203" t="str">
        <f ca="1">IFERROR(__xludf.DUMMYFUNCTION("""COMPUTED_VALUE"""),"#VALUE!")</f>
        <v>#VALUE!</v>
      </c>
      <c r="E203" t="str">
        <f ca="1">IFERROR(__xludf.DUMMYFUNCTION("""COMPUTED_VALUE"""),"Iacobinus")</f>
        <v>Iacobinus</v>
      </c>
      <c r="Q203" t="str">
        <f ca="1">IFERROR(__xludf.DUMMYFUNCTION("""COMPUTED_VALUE"""),"filius Iohannis de Castaygno")</f>
        <v>filius Iohannis de Castaygno</v>
      </c>
      <c r="S203" t="str">
        <f ca="1">IFERROR(__xludf.DUMMYFUNCTION("""COMPUTED_VALUE"""),"Latin")</f>
        <v>Latin</v>
      </c>
      <c r="T203" t="str">
        <f ca="1">IFERROR(__xludf.DUMMYFUNCTION("""COMPUTED_VALUE"""),"definite")</f>
        <v>definite</v>
      </c>
      <c r="U203" t="str">
        <f ca="1">IFERROR(__xludf.DUMMYFUNCTION("""COMPUTED_VALUE"""),"C2553")</f>
        <v>C2553</v>
      </c>
      <c r="V203" t="str">
        <f ca="1">IFERROR(__xludf.DUMMYFUNCTION("""COMPUTED_VALUE"""),"male")</f>
        <v>male</v>
      </c>
      <c r="Z203" t="str">
        <f ca="1">IFERROR(__xludf.DUMMYFUNCTION("""COMPUTED_VALUE"""),"177, 179, 183, 192, 232, 236, 248")</f>
        <v>177, 179, 183, 192, 232, 236, 248</v>
      </c>
      <c r="AA203" t="str">
        <f ca="1">IFERROR(__xludf.DUMMYFUNCTION("""COMPUTED_VALUE"""),"d")</f>
        <v>d</v>
      </c>
      <c r="AB203" t="str">
        <f ca="1">IFERROR(__xludf.DUMMYFUNCTION("""COMPUTED_VALUE"""),"suspect")</f>
        <v>suspect</v>
      </c>
      <c r="AD203" t="str">
        <f ca="1">IFERROR(__xludf.DUMMYFUNCTION("""COMPUTED_VALUE"""),"C3287")</f>
        <v>C3287</v>
      </c>
      <c r="AE203" t="str">
        <f ca="1">IFERROR(__xludf.DUMMYFUNCTION("""COMPUTED_VALUE"""),"alive")</f>
        <v>alive</v>
      </c>
      <c r="AF203" t="str">
        <f ca="1">IFERROR(__xludf.DUMMYFUNCTION("""COMPUTED_VALUE"""),"C1753")</f>
        <v>C1753</v>
      </c>
      <c r="AG203" t="str">
        <f ca="1">IFERROR(__xludf.DUMMYFUNCTION("""COMPUTED_VALUE"""),"1335-01-20")</f>
        <v>1335-01-20</v>
      </c>
      <c r="AI203" t="str">
        <f ca="1">IFERROR(__xludf.DUMMYFUNCTION("""COMPUTED_VALUE"""),"#VALUE!")</f>
        <v>#VALUE!</v>
      </c>
      <c r="AK203" t="str">
        <f ca="1">IFERROR(__xludf.DUMMYFUNCTION("""COMPUTED_VALUE"""),"#VALUE!")</f>
        <v>#VALUE!</v>
      </c>
      <c r="AM203" t="str">
        <f ca="1">IFERROR(__xludf.DUMMYFUNCTION("""COMPUTED_VALUE"""),"#VALUE!")</f>
        <v>#VALUE!</v>
      </c>
      <c r="AO203" t="str">
        <f ca="1">IFERROR(__xludf.DUMMYFUNCTION("""COMPUTED_VALUE"""),"#VALUE!")</f>
        <v>#VALUE!</v>
      </c>
      <c r="AQ203" t="str">
        <f ca="1">IFERROR(__xludf.DUMMYFUNCTION("""COMPUTED_VALUE"""),"#VALUE!")</f>
        <v>#VALUE!</v>
      </c>
      <c r="AS203" t="str">
        <f ca="1">IFERROR(__xludf.DUMMYFUNCTION("""COMPUTED_VALUE"""),"#VALUE!")</f>
        <v>#VALUE!</v>
      </c>
      <c r="AU203" t="str">
        <f ca="1">IFERROR(__xludf.DUMMYFUNCTION("""COMPUTED_VALUE"""),"#VALUE!")</f>
        <v>#VALUE!</v>
      </c>
      <c r="AW203" t="str">
        <f ca="1">IFERROR(__xludf.DUMMYFUNCTION("""COMPUTED_VALUE"""),"#VALUE!")</f>
        <v>#VALUE!</v>
      </c>
      <c r="AY203" t="str">
        <f ca="1">IFERROR(__xludf.DUMMYFUNCTION("""COMPUTED_VALUE"""),"#VALUE!")</f>
        <v>#VALUE!</v>
      </c>
      <c r="BA203" t="str">
        <f ca="1">IFERROR(__xludf.DUMMYFUNCTION("""COMPUTED_VALUE"""),"#VALUE!")</f>
        <v>#VALUE!</v>
      </c>
      <c r="BC203" t="str">
        <f ca="1">IFERROR(__xludf.DUMMYFUNCTION("""COMPUTED_VALUE"""),"#VALUE!")</f>
        <v>#VALUE!</v>
      </c>
      <c r="BE203" t="str">
        <f ca="1">IFERROR(__xludf.DUMMYFUNCTION("""COMPUTED_VALUE"""),"#VALUE!")</f>
        <v>#VALUE!</v>
      </c>
      <c r="BG203" t="str">
        <f ca="1">IFERROR(__xludf.DUMMYFUNCTION("""COMPUTED_VALUE"""),"#VALUE!")</f>
        <v>#VALUE!</v>
      </c>
      <c r="BI203" t="str">
        <f ca="1">IFERROR(__xludf.DUMMYFUNCTION("""COMPUTED_VALUE"""),"#VALUE!")</f>
        <v>#VALUE!</v>
      </c>
      <c r="BK203" t="str">
        <f ca="1">IFERROR(__xludf.DUMMYFUNCTION("""COMPUTED_VALUE"""),"#VALUE!")</f>
        <v>#VALUE!</v>
      </c>
      <c r="BM203" t="str">
        <f ca="1">IFERROR(__xludf.DUMMYFUNCTION("""COMPUTED_VALUE"""),"#VALUE!")</f>
        <v>#VALUE!</v>
      </c>
      <c r="BO203" t="str">
        <f ca="1">IFERROR(__xludf.DUMMYFUNCTION("""COMPUTED_VALUE"""),"#VALUE!")</f>
        <v>#VALUE!</v>
      </c>
      <c r="BQ203" t="str">
        <f ca="1">IFERROR(__xludf.DUMMYFUNCTION("""COMPUTED_VALUE"""),"#VALUE!")</f>
        <v>#VALUE!</v>
      </c>
      <c r="BS203" t="str">
        <f ca="1">IFERROR(__xludf.DUMMYFUNCTION("""COMPUTED_VALUE"""),"#VALUE!")</f>
        <v>#VALUE!</v>
      </c>
      <c r="BU203" t="str">
        <f ca="1">IFERROR(__xludf.DUMMYFUNCTION("""COMPUTED_VALUE"""),"#VALUE!")</f>
        <v>#VALUE!</v>
      </c>
      <c r="BW203" t="str">
        <f ca="1">IFERROR(__xludf.DUMMYFUNCTION("""COMPUTED_VALUE"""),"#VALUE!")</f>
        <v>#VALUE!</v>
      </c>
      <c r="BY203" t="str">
        <f ca="1">IFERROR(__xludf.DUMMYFUNCTION("""COMPUTED_VALUE"""),"#VALUE!")</f>
        <v>#VALUE!</v>
      </c>
      <c r="CA203" t="str">
        <f ca="1">IFERROR(__xludf.DUMMYFUNCTION("""COMPUTED_VALUE"""),"#VALUE!")</f>
        <v>#VALUE!</v>
      </c>
      <c r="CC203" t="str">
        <f ca="1">IFERROR(__xludf.DUMMYFUNCTION("""COMPUTED_VALUE"""),"#VALUE!")</f>
        <v>#VALUE!</v>
      </c>
      <c r="CD203" t="str">
        <f ca="1">IFERROR(__xludf.DUMMYFUNCTION("""COMPUTED_VALUE"""),"C3598")</f>
        <v>C3598</v>
      </c>
      <c r="CE203" t="str">
        <f ca="1">IFERROR(__xludf.DUMMYFUNCTION("""COMPUTED_VALUE"""),"location of congregation")</f>
        <v>location of congregation</v>
      </c>
      <c r="CF203" t="str">
        <f ca="1">IFERROR(__xludf.DUMMYFUNCTION("""COMPUTED_VALUE"""),"L0065#L0069")</f>
        <v>L0065#L0069</v>
      </c>
      <c r="CG203" t="str">
        <f ca="1">IFERROR(__xludf.DUMMYFUNCTION("""COMPUTED_VALUE"""),"domus Iohannis de Castagno de Giaveno #domus Iohannis Martini")</f>
        <v>domus Iohannis de Castagno de Giaveno #domus Iohannis Martini</v>
      </c>
      <c r="CI203" t="str">
        <f ca="1">IFERROR(__xludf.DUMMYFUNCTION("""COMPUTED_VALUE"""),"#VALUE!")</f>
        <v>#VALUE!</v>
      </c>
      <c r="CJ203" t="str">
        <f ca="1">IFERROR(__xludf.DUMMYFUNCTION("""COMPUTED_VALUE"""),"P0229")</f>
        <v>P0229</v>
      </c>
      <c r="CK203" t="str">
        <f ca="1">IFERROR(__xludf.DUMMYFUNCTION("""COMPUTED_VALUE"""),"Marguerita Borsseta")</f>
        <v>Marguerita Borsseta</v>
      </c>
      <c r="CS203" t="str">
        <f ca="1">IFERROR(__xludf.DUMMYFUNCTION("""COMPUTED_VALUE"""),"#VALUE!")</f>
        <v>#VALUE!</v>
      </c>
      <c r="CU203" t="str">
        <f ca="1">IFERROR(__xludf.DUMMYFUNCTION("""COMPUTED_VALUE"""),"#VALUE!")</f>
        <v>#VALUE!</v>
      </c>
      <c r="CW203" t="str">
        <f ca="1">IFERROR(__xludf.DUMMYFUNCTION("""COMPUTED_VALUE"""),"#VALUE!")</f>
        <v>#VALUE!</v>
      </c>
      <c r="CY203" t="str">
        <f ca="1">IFERROR(__xludf.DUMMYFUNCTION("""COMPUTED_VALUE"""),"#VALUE!")</f>
        <v>#VALUE!</v>
      </c>
      <c r="DC203" t="str">
        <f ca="1">IFERROR(__xludf.DUMMYFUNCTION("""COMPUTED_VALUE"""),"#VALUE!")</f>
        <v>#VALUE!</v>
      </c>
      <c r="DE203" t="str">
        <f ca="1">IFERROR(__xludf.DUMMYFUNCTION("""COMPUTED_VALUE"""),"#VALUE!")</f>
        <v>#VALUE!</v>
      </c>
      <c r="DG203" t="str">
        <f ca="1">IFERROR(__xludf.DUMMYFUNCTION("""COMPUTED_VALUE"""),"183")</f>
        <v>183</v>
      </c>
      <c r="DH203" t="str">
        <f ca="1">IFERROR(__xludf.DUMMYFUNCTION("""COMPUTED_VALUE"""),"L0065#L0069")</f>
        <v>L0065#L0069</v>
      </c>
      <c r="DI203" t="str">
        <f ca="1">IFERROR(__xludf.DUMMYFUNCTION("""COMPUTED_VALUE"""),"domus Iohannis de Castagno de Giaveno #domus Iohannis Martini")</f>
        <v>domus Iohannis de Castagno de Giaveno #domus Iohannis Martini</v>
      </c>
      <c r="DJ203" t="str">
        <f ca="1">IFERROR(__xludf.DUMMYFUNCTION("""COMPUTED_VALUE"""),"domus #domus")</f>
        <v>domus #domus</v>
      </c>
      <c r="DL203" t="str">
        <f ca="1">IFERROR(__xludf.DUMMYFUNCTION("""COMPUTED_VALUE"""),"Davor Salihović")</f>
        <v>Davor Salihović</v>
      </c>
    </row>
    <row r="204" spans="1:116" ht="13.2" x14ac:dyDescent="0.25">
      <c r="A204" t="str">
        <f ca="1">IFERROR(__xludf.DUMMYFUNCTION("""COMPUTED_VALUE"""),"P0208")</f>
        <v>P0208</v>
      </c>
      <c r="B204" t="str">
        <f ca="1">IFERROR(__xludf.DUMMYFUNCTION("""COMPUTED_VALUE"""),"Martinus Dominici")</f>
        <v>Martinus Dominici</v>
      </c>
      <c r="D204" t="str">
        <f ca="1">IFERROR(__xludf.DUMMYFUNCTION("""COMPUTED_VALUE"""),"#VALUE!")</f>
        <v>#VALUE!</v>
      </c>
      <c r="E204" t="str">
        <f ca="1">IFERROR(__xludf.DUMMYFUNCTION("""COMPUTED_VALUE"""),"Martinus")</f>
        <v>Martinus</v>
      </c>
      <c r="K204" t="str">
        <f ca="1">IFERROR(__xludf.DUMMYFUNCTION("""COMPUTED_VALUE"""),"Dominici")</f>
        <v>Dominici</v>
      </c>
      <c r="L204" t="str">
        <f ca="1">IFERROR(__xludf.DUMMYFUNCTION("""COMPUTED_VALUE"""),"Dominici")</f>
        <v>Dominici</v>
      </c>
      <c r="Q204" t="str">
        <f ca="1">IFERROR(__xludf.DUMMYFUNCTION("""COMPUTED_VALUE"""),"filius Villelmeti Dominici")</f>
        <v>filius Villelmeti Dominici</v>
      </c>
      <c r="S204" t="str">
        <f ca="1">IFERROR(__xludf.DUMMYFUNCTION("""COMPUTED_VALUE"""),"Latin")</f>
        <v>Latin</v>
      </c>
      <c r="T204" t="str">
        <f ca="1">IFERROR(__xludf.DUMMYFUNCTION("""COMPUTED_VALUE"""),"definite")</f>
        <v>definite</v>
      </c>
      <c r="U204" t="str">
        <f ca="1">IFERROR(__xludf.DUMMYFUNCTION("""COMPUTED_VALUE"""),"C2553")</f>
        <v>C2553</v>
      </c>
      <c r="V204" t="str">
        <f ca="1">IFERROR(__xludf.DUMMYFUNCTION("""COMPUTED_VALUE"""),"male")</f>
        <v>male</v>
      </c>
      <c r="Z204" t="str">
        <f ca="1">IFERROR(__xludf.DUMMYFUNCTION("""COMPUTED_VALUE"""),"177, 187, 188, 189, 190, 191, 194, 196, 197, 213, 216, 220, 221, 222, 223, 226, 228, 229, 230, 239, 240, 241, 246, 247, 249")</f>
        <v>177, 187, 188, 189, 190, 191, 194, 196, 197, 213, 216, 220, 221, 222, 223, 226, 228, 229, 230, 239, 240, 241, 246, 247, 249</v>
      </c>
      <c r="AA204" t="str">
        <f ca="1">IFERROR(__xludf.DUMMYFUNCTION("""COMPUTED_VALUE"""),"d")</f>
        <v>d</v>
      </c>
      <c r="AB204" t="str">
        <f ca="1">IFERROR(__xludf.DUMMYFUNCTION("""COMPUTED_VALUE"""),"suspect")</f>
        <v>suspect</v>
      </c>
      <c r="AD204" t="str">
        <f ca="1">IFERROR(__xludf.DUMMYFUNCTION("""COMPUTED_VALUE"""),"C3287")</f>
        <v>C3287</v>
      </c>
      <c r="AE204" t="str">
        <f ca="1">IFERROR(__xludf.DUMMYFUNCTION("""COMPUTED_VALUE"""),"alive")</f>
        <v>alive</v>
      </c>
      <c r="AF204" t="str">
        <f ca="1">IFERROR(__xludf.DUMMYFUNCTION("""COMPUTED_VALUE"""),"C1753")</f>
        <v>C1753</v>
      </c>
      <c r="AG204" t="str">
        <f ca="1">IFERROR(__xludf.DUMMYFUNCTION("""COMPUTED_VALUE"""),"1335-01-20")</f>
        <v>1335-01-20</v>
      </c>
      <c r="AH204" t="str">
        <f ca="1">IFERROR(__xludf.DUMMYFUNCTION("""COMPUTED_VALUE"""),"C2345")</f>
        <v>C2345</v>
      </c>
      <c r="AI204" t="str">
        <f ca="1">IFERROR(__xludf.DUMMYFUNCTION("""COMPUTED_VALUE"""),"servant")</f>
        <v>servant</v>
      </c>
      <c r="AJ204" t="str">
        <f ca="1">IFERROR(__xludf.DUMMYFUNCTION("""COMPUTED_VALUE"""),"P0053")</f>
        <v>P0053</v>
      </c>
      <c r="AK204" t="str">
        <f ca="1">IFERROR(__xludf.DUMMYFUNCTION("""COMPUTED_VALUE"""),"Iohannes Gauterii")</f>
        <v>Iohannes Gauterii</v>
      </c>
      <c r="AL204" t="str">
        <f ca="1">IFERROR(__xludf.DUMMYFUNCTION("""COMPUTED_VALUE"""),"C2348")</f>
        <v>C2348</v>
      </c>
      <c r="AM204" t="str">
        <f ca="1">IFERROR(__xludf.DUMMYFUNCTION("""COMPUTED_VALUE"""),"wife")</f>
        <v>wife</v>
      </c>
      <c r="AN204" t="str">
        <f ca="1">IFERROR(__xludf.DUMMYFUNCTION("""COMPUTED_VALUE"""),"P0266")</f>
        <v>P0266</v>
      </c>
      <c r="AO204" t="str">
        <f ca="1">IFERROR(__xludf.DUMMYFUNCTION("""COMPUTED_VALUE"""),"Iohanna, uxor Martini Dominici")</f>
        <v>Iohanna, uxor Martini Dominici</v>
      </c>
      <c r="AQ204" t="str">
        <f ca="1">IFERROR(__xludf.DUMMYFUNCTION("""COMPUTED_VALUE"""),"#VALUE!")</f>
        <v>#VALUE!</v>
      </c>
      <c r="AS204" t="str">
        <f ca="1">IFERROR(__xludf.DUMMYFUNCTION("""COMPUTED_VALUE"""),"#VALUE!")</f>
        <v>#VALUE!</v>
      </c>
      <c r="AT204" t="str">
        <f ca="1">IFERROR(__xludf.DUMMYFUNCTION("""COMPUTED_VALUE"""),"C2348")</f>
        <v>C2348</v>
      </c>
      <c r="AU204" t="str">
        <f ca="1">IFERROR(__xludf.DUMMYFUNCTION("""COMPUTED_VALUE"""),"wife")</f>
        <v>wife</v>
      </c>
      <c r="AV204" t="str">
        <f ca="1">IFERROR(__xludf.DUMMYFUNCTION("""COMPUTED_VALUE"""),"P0390")</f>
        <v>P0390</v>
      </c>
      <c r="AW204" t="str">
        <f ca="1">IFERROR(__xludf.DUMMYFUNCTION("""COMPUTED_VALUE"""),"Bellona, uxor Martini Dominici")</f>
        <v>Bellona, uxor Martini Dominici</v>
      </c>
      <c r="AY204" t="str">
        <f ca="1">IFERROR(__xludf.DUMMYFUNCTION("""COMPUTED_VALUE"""),"#VALUE!")</f>
        <v>#VALUE!</v>
      </c>
      <c r="BA204" t="str">
        <f ca="1">IFERROR(__xludf.DUMMYFUNCTION("""COMPUTED_VALUE"""),"#VALUE!")</f>
        <v>#VALUE!</v>
      </c>
      <c r="BC204" t="str">
        <f ca="1">IFERROR(__xludf.DUMMYFUNCTION("""COMPUTED_VALUE"""),"#VALUE!")</f>
        <v>#VALUE!</v>
      </c>
      <c r="BE204" t="str">
        <f ca="1">IFERROR(__xludf.DUMMYFUNCTION("""COMPUTED_VALUE"""),"#VALUE!")</f>
        <v>#VALUE!</v>
      </c>
      <c r="BG204" t="str">
        <f ca="1">IFERROR(__xludf.DUMMYFUNCTION("""COMPUTED_VALUE"""),"#VALUE!")</f>
        <v>#VALUE!</v>
      </c>
      <c r="BI204" t="str">
        <f ca="1">IFERROR(__xludf.DUMMYFUNCTION("""COMPUTED_VALUE"""),"#VALUE!")</f>
        <v>#VALUE!</v>
      </c>
      <c r="BK204" t="str">
        <f ca="1">IFERROR(__xludf.DUMMYFUNCTION("""COMPUTED_VALUE"""),"#VALUE!")</f>
        <v>#VALUE!</v>
      </c>
      <c r="BM204" t="str">
        <f ca="1">IFERROR(__xludf.DUMMYFUNCTION("""COMPUTED_VALUE"""),"#VALUE!")</f>
        <v>#VALUE!</v>
      </c>
      <c r="BO204" t="str">
        <f ca="1">IFERROR(__xludf.DUMMYFUNCTION("""COMPUTED_VALUE"""),"#VALUE!")</f>
        <v>#VALUE!</v>
      </c>
      <c r="BQ204" t="str">
        <f ca="1">IFERROR(__xludf.DUMMYFUNCTION("""COMPUTED_VALUE"""),"#VALUE!")</f>
        <v>#VALUE!</v>
      </c>
      <c r="BS204" t="str">
        <f ca="1">IFERROR(__xludf.DUMMYFUNCTION("""COMPUTED_VALUE"""),"#VALUE!")</f>
        <v>#VALUE!</v>
      </c>
      <c r="BU204" t="str">
        <f ca="1">IFERROR(__xludf.DUMMYFUNCTION("""COMPUTED_VALUE"""),"#VALUE!")</f>
        <v>#VALUE!</v>
      </c>
      <c r="BW204" t="str">
        <f ca="1">IFERROR(__xludf.DUMMYFUNCTION("""COMPUTED_VALUE"""),"#VALUE!")</f>
        <v>#VALUE!</v>
      </c>
      <c r="BY204" t="str">
        <f ca="1">IFERROR(__xludf.DUMMYFUNCTION("""COMPUTED_VALUE"""),"#VALUE!")</f>
        <v>#VALUE!</v>
      </c>
      <c r="CA204" t="str">
        <f ca="1">IFERROR(__xludf.DUMMYFUNCTION("""COMPUTED_VALUE"""),"#VALUE!")</f>
        <v>#VALUE!</v>
      </c>
      <c r="CC204" t="str">
        <f ca="1">IFERROR(__xludf.DUMMYFUNCTION("""COMPUTED_VALUE"""),"#VALUE!")</f>
        <v>#VALUE!</v>
      </c>
      <c r="CD204" t="str">
        <f ca="1">IFERROR(__xludf.DUMMYFUNCTION("""COMPUTED_VALUE"""),"C3598")</f>
        <v>C3598</v>
      </c>
      <c r="CE204" t="str">
        <f ca="1">IFERROR(__xludf.DUMMYFUNCTION("""COMPUTED_VALUE"""),"location of congregation")</f>
        <v>location of congregation</v>
      </c>
      <c r="CF204" t="str">
        <f ca="1">IFERROR(__xludf.DUMMYFUNCTION("""COMPUTED_VALUE"""),"L0025#L0079#L0071#L0080#L0081#L0082#L0083#L0084#L0060#L0078#L0119#L0121#L0131")</f>
        <v>L0025#L0079#L0071#L0080#L0081#L0082#L0083#L0084#L0060#L0078#L0119#L0121#L0131</v>
      </c>
      <c r="CG204" t="str">
        <f ca="1">IFERROR(__xludf.DUMMYFUNCTION("""COMPUTED_VALUE"""),"domus Villelmeti Domenici #domus Martinii Dominici #domus Iohannis Mulini de Sala #domus Petrii Burgi #domus Andree de Malessart #domus Iacobi Bernardi de Villanova #domus Nicoleti Feliçati de Villanova #domus Boneti de Girardo #domus Petri Balbi de Coazz"&amp;"e #domus Facii de Papono #domus Addorne, uxoris Iohannis Mulini #domus Broxie, uxoris Iacobi Bernardi #domus Ronde Feliçati")</f>
        <v>domus Villelmeti Domenici #domus Martinii Dominici #domus Iohannis Mulini de Sala #domus Petrii Burgi #domus Andree de Malessart #domus Iacobi Bernardi de Villanova #domus Nicoleti Feliçati de Villanova #domus Boneti de Girardo #domus Petri Balbi de Coazze #domus Facii de Papono #domus Addorne, uxoris Iohannis Mulini #domus Broxie, uxoris Iacobi Bernardi #domus Ronde Feliçati</v>
      </c>
      <c r="CI204" t="str">
        <f ca="1">IFERROR(__xludf.DUMMYFUNCTION("""COMPUTED_VALUE"""),"#VALUE!")</f>
        <v>#VALUE!</v>
      </c>
      <c r="CJ204" t="str">
        <f ca="1">IFERROR(__xludf.DUMMYFUNCTION("""COMPUTED_VALUE"""),"P0266#P0053")</f>
        <v>P0266#P0053</v>
      </c>
      <c r="CK204" t="str">
        <f ca="1">IFERROR(__xludf.DUMMYFUNCTION("""COMPUTED_VALUE"""),"Iohanna, uxor Martini Dominici #Iohannes Gauterii")</f>
        <v>Iohanna, uxor Martini Dominici #Iohannes Gauterii</v>
      </c>
      <c r="CS204" t="str">
        <f ca="1">IFERROR(__xludf.DUMMYFUNCTION("""COMPUTED_VALUE"""),"#VALUE!")</f>
        <v>#VALUE!</v>
      </c>
      <c r="CU204" t="str">
        <f ca="1">IFERROR(__xludf.DUMMYFUNCTION("""COMPUTED_VALUE"""),"#VALUE!")</f>
        <v>#VALUE!</v>
      </c>
      <c r="CW204" t="str">
        <f ca="1">IFERROR(__xludf.DUMMYFUNCTION("""COMPUTED_VALUE"""),"#VALUE!")</f>
        <v>#VALUE!</v>
      </c>
      <c r="CY204" t="str">
        <f ca="1">IFERROR(__xludf.DUMMYFUNCTION("""COMPUTED_VALUE"""),"#VALUE!")</f>
        <v>#VALUE!</v>
      </c>
      <c r="DC204" t="str">
        <f ca="1">IFERROR(__xludf.DUMMYFUNCTION("""COMPUTED_VALUE"""),"#VALUE!")</f>
        <v>#VALUE!</v>
      </c>
      <c r="DE204" t="str">
        <f ca="1">IFERROR(__xludf.DUMMYFUNCTION("""COMPUTED_VALUE"""),"#VALUE!")</f>
        <v>#VALUE!</v>
      </c>
      <c r="DF204" t="str">
        <f ca="1">IFERROR(__xludf.DUMMYFUNCTION("""COMPUTED_VALUE"""),"y")</f>
        <v>y</v>
      </c>
      <c r="DG204" t="str">
        <f ca="1">IFERROR(__xludf.DUMMYFUNCTION("""COMPUTED_VALUE"""),"187-188")</f>
        <v>187-188</v>
      </c>
      <c r="DH204" t="str">
        <f ca="1">IFERROR(__xludf.DUMMYFUNCTION("""COMPUTED_VALUE"""),"L0025#L0079#L0071#L0080#L0081#L0082#L0083#L0084#L0060#L0078#L0119#L0121#L0131")</f>
        <v>L0025#L0079#L0071#L0080#L0081#L0082#L0083#L0084#L0060#L0078#L0119#L0121#L0131</v>
      </c>
      <c r="DI204" t="str">
        <f ca="1">IFERROR(__xludf.DUMMYFUNCTION("""COMPUTED_VALUE"""),"domus Villelmeti Domenici #domus Martinii Dominici #domus Iohannis Mulini de Sala #domus Petrii Burgi #domus Andree de Malessart #domus Iacobi Bernardi de Villanova #domus Nicoleti Feliçati de Villanova #domus Boneti de Girardo #domus Petri Balbi de Coazz"&amp;"e #domus Facii de Papono #domus Addorne, uxoris Iohannis Mulini #domus Broxie, uxoris Iacobi Bernardi #domus Ronde Feliçati")</f>
        <v>domus Villelmeti Domenici #domus Martinii Dominici #domus Iohannis Mulini de Sala #domus Petrii Burgi #domus Andree de Malessart #domus Iacobi Bernardi de Villanova #domus Nicoleti Feliçati de Villanova #domus Boneti de Girardo #domus Petri Balbi de Coazze #domus Facii de Papono #domus Addorne, uxoris Iohannis Mulini #domus Broxie, uxoris Iacobi Bernardi #domus Ronde Feliçati</v>
      </c>
      <c r="DJ204" t="str">
        <f ca="1">IFERROR(__xludf.DUMMYFUNCTION("""COMPUTED_VALUE"""),"domus #domus #domus #domus #domus #domus #domus #domus #domus #domus #domus #domus #domus")</f>
        <v>domus #domus #domus #domus #domus #domus #domus #domus #domus #domus #domus #domus #domus</v>
      </c>
      <c r="DL204" t="str">
        <f ca="1">IFERROR(__xludf.DUMMYFUNCTION("""COMPUTED_VALUE"""),"Davor Salihović")</f>
        <v>Davor Salihović</v>
      </c>
    </row>
    <row r="205" spans="1:116" ht="13.2" x14ac:dyDescent="0.25">
      <c r="A205" t="str">
        <f ca="1">IFERROR(__xludf.DUMMYFUNCTION("""COMPUTED_VALUE"""),"P0209")</f>
        <v>P0209</v>
      </c>
      <c r="B205" t="str">
        <f ca="1">IFERROR(__xludf.DUMMYFUNCTION("""COMPUTED_VALUE"""),"Iohannes Bernardi")</f>
        <v>Iohannes Bernardi</v>
      </c>
      <c r="D205" t="str">
        <f ca="1">IFERROR(__xludf.DUMMYFUNCTION("""COMPUTED_VALUE"""),"#VALUE!")</f>
        <v>#VALUE!</v>
      </c>
      <c r="E205" t="str">
        <f ca="1">IFERROR(__xludf.DUMMYFUNCTION("""COMPUTED_VALUE"""),"Iohannes")</f>
        <v>Iohannes</v>
      </c>
      <c r="K205" t="str">
        <f ca="1">IFERROR(__xludf.DUMMYFUNCTION("""COMPUTED_VALUE"""),"Bernardi")</f>
        <v>Bernardi</v>
      </c>
      <c r="L205" t="str">
        <f ca="1">IFERROR(__xludf.DUMMYFUNCTION("""COMPUTED_VALUE"""),"Bernardi")</f>
        <v>Bernardi</v>
      </c>
      <c r="S205" t="str">
        <f ca="1">IFERROR(__xludf.DUMMYFUNCTION("""COMPUTED_VALUE"""),"Latin")</f>
        <v>Latin</v>
      </c>
      <c r="T205" t="str">
        <f ca="1">IFERROR(__xludf.DUMMYFUNCTION("""COMPUTED_VALUE"""),"definite")</f>
        <v>definite</v>
      </c>
      <c r="U205" t="str">
        <f ca="1">IFERROR(__xludf.DUMMYFUNCTION("""COMPUTED_VALUE"""),"C2553")</f>
        <v>C2553</v>
      </c>
      <c r="V205" t="str">
        <f ca="1">IFERROR(__xludf.DUMMYFUNCTION("""COMPUTED_VALUE"""),"male")</f>
        <v>male</v>
      </c>
      <c r="Z205" t="str">
        <f ca="1">IFERROR(__xludf.DUMMYFUNCTION("""COMPUTED_VALUE"""),"177, 179")</f>
        <v>177, 179</v>
      </c>
      <c r="AA205" t="str">
        <f ca="1">IFERROR(__xludf.DUMMYFUNCTION("""COMPUTED_VALUE"""),"d")</f>
        <v>d</v>
      </c>
      <c r="AB205" t="str">
        <f ca="1">IFERROR(__xludf.DUMMYFUNCTION("""COMPUTED_VALUE"""),"suspect")</f>
        <v>suspect</v>
      </c>
      <c r="AE205" t="str">
        <f ca="1">IFERROR(__xludf.DUMMYFUNCTION("""COMPUTED_VALUE"""),"#VALUE!")</f>
        <v>#VALUE!</v>
      </c>
      <c r="AF205" t="str">
        <f ca="1">IFERROR(__xludf.DUMMYFUNCTION("""COMPUTED_VALUE"""),"#N/A")</f>
        <v>#N/A</v>
      </c>
      <c r="AG205" t="str">
        <f ca="1">IFERROR(__xludf.DUMMYFUNCTION("""COMPUTED_VALUE"""),"#N/A")</f>
        <v>#N/A</v>
      </c>
      <c r="AI205" t="str">
        <f ca="1">IFERROR(__xludf.DUMMYFUNCTION("""COMPUTED_VALUE"""),"#VALUE!")</f>
        <v>#VALUE!</v>
      </c>
      <c r="AK205" t="str">
        <f ca="1">IFERROR(__xludf.DUMMYFUNCTION("""COMPUTED_VALUE"""),"#VALUE!")</f>
        <v>#VALUE!</v>
      </c>
      <c r="AM205" t="str">
        <f ca="1">IFERROR(__xludf.DUMMYFUNCTION("""COMPUTED_VALUE"""),"#VALUE!")</f>
        <v>#VALUE!</v>
      </c>
      <c r="AO205" t="str">
        <f ca="1">IFERROR(__xludf.DUMMYFUNCTION("""COMPUTED_VALUE"""),"#VALUE!")</f>
        <v>#VALUE!</v>
      </c>
      <c r="AQ205" t="str">
        <f ca="1">IFERROR(__xludf.DUMMYFUNCTION("""COMPUTED_VALUE"""),"#VALUE!")</f>
        <v>#VALUE!</v>
      </c>
      <c r="AS205" t="str">
        <f ca="1">IFERROR(__xludf.DUMMYFUNCTION("""COMPUTED_VALUE"""),"#VALUE!")</f>
        <v>#VALUE!</v>
      </c>
      <c r="AU205" t="str">
        <f ca="1">IFERROR(__xludf.DUMMYFUNCTION("""COMPUTED_VALUE"""),"#VALUE!")</f>
        <v>#VALUE!</v>
      </c>
      <c r="AW205" t="str">
        <f ca="1">IFERROR(__xludf.DUMMYFUNCTION("""COMPUTED_VALUE"""),"#VALUE!")</f>
        <v>#VALUE!</v>
      </c>
      <c r="AY205" t="str">
        <f ca="1">IFERROR(__xludf.DUMMYFUNCTION("""COMPUTED_VALUE"""),"#VALUE!")</f>
        <v>#VALUE!</v>
      </c>
      <c r="BA205" t="str">
        <f ca="1">IFERROR(__xludf.DUMMYFUNCTION("""COMPUTED_VALUE"""),"#VALUE!")</f>
        <v>#VALUE!</v>
      </c>
      <c r="BC205" t="str">
        <f ca="1">IFERROR(__xludf.DUMMYFUNCTION("""COMPUTED_VALUE"""),"#VALUE!")</f>
        <v>#VALUE!</v>
      </c>
      <c r="BE205" t="str">
        <f ca="1">IFERROR(__xludf.DUMMYFUNCTION("""COMPUTED_VALUE"""),"#VALUE!")</f>
        <v>#VALUE!</v>
      </c>
      <c r="BG205" t="str">
        <f ca="1">IFERROR(__xludf.DUMMYFUNCTION("""COMPUTED_VALUE"""),"#VALUE!")</f>
        <v>#VALUE!</v>
      </c>
      <c r="BI205" t="str">
        <f ca="1">IFERROR(__xludf.DUMMYFUNCTION("""COMPUTED_VALUE"""),"#VALUE!")</f>
        <v>#VALUE!</v>
      </c>
      <c r="BK205" t="str">
        <f ca="1">IFERROR(__xludf.DUMMYFUNCTION("""COMPUTED_VALUE"""),"#VALUE!")</f>
        <v>#VALUE!</v>
      </c>
      <c r="BM205" t="str">
        <f ca="1">IFERROR(__xludf.DUMMYFUNCTION("""COMPUTED_VALUE"""),"#VALUE!")</f>
        <v>#VALUE!</v>
      </c>
      <c r="BO205" t="str">
        <f ca="1">IFERROR(__xludf.DUMMYFUNCTION("""COMPUTED_VALUE"""),"#VALUE!")</f>
        <v>#VALUE!</v>
      </c>
      <c r="BQ205" t="str">
        <f ca="1">IFERROR(__xludf.DUMMYFUNCTION("""COMPUTED_VALUE"""),"#VALUE!")</f>
        <v>#VALUE!</v>
      </c>
      <c r="BS205" t="str">
        <f ca="1">IFERROR(__xludf.DUMMYFUNCTION("""COMPUTED_VALUE"""),"#VALUE!")</f>
        <v>#VALUE!</v>
      </c>
      <c r="BU205" t="str">
        <f ca="1">IFERROR(__xludf.DUMMYFUNCTION("""COMPUTED_VALUE"""),"#VALUE!")</f>
        <v>#VALUE!</v>
      </c>
      <c r="BW205" t="str">
        <f ca="1">IFERROR(__xludf.DUMMYFUNCTION("""COMPUTED_VALUE"""),"#VALUE!")</f>
        <v>#VALUE!</v>
      </c>
      <c r="BY205" t="str">
        <f ca="1">IFERROR(__xludf.DUMMYFUNCTION("""COMPUTED_VALUE"""),"#VALUE!")</f>
        <v>#VALUE!</v>
      </c>
      <c r="CA205" t="str">
        <f ca="1">IFERROR(__xludf.DUMMYFUNCTION("""COMPUTED_VALUE"""),"#VALUE!")</f>
        <v>#VALUE!</v>
      </c>
      <c r="CC205" t="str">
        <f ca="1">IFERROR(__xludf.DUMMYFUNCTION("""COMPUTED_VALUE"""),"#VALUE!")</f>
        <v>#VALUE!</v>
      </c>
      <c r="CD205" t="str">
        <f ca="1">IFERROR(__xludf.DUMMYFUNCTION("""COMPUTED_VALUE"""),"C3598")</f>
        <v>C3598</v>
      </c>
      <c r="CE205" t="str">
        <f ca="1">IFERROR(__xludf.DUMMYFUNCTION("""COMPUTED_VALUE"""),"location of congregation")</f>
        <v>location of congregation</v>
      </c>
      <c r="CF205" t="str">
        <f ca="1">IFERROR(__xludf.DUMMYFUNCTION("""COMPUTED_VALUE"""),"L0025")</f>
        <v>L0025</v>
      </c>
      <c r="CG205" t="str">
        <f ca="1">IFERROR(__xludf.DUMMYFUNCTION("""COMPUTED_VALUE"""),"domus Villelmeti Domenici")</f>
        <v>domus Villelmeti Domenici</v>
      </c>
      <c r="CI205" t="str">
        <f ca="1">IFERROR(__xludf.DUMMYFUNCTION("""COMPUTED_VALUE"""),"#VALUE!")</f>
        <v>#VALUE!</v>
      </c>
      <c r="CK205" t="str">
        <f ca="1">IFERROR(__xludf.DUMMYFUNCTION("""COMPUTED_VALUE"""),"#VALUE!")</f>
        <v>#VALUE!</v>
      </c>
      <c r="CS205" t="str">
        <f ca="1">IFERROR(__xludf.DUMMYFUNCTION("""COMPUTED_VALUE"""),"#VALUE!")</f>
        <v>#VALUE!</v>
      </c>
      <c r="CU205" t="str">
        <f ca="1">IFERROR(__xludf.DUMMYFUNCTION("""COMPUTED_VALUE"""),"#VALUE!")</f>
        <v>#VALUE!</v>
      </c>
      <c r="CW205" t="str">
        <f ca="1">IFERROR(__xludf.DUMMYFUNCTION("""COMPUTED_VALUE"""),"#VALUE!")</f>
        <v>#VALUE!</v>
      </c>
      <c r="CY205" t="str">
        <f ca="1">IFERROR(__xludf.DUMMYFUNCTION("""COMPUTED_VALUE"""),"#VALUE!")</f>
        <v>#VALUE!</v>
      </c>
      <c r="DC205" t="str">
        <f ca="1">IFERROR(__xludf.DUMMYFUNCTION("""COMPUTED_VALUE"""),"#VALUE!")</f>
        <v>#VALUE!</v>
      </c>
      <c r="DE205" t="str">
        <f ca="1">IFERROR(__xludf.DUMMYFUNCTION("""COMPUTED_VALUE"""),"#VALUE!")</f>
        <v>#VALUE!</v>
      </c>
      <c r="DH205" t="str">
        <f ca="1">IFERROR(__xludf.DUMMYFUNCTION("""COMPUTED_VALUE"""),"L0025")</f>
        <v>L0025</v>
      </c>
      <c r="DI205" t="str">
        <f ca="1">IFERROR(__xludf.DUMMYFUNCTION("""COMPUTED_VALUE"""),"domus Villelmeti Domenici")</f>
        <v>domus Villelmeti Domenici</v>
      </c>
      <c r="DJ205" t="str">
        <f ca="1">IFERROR(__xludf.DUMMYFUNCTION("""COMPUTED_VALUE"""),"domus")</f>
        <v>domus</v>
      </c>
      <c r="DL205" t="str">
        <f ca="1">IFERROR(__xludf.DUMMYFUNCTION("""COMPUTED_VALUE"""),"Davor Salihović")</f>
        <v>Davor Salihović</v>
      </c>
    </row>
    <row r="206" spans="1:116" ht="13.2" x14ac:dyDescent="0.25">
      <c r="A206" t="str">
        <f ca="1">IFERROR(__xludf.DUMMYFUNCTION("""COMPUTED_VALUE"""),"P0210")</f>
        <v>P0210</v>
      </c>
      <c r="B206" t="str">
        <f ca="1">IFERROR(__xludf.DUMMYFUNCTION("""COMPUTED_VALUE"""),"Martinus de Lacu")</f>
        <v>Martinus de Lacu</v>
      </c>
      <c r="D206" t="str">
        <f ca="1">IFERROR(__xludf.DUMMYFUNCTION("""COMPUTED_VALUE"""),"#VALUE!")</f>
        <v>#VALUE!</v>
      </c>
      <c r="E206" t="str">
        <f ca="1">IFERROR(__xludf.DUMMYFUNCTION("""COMPUTED_VALUE"""),"Martinus")</f>
        <v>Martinus</v>
      </c>
      <c r="F206" t="str">
        <f ca="1">IFERROR(__xludf.DUMMYFUNCTION("""COMPUTED_VALUE"""),"Martinetus")</f>
        <v>Martinetus</v>
      </c>
      <c r="J206" t="str">
        <f ca="1">IFERROR(__xludf.DUMMYFUNCTION("""COMPUTED_VALUE"""),"de")</f>
        <v>de</v>
      </c>
      <c r="K206" t="str">
        <f ca="1">IFERROR(__xludf.DUMMYFUNCTION("""COMPUTED_VALUE"""),"Lacu")</f>
        <v>Lacu</v>
      </c>
      <c r="L206" t="str">
        <f ca="1">IFERROR(__xludf.DUMMYFUNCTION("""COMPUTED_VALUE"""),"de Lacu")</f>
        <v>de Lacu</v>
      </c>
      <c r="S206" t="str">
        <f ca="1">IFERROR(__xludf.DUMMYFUNCTION("""COMPUTED_VALUE"""),"Latin")</f>
        <v>Latin</v>
      </c>
      <c r="T206" t="str">
        <f ca="1">IFERROR(__xludf.DUMMYFUNCTION("""COMPUTED_VALUE"""),"definite")</f>
        <v>definite</v>
      </c>
      <c r="U206" t="str">
        <f ca="1">IFERROR(__xludf.DUMMYFUNCTION("""COMPUTED_VALUE"""),"C2553")</f>
        <v>C2553</v>
      </c>
      <c r="V206" t="str">
        <f ca="1">IFERROR(__xludf.DUMMYFUNCTION("""COMPUTED_VALUE"""),"male")</f>
        <v>male</v>
      </c>
      <c r="Z206" t="str">
        <f ca="1">IFERROR(__xludf.DUMMYFUNCTION("""COMPUTED_VALUE"""),"177, 198, 204, 206, 233, 242, 243, 249")</f>
        <v>177, 198, 204, 206, 233, 242, 243, 249</v>
      </c>
      <c r="AA206" t="str">
        <f ca="1">IFERROR(__xludf.DUMMYFUNCTION("""COMPUTED_VALUE"""),"d")</f>
        <v>d</v>
      </c>
      <c r="AB206" t="str">
        <f ca="1">IFERROR(__xludf.DUMMYFUNCTION("""COMPUTED_VALUE"""),"suspect")</f>
        <v>suspect</v>
      </c>
      <c r="AE206" t="str">
        <f ca="1">IFERROR(__xludf.DUMMYFUNCTION("""COMPUTED_VALUE"""),"#VALUE!")</f>
        <v>#VALUE!</v>
      </c>
      <c r="AF206" t="str">
        <f ca="1">IFERROR(__xludf.DUMMYFUNCTION("""COMPUTED_VALUE"""),"#N/A")</f>
        <v>#N/A</v>
      </c>
      <c r="AG206" t="str">
        <f ca="1">IFERROR(__xludf.DUMMYFUNCTION("""COMPUTED_VALUE"""),"#N/A")</f>
        <v>#N/A</v>
      </c>
      <c r="AH206" t="str">
        <f ca="1">IFERROR(__xludf.DUMMYFUNCTION("""COMPUTED_VALUE"""),"C2358")</f>
        <v>C2358</v>
      </c>
      <c r="AI206" t="str">
        <f ca="1">IFERROR(__xludf.DUMMYFUNCTION("""COMPUTED_VALUE"""),"associate")</f>
        <v>associate</v>
      </c>
      <c r="AJ206" t="str">
        <f ca="1">IFERROR(__xludf.DUMMYFUNCTION("""COMPUTED_VALUE"""),"P0206")</f>
        <v>P0206</v>
      </c>
      <c r="AK206" t="str">
        <f ca="1">IFERROR(__xludf.DUMMYFUNCTION("""COMPUTED_VALUE"""),"Franciscus")</f>
        <v>Franciscus</v>
      </c>
      <c r="AM206" t="str">
        <f ca="1">IFERROR(__xludf.DUMMYFUNCTION("""COMPUTED_VALUE"""),"#VALUE!")</f>
        <v>#VALUE!</v>
      </c>
      <c r="AO206" t="str">
        <f ca="1">IFERROR(__xludf.DUMMYFUNCTION("""COMPUTED_VALUE"""),"#VALUE!")</f>
        <v>#VALUE!</v>
      </c>
      <c r="AQ206" t="str">
        <f ca="1">IFERROR(__xludf.DUMMYFUNCTION("""COMPUTED_VALUE"""),"#VALUE!")</f>
        <v>#VALUE!</v>
      </c>
      <c r="AS206" t="str">
        <f ca="1">IFERROR(__xludf.DUMMYFUNCTION("""COMPUTED_VALUE"""),"#VALUE!")</f>
        <v>#VALUE!</v>
      </c>
      <c r="AU206" t="str">
        <f ca="1">IFERROR(__xludf.DUMMYFUNCTION("""COMPUTED_VALUE"""),"#VALUE!")</f>
        <v>#VALUE!</v>
      </c>
      <c r="AW206" t="str">
        <f ca="1">IFERROR(__xludf.DUMMYFUNCTION("""COMPUTED_VALUE"""),"#VALUE!")</f>
        <v>#VALUE!</v>
      </c>
      <c r="AY206" t="str">
        <f ca="1">IFERROR(__xludf.DUMMYFUNCTION("""COMPUTED_VALUE"""),"#VALUE!")</f>
        <v>#VALUE!</v>
      </c>
      <c r="BA206" t="str">
        <f ca="1">IFERROR(__xludf.DUMMYFUNCTION("""COMPUTED_VALUE"""),"#VALUE!")</f>
        <v>#VALUE!</v>
      </c>
      <c r="BC206" t="str">
        <f ca="1">IFERROR(__xludf.DUMMYFUNCTION("""COMPUTED_VALUE"""),"#VALUE!")</f>
        <v>#VALUE!</v>
      </c>
      <c r="BE206" t="str">
        <f ca="1">IFERROR(__xludf.DUMMYFUNCTION("""COMPUTED_VALUE"""),"#VALUE!")</f>
        <v>#VALUE!</v>
      </c>
      <c r="BG206" t="str">
        <f ca="1">IFERROR(__xludf.DUMMYFUNCTION("""COMPUTED_VALUE"""),"#VALUE!")</f>
        <v>#VALUE!</v>
      </c>
      <c r="BI206" t="str">
        <f ca="1">IFERROR(__xludf.DUMMYFUNCTION("""COMPUTED_VALUE"""),"#VALUE!")</f>
        <v>#VALUE!</v>
      </c>
      <c r="BK206" t="str">
        <f ca="1">IFERROR(__xludf.DUMMYFUNCTION("""COMPUTED_VALUE"""),"#VALUE!")</f>
        <v>#VALUE!</v>
      </c>
      <c r="BM206" t="str">
        <f ca="1">IFERROR(__xludf.DUMMYFUNCTION("""COMPUTED_VALUE"""),"#VALUE!")</f>
        <v>#VALUE!</v>
      </c>
      <c r="BO206" t="str">
        <f ca="1">IFERROR(__xludf.DUMMYFUNCTION("""COMPUTED_VALUE"""),"#VALUE!")</f>
        <v>#VALUE!</v>
      </c>
      <c r="BQ206" t="str">
        <f ca="1">IFERROR(__xludf.DUMMYFUNCTION("""COMPUTED_VALUE"""),"#VALUE!")</f>
        <v>#VALUE!</v>
      </c>
      <c r="BS206" t="str">
        <f ca="1">IFERROR(__xludf.DUMMYFUNCTION("""COMPUTED_VALUE"""),"#VALUE!")</f>
        <v>#VALUE!</v>
      </c>
      <c r="BU206" t="str">
        <f ca="1">IFERROR(__xludf.DUMMYFUNCTION("""COMPUTED_VALUE"""),"#VALUE!")</f>
        <v>#VALUE!</v>
      </c>
      <c r="BW206" t="str">
        <f ca="1">IFERROR(__xludf.DUMMYFUNCTION("""COMPUTED_VALUE"""),"#VALUE!")</f>
        <v>#VALUE!</v>
      </c>
      <c r="BY206" t="str">
        <f ca="1">IFERROR(__xludf.DUMMYFUNCTION("""COMPUTED_VALUE"""),"#VALUE!")</f>
        <v>#VALUE!</v>
      </c>
      <c r="CA206" t="str">
        <f ca="1">IFERROR(__xludf.DUMMYFUNCTION("""COMPUTED_VALUE"""),"#VALUE!")</f>
        <v>#VALUE!</v>
      </c>
      <c r="CC206" t="str">
        <f ca="1">IFERROR(__xludf.DUMMYFUNCTION("""COMPUTED_VALUE"""),"#VALUE!")</f>
        <v>#VALUE!</v>
      </c>
      <c r="CD206" t="str">
        <f ca="1">IFERROR(__xludf.DUMMYFUNCTION("""COMPUTED_VALUE"""),"C3598")</f>
        <v>C3598</v>
      </c>
      <c r="CE206" t="str">
        <f ca="1">IFERROR(__xludf.DUMMYFUNCTION("""COMPUTED_VALUE"""),"location of congregation")</f>
        <v>location of congregation</v>
      </c>
      <c r="CF206" t="str">
        <f ca="1">IFERROR(__xludf.DUMMYFUNCTION("""COMPUTED_VALUE"""),"L0066#L0069#L0077#L0098#L0097#L0065")</f>
        <v>L0066#L0069#L0077#L0098#L0097#L0065</v>
      </c>
      <c r="CG206" t="str">
        <f ca="1">IFERROR(__xludf.DUMMYFUNCTION("""COMPUTED_VALUE"""),"domus Bernardi de Rosseto #domus Iohannis Martini #domus Margerite Borssete #domus Michaelis Planche #domus Iohannis Borrellati #domus Iohannis de Castagno de Giaveno")</f>
        <v>domus Bernardi de Rosseto #domus Iohannis Martini #domus Margerite Borssete #domus Michaelis Planche #domus Iohannis Borrellati #domus Iohannis de Castagno de Giaveno</v>
      </c>
      <c r="CI206" t="str">
        <f ca="1">IFERROR(__xludf.DUMMYFUNCTION("""COMPUTED_VALUE"""),"#VALUE!")</f>
        <v>#VALUE!</v>
      </c>
      <c r="CK206" t="str">
        <f ca="1">IFERROR(__xludf.DUMMYFUNCTION("""COMPUTED_VALUE"""),"#VALUE!")</f>
        <v>#VALUE!</v>
      </c>
      <c r="CR206" t="str">
        <f ca="1">IFERROR(__xludf.DUMMYFUNCTION("""COMPUTED_VALUE"""),"L0161")</f>
        <v>L0161</v>
      </c>
      <c r="CS206" t="str">
        <f ca="1">IFERROR(__xludf.DUMMYFUNCTION("""COMPUTED_VALUE"""),"Val Chisone")</f>
        <v>Val Chisone</v>
      </c>
      <c r="CU206" t="str">
        <f ca="1">IFERROR(__xludf.DUMMYFUNCTION("""COMPUTED_VALUE"""),"#VALUE!")</f>
        <v>#VALUE!</v>
      </c>
      <c r="CW206" t="str">
        <f ca="1">IFERROR(__xludf.DUMMYFUNCTION("""COMPUTED_VALUE"""),"#VALUE!")</f>
        <v>#VALUE!</v>
      </c>
      <c r="CX206" t="str">
        <f ca="1">IFERROR(__xludf.DUMMYFUNCTION("""COMPUTED_VALUE"""),"C3197")</f>
        <v>C3197</v>
      </c>
      <c r="CY206" t="str">
        <f ca="1">IFERROR(__xludf.DUMMYFUNCTION("""COMPUTED_VALUE"""),"Valdensis")</f>
        <v>Valdensis</v>
      </c>
      <c r="DA206" t="str">
        <f ca="1">IFERROR(__xludf.DUMMYFUNCTION("""COMPUTED_VALUE"""),"dissident minister")</f>
        <v>dissident minister</v>
      </c>
      <c r="DC206" t="str">
        <f ca="1">IFERROR(__xludf.DUMMYFUNCTION("""COMPUTED_VALUE"""),"#VALUE!")</f>
        <v>#VALUE!</v>
      </c>
      <c r="DE206" t="str">
        <f ca="1">IFERROR(__xludf.DUMMYFUNCTION("""COMPUTED_VALUE"""),"#VALUE!")</f>
        <v>#VALUE!</v>
      </c>
      <c r="DH206" t="str">
        <f ca="1">IFERROR(__xludf.DUMMYFUNCTION("""COMPUTED_VALUE"""),"L0066#L0069#L0077#L0098#L0097#L0065")</f>
        <v>L0066#L0069#L0077#L0098#L0097#L0065</v>
      </c>
      <c r="DI206" t="str">
        <f ca="1">IFERROR(__xludf.DUMMYFUNCTION("""COMPUTED_VALUE"""),"domus Bernardi de Rosseto #domus Iohannis Martini #domus Margerite Borssete #domus Michaelis Planche #domus Iohannis Borrellati #domus Iohannis de Castagno de Giaveno")</f>
        <v>domus Bernardi de Rosseto #domus Iohannis Martini #domus Margerite Borssete #domus Michaelis Planche #domus Iohannis Borrellati #domus Iohannis de Castagno de Giaveno</v>
      </c>
      <c r="DJ206" t="str">
        <f ca="1">IFERROR(__xludf.DUMMYFUNCTION("""COMPUTED_VALUE"""),"domus #domus #domus #domus #domus #domus")</f>
        <v>domus #domus #domus #domus #domus #domus</v>
      </c>
      <c r="DL206" t="str">
        <f ca="1">IFERROR(__xludf.DUMMYFUNCTION("""COMPUTED_VALUE"""),"Davor Salihović")</f>
        <v>Davor Salihović</v>
      </c>
    </row>
    <row r="207" spans="1:116" ht="13.2" x14ac:dyDescent="0.25">
      <c r="A207" t="str">
        <f ca="1">IFERROR(__xludf.DUMMYFUNCTION("""COMPUTED_VALUE"""),"P0211")</f>
        <v>P0211</v>
      </c>
      <c r="B207" t="str">
        <f ca="1">IFERROR(__xludf.DUMMYFUNCTION("""COMPUTED_VALUE"""),"mater Bernardi de Rosseto")</f>
        <v>mater Bernardi de Rosseto</v>
      </c>
      <c r="D207" t="str">
        <f ca="1">IFERROR(__xludf.DUMMYFUNCTION("""COMPUTED_VALUE"""),"#VALUE!")</f>
        <v>#VALUE!</v>
      </c>
      <c r="E207" t="str">
        <f ca="1">IFERROR(__xludf.DUMMYFUNCTION("""COMPUTED_VALUE"""),"mater Bernardi de Rosseto")</f>
        <v>mater Bernardi de Rosseto</v>
      </c>
      <c r="Q207" t="str">
        <f ca="1">IFERROR(__xludf.DUMMYFUNCTION("""COMPUTED_VALUE"""),"mater Bernardi de Rosseto")</f>
        <v>mater Bernardi de Rosseto</v>
      </c>
      <c r="S207" t="str">
        <f ca="1">IFERROR(__xludf.DUMMYFUNCTION("""COMPUTED_VALUE"""),"Latin")</f>
        <v>Latin</v>
      </c>
      <c r="T207" t="str">
        <f ca="1">IFERROR(__xludf.DUMMYFUNCTION("""COMPUTED_VALUE"""),"indefinite")</f>
        <v>indefinite</v>
      </c>
      <c r="U207" t="str">
        <f ca="1">IFERROR(__xludf.DUMMYFUNCTION("""COMPUTED_VALUE"""),"C2552")</f>
        <v>C2552</v>
      </c>
      <c r="V207" t="str">
        <f ca="1">IFERROR(__xludf.DUMMYFUNCTION("""COMPUTED_VALUE"""),"female")</f>
        <v>female</v>
      </c>
      <c r="Z207" t="str">
        <f ca="1">IFERROR(__xludf.DUMMYFUNCTION("""COMPUTED_VALUE"""),"177, 215")</f>
        <v>177, 215</v>
      </c>
      <c r="AA207" t="str">
        <f ca="1">IFERROR(__xludf.DUMMYFUNCTION("""COMPUTED_VALUE"""),"d")</f>
        <v>d</v>
      </c>
      <c r="AB207" t="str">
        <f ca="1">IFERROR(__xludf.DUMMYFUNCTION("""COMPUTED_VALUE"""),"suspect")</f>
        <v>suspect</v>
      </c>
      <c r="AE207" t="str">
        <f ca="1">IFERROR(__xludf.DUMMYFUNCTION("""COMPUTED_VALUE"""),"#VALUE!")</f>
        <v>#VALUE!</v>
      </c>
      <c r="AF207" t="str">
        <f ca="1">IFERROR(__xludf.DUMMYFUNCTION("""COMPUTED_VALUE"""),"#N/A")</f>
        <v>#N/A</v>
      </c>
      <c r="AG207" t="str">
        <f ca="1">IFERROR(__xludf.DUMMYFUNCTION("""COMPUTED_VALUE"""),"#N/A")</f>
        <v>#N/A</v>
      </c>
      <c r="AI207" t="str">
        <f ca="1">IFERROR(__xludf.DUMMYFUNCTION("""COMPUTED_VALUE"""),"#VALUE!")</f>
        <v>#VALUE!</v>
      </c>
      <c r="AK207" t="str">
        <f ca="1">IFERROR(__xludf.DUMMYFUNCTION("""COMPUTED_VALUE"""),"#VALUE!")</f>
        <v>#VALUE!</v>
      </c>
      <c r="AM207" t="str">
        <f ca="1">IFERROR(__xludf.DUMMYFUNCTION("""COMPUTED_VALUE"""),"#VALUE!")</f>
        <v>#VALUE!</v>
      </c>
      <c r="AO207" t="str">
        <f ca="1">IFERROR(__xludf.DUMMYFUNCTION("""COMPUTED_VALUE"""),"#VALUE!")</f>
        <v>#VALUE!</v>
      </c>
      <c r="AQ207" t="str">
        <f ca="1">IFERROR(__xludf.DUMMYFUNCTION("""COMPUTED_VALUE"""),"#VALUE!")</f>
        <v>#VALUE!</v>
      </c>
      <c r="AS207" t="str">
        <f ca="1">IFERROR(__xludf.DUMMYFUNCTION("""COMPUTED_VALUE"""),"#VALUE!")</f>
        <v>#VALUE!</v>
      </c>
      <c r="AU207" t="str">
        <f ca="1">IFERROR(__xludf.DUMMYFUNCTION("""COMPUTED_VALUE"""),"#VALUE!")</f>
        <v>#VALUE!</v>
      </c>
      <c r="AW207" t="str">
        <f ca="1">IFERROR(__xludf.DUMMYFUNCTION("""COMPUTED_VALUE"""),"#VALUE!")</f>
        <v>#VALUE!</v>
      </c>
      <c r="AY207" t="str">
        <f ca="1">IFERROR(__xludf.DUMMYFUNCTION("""COMPUTED_VALUE"""),"#VALUE!")</f>
        <v>#VALUE!</v>
      </c>
      <c r="BA207" t="str">
        <f ca="1">IFERROR(__xludf.DUMMYFUNCTION("""COMPUTED_VALUE"""),"#VALUE!")</f>
        <v>#VALUE!</v>
      </c>
      <c r="BC207" t="str">
        <f ca="1">IFERROR(__xludf.DUMMYFUNCTION("""COMPUTED_VALUE"""),"#VALUE!")</f>
        <v>#VALUE!</v>
      </c>
      <c r="BE207" t="str">
        <f ca="1">IFERROR(__xludf.DUMMYFUNCTION("""COMPUTED_VALUE"""),"#VALUE!")</f>
        <v>#VALUE!</v>
      </c>
      <c r="BG207" t="str">
        <f ca="1">IFERROR(__xludf.DUMMYFUNCTION("""COMPUTED_VALUE"""),"#VALUE!")</f>
        <v>#VALUE!</v>
      </c>
      <c r="BI207" t="str">
        <f ca="1">IFERROR(__xludf.DUMMYFUNCTION("""COMPUTED_VALUE"""),"#VALUE!")</f>
        <v>#VALUE!</v>
      </c>
      <c r="BK207" t="str">
        <f ca="1">IFERROR(__xludf.DUMMYFUNCTION("""COMPUTED_VALUE"""),"#VALUE!")</f>
        <v>#VALUE!</v>
      </c>
      <c r="BM207" t="str">
        <f ca="1">IFERROR(__xludf.DUMMYFUNCTION("""COMPUTED_VALUE"""),"#VALUE!")</f>
        <v>#VALUE!</v>
      </c>
      <c r="BO207" t="str">
        <f ca="1">IFERROR(__xludf.DUMMYFUNCTION("""COMPUTED_VALUE"""),"#VALUE!")</f>
        <v>#VALUE!</v>
      </c>
      <c r="BQ207" t="str">
        <f ca="1">IFERROR(__xludf.DUMMYFUNCTION("""COMPUTED_VALUE"""),"#VALUE!")</f>
        <v>#VALUE!</v>
      </c>
      <c r="BS207" t="str">
        <f ca="1">IFERROR(__xludf.DUMMYFUNCTION("""COMPUTED_VALUE"""),"#VALUE!")</f>
        <v>#VALUE!</v>
      </c>
      <c r="BU207" t="str">
        <f ca="1">IFERROR(__xludf.DUMMYFUNCTION("""COMPUTED_VALUE"""),"#VALUE!")</f>
        <v>#VALUE!</v>
      </c>
      <c r="BW207" t="str">
        <f ca="1">IFERROR(__xludf.DUMMYFUNCTION("""COMPUTED_VALUE"""),"#VALUE!")</f>
        <v>#VALUE!</v>
      </c>
      <c r="BY207" t="str">
        <f ca="1">IFERROR(__xludf.DUMMYFUNCTION("""COMPUTED_VALUE"""),"#VALUE!")</f>
        <v>#VALUE!</v>
      </c>
      <c r="CA207" t="str">
        <f ca="1">IFERROR(__xludf.DUMMYFUNCTION("""COMPUTED_VALUE"""),"#VALUE!")</f>
        <v>#VALUE!</v>
      </c>
      <c r="CC207" t="str">
        <f ca="1">IFERROR(__xludf.DUMMYFUNCTION("""COMPUTED_VALUE"""),"#VALUE!")</f>
        <v>#VALUE!</v>
      </c>
      <c r="CD207" t="str">
        <f ca="1">IFERROR(__xludf.DUMMYFUNCTION("""COMPUTED_VALUE"""),"C3598")</f>
        <v>C3598</v>
      </c>
      <c r="CE207" t="str">
        <f ca="1">IFERROR(__xludf.DUMMYFUNCTION("""COMPUTED_VALUE"""),"location of congregation")</f>
        <v>location of congregation</v>
      </c>
      <c r="CF207" t="str">
        <f ca="1">IFERROR(__xludf.DUMMYFUNCTION("""COMPUTED_VALUE"""),"L0066#L0115")</f>
        <v>L0066#L0115</v>
      </c>
      <c r="CG207" t="str">
        <f ca="1">IFERROR(__xludf.DUMMYFUNCTION("""COMPUTED_VALUE"""),"domus Bernardi de Rosseto #domus Agnessone de Rosseto")</f>
        <v>domus Bernardi de Rosseto #domus Agnessone de Rosseto</v>
      </c>
      <c r="CI207" t="str">
        <f ca="1">IFERROR(__xludf.DUMMYFUNCTION("""COMPUTED_VALUE"""),"#VALUE!")</f>
        <v>#VALUE!</v>
      </c>
      <c r="CK207" t="str">
        <f ca="1">IFERROR(__xludf.DUMMYFUNCTION("""COMPUTED_VALUE"""),"#VALUE!")</f>
        <v>#VALUE!</v>
      </c>
      <c r="CS207" t="str">
        <f ca="1">IFERROR(__xludf.DUMMYFUNCTION("""COMPUTED_VALUE"""),"#VALUE!")</f>
        <v>#VALUE!</v>
      </c>
      <c r="CU207" t="str">
        <f ca="1">IFERROR(__xludf.DUMMYFUNCTION("""COMPUTED_VALUE"""),"#VALUE!")</f>
        <v>#VALUE!</v>
      </c>
      <c r="CW207" t="str">
        <f ca="1">IFERROR(__xludf.DUMMYFUNCTION("""COMPUTED_VALUE"""),"#VALUE!")</f>
        <v>#VALUE!</v>
      </c>
      <c r="CY207" t="str">
        <f ca="1">IFERROR(__xludf.DUMMYFUNCTION("""COMPUTED_VALUE"""),"#VALUE!")</f>
        <v>#VALUE!</v>
      </c>
      <c r="DC207" t="str">
        <f ca="1">IFERROR(__xludf.DUMMYFUNCTION("""COMPUTED_VALUE"""),"#VALUE!")</f>
        <v>#VALUE!</v>
      </c>
      <c r="DE207" t="str">
        <f ca="1">IFERROR(__xludf.DUMMYFUNCTION("""COMPUTED_VALUE"""),"#VALUE!")</f>
        <v>#VALUE!</v>
      </c>
      <c r="DH207" t="str">
        <f ca="1">IFERROR(__xludf.DUMMYFUNCTION("""COMPUTED_VALUE"""),"L0066#L0115")</f>
        <v>L0066#L0115</v>
      </c>
      <c r="DI207" t="str">
        <f ca="1">IFERROR(__xludf.DUMMYFUNCTION("""COMPUTED_VALUE"""),"domus Bernardi de Rosseto #domus Agnessone de Rosseto")</f>
        <v>domus Bernardi de Rosseto #domus Agnessone de Rosseto</v>
      </c>
      <c r="DJ207" t="str">
        <f ca="1">IFERROR(__xludf.DUMMYFUNCTION("""COMPUTED_VALUE"""),"domus #domus")</f>
        <v>domus #domus</v>
      </c>
      <c r="DL207" t="str">
        <f ca="1">IFERROR(__xludf.DUMMYFUNCTION("""COMPUTED_VALUE"""),"Davor Salihović")</f>
        <v>Davor Salihović</v>
      </c>
    </row>
    <row r="208" spans="1:116" ht="13.2" x14ac:dyDescent="0.25">
      <c r="A208" t="str">
        <f ca="1">IFERROR(__xludf.DUMMYFUNCTION("""COMPUTED_VALUE"""),"P0212")</f>
        <v>P0212</v>
      </c>
      <c r="B208" t="str">
        <f ca="1">IFERROR(__xludf.DUMMYFUNCTION("""COMPUTED_VALUE"""),"Iohanna, uxor Bernardi de Rosseto")</f>
        <v>Iohanna, uxor Bernardi de Rosseto</v>
      </c>
      <c r="D208" t="str">
        <f ca="1">IFERROR(__xludf.DUMMYFUNCTION("""COMPUTED_VALUE"""),"#VALUE!")</f>
        <v>#VALUE!</v>
      </c>
      <c r="E208" t="str">
        <f ca="1">IFERROR(__xludf.DUMMYFUNCTION("""COMPUTED_VALUE"""),"Iohanna")</f>
        <v>Iohanna</v>
      </c>
      <c r="Q208" t="str">
        <f ca="1">IFERROR(__xludf.DUMMYFUNCTION("""COMPUTED_VALUE"""),"uxor Bernardi de Rosseto")</f>
        <v>uxor Bernardi de Rosseto</v>
      </c>
      <c r="S208" t="str">
        <f ca="1">IFERROR(__xludf.DUMMYFUNCTION("""COMPUTED_VALUE"""),"Latin")</f>
        <v>Latin</v>
      </c>
      <c r="T208" t="str">
        <f ca="1">IFERROR(__xludf.DUMMYFUNCTION("""COMPUTED_VALUE"""),"indefinite")</f>
        <v>indefinite</v>
      </c>
      <c r="U208" t="str">
        <f ca="1">IFERROR(__xludf.DUMMYFUNCTION("""COMPUTED_VALUE"""),"C2552")</f>
        <v>C2552</v>
      </c>
      <c r="V208" t="str">
        <f ca="1">IFERROR(__xludf.DUMMYFUNCTION("""COMPUTED_VALUE"""),"female")</f>
        <v>female</v>
      </c>
      <c r="Z208" t="str">
        <f ca="1">IFERROR(__xludf.DUMMYFUNCTION("""COMPUTED_VALUE"""),"177, 229")</f>
        <v>177, 229</v>
      </c>
      <c r="AA208" t="str">
        <f ca="1">IFERROR(__xludf.DUMMYFUNCTION("""COMPUTED_VALUE"""),"d")</f>
        <v>d</v>
      </c>
      <c r="AB208" t="str">
        <f ca="1">IFERROR(__xludf.DUMMYFUNCTION("""COMPUTED_VALUE"""),"suspect")</f>
        <v>suspect</v>
      </c>
      <c r="AD208" t="str">
        <f ca="1">IFERROR(__xludf.DUMMYFUNCTION("""COMPUTED_VALUE"""),"C3287")</f>
        <v>C3287</v>
      </c>
      <c r="AE208" t="str">
        <f ca="1">IFERROR(__xludf.DUMMYFUNCTION("""COMPUTED_VALUE"""),"alive")</f>
        <v>alive</v>
      </c>
      <c r="AF208" t="str">
        <f ca="1">IFERROR(__xludf.DUMMYFUNCTION("""COMPUTED_VALUE"""),"C1753")</f>
        <v>C1753</v>
      </c>
      <c r="AG208" t="str">
        <f ca="1">IFERROR(__xludf.DUMMYFUNCTION("""COMPUTED_VALUE"""),"1335-01-20")</f>
        <v>1335-01-20</v>
      </c>
      <c r="AI208" t="str">
        <f ca="1">IFERROR(__xludf.DUMMYFUNCTION("""COMPUTED_VALUE"""),"#VALUE!")</f>
        <v>#VALUE!</v>
      </c>
      <c r="AK208" t="str">
        <f ca="1">IFERROR(__xludf.DUMMYFUNCTION("""COMPUTED_VALUE"""),"#VALUE!")</f>
        <v>#VALUE!</v>
      </c>
      <c r="AM208" t="str">
        <f ca="1">IFERROR(__xludf.DUMMYFUNCTION("""COMPUTED_VALUE"""),"#VALUE!")</f>
        <v>#VALUE!</v>
      </c>
      <c r="AO208" t="str">
        <f ca="1">IFERROR(__xludf.DUMMYFUNCTION("""COMPUTED_VALUE"""),"#VALUE!")</f>
        <v>#VALUE!</v>
      </c>
      <c r="AQ208" t="str">
        <f ca="1">IFERROR(__xludf.DUMMYFUNCTION("""COMPUTED_VALUE"""),"#VALUE!")</f>
        <v>#VALUE!</v>
      </c>
      <c r="AS208" t="str">
        <f ca="1">IFERROR(__xludf.DUMMYFUNCTION("""COMPUTED_VALUE"""),"#VALUE!")</f>
        <v>#VALUE!</v>
      </c>
      <c r="AU208" t="str">
        <f ca="1">IFERROR(__xludf.DUMMYFUNCTION("""COMPUTED_VALUE"""),"#VALUE!")</f>
        <v>#VALUE!</v>
      </c>
      <c r="AW208" t="str">
        <f ca="1">IFERROR(__xludf.DUMMYFUNCTION("""COMPUTED_VALUE"""),"#VALUE!")</f>
        <v>#VALUE!</v>
      </c>
      <c r="AY208" t="str">
        <f ca="1">IFERROR(__xludf.DUMMYFUNCTION("""COMPUTED_VALUE"""),"#VALUE!")</f>
        <v>#VALUE!</v>
      </c>
      <c r="BA208" t="str">
        <f ca="1">IFERROR(__xludf.DUMMYFUNCTION("""COMPUTED_VALUE"""),"#VALUE!")</f>
        <v>#VALUE!</v>
      </c>
      <c r="BC208" t="str">
        <f ca="1">IFERROR(__xludf.DUMMYFUNCTION("""COMPUTED_VALUE"""),"#VALUE!")</f>
        <v>#VALUE!</v>
      </c>
      <c r="BE208" t="str">
        <f ca="1">IFERROR(__xludf.DUMMYFUNCTION("""COMPUTED_VALUE"""),"#VALUE!")</f>
        <v>#VALUE!</v>
      </c>
      <c r="BG208" t="str">
        <f ca="1">IFERROR(__xludf.DUMMYFUNCTION("""COMPUTED_VALUE"""),"#VALUE!")</f>
        <v>#VALUE!</v>
      </c>
      <c r="BI208" t="str">
        <f ca="1">IFERROR(__xludf.DUMMYFUNCTION("""COMPUTED_VALUE"""),"#VALUE!")</f>
        <v>#VALUE!</v>
      </c>
      <c r="BK208" t="str">
        <f ca="1">IFERROR(__xludf.DUMMYFUNCTION("""COMPUTED_VALUE"""),"#VALUE!")</f>
        <v>#VALUE!</v>
      </c>
      <c r="BM208" t="str">
        <f ca="1">IFERROR(__xludf.DUMMYFUNCTION("""COMPUTED_VALUE"""),"#VALUE!")</f>
        <v>#VALUE!</v>
      </c>
      <c r="BO208" t="str">
        <f ca="1">IFERROR(__xludf.DUMMYFUNCTION("""COMPUTED_VALUE"""),"#VALUE!")</f>
        <v>#VALUE!</v>
      </c>
      <c r="BQ208" t="str">
        <f ca="1">IFERROR(__xludf.DUMMYFUNCTION("""COMPUTED_VALUE"""),"#VALUE!")</f>
        <v>#VALUE!</v>
      </c>
      <c r="BS208" t="str">
        <f ca="1">IFERROR(__xludf.DUMMYFUNCTION("""COMPUTED_VALUE"""),"#VALUE!")</f>
        <v>#VALUE!</v>
      </c>
      <c r="BU208" t="str">
        <f ca="1">IFERROR(__xludf.DUMMYFUNCTION("""COMPUTED_VALUE"""),"#VALUE!")</f>
        <v>#VALUE!</v>
      </c>
      <c r="BW208" t="str">
        <f ca="1">IFERROR(__xludf.DUMMYFUNCTION("""COMPUTED_VALUE"""),"#VALUE!")</f>
        <v>#VALUE!</v>
      </c>
      <c r="BY208" t="str">
        <f ca="1">IFERROR(__xludf.DUMMYFUNCTION("""COMPUTED_VALUE"""),"#VALUE!")</f>
        <v>#VALUE!</v>
      </c>
      <c r="CA208" t="str">
        <f ca="1">IFERROR(__xludf.DUMMYFUNCTION("""COMPUTED_VALUE"""),"#VALUE!")</f>
        <v>#VALUE!</v>
      </c>
      <c r="CC208" t="str">
        <f ca="1">IFERROR(__xludf.DUMMYFUNCTION("""COMPUTED_VALUE"""),"#VALUE!")</f>
        <v>#VALUE!</v>
      </c>
      <c r="CD208" t="str">
        <f ca="1">IFERROR(__xludf.DUMMYFUNCTION("""COMPUTED_VALUE"""),"C3598")</f>
        <v>C3598</v>
      </c>
      <c r="CE208" t="str">
        <f ca="1">IFERROR(__xludf.DUMMYFUNCTION("""COMPUTED_VALUE"""),"location of congregation")</f>
        <v>location of congregation</v>
      </c>
      <c r="CF208" t="str">
        <f ca="1">IFERROR(__xludf.DUMMYFUNCTION("""COMPUTED_VALUE"""),"L0066")</f>
        <v>L0066</v>
      </c>
      <c r="CG208" t="str">
        <f ca="1">IFERROR(__xludf.DUMMYFUNCTION("""COMPUTED_VALUE"""),"domus Bernardi de Rosseto")</f>
        <v>domus Bernardi de Rosseto</v>
      </c>
      <c r="CI208" t="str">
        <f ca="1">IFERROR(__xludf.DUMMYFUNCTION("""COMPUTED_VALUE"""),"#VALUE!")</f>
        <v>#VALUE!</v>
      </c>
      <c r="CK208" t="str">
        <f ca="1">IFERROR(__xludf.DUMMYFUNCTION("""COMPUTED_VALUE"""),"#VALUE!")</f>
        <v>#VALUE!</v>
      </c>
      <c r="CS208" t="str">
        <f ca="1">IFERROR(__xludf.DUMMYFUNCTION("""COMPUTED_VALUE"""),"#VALUE!")</f>
        <v>#VALUE!</v>
      </c>
      <c r="CU208" t="str">
        <f ca="1">IFERROR(__xludf.DUMMYFUNCTION("""COMPUTED_VALUE"""),"#VALUE!")</f>
        <v>#VALUE!</v>
      </c>
      <c r="CW208" t="str">
        <f ca="1">IFERROR(__xludf.DUMMYFUNCTION("""COMPUTED_VALUE"""),"#VALUE!")</f>
        <v>#VALUE!</v>
      </c>
      <c r="CY208" t="str">
        <f ca="1">IFERROR(__xludf.DUMMYFUNCTION("""COMPUTED_VALUE"""),"#VALUE!")</f>
        <v>#VALUE!</v>
      </c>
      <c r="DC208" t="str">
        <f ca="1">IFERROR(__xludf.DUMMYFUNCTION("""COMPUTED_VALUE"""),"#VALUE!")</f>
        <v>#VALUE!</v>
      </c>
      <c r="DE208" t="str">
        <f ca="1">IFERROR(__xludf.DUMMYFUNCTION("""COMPUTED_VALUE"""),"#VALUE!")</f>
        <v>#VALUE!</v>
      </c>
      <c r="DF208" t="str">
        <f ca="1">IFERROR(__xludf.DUMMYFUNCTION("""COMPUTED_VALUE"""),"y")</f>
        <v>y</v>
      </c>
      <c r="DG208" t="str">
        <f ca="1">IFERROR(__xludf.DUMMYFUNCTION("""COMPUTED_VALUE"""),"229")</f>
        <v>229</v>
      </c>
      <c r="DH208" t="str">
        <f ca="1">IFERROR(__xludf.DUMMYFUNCTION("""COMPUTED_VALUE"""),"L0066")</f>
        <v>L0066</v>
      </c>
      <c r="DI208" t="str">
        <f ca="1">IFERROR(__xludf.DUMMYFUNCTION("""COMPUTED_VALUE"""),"domus Bernardi de Rosseto")</f>
        <v>domus Bernardi de Rosseto</v>
      </c>
      <c r="DJ208" t="str">
        <f ca="1">IFERROR(__xludf.DUMMYFUNCTION("""COMPUTED_VALUE"""),"domus")</f>
        <v>domus</v>
      </c>
      <c r="DL208" t="str">
        <f ca="1">IFERROR(__xludf.DUMMYFUNCTION("""COMPUTED_VALUE"""),"Davor Salihović")</f>
        <v>Davor Salihović</v>
      </c>
    </row>
    <row r="209" spans="1:116" ht="13.2" x14ac:dyDescent="0.25">
      <c r="A209" t="str">
        <f ca="1">IFERROR(__xludf.DUMMYFUNCTION("""COMPUTED_VALUE"""),"P0213")</f>
        <v>P0213</v>
      </c>
      <c r="B209" t="str">
        <f ca="1">IFERROR(__xludf.DUMMYFUNCTION("""COMPUTED_VALUE"""),"Aymonetus, frater Bernardi de Rosseto")</f>
        <v>Aymonetus, frater Bernardi de Rosseto</v>
      </c>
      <c r="D209" t="str">
        <f ca="1">IFERROR(__xludf.DUMMYFUNCTION("""COMPUTED_VALUE"""),"#VALUE!")</f>
        <v>#VALUE!</v>
      </c>
      <c r="E209" t="str">
        <f ca="1">IFERROR(__xludf.DUMMYFUNCTION("""COMPUTED_VALUE"""),"Aymonetus")</f>
        <v>Aymonetus</v>
      </c>
      <c r="Q209" t="str">
        <f ca="1">IFERROR(__xludf.DUMMYFUNCTION("""COMPUTED_VALUE"""),"frater Bernardi de Rosseto")</f>
        <v>frater Bernardi de Rosseto</v>
      </c>
      <c r="S209" t="str">
        <f ca="1">IFERROR(__xludf.DUMMYFUNCTION("""COMPUTED_VALUE"""),"Latin")</f>
        <v>Latin</v>
      </c>
      <c r="T209" t="str">
        <f ca="1">IFERROR(__xludf.DUMMYFUNCTION("""COMPUTED_VALUE"""),"indefinite")</f>
        <v>indefinite</v>
      </c>
      <c r="U209" t="str">
        <f ca="1">IFERROR(__xludf.DUMMYFUNCTION("""COMPUTED_VALUE"""),"C2553")</f>
        <v>C2553</v>
      </c>
      <c r="V209" t="str">
        <f ca="1">IFERROR(__xludf.DUMMYFUNCTION("""COMPUTED_VALUE"""),"male")</f>
        <v>male</v>
      </c>
      <c r="Z209" t="str">
        <f ca="1">IFERROR(__xludf.DUMMYFUNCTION("""COMPUTED_VALUE"""),"177")</f>
        <v>177</v>
      </c>
      <c r="AA209" t="str">
        <f ca="1">IFERROR(__xludf.DUMMYFUNCTION("""COMPUTED_VALUE"""),"d")</f>
        <v>d</v>
      </c>
      <c r="AB209" t="str">
        <f ca="1">IFERROR(__xludf.DUMMYFUNCTION("""COMPUTED_VALUE"""),"suspect")</f>
        <v>suspect</v>
      </c>
      <c r="AE209" t="str">
        <f ca="1">IFERROR(__xludf.DUMMYFUNCTION("""COMPUTED_VALUE"""),"#VALUE!")</f>
        <v>#VALUE!</v>
      </c>
      <c r="AF209" t="str">
        <f ca="1">IFERROR(__xludf.DUMMYFUNCTION("""COMPUTED_VALUE"""),"#N/A")</f>
        <v>#N/A</v>
      </c>
      <c r="AG209" t="str">
        <f ca="1">IFERROR(__xludf.DUMMYFUNCTION("""COMPUTED_VALUE"""),"#N/A")</f>
        <v>#N/A</v>
      </c>
      <c r="AH209" t="str">
        <f ca="1">IFERROR(__xludf.DUMMYFUNCTION("""COMPUTED_VALUE"""),"C2337")</f>
        <v>C2337</v>
      </c>
      <c r="AI209" t="str">
        <f ca="1">IFERROR(__xludf.DUMMYFUNCTION("""COMPUTED_VALUE"""),"brother")</f>
        <v>brother</v>
      </c>
      <c r="AJ209" t="str">
        <f ca="1">IFERROR(__xludf.DUMMYFUNCTION("""COMPUTED_VALUE"""),"P0041")</f>
        <v>P0041</v>
      </c>
      <c r="AK209" t="str">
        <f ca="1">IFERROR(__xludf.DUMMYFUNCTION("""COMPUTED_VALUE"""),"Bernardus de Rosseto")</f>
        <v>Bernardus de Rosseto</v>
      </c>
      <c r="AM209" t="str">
        <f ca="1">IFERROR(__xludf.DUMMYFUNCTION("""COMPUTED_VALUE"""),"#VALUE!")</f>
        <v>#VALUE!</v>
      </c>
      <c r="AO209" t="str">
        <f ca="1">IFERROR(__xludf.DUMMYFUNCTION("""COMPUTED_VALUE"""),"#VALUE!")</f>
        <v>#VALUE!</v>
      </c>
      <c r="AQ209" t="str">
        <f ca="1">IFERROR(__xludf.DUMMYFUNCTION("""COMPUTED_VALUE"""),"#VALUE!")</f>
        <v>#VALUE!</v>
      </c>
      <c r="AS209" t="str">
        <f ca="1">IFERROR(__xludf.DUMMYFUNCTION("""COMPUTED_VALUE"""),"#VALUE!")</f>
        <v>#VALUE!</v>
      </c>
      <c r="AU209" t="str">
        <f ca="1">IFERROR(__xludf.DUMMYFUNCTION("""COMPUTED_VALUE"""),"#VALUE!")</f>
        <v>#VALUE!</v>
      </c>
      <c r="AW209" t="str">
        <f ca="1">IFERROR(__xludf.DUMMYFUNCTION("""COMPUTED_VALUE"""),"#VALUE!")</f>
        <v>#VALUE!</v>
      </c>
      <c r="AY209" t="str">
        <f ca="1">IFERROR(__xludf.DUMMYFUNCTION("""COMPUTED_VALUE"""),"#VALUE!")</f>
        <v>#VALUE!</v>
      </c>
      <c r="BA209" t="str">
        <f ca="1">IFERROR(__xludf.DUMMYFUNCTION("""COMPUTED_VALUE"""),"#VALUE!")</f>
        <v>#VALUE!</v>
      </c>
      <c r="BC209" t="str">
        <f ca="1">IFERROR(__xludf.DUMMYFUNCTION("""COMPUTED_VALUE"""),"#VALUE!")</f>
        <v>#VALUE!</v>
      </c>
      <c r="BE209" t="str">
        <f ca="1">IFERROR(__xludf.DUMMYFUNCTION("""COMPUTED_VALUE"""),"#VALUE!")</f>
        <v>#VALUE!</v>
      </c>
      <c r="BG209" t="str">
        <f ca="1">IFERROR(__xludf.DUMMYFUNCTION("""COMPUTED_VALUE"""),"#VALUE!")</f>
        <v>#VALUE!</v>
      </c>
      <c r="BI209" t="str">
        <f ca="1">IFERROR(__xludf.DUMMYFUNCTION("""COMPUTED_VALUE"""),"#VALUE!")</f>
        <v>#VALUE!</v>
      </c>
      <c r="BK209" t="str">
        <f ca="1">IFERROR(__xludf.DUMMYFUNCTION("""COMPUTED_VALUE"""),"#VALUE!")</f>
        <v>#VALUE!</v>
      </c>
      <c r="BM209" t="str">
        <f ca="1">IFERROR(__xludf.DUMMYFUNCTION("""COMPUTED_VALUE"""),"#VALUE!")</f>
        <v>#VALUE!</v>
      </c>
      <c r="BO209" t="str">
        <f ca="1">IFERROR(__xludf.DUMMYFUNCTION("""COMPUTED_VALUE"""),"#VALUE!")</f>
        <v>#VALUE!</v>
      </c>
      <c r="BQ209" t="str">
        <f ca="1">IFERROR(__xludf.DUMMYFUNCTION("""COMPUTED_VALUE"""),"#VALUE!")</f>
        <v>#VALUE!</v>
      </c>
      <c r="BS209" t="str">
        <f ca="1">IFERROR(__xludf.DUMMYFUNCTION("""COMPUTED_VALUE"""),"#VALUE!")</f>
        <v>#VALUE!</v>
      </c>
      <c r="BU209" t="str">
        <f ca="1">IFERROR(__xludf.DUMMYFUNCTION("""COMPUTED_VALUE"""),"#VALUE!")</f>
        <v>#VALUE!</v>
      </c>
      <c r="BW209" t="str">
        <f ca="1">IFERROR(__xludf.DUMMYFUNCTION("""COMPUTED_VALUE"""),"#VALUE!")</f>
        <v>#VALUE!</v>
      </c>
      <c r="BY209" t="str">
        <f ca="1">IFERROR(__xludf.DUMMYFUNCTION("""COMPUTED_VALUE"""),"#VALUE!")</f>
        <v>#VALUE!</v>
      </c>
      <c r="CA209" t="str">
        <f ca="1">IFERROR(__xludf.DUMMYFUNCTION("""COMPUTED_VALUE"""),"#VALUE!")</f>
        <v>#VALUE!</v>
      </c>
      <c r="CC209" t="str">
        <f ca="1">IFERROR(__xludf.DUMMYFUNCTION("""COMPUTED_VALUE"""),"#VALUE!")</f>
        <v>#VALUE!</v>
      </c>
      <c r="CD209" t="str">
        <f ca="1">IFERROR(__xludf.DUMMYFUNCTION("""COMPUTED_VALUE"""),"C3598")</f>
        <v>C3598</v>
      </c>
      <c r="CE209" t="str">
        <f ca="1">IFERROR(__xludf.DUMMYFUNCTION("""COMPUTED_VALUE"""),"location of congregation")</f>
        <v>location of congregation</v>
      </c>
      <c r="CF209" t="str">
        <f ca="1">IFERROR(__xludf.DUMMYFUNCTION("""COMPUTED_VALUE"""),"L0066")</f>
        <v>L0066</v>
      </c>
      <c r="CG209" t="str">
        <f ca="1">IFERROR(__xludf.DUMMYFUNCTION("""COMPUTED_VALUE"""),"domus Bernardi de Rosseto")</f>
        <v>domus Bernardi de Rosseto</v>
      </c>
      <c r="CI209" t="str">
        <f ca="1">IFERROR(__xludf.DUMMYFUNCTION("""COMPUTED_VALUE"""),"#VALUE!")</f>
        <v>#VALUE!</v>
      </c>
      <c r="CK209" t="str">
        <f ca="1">IFERROR(__xludf.DUMMYFUNCTION("""COMPUTED_VALUE"""),"#VALUE!")</f>
        <v>#VALUE!</v>
      </c>
      <c r="CS209" t="str">
        <f ca="1">IFERROR(__xludf.DUMMYFUNCTION("""COMPUTED_VALUE"""),"#VALUE!")</f>
        <v>#VALUE!</v>
      </c>
      <c r="CU209" t="str">
        <f ca="1">IFERROR(__xludf.DUMMYFUNCTION("""COMPUTED_VALUE"""),"#VALUE!")</f>
        <v>#VALUE!</v>
      </c>
      <c r="CW209" t="str">
        <f ca="1">IFERROR(__xludf.DUMMYFUNCTION("""COMPUTED_VALUE"""),"#VALUE!")</f>
        <v>#VALUE!</v>
      </c>
      <c r="CY209" t="str">
        <f ca="1">IFERROR(__xludf.DUMMYFUNCTION("""COMPUTED_VALUE"""),"#VALUE!")</f>
        <v>#VALUE!</v>
      </c>
      <c r="DC209" t="str">
        <f ca="1">IFERROR(__xludf.DUMMYFUNCTION("""COMPUTED_VALUE"""),"#VALUE!")</f>
        <v>#VALUE!</v>
      </c>
      <c r="DE209" t="str">
        <f ca="1">IFERROR(__xludf.DUMMYFUNCTION("""COMPUTED_VALUE"""),"#VALUE!")</f>
        <v>#VALUE!</v>
      </c>
      <c r="DH209" t="str">
        <f ca="1">IFERROR(__xludf.DUMMYFUNCTION("""COMPUTED_VALUE"""),"L0066")</f>
        <v>L0066</v>
      </c>
      <c r="DI209" t="str">
        <f ca="1">IFERROR(__xludf.DUMMYFUNCTION("""COMPUTED_VALUE"""),"domus Bernardi de Rosseto")</f>
        <v>domus Bernardi de Rosseto</v>
      </c>
      <c r="DJ209" t="str">
        <f ca="1">IFERROR(__xludf.DUMMYFUNCTION("""COMPUTED_VALUE"""),"domus")</f>
        <v>domus</v>
      </c>
      <c r="DL209" t="str">
        <f ca="1">IFERROR(__xludf.DUMMYFUNCTION("""COMPUTED_VALUE"""),"Davor Salihović")</f>
        <v>Davor Salihović</v>
      </c>
    </row>
    <row r="210" spans="1:116" ht="13.2" x14ac:dyDescent="0.25">
      <c r="A210" t="str">
        <f ca="1">IFERROR(__xludf.DUMMYFUNCTION("""COMPUTED_VALUE"""),"P0214")</f>
        <v>P0214</v>
      </c>
      <c r="B210" t="str">
        <f ca="1">IFERROR(__xludf.DUMMYFUNCTION("""COMPUTED_VALUE"""),"Henrietus de Mondino")</f>
        <v>Henrietus de Mondino</v>
      </c>
      <c r="D210" t="str">
        <f ca="1">IFERROR(__xludf.DUMMYFUNCTION("""COMPUTED_VALUE"""),"#VALUE!")</f>
        <v>#VALUE!</v>
      </c>
      <c r="E210" t="str">
        <f ca="1">IFERROR(__xludf.DUMMYFUNCTION("""COMPUTED_VALUE"""),"Henrietus")</f>
        <v>Henrietus</v>
      </c>
      <c r="F210" t="str">
        <f ca="1">IFERROR(__xludf.DUMMYFUNCTION("""COMPUTED_VALUE"""),"Henricus")</f>
        <v>Henricus</v>
      </c>
      <c r="J210" t="str">
        <f ca="1">IFERROR(__xludf.DUMMYFUNCTION("""COMPUTED_VALUE"""),"de")</f>
        <v>de</v>
      </c>
      <c r="K210" t="str">
        <f ca="1">IFERROR(__xludf.DUMMYFUNCTION("""COMPUTED_VALUE"""),"Mondino")</f>
        <v>Mondino</v>
      </c>
      <c r="L210" t="str">
        <f ca="1">IFERROR(__xludf.DUMMYFUNCTION("""COMPUTED_VALUE"""),"de Mondino")</f>
        <v>de Mondino</v>
      </c>
      <c r="S210" t="str">
        <f ca="1">IFERROR(__xludf.DUMMYFUNCTION("""COMPUTED_VALUE"""),"Latin")</f>
        <v>Latin</v>
      </c>
      <c r="T210" t="str">
        <f ca="1">IFERROR(__xludf.DUMMYFUNCTION("""COMPUTED_VALUE"""),"definite")</f>
        <v>definite</v>
      </c>
      <c r="U210" t="str">
        <f ca="1">IFERROR(__xludf.DUMMYFUNCTION("""COMPUTED_VALUE"""),"C2553")</f>
        <v>C2553</v>
      </c>
      <c r="V210" t="str">
        <f ca="1">IFERROR(__xludf.DUMMYFUNCTION("""COMPUTED_VALUE"""),"male")</f>
        <v>male</v>
      </c>
      <c r="Z210" t="str">
        <f ca="1">IFERROR(__xludf.DUMMYFUNCTION("""COMPUTED_VALUE"""),"177, 179, 182, 184, 190, 193, 198, 209, 211, 212, 225, 235, 245")</f>
        <v>177, 179, 182, 184, 190, 193, 198, 209, 211, 212, 225, 235, 245</v>
      </c>
      <c r="AA210" t="str">
        <f ca="1">IFERROR(__xludf.DUMMYFUNCTION("""COMPUTED_VALUE"""),"d")</f>
        <v>d</v>
      </c>
      <c r="AB210" t="str">
        <f ca="1">IFERROR(__xludf.DUMMYFUNCTION("""COMPUTED_VALUE"""),"suspect")</f>
        <v>suspect</v>
      </c>
      <c r="AD210" t="str">
        <f ca="1">IFERROR(__xludf.DUMMYFUNCTION("""COMPUTED_VALUE"""),"C3287")</f>
        <v>C3287</v>
      </c>
      <c r="AE210" t="str">
        <f ca="1">IFERROR(__xludf.DUMMYFUNCTION("""COMPUTED_VALUE"""),"alive")</f>
        <v>alive</v>
      </c>
      <c r="AF210" t="str">
        <f ca="1">IFERROR(__xludf.DUMMYFUNCTION("""COMPUTED_VALUE"""),"C1753")</f>
        <v>C1753</v>
      </c>
      <c r="AG210" t="str">
        <f ca="1">IFERROR(__xludf.DUMMYFUNCTION("""COMPUTED_VALUE"""),"1335-01-20")</f>
        <v>1335-01-20</v>
      </c>
      <c r="AH210" t="str">
        <f ca="1">IFERROR(__xludf.DUMMYFUNCTION("""COMPUTED_VALUE"""),"C2337")</f>
        <v>C2337</v>
      </c>
      <c r="AI210" t="str">
        <f ca="1">IFERROR(__xludf.DUMMYFUNCTION("""COMPUTED_VALUE"""),"brother")</f>
        <v>brother</v>
      </c>
      <c r="AJ210" t="str">
        <f ca="1">IFERROR(__xludf.DUMMYFUNCTION("""COMPUTED_VALUE"""),"P0215")</f>
        <v>P0215</v>
      </c>
      <c r="AK210" t="str">
        <f ca="1">IFERROR(__xludf.DUMMYFUNCTION("""COMPUTED_VALUE"""),"Vietus de Mondino")</f>
        <v>Vietus de Mondino</v>
      </c>
      <c r="AL210" t="str">
        <f ca="1">IFERROR(__xludf.DUMMYFUNCTION("""COMPUTED_VALUE"""),"C2348")</f>
        <v>C2348</v>
      </c>
      <c r="AM210" t="str">
        <f ca="1">IFERROR(__xludf.DUMMYFUNCTION("""COMPUTED_VALUE"""),"wife")</f>
        <v>wife</v>
      </c>
      <c r="AN210" t="str">
        <f ca="1">IFERROR(__xludf.DUMMYFUNCTION("""COMPUTED_VALUE"""),"P0216")</f>
        <v>P0216</v>
      </c>
      <c r="AO210" t="str">
        <f ca="1">IFERROR(__xludf.DUMMYFUNCTION("""COMPUTED_VALUE"""),"Marcheta, uxor Henrieti de Mondino")</f>
        <v>Marcheta, uxor Henrieti de Mondino</v>
      </c>
      <c r="AP210" t="str">
        <f ca="1">IFERROR(__xludf.DUMMYFUNCTION("""COMPUTED_VALUE"""),"C2347")</f>
        <v>C2347</v>
      </c>
      <c r="AQ210" t="str">
        <f ca="1">IFERROR(__xludf.DUMMYFUNCTION("""COMPUTED_VALUE"""),"sister")</f>
        <v>sister</v>
      </c>
      <c r="AR210" t="str">
        <f ca="1">IFERROR(__xludf.DUMMYFUNCTION("""COMPUTED_VALUE"""),"P0218")</f>
        <v>P0218</v>
      </c>
      <c r="AS210" t="str">
        <f ca="1">IFERROR(__xludf.DUMMYFUNCTION("""COMPUTED_VALUE"""),"soror Henrieti et Vyeti de Mondino")</f>
        <v>soror Henrieti et Vyeti de Mondino</v>
      </c>
      <c r="AT210" t="str">
        <f ca="1">IFERROR(__xludf.DUMMYFUNCTION("""COMPUTED_VALUE"""),"C2347")</f>
        <v>C2347</v>
      </c>
      <c r="AU210" t="str">
        <f ca="1">IFERROR(__xludf.DUMMYFUNCTION("""COMPUTED_VALUE"""),"sister")</f>
        <v>sister</v>
      </c>
      <c r="AV210" t="str">
        <f ca="1">IFERROR(__xludf.DUMMYFUNCTION("""COMPUTED_VALUE"""),"P0219")</f>
        <v>P0219</v>
      </c>
      <c r="AW210" t="str">
        <f ca="1">IFERROR(__xludf.DUMMYFUNCTION("""COMPUTED_VALUE"""),"soror Henrieti et Vyeti de Mondino")</f>
        <v>soror Henrieti et Vyeti de Mondino</v>
      </c>
      <c r="AX210" t="str">
        <f ca="1">IFERROR(__xludf.DUMMYFUNCTION("""COMPUTED_VALUE"""),"C3041")</f>
        <v>C3041</v>
      </c>
      <c r="AY210" t="str">
        <f ca="1">IFERROR(__xludf.DUMMYFUNCTION("""COMPUTED_VALUE"""),"household")</f>
        <v>household</v>
      </c>
      <c r="AZ210" t="str">
        <f ca="1">IFERROR(__xludf.DUMMYFUNCTION("""COMPUTED_VALUE"""),"G0045")</f>
        <v>G0045</v>
      </c>
      <c r="BA210" t="str">
        <f ca="1">IFERROR(__xludf.DUMMYFUNCTION("""COMPUTED_VALUE"""),"hospitium Henrieti de Mondino")</f>
        <v>hospitium Henrieti de Mondino</v>
      </c>
      <c r="BB210" t="str">
        <f ca="1">IFERROR(__xludf.DUMMYFUNCTION("""COMPUTED_VALUE"""),"C0147")</f>
        <v>C0147</v>
      </c>
      <c r="BC210" t="str">
        <f ca="1">IFERROR(__xludf.DUMMYFUNCTION("""COMPUTED_VALUE"""),"warrantor")</f>
        <v>warrantor</v>
      </c>
      <c r="BD210" t="str">
        <f ca="1">IFERROR(__xludf.DUMMYFUNCTION("""COMPUTED_VALUE"""),"P0239")</f>
        <v>P0239</v>
      </c>
      <c r="BE210" t="str">
        <f ca="1">IFERROR(__xludf.DUMMYFUNCTION("""COMPUTED_VALUE"""),"Iohannes Garola")</f>
        <v>Iohannes Garola</v>
      </c>
      <c r="BF210" t="str">
        <f ca="1">IFERROR(__xludf.DUMMYFUNCTION("""COMPUTED_VALUE"""),"C0147")</f>
        <v>C0147</v>
      </c>
      <c r="BG210" t="str">
        <f ca="1">IFERROR(__xludf.DUMMYFUNCTION("""COMPUTED_VALUE"""),"warrantor")</f>
        <v>warrantor</v>
      </c>
      <c r="BH210" t="str">
        <f ca="1">IFERROR(__xludf.DUMMYFUNCTION("""COMPUTED_VALUE"""),"P0240")</f>
        <v>P0240</v>
      </c>
      <c r="BI210" t="str">
        <f ca="1">IFERROR(__xludf.DUMMYFUNCTION("""COMPUTED_VALUE"""),"Hugo Camos")</f>
        <v>Hugo Camos</v>
      </c>
      <c r="BJ210" t="str">
        <f ca="1">IFERROR(__xludf.DUMMYFUNCTION("""COMPUTED_VALUE"""),"C0147")</f>
        <v>C0147</v>
      </c>
      <c r="BK210" t="str">
        <f ca="1">IFERROR(__xludf.DUMMYFUNCTION("""COMPUTED_VALUE"""),"warrantor")</f>
        <v>warrantor</v>
      </c>
      <c r="BL210" t="str">
        <f ca="1">IFERROR(__xludf.DUMMYFUNCTION("""COMPUTED_VALUE"""),"P0241")</f>
        <v>P0241</v>
      </c>
      <c r="BM210" t="str">
        <f ca="1">IFERROR(__xludf.DUMMYFUNCTION("""COMPUTED_VALUE"""),"Petrus de Mondino")</f>
        <v>Petrus de Mondino</v>
      </c>
      <c r="BO210" t="str">
        <f ca="1">IFERROR(__xludf.DUMMYFUNCTION("""COMPUTED_VALUE"""),"#VALUE!")</f>
        <v>#VALUE!</v>
      </c>
      <c r="BQ210" t="str">
        <f ca="1">IFERROR(__xludf.DUMMYFUNCTION("""COMPUTED_VALUE"""),"#VALUE!")</f>
        <v>#VALUE!</v>
      </c>
      <c r="BS210" t="str">
        <f ca="1">IFERROR(__xludf.DUMMYFUNCTION("""COMPUTED_VALUE"""),"#VALUE!")</f>
        <v>#VALUE!</v>
      </c>
      <c r="BU210" t="str">
        <f ca="1">IFERROR(__xludf.DUMMYFUNCTION("""COMPUTED_VALUE"""),"#VALUE!")</f>
        <v>#VALUE!</v>
      </c>
      <c r="BW210" t="str">
        <f ca="1">IFERROR(__xludf.DUMMYFUNCTION("""COMPUTED_VALUE"""),"#VALUE!")</f>
        <v>#VALUE!</v>
      </c>
      <c r="BY210" t="str">
        <f ca="1">IFERROR(__xludf.DUMMYFUNCTION("""COMPUTED_VALUE"""),"#VALUE!")</f>
        <v>#VALUE!</v>
      </c>
      <c r="CA210" t="str">
        <f ca="1">IFERROR(__xludf.DUMMYFUNCTION("""COMPUTED_VALUE"""),"#VALUE!")</f>
        <v>#VALUE!</v>
      </c>
      <c r="CC210" t="str">
        <f ca="1">IFERROR(__xludf.DUMMYFUNCTION("""COMPUTED_VALUE"""),"#VALUE!")</f>
        <v>#VALUE!</v>
      </c>
      <c r="CD210" t="str">
        <f ca="1">IFERROR(__xludf.DUMMYFUNCTION("""COMPUTED_VALUE"""),"C3598")</f>
        <v>C3598</v>
      </c>
      <c r="CE210" t="str">
        <f ca="1">IFERROR(__xludf.DUMMYFUNCTION("""COMPUTED_VALUE"""),"location of congregation")</f>
        <v>location of congregation</v>
      </c>
      <c r="CF210" t="str">
        <f ca="1">IFERROR(__xludf.DUMMYFUNCTION("""COMPUTED_VALUE"""),"L0067#L0068#L0114#L0129#L0137")</f>
        <v>L0067#L0068#L0114#L0129#L0137</v>
      </c>
      <c r="CG210" t="str">
        <f ca="1">IFERROR(__xludf.DUMMYFUNCTION("""COMPUTED_VALUE"""),"domus Petri Rupphini #domus Vieti de Mondino #domus Henrieti de Mondino #domus Marchete de Mondino #domus Petri de Facio")</f>
        <v>domus Petri Rupphini #domus Vieti de Mondino #domus Henrieti de Mondino #domus Marchete de Mondino #domus Petri de Facio</v>
      </c>
      <c r="CH210" t="str">
        <f ca="1">IFERROR(__xludf.DUMMYFUNCTION("""COMPUTED_VALUE"""),"P0239#P0240#P0241")</f>
        <v>P0239#P0240#P0241</v>
      </c>
      <c r="CI210" t="str">
        <f ca="1">IFERROR(__xludf.DUMMYFUNCTION("""COMPUTED_VALUE"""),"Iohannes Garola #Hugo Camos #Petrus de Mondino")</f>
        <v>Iohannes Garola #Hugo Camos #Petrus de Mondino</v>
      </c>
      <c r="CJ210" t="str">
        <f ca="1">IFERROR(__xludf.DUMMYFUNCTION("""COMPUTED_VALUE"""),"P0053")</f>
        <v>P0053</v>
      </c>
      <c r="CK210" t="str">
        <f ca="1">IFERROR(__xludf.DUMMYFUNCTION("""COMPUTED_VALUE"""),"Iohannes Gauterii")</f>
        <v>Iohannes Gauterii</v>
      </c>
      <c r="CS210" t="str">
        <f ca="1">IFERROR(__xludf.DUMMYFUNCTION("""COMPUTED_VALUE"""),"#VALUE!")</f>
        <v>#VALUE!</v>
      </c>
      <c r="CU210" t="str">
        <f ca="1">IFERROR(__xludf.DUMMYFUNCTION("""COMPUTED_VALUE"""),"#VALUE!")</f>
        <v>#VALUE!</v>
      </c>
      <c r="CW210" t="str">
        <f ca="1">IFERROR(__xludf.DUMMYFUNCTION("""COMPUTED_VALUE"""),"#VALUE!")</f>
        <v>#VALUE!</v>
      </c>
      <c r="CY210" t="str">
        <f ca="1">IFERROR(__xludf.DUMMYFUNCTION("""COMPUTED_VALUE"""),"#VALUE!")</f>
        <v>#VALUE!</v>
      </c>
      <c r="DC210" t="str">
        <f ca="1">IFERROR(__xludf.DUMMYFUNCTION("""COMPUTED_VALUE"""),"#VALUE!")</f>
        <v>#VALUE!</v>
      </c>
      <c r="DE210" t="str">
        <f ca="1">IFERROR(__xludf.DUMMYFUNCTION("""COMPUTED_VALUE"""),"#VALUE!")</f>
        <v>#VALUE!</v>
      </c>
      <c r="DF210" t="str">
        <f ca="1">IFERROR(__xludf.DUMMYFUNCTION("""COMPUTED_VALUE"""),"y")</f>
        <v>y</v>
      </c>
      <c r="DG210" t="str">
        <f ca="1">IFERROR(__xludf.DUMMYFUNCTION("""COMPUTED_VALUE"""),"182, 211-212")</f>
        <v>182, 211-212</v>
      </c>
      <c r="DH210" t="str">
        <f ca="1">IFERROR(__xludf.DUMMYFUNCTION("""COMPUTED_VALUE"""),"L0067#L0068#L0114#L0129#L0137")</f>
        <v>L0067#L0068#L0114#L0129#L0137</v>
      </c>
      <c r="DI210" t="str">
        <f ca="1">IFERROR(__xludf.DUMMYFUNCTION("""COMPUTED_VALUE"""),"domus Petri Rupphini #domus Vieti de Mondino #domus Henrieti de Mondino #domus Marchete de Mondino #domus Petri de Facio")</f>
        <v>domus Petri Rupphini #domus Vieti de Mondino #domus Henrieti de Mondino #domus Marchete de Mondino #domus Petri de Facio</v>
      </c>
      <c r="DJ210" t="str">
        <f ca="1">IFERROR(__xludf.DUMMYFUNCTION("""COMPUTED_VALUE"""),"domus #domus #domus #domus #domus")</f>
        <v>domus #domus #domus #domus #domus</v>
      </c>
      <c r="DL210" t="str">
        <f ca="1">IFERROR(__xludf.DUMMYFUNCTION("""COMPUTED_VALUE"""),"Davor Salihović")</f>
        <v>Davor Salihović</v>
      </c>
    </row>
    <row r="211" spans="1:116" ht="13.2" x14ac:dyDescent="0.25">
      <c r="A211" t="str">
        <f ca="1">IFERROR(__xludf.DUMMYFUNCTION("""COMPUTED_VALUE"""),"P0215")</f>
        <v>P0215</v>
      </c>
      <c r="B211" t="str">
        <f ca="1">IFERROR(__xludf.DUMMYFUNCTION("""COMPUTED_VALUE"""),"Vietus de Mondino")</f>
        <v>Vietus de Mondino</v>
      </c>
      <c r="D211" t="str">
        <f ca="1">IFERROR(__xludf.DUMMYFUNCTION("""COMPUTED_VALUE"""),"#VALUE!")</f>
        <v>#VALUE!</v>
      </c>
      <c r="E211" t="str">
        <f ca="1">IFERROR(__xludf.DUMMYFUNCTION("""COMPUTED_VALUE"""),"Vietus")</f>
        <v>Vietus</v>
      </c>
      <c r="F211" t="str">
        <f ca="1">IFERROR(__xludf.DUMMYFUNCTION("""COMPUTED_VALUE"""),"Vyetus")</f>
        <v>Vyetus</v>
      </c>
      <c r="J211" t="str">
        <f ca="1">IFERROR(__xludf.DUMMYFUNCTION("""COMPUTED_VALUE"""),"de")</f>
        <v>de</v>
      </c>
      <c r="K211" t="str">
        <f ca="1">IFERROR(__xludf.DUMMYFUNCTION("""COMPUTED_VALUE"""),"Mondino")</f>
        <v>Mondino</v>
      </c>
      <c r="L211" t="str">
        <f ca="1">IFERROR(__xludf.DUMMYFUNCTION("""COMPUTED_VALUE"""),"de Mondino")</f>
        <v>de Mondino</v>
      </c>
      <c r="S211" t="str">
        <f ca="1">IFERROR(__xludf.DUMMYFUNCTION("""COMPUTED_VALUE"""),"Latin")</f>
        <v>Latin</v>
      </c>
      <c r="T211" t="str">
        <f ca="1">IFERROR(__xludf.DUMMYFUNCTION("""COMPUTED_VALUE"""),"definite")</f>
        <v>definite</v>
      </c>
      <c r="U211" t="str">
        <f ca="1">IFERROR(__xludf.DUMMYFUNCTION("""COMPUTED_VALUE"""),"C2553")</f>
        <v>C2553</v>
      </c>
      <c r="V211" t="str">
        <f ca="1">IFERROR(__xludf.DUMMYFUNCTION("""COMPUTED_VALUE"""),"male")</f>
        <v>male</v>
      </c>
      <c r="Z211" t="str">
        <f ca="1">IFERROR(__xludf.DUMMYFUNCTION("""COMPUTED_VALUE"""),"177, 179, 180, 184, 190, 193, 198, 208, 209, 210, 211, 212, 224, 225, 226, 235, 239, 244, 245")</f>
        <v>177, 179, 180, 184, 190, 193, 198, 208, 209, 210, 211, 212, 224, 225, 226, 235, 239, 244, 245</v>
      </c>
      <c r="AA211" t="str">
        <f ca="1">IFERROR(__xludf.DUMMYFUNCTION("""COMPUTED_VALUE"""),"d")</f>
        <v>d</v>
      </c>
      <c r="AB211" t="str">
        <f ca="1">IFERROR(__xludf.DUMMYFUNCTION("""COMPUTED_VALUE"""),"suspect")</f>
        <v>suspect</v>
      </c>
      <c r="AD211" t="str">
        <f ca="1">IFERROR(__xludf.DUMMYFUNCTION("""COMPUTED_VALUE"""),"C3287")</f>
        <v>C3287</v>
      </c>
      <c r="AE211" t="str">
        <f ca="1">IFERROR(__xludf.DUMMYFUNCTION("""COMPUTED_VALUE"""),"alive")</f>
        <v>alive</v>
      </c>
      <c r="AF211" t="str">
        <f ca="1">IFERROR(__xludf.DUMMYFUNCTION("""COMPUTED_VALUE"""),"C1753")</f>
        <v>C1753</v>
      </c>
      <c r="AG211" t="str">
        <f ca="1">IFERROR(__xludf.DUMMYFUNCTION("""COMPUTED_VALUE"""),"1335-01-20")</f>
        <v>1335-01-20</v>
      </c>
      <c r="AH211" t="str">
        <f ca="1">IFERROR(__xludf.DUMMYFUNCTION("""COMPUTED_VALUE"""),"C2337")</f>
        <v>C2337</v>
      </c>
      <c r="AI211" t="str">
        <f ca="1">IFERROR(__xludf.DUMMYFUNCTION("""COMPUTED_VALUE"""),"brother")</f>
        <v>brother</v>
      </c>
      <c r="AJ211" t="str">
        <f ca="1">IFERROR(__xludf.DUMMYFUNCTION("""COMPUTED_VALUE"""),"P0214")</f>
        <v>P0214</v>
      </c>
      <c r="AK211" t="str">
        <f ca="1">IFERROR(__xludf.DUMMYFUNCTION("""COMPUTED_VALUE"""),"Henrietus de Mondino")</f>
        <v>Henrietus de Mondino</v>
      </c>
      <c r="AL211" t="str">
        <f ca="1">IFERROR(__xludf.DUMMYFUNCTION("""COMPUTED_VALUE"""),"C2348")</f>
        <v>C2348</v>
      </c>
      <c r="AM211" t="str">
        <f ca="1">IFERROR(__xludf.DUMMYFUNCTION("""COMPUTED_VALUE"""),"wife")</f>
        <v>wife</v>
      </c>
      <c r="AN211" t="str">
        <f ca="1">IFERROR(__xludf.DUMMYFUNCTION("""COMPUTED_VALUE"""),"P0217")</f>
        <v>P0217</v>
      </c>
      <c r="AO211" t="str">
        <f ca="1">IFERROR(__xludf.DUMMYFUNCTION("""COMPUTED_VALUE"""),"Iacobeta, uxor Vyeti de Mondino")</f>
        <v>Iacobeta, uxor Vyeti de Mondino</v>
      </c>
      <c r="AP211" t="str">
        <f ca="1">IFERROR(__xludf.DUMMYFUNCTION("""COMPUTED_VALUE"""),"C2347")</f>
        <v>C2347</v>
      </c>
      <c r="AQ211" t="str">
        <f ca="1">IFERROR(__xludf.DUMMYFUNCTION("""COMPUTED_VALUE"""),"sister")</f>
        <v>sister</v>
      </c>
      <c r="AR211" t="str">
        <f ca="1">IFERROR(__xludf.DUMMYFUNCTION("""COMPUTED_VALUE"""),"P0218")</f>
        <v>P0218</v>
      </c>
      <c r="AS211" t="str">
        <f ca="1">IFERROR(__xludf.DUMMYFUNCTION("""COMPUTED_VALUE"""),"soror Henrieti et Vyeti de Mondino")</f>
        <v>soror Henrieti et Vyeti de Mondino</v>
      </c>
      <c r="AT211" t="str">
        <f ca="1">IFERROR(__xludf.DUMMYFUNCTION("""COMPUTED_VALUE"""),"C2347")</f>
        <v>C2347</v>
      </c>
      <c r="AU211" t="str">
        <f ca="1">IFERROR(__xludf.DUMMYFUNCTION("""COMPUTED_VALUE"""),"sister")</f>
        <v>sister</v>
      </c>
      <c r="AV211" t="str">
        <f ca="1">IFERROR(__xludf.DUMMYFUNCTION("""COMPUTED_VALUE"""),"P0219")</f>
        <v>P0219</v>
      </c>
      <c r="AW211" t="str">
        <f ca="1">IFERROR(__xludf.DUMMYFUNCTION("""COMPUTED_VALUE"""),"soror Henrieti et Vyeti de Mondino")</f>
        <v>soror Henrieti et Vyeti de Mondino</v>
      </c>
      <c r="AX211" t="str">
        <f ca="1">IFERROR(__xludf.DUMMYFUNCTION("""COMPUTED_VALUE"""),"C3041")</f>
        <v>C3041</v>
      </c>
      <c r="AY211" t="str">
        <f ca="1">IFERROR(__xludf.DUMMYFUNCTION("""COMPUTED_VALUE"""),"household")</f>
        <v>household</v>
      </c>
      <c r="AZ211" t="str">
        <f ca="1">IFERROR(__xludf.DUMMYFUNCTION("""COMPUTED_VALUE"""),"G0043")</f>
        <v>G0043</v>
      </c>
      <c r="BA211" t="str">
        <f ca="1">IFERROR(__xludf.DUMMYFUNCTION("""COMPUTED_VALUE"""),"hospitium Vieti de Mondino")</f>
        <v>hospitium Vieti de Mondino</v>
      </c>
      <c r="BB211" t="str">
        <f ca="1">IFERROR(__xludf.DUMMYFUNCTION("""COMPUTED_VALUE"""),"C3041")</f>
        <v>C3041</v>
      </c>
      <c r="BC211" t="str">
        <f ca="1">IFERROR(__xludf.DUMMYFUNCTION("""COMPUTED_VALUE"""),"household")</f>
        <v>household</v>
      </c>
      <c r="BD211" t="str">
        <f ca="1">IFERROR(__xludf.DUMMYFUNCTION("""COMPUTED_VALUE"""),"G0044")</f>
        <v>G0044</v>
      </c>
      <c r="BE211" t="str">
        <f ca="1">IFERROR(__xludf.DUMMYFUNCTION("""COMPUTED_VALUE"""),"illi de domo Vieti de Mondino")</f>
        <v>illi de domo Vieti de Mondino</v>
      </c>
      <c r="BF211" t="str">
        <f ca="1">IFERROR(__xludf.DUMMYFUNCTION("""COMPUTED_VALUE"""),"C0147")</f>
        <v>C0147</v>
      </c>
      <c r="BG211" t="str">
        <f ca="1">IFERROR(__xludf.DUMMYFUNCTION("""COMPUTED_VALUE"""),"warrantor")</f>
        <v>warrantor</v>
      </c>
      <c r="BH211" t="str">
        <f ca="1">IFERROR(__xludf.DUMMYFUNCTION("""COMPUTED_VALUE"""),"P0239")</f>
        <v>P0239</v>
      </c>
      <c r="BI211" t="str">
        <f ca="1">IFERROR(__xludf.DUMMYFUNCTION("""COMPUTED_VALUE"""),"Iohannes Garola")</f>
        <v>Iohannes Garola</v>
      </c>
      <c r="BJ211" t="str">
        <f ca="1">IFERROR(__xludf.DUMMYFUNCTION("""COMPUTED_VALUE"""),"C0147")</f>
        <v>C0147</v>
      </c>
      <c r="BK211" t="str">
        <f ca="1">IFERROR(__xludf.DUMMYFUNCTION("""COMPUTED_VALUE"""),"warrantor")</f>
        <v>warrantor</v>
      </c>
      <c r="BL211" t="str">
        <f ca="1">IFERROR(__xludf.DUMMYFUNCTION("""COMPUTED_VALUE"""),"P0240")</f>
        <v>P0240</v>
      </c>
      <c r="BM211" t="str">
        <f ca="1">IFERROR(__xludf.DUMMYFUNCTION("""COMPUTED_VALUE"""),"Hugo Camos")</f>
        <v>Hugo Camos</v>
      </c>
      <c r="BN211" t="str">
        <f ca="1">IFERROR(__xludf.DUMMYFUNCTION("""COMPUTED_VALUE"""),"C0147")</f>
        <v>C0147</v>
      </c>
      <c r="BO211" t="str">
        <f ca="1">IFERROR(__xludf.DUMMYFUNCTION("""COMPUTED_VALUE"""),"warrantor")</f>
        <v>warrantor</v>
      </c>
      <c r="BP211" t="str">
        <f ca="1">IFERROR(__xludf.DUMMYFUNCTION("""COMPUTED_VALUE"""),"P0241")</f>
        <v>P0241</v>
      </c>
      <c r="BQ211" t="str">
        <f ca="1">IFERROR(__xludf.DUMMYFUNCTION("""COMPUTED_VALUE"""),"Petrus de Mondino")</f>
        <v>Petrus de Mondino</v>
      </c>
      <c r="BR211" t="str">
        <f ca="1">IFERROR(__xludf.DUMMYFUNCTION("""COMPUTED_VALUE"""),"C0147")</f>
        <v>C0147</v>
      </c>
      <c r="BS211" t="str">
        <f ca="1">IFERROR(__xludf.DUMMYFUNCTION("""COMPUTED_VALUE"""),"warrantor")</f>
        <v>warrantor</v>
      </c>
      <c r="BT211" t="str">
        <f ca="1">IFERROR(__xludf.DUMMYFUNCTION("""COMPUTED_VALUE"""),"P0241")</f>
        <v>P0241</v>
      </c>
      <c r="BU211" t="str">
        <f ca="1">IFERROR(__xludf.DUMMYFUNCTION("""COMPUTED_VALUE"""),"Petrus de Mondino")</f>
        <v>Petrus de Mondino</v>
      </c>
      <c r="BV211" t="str">
        <f ca="1">IFERROR(__xludf.DUMMYFUNCTION("""COMPUTED_VALUE"""),"C0147")</f>
        <v>C0147</v>
      </c>
      <c r="BW211" t="str">
        <f ca="1">IFERROR(__xludf.DUMMYFUNCTION("""COMPUTED_VALUE"""),"warrantor")</f>
        <v>warrantor</v>
      </c>
      <c r="BX211" t="str">
        <f ca="1">IFERROR(__xludf.DUMMYFUNCTION("""COMPUTED_VALUE"""),"P0241")</f>
        <v>P0241</v>
      </c>
      <c r="BY211" t="str">
        <f ca="1">IFERROR(__xludf.DUMMYFUNCTION("""COMPUTED_VALUE"""),"Petrus de Mondino")</f>
        <v>Petrus de Mondino</v>
      </c>
      <c r="BZ211" t="str">
        <f ca="1">IFERROR(__xludf.DUMMYFUNCTION("""COMPUTED_VALUE"""),"C0147")</f>
        <v>C0147</v>
      </c>
      <c r="CA211" t="str">
        <f ca="1">IFERROR(__xludf.DUMMYFUNCTION("""COMPUTED_VALUE"""),"warrantor")</f>
        <v>warrantor</v>
      </c>
      <c r="CB211" t="str">
        <f ca="1">IFERROR(__xludf.DUMMYFUNCTION("""COMPUTED_VALUE"""),"P0241")</f>
        <v>P0241</v>
      </c>
      <c r="CC211" t="str">
        <f ca="1">IFERROR(__xludf.DUMMYFUNCTION("""COMPUTED_VALUE"""),"Petrus de Mondino")</f>
        <v>Petrus de Mondino</v>
      </c>
      <c r="CD211" t="str">
        <f ca="1">IFERROR(__xludf.DUMMYFUNCTION("""COMPUTED_VALUE"""),"C3598")</f>
        <v>C3598</v>
      </c>
      <c r="CE211" t="str">
        <f ca="1">IFERROR(__xludf.DUMMYFUNCTION("""COMPUTED_VALUE"""),"warrantor")</f>
        <v>warrantor</v>
      </c>
      <c r="CF211" t="str">
        <f ca="1">IFERROR(__xludf.DUMMYFUNCTION("""COMPUTED_VALUE"""),"L0068#L0089#L0114#L0129#L0130#L0137")</f>
        <v>L0068#L0089#L0114#L0129#L0130#L0137</v>
      </c>
      <c r="CG211" t="str">
        <f ca="1">IFERROR(__xludf.DUMMYFUNCTION("""COMPUTED_VALUE"""),"domus Vieti de Mondino #domus Iohannis de Facio Ferrandi #domus Henrieti de Mondino #domus Marchete de Mondino #domus Iacobete de Mondino #domus Petri de Facio")</f>
        <v>domus Vieti de Mondino #domus Iohannis de Facio Ferrandi #domus Henrieti de Mondino #domus Marchete de Mondino #domus Iacobete de Mondino #domus Petri de Facio</v>
      </c>
      <c r="CH211" t="str">
        <f ca="1">IFERROR(__xludf.DUMMYFUNCTION("""COMPUTED_VALUE"""),"P0239#P0240#P0241")</f>
        <v>P0239#P0240#P0241</v>
      </c>
      <c r="CI211" t="str">
        <f ca="1">IFERROR(__xludf.DUMMYFUNCTION("""COMPUTED_VALUE"""),"Iohannes Garola #Hugo Camos #Petrus de Mondino")</f>
        <v>Iohannes Garola #Hugo Camos #Petrus de Mondino</v>
      </c>
      <c r="CJ211" t="str">
        <f ca="1">IFERROR(__xludf.DUMMYFUNCTION("""COMPUTED_VALUE"""),"P0053")</f>
        <v>P0053</v>
      </c>
      <c r="CK211" t="str">
        <f ca="1">IFERROR(__xludf.DUMMYFUNCTION("""COMPUTED_VALUE"""),"Iohannes Gauterii")</f>
        <v>Iohannes Gauterii</v>
      </c>
      <c r="CS211" t="str">
        <f ca="1">IFERROR(__xludf.DUMMYFUNCTION("""COMPUTED_VALUE"""),"#VALUE!")</f>
        <v>#VALUE!</v>
      </c>
      <c r="CU211" t="str">
        <f ca="1">IFERROR(__xludf.DUMMYFUNCTION("""COMPUTED_VALUE"""),"#VALUE!")</f>
        <v>#VALUE!</v>
      </c>
      <c r="CW211" t="str">
        <f ca="1">IFERROR(__xludf.DUMMYFUNCTION("""COMPUTED_VALUE"""),"#VALUE!")</f>
        <v>#VALUE!</v>
      </c>
      <c r="CY211" t="str">
        <f ca="1">IFERROR(__xludf.DUMMYFUNCTION("""COMPUTED_VALUE"""),"#VALUE!")</f>
        <v>#VALUE!</v>
      </c>
      <c r="DC211" t="str">
        <f ca="1">IFERROR(__xludf.DUMMYFUNCTION("""COMPUTED_VALUE"""),"#VALUE!")</f>
        <v>#VALUE!</v>
      </c>
      <c r="DE211" t="str">
        <f ca="1">IFERROR(__xludf.DUMMYFUNCTION("""COMPUTED_VALUE"""),"#VALUE!")</f>
        <v>#VALUE!</v>
      </c>
      <c r="DF211" t="str">
        <f ca="1">IFERROR(__xludf.DUMMYFUNCTION("""COMPUTED_VALUE"""),"y")</f>
        <v>y</v>
      </c>
      <c r="DG211" t="str">
        <f ca="1">IFERROR(__xludf.DUMMYFUNCTION("""COMPUTED_VALUE"""),"180, 210-211")</f>
        <v>180, 210-211</v>
      </c>
      <c r="DH211" t="str">
        <f ca="1">IFERROR(__xludf.DUMMYFUNCTION("""COMPUTED_VALUE"""),"L0068#L0089#L0114#L0129#L0130#L0137")</f>
        <v>L0068#L0089#L0114#L0129#L0130#L0137</v>
      </c>
      <c r="DI211" t="str">
        <f ca="1">IFERROR(__xludf.DUMMYFUNCTION("""COMPUTED_VALUE"""),"domus Vieti de Mondino #domus Iohannis de Facio Ferrandi #domus Henrieti de Mondino #domus Marchete de Mondino #domus Iacobete de Mondino #domus Petri de Facio")</f>
        <v>domus Vieti de Mondino #domus Iohannis de Facio Ferrandi #domus Henrieti de Mondino #domus Marchete de Mondino #domus Iacobete de Mondino #domus Petri de Facio</v>
      </c>
      <c r="DJ211" t="str">
        <f ca="1">IFERROR(__xludf.DUMMYFUNCTION("""COMPUTED_VALUE"""),"domus #domus #domus #domus #domus #domus")</f>
        <v>domus #domus #domus #domus #domus #domus</v>
      </c>
      <c r="DL211" t="str">
        <f ca="1">IFERROR(__xludf.DUMMYFUNCTION("""COMPUTED_VALUE"""),"Davor Salihović")</f>
        <v>Davor Salihović</v>
      </c>
    </row>
    <row r="212" spans="1:116" ht="13.2" x14ac:dyDescent="0.25">
      <c r="A212" t="str">
        <f ca="1">IFERROR(__xludf.DUMMYFUNCTION("""COMPUTED_VALUE"""),"P0216")</f>
        <v>P0216</v>
      </c>
      <c r="B212" t="str">
        <f ca="1">IFERROR(__xludf.DUMMYFUNCTION("""COMPUTED_VALUE"""),"Marcheta, uxor Henrieti de Mondino")</f>
        <v>Marcheta, uxor Henrieti de Mondino</v>
      </c>
      <c r="D212" t="str">
        <f ca="1">IFERROR(__xludf.DUMMYFUNCTION("""COMPUTED_VALUE"""),"#VALUE!")</f>
        <v>#VALUE!</v>
      </c>
      <c r="E212" t="str">
        <f ca="1">IFERROR(__xludf.DUMMYFUNCTION("""COMPUTED_VALUE"""),"Marcheta")</f>
        <v>Marcheta</v>
      </c>
      <c r="Q212" t="str">
        <f ca="1">IFERROR(__xludf.DUMMYFUNCTION("""COMPUTED_VALUE"""),"uxor Henrieti de Mondino")</f>
        <v>uxor Henrieti de Mondino</v>
      </c>
      <c r="S212" t="str">
        <f ca="1">IFERROR(__xludf.DUMMYFUNCTION("""COMPUTED_VALUE"""),"Latin")</f>
        <v>Latin</v>
      </c>
      <c r="T212" t="str">
        <f ca="1">IFERROR(__xludf.DUMMYFUNCTION("""COMPUTED_VALUE"""),"definite")</f>
        <v>definite</v>
      </c>
      <c r="U212" t="str">
        <f ca="1">IFERROR(__xludf.DUMMYFUNCTION("""COMPUTED_VALUE"""),"C2552")</f>
        <v>C2552</v>
      </c>
      <c r="V212" t="str">
        <f ca="1">IFERROR(__xludf.DUMMYFUNCTION("""COMPUTED_VALUE"""),"female")</f>
        <v>female</v>
      </c>
      <c r="Z212" t="str">
        <f ca="1">IFERROR(__xludf.DUMMYFUNCTION("""COMPUTED_VALUE"""),"177, 190, 193, 198, 209, 212, 224, 235")</f>
        <v>177, 190, 193, 198, 209, 212, 224, 235</v>
      </c>
      <c r="AA212" t="str">
        <f ca="1">IFERROR(__xludf.DUMMYFUNCTION("""COMPUTED_VALUE"""),"d")</f>
        <v>d</v>
      </c>
      <c r="AB212" t="str">
        <f ca="1">IFERROR(__xludf.DUMMYFUNCTION("""COMPUTED_VALUE"""),"suspect")</f>
        <v>suspect</v>
      </c>
      <c r="AD212" t="str">
        <f ca="1">IFERROR(__xludf.DUMMYFUNCTION("""COMPUTED_VALUE"""),"C3287")</f>
        <v>C3287</v>
      </c>
      <c r="AE212" t="str">
        <f ca="1">IFERROR(__xludf.DUMMYFUNCTION("""COMPUTED_VALUE"""),"alive")</f>
        <v>alive</v>
      </c>
      <c r="AF212" t="str">
        <f ca="1">IFERROR(__xludf.DUMMYFUNCTION("""COMPUTED_VALUE"""),"C1753")</f>
        <v>C1753</v>
      </c>
      <c r="AG212" t="str">
        <f ca="1">IFERROR(__xludf.DUMMYFUNCTION("""COMPUTED_VALUE"""),"1335-01-20")</f>
        <v>1335-01-20</v>
      </c>
      <c r="AH212" t="str">
        <f ca="1">IFERROR(__xludf.DUMMYFUNCTION("""COMPUTED_VALUE"""),"C3041")</f>
        <v>C3041</v>
      </c>
      <c r="AI212" t="str">
        <f ca="1">IFERROR(__xludf.DUMMYFUNCTION("""COMPUTED_VALUE"""),"household")</f>
        <v>household</v>
      </c>
      <c r="AJ212" t="str">
        <f ca="1">IFERROR(__xludf.DUMMYFUNCTION("""COMPUTED_VALUE"""),"G0051")</f>
        <v>G0051</v>
      </c>
      <c r="AK212" t="str">
        <f ca="1">IFERROR(__xludf.DUMMYFUNCTION("""COMPUTED_VALUE"""),"illi de domo Marchete de Mondino")</f>
        <v>illi de domo Marchete de Mondino</v>
      </c>
      <c r="AL212" t="str">
        <f ca="1">IFERROR(__xludf.DUMMYFUNCTION("""COMPUTED_VALUE"""),"C0718")</f>
        <v>C0718</v>
      </c>
      <c r="AM212" t="str">
        <f ca="1">IFERROR(__xludf.DUMMYFUNCTION("""COMPUTED_VALUE"""),"familia")</f>
        <v>familia</v>
      </c>
      <c r="AN212" t="str">
        <f ca="1">IFERROR(__xludf.DUMMYFUNCTION("""COMPUTED_VALUE"""),"G0052")</f>
        <v>G0052</v>
      </c>
      <c r="AO212" t="str">
        <f ca="1">IFERROR(__xludf.DUMMYFUNCTION("""COMPUTED_VALUE"""),"familia Marchete de Mondino")</f>
        <v>familia Marchete de Mondino</v>
      </c>
      <c r="AP212" t="str">
        <f ca="1">IFERROR(__xludf.DUMMYFUNCTION("""COMPUTED_VALUE"""),"C0147")</f>
        <v>C0147</v>
      </c>
      <c r="AQ212" t="str">
        <f ca="1">IFERROR(__xludf.DUMMYFUNCTION("""COMPUTED_VALUE"""),"warrantor")</f>
        <v>warrantor</v>
      </c>
      <c r="AR212" t="str">
        <f ca="1">IFERROR(__xludf.DUMMYFUNCTION("""COMPUTED_VALUE"""),"P0214")</f>
        <v>P0214</v>
      </c>
      <c r="AS212" t="str">
        <f ca="1">IFERROR(__xludf.DUMMYFUNCTION("""COMPUTED_VALUE"""),"Henrietus de Mondino")</f>
        <v>Henrietus de Mondino</v>
      </c>
      <c r="AU212" t="str">
        <f ca="1">IFERROR(__xludf.DUMMYFUNCTION("""COMPUTED_VALUE"""),"#VALUE!")</f>
        <v>#VALUE!</v>
      </c>
      <c r="AW212" t="str">
        <f ca="1">IFERROR(__xludf.DUMMYFUNCTION("""COMPUTED_VALUE"""),"#VALUE!")</f>
        <v>#VALUE!</v>
      </c>
      <c r="AY212" t="str">
        <f ca="1">IFERROR(__xludf.DUMMYFUNCTION("""COMPUTED_VALUE"""),"#VALUE!")</f>
        <v>#VALUE!</v>
      </c>
      <c r="BA212" t="str">
        <f ca="1">IFERROR(__xludf.DUMMYFUNCTION("""COMPUTED_VALUE"""),"#VALUE!")</f>
        <v>#VALUE!</v>
      </c>
      <c r="BC212" t="str">
        <f ca="1">IFERROR(__xludf.DUMMYFUNCTION("""COMPUTED_VALUE"""),"#VALUE!")</f>
        <v>#VALUE!</v>
      </c>
      <c r="BE212" t="str">
        <f ca="1">IFERROR(__xludf.DUMMYFUNCTION("""COMPUTED_VALUE"""),"#VALUE!")</f>
        <v>#VALUE!</v>
      </c>
      <c r="BG212" t="str">
        <f ca="1">IFERROR(__xludf.DUMMYFUNCTION("""COMPUTED_VALUE"""),"#VALUE!")</f>
        <v>#VALUE!</v>
      </c>
      <c r="BI212" t="str">
        <f ca="1">IFERROR(__xludf.DUMMYFUNCTION("""COMPUTED_VALUE"""),"#VALUE!")</f>
        <v>#VALUE!</v>
      </c>
      <c r="BK212" t="str">
        <f ca="1">IFERROR(__xludf.DUMMYFUNCTION("""COMPUTED_VALUE"""),"#VALUE!")</f>
        <v>#VALUE!</v>
      </c>
      <c r="BM212" t="str">
        <f ca="1">IFERROR(__xludf.DUMMYFUNCTION("""COMPUTED_VALUE"""),"#VALUE!")</f>
        <v>#VALUE!</v>
      </c>
      <c r="BO212" t="str">
        <f ca="1">IFERROR(__xludf.DUMMYFUNCTION("""COMPUTED_VALUE"""),"#VALUE!")</f>
        <v>#VALUE!</v>
      </c>
      <c r="BQ212" t="str">
        <f ca="1">IFERROR(__xludf.DUMMYFUNCTION("""COMPUTED_VALUE"""),"#VALUE!")</f>
        <v>#VALUE!</v>
      </c>
      <c r="BS212" t="str">
        <f ca="1">IFERROR(__xludf.DUMMYFUNCTION("""COMPUTED_VALUE"""),"#VALUE!")</f>
        <v>#VALUE!</v>
      </c>
      <c r="BU212" t="str">
        <f ca="1">IFERROR(__xludf.DUMMYFUNCTION("""COMPUTED_VALUE"""),"#VALUE!")</f>
        <v>#VALUE!</v>
      </c>
      <c r="BW212" t="str">
        <f ca="1">IFERROR(__xludf.DUMMYFUNCTION("""COMPUTED_VALUE"""),"#VALUE!")</f>
        <v>#VALUE!</v>
      </c>
      <c r="BY212" t="str">
        <f ca="1">IFERROR(__xludf.DUMMYFUNCTION("""COMPUTED_VALUE"""),"#VALUE!")</f>
        <v>#VALUE!</v>
      </c>
      <c r="CA212" t="str">
        <f ca="1">IFERROR(__xludf.DUMMYFUNCTION("""COMPUTED_VALUE"""),"#VALUE!")</f>
        <v>#VALUE!</v>
      </c>
      <c r="CC212" t="str">
        <f ca="1">IFERROR(__xludf.DUMMYFUNCTION("""COMPUTED_VALUE"""),"#VALUE!")</f>
        <v>#VALUE!</v>
      </c>
      <c r="CD212" t="str">
        <f ca="1">IFERROR(__xludf.DUMMYFUNCTION("""COMPUTED_VALUE"""),"C3598")</f>
        <v>C3598</v>
      </c>
      <c r="CE212" t="str">
        <f ca="1">IFERROR(__xludf.DUMMYFUNCTION("""COMPUTED_VALUE"""),"location of congregation")</f>
        <v>location of congregation</v>
      </c>
      <c r="CF212" t="str">
        <f ca="1">IFERROR(__xludf.DUMMYFUNCTION("""COMPUTED_VALUE"""),"L0068#L0114#L0129#L0089#L0137")</f>
        <v>L0068#L0114#L0129#L0089#L0137</v>
      </c>
      <c r="CG212" t="str">
        <f ca="1">IFERROR(__xludf.DUMMYFUNCTION("""COMPUTED_VALUE"""),"domus Vieti de Mondino #domus Henrieti de Mondino #domus Marchete de Mondino #domus Iohannis de Facio Ferrandi #domus Petri de Facio")</f>
        <v>domus Vieti de Mondino #domus Henrieti de Mondino #domus Marchete de Mondino #domus Iohannis de Facio Ferrandi #domus Petri de Facio</v>
      </c>
      <c r="CH212" t="str">
        <f ca="1">IFERROR(__xludf.DUMMYFUNCTION("""COMPUTED_VALUE"""),"P0214")</f>
        <v>P0214</v>
      </c>
      <c r="CI212" t="str">
        <f ca="1">IFERROR(__xludf.DUMMYFUNCTION("""COMPUTED_VALUE"""),"Henrietus de Mondino")</f>
        <v>Henrietus de Mondino</v>
      </c>
      <c r="CK212" t="str">
        <f ca="1">IFERROR(__xludf.DUMMYFUNCTION("""COMPUTED_VALUE"""),"#VALUE!")</f>
        <v>#VALUE!</v>
      </c>
      <c r="CS212" t="str">
        <f ca="1">IFERROR(__xludf.DUMMYFUNCTION("""COMPUTED_VALUE"""),"#VALUE!")</f>
        <v>#VALUE!</v>
      </c>
      <c r="CU212" t="str">
        <f ca="1">IFERROR(__xludf.DUMMYFUNCTION("""COMPUTED_VALUE"""),"#VALUE!")</f>
        <v>#VALUE!</v>
      </c>
      <c r="CW212" t="str">
        <f ca="1">IFERROR(__xludf.DUMMYFUNCTION("""COMPUTED_VALUE"""),"#VALUE!")</f>
        <v>#VALUE!</v>
      </c>
      <c r="CY212" t="str">
        <f ca="1">IFERROR(__xludf.DUMMYFUNCTION("""COMPUTED_VALUE"""),"#VALUE!")</f>
        <v>#VALUE!</v>
      </c>
      <c r="DC212" t="str">
        <f ca="1">IFERROR(__xludf.DUMMYFUNCTION("""COMPUTED_VALUE"""),"#VALUE!")</f>
        <v>#VALUE!</v>
      </c>
      <c r="DE212" t="str">
        <f ca="1">IFERROR(__xludf.DUMMYFUNCTION("""COMPUTED_VALUE"""),"#VALUE!")</f>
        <v>#VALUE!</v>
      </c>
      <c r="DF212" t="str">
        <f ca="1">IFERROR(__xludf.DUMMYFUNCTION("""COMPUTED_VALUE"""),"y")</f>
        <v>y</v>
      </c>
      <c r="DG212" t="str">
        <f ca="1">IFERROR(__xludf.DUMMYFUNCTION("""COMPUTED_VALUE"""),"225")</f>
        <v>225</v>
      </c>
      <c r="DH212" t="str">
        <f ca="1">IFERROR(__xludf.DUMMYFUNCTION("""COMPUTED_VALUE"""),"L0068#L0114#L0129#L0089#L0137")</f>
        <v>L0068#L0114#L0129#L0089#L0137</v>
      </c>
      <c r="DI212" t="str">
        <f ca="1">IFERROR(__xludf.DUMMYFUNCTION("""COMPUTED_VALUE"""),"domus Vieti de Mondino #domus Henrieti de Mondino #domus Marchete de Mondino #domus Iohannis de Facio Ferrandi #domus Petri de Facio")</f>
        <v>domus Vieti de Mondino #domus Henrieti de Mondino #domus Marchete de Mondino #domus Iohannis de Facio Ferrandi #domus Petri de Facio</v>
      </c>
      <c r="DJ212" t="str">
        <f ca="1">IFERROR(__xludf.DUMMYFUNCTION("""COMPUTED_VALUE"""),"domus #domus #domus #domus #domus")</f>
        <v>domus #domus #domus #domus #domus</v>
      </c>
      <c r="DL212" t="str">
        <f ca="1">IFERROR(__xludf.DUMMYFUNCTION("""COMPUTED_VALUE"""),"Davor Salihović")</f>
        <v>Davor Salihović</v>
      </c>
    </row>
    <row r="213" spans="1:116" ht="13.2" x14ac:dyDescent="0.25">
      <c r="A213" t="str">
        <f ca="1">IFERROR(__xludf.DUMMYFUNCTION("""COMPUTED_VALUE"""),"P0217")</f>
        <v>P0217</v>
      </c>
      <c r="B213" t="str">
        <f ca="1">IFERROR(__xludf.DUMMYFUNCTION("""COMPUTED_VALUE"""),"Iacobeta, uxor Vyeti de Mondino")</f>
        <v>Iacobeta, uxor Vyeti de Mondino</v>
      </c>
      <c r="D213" t="str">
        <f ca="1">IFERROR(__xludf.DUMMYFUNCTION("""COMPUTED_VALUE"""),"#VALUE!")</f>
        <v>#VALUE!</v>
      </c>
      <c r="E213" t="str">
        <f ca="1">IFERROR(__xludf.DUMMYFUNCTION("""COMPUTED_VALUE"""),"Iacobeta")</f>
        <v>Iacobeta</v>
      </c>
      <c r="Q213" t="str">
        <f ca="1">IFERROR(__xludf.DUMMYFUNCTION("""COMPUTED_VALUE"""),"uxor Vyeti de Mondino")</f>
        <v>uxor Vyeti de Mondino</v>
      </c>
      <c r="S213" t="str">
        <f ca="1">IFERROR(__xludf.DUMMYFUNCTION("""COMPUTED_VALUE"""),"Latin")</f>
        <v>Latin</v>
      </c>
      <c r="T213" t="str">
        <f ca="1">IFERROR(__xludf.DUMMYFUNCTION("""COMPUTED_VALUE"""),"definite")</f>
        <v>definite</v>
      </c>
      <c r="U213" t="str">
        <f ca="1">IFERROR(__xludf.DUMMYFUNCTION("""COMPUTED_VALUE"""),"C2552")</f>
        <v>C2552</v>
      </c>
      <c r="V213" t="str">
        <f ca="1">IFERROR(__xludf.DUMMYFUNCTION("""COMPUTED_VALUE"""),"female")</f>
        <v>female</v>
      </c>
      <c r="Z213" t="str">
        <f ca="1">IFERROR(__xludf.DUMMYFUNCTION("""COMPUTED_VALUE"""),"177, 190, 193, 198, 209, 212, 225, 226, 235")</f>
        <v>177, 190, 193, 198, 209, 212, 225, 226, 235</v>
      </c>
      <c r="AA213" t="str">
        <f ca="1">IFERROR(__xludf.DUMMYFUNCTION("""COMPUTED_VALUE"""),"d")</f>
        <v>d</v>
      </c>
      <c r="AB213" t="str">
        <f ca="1">IFERROR(__xludf.DUMMYFUNCTION("""COMPUTED_VALUE"""),"suspect")</f>
        <v>suspect</v>
      </c>
      <c r="AD213" t="str">
        <f ca="1">IFERROR(__xludf.DUMMYFUNCTION("""COMPUTED_VALUE"""),"C3287")</f>
        <v>C3287</v>
      </c>
      <c r="AE213" t="str">
        <f ca="1">IFERROR(__xludf.DUMMYFUNCTION("""COMPUTED_VALUE"""),"alive")</f>
        <v>alive</v>
      </c>
      <c r="AF213" t="str">
        <f ca="1">IFERROR(__xludf.DUMMYFUNCTION("""COMPUTED_VALUE"""),"C1753")</f>
        <v>C1753</v>
      </c>
      <c r="AG213" t="str">
        <f ca="1">IFERROR(__xludf.DUMMYFUNCTION("""COMPUTED_VALUE"""),"1335-01-20")</f>
        <v>1335-01-20</v>
      </c>
      <c r="AH213" t="str">
        <f ca="1">IFERROR(__xludf.DUMMYFUNCTION("""COMPUTED_VALUE"""),"C3041")</f>
        <v>C3041</v>
      </c>
      <c r="AI213" t="str">
        <f ca="1">IFERROR(__xludf.DUMMYFUNCTION("""COMPUTED_VALUE"""),"household")</f>
        <v>household</v>
      </c>
      <c r="AJ213" t="str">
        <f ca="1">IFERROR(__xludf.DUMMYFUNCTION("""COMPUTED_VALUE"""),"G0053")</f>
        <v>G0053</v>
      </c>
      <c r="AK213" t="str">
        <f ca="1">IFERROR(__xludf.DUMMYFUNCTION("""COMPUTED_VALUE"""),"illi de domo Iacobete de Mondino")</f>
        <v>illi de domo Iacobete de Mondino</v>
      </c>
      <c r="AM213" t="str">
        <f ca="1">IFERROR(__xludf.DUMMYFUNCTION("""COMPUTED_VALUE"""),"#VALUE!")</f>
        <v>#VALUE!</v>
      </c>
      <c r="AO213" t="str">
        <f ca="1">IFERROR(__xludf.DUMMYFUNCTION("""COMPUTED_VALUE"""),"#VALUE!")</f>
        <v>#VALUE!</v>
      </c>
      <c r="AQ213" t="str">
        <f ca="1">IFERROR(__xludf.DUMMYFUNCTION("""COMPUTED_VALUE"""),"#VALUE!")</f>
        <v>#VALUE!</v>
      </c>
      <c r="AS213" t="str">
        <f ca="1">IFERROR(__xludf.DUMMYFUNCTION("""COMPUTED_VALUE"""),"#VALUE!")</f>
        <v>#VALUE!</v>
      </c>
      <c r="AU213" t="str">
        <f ca="1">IFERROR(__xludf.DUMMYFUNCTION("""COMPUTED_VALUE"""),"#VALUE!")</f>
        <v>#VALUE!</v>
      </c>
      <c r="AW213" t="str">
        <f ca="1">IFERROR(__xludf.DUMMYFUNCTION("""COMPUTED_VALUE"""),"#VALUE!")</f>
        <v>#VALUE!</v>
      </c>
      <c r="AY213" t="str">
        <f ca="1">IFERROR(__xludf.DUMMYFUNCTION("""COMPUTED_VALUE"""),"#VALUE!")</f>
        <v>#VALUE!</v>
      </c>
      <c r="BA213" t="str">
        <f ca="1">IFERROR(__xludf.DUMMYFUNCTION("""COMPUTED_VALUE"""),"#VALUE!")</f>
        <v>#VALUE!</v>
      </c>
      <c r="BC213" t="str">
        <f ca="1">IFERROR(__xludf.DUMMYFUNCTION("""COMPUTED_VALUE"""),"#VALUE!")</f>
        <v>#VALUE!</v>
      </c>
      <c r="BE213" t="str">
        <f ca="1">IFERROR(__xludf.DUMMYFUNCTION("""COMPUTED_VALUE"""),"#VALUE!")</f>
        <v>#VALUE!</v>
      </c>
      <c r="BG213" t="str">
        <f ca="1">IFERROR(__xludf.DUMMYFUNCTION("""COMPUTED_VALUE"""),"#VALUE!")</f>
        <v>#VALUE!</v>
      </c>
      <c r="BI213" t="str">
        <f ca="1">IFERROR(__xludf.DUMMYFUNCTION("""COMPUTED_VALUE"""),"#VALUE!")</f>
        <v>#VALUE!</v>
      </c>
      <c r="BK213" t="str">
        <f ca="1">IFERROR(__xludf.DUMMYFUNCTION("""COMPUTED_VALUE"""),"#VALUE!")</f>
        <v>#VALUE!</v>
      </c>
      <c r="BM213" t="str">
        <f ca="1">IFERROR(__xludf.DUMMYFUNCTION("""COMPUTED_VALUE"""),"#VALUE!")</f>
        <v>#VALUE!</v>
      </c>
      <c r="BO213" t="str">
        <f ca="1">IFERROR(__xludf.DUMMYFUNCTION("""COMPUTED_VALUE"""),"#VALUE!")</f>
        <v>#VALUE!</v>
      </c>
      <c r="BQ213" t="str">
        <f ca="1">IFERROR(__xludf.DUMMYFUNCTION("""COMPUTED_VALUE"""),"#VALUE!")</f>
        <v>#VALUE!</v>
      </c>
      <c r="BS213" t="str">
        <f ca="1">IFERROR(__xludf.DUMMYFUNCTION("""COMPUTED_VALUE"""),"#VALUE!")</f>
        <v>#VALUE!</v>
      </c>
      <c r="BU213" t="str">
        <f ca="1">IFERROR(__xludf.DUMMYFUNCTION("""COMPUTED_VALUE"""),"#VALUE!")</f>
        <v>#VALUE!</v>
      </c>
      <c r="BW213" t="str">
        <f ca="1">IFERROR(__xludf.DUMMYFUNCTION("""COMPUTED_VALUE"""),"#VALUE!")</f>
        <v>#VALUE!</v>
      </c>
      <c r="BY213" t="str">
        <f ca="1">IFERROR(__xludf.DUMMYFUNCTION("""COMPUTED_VALUE"""),"#VALUE!")</f>
        <v>#VALUE!</v>
      </c>
      <c r="CA213" t="str">
        <f ca="1">IFERROR(__xludf.DUMMYFUNCTION("""COMPUTED_VALUE"""),"#VALUE!")</f>
        <v>#VALUE!</v>
      </c>
      <c r="CC213" t="str">
        <f ca="1">IFERROR(__xludf.DUMMYFUNCTION("""COMPUTED_VALUE"""),"#VALUE!")</f>
        <v>#VALUE!</v>
      </c>
      <c r="CD213" t="str">
        <f ca="1">IFERROR(__xludf.DUMMYFUNCTION("""COMPUTED_VALUE"""),"C3598")</f>
        <v>C3598</v>
      </c>
      <c r="CE213" t="str">
        <f ca="1">IFERROR(__xludf.DUMMYFUNCTION("""COMPUTED_VALUE"""),"location of congregation")</f>
        <v>location of congregation</v>
      </c>
      <c r="CF213" t="str">
        <f ca="1">IFERROR(__xludf.DUMMYFUNCTION("""COMPUTED_VALUE"""),"L0068#L0114#L0130#L0089#L0137")</f>
        <v>L0068#L0114#L0130#L0089#L0137</v>
      </c>
      <c r="CG213" t="str">
        <f ca="1">IFERROR(__xludf.DUMMYFUNCTION("""COMPUTED_VALUE"""),"domus Vieti de Mondino #domus Henrieti de Mondino #domus Iacobete de Mondino #domus Iohannis de Facio Ferrandi #domus Petri de Facio")</f>
        <v>domus Vieti de Mondino #domus Henrieti de Mondino #domus Iacobete de Mondino #domus Iohannis de Facio Ferrandi #domus Petri de Facio</v>
      </c>
      <c r="CI213" t="str">
        <f ca="1">IFERROR(__xludf.DUMMYFUNCTION("""COMPUTED_VALUE"""),"#VALUE!")</f>
        <v>#VALUE!</v>
      </c>
      <c r="CK213" t="str">
        <f ca="1">IFERROR(__xludf.DUMMYFUNCTION("""COMPUTED_VALUE"""),"#VALUE!")</f>
        <v>#VALUE!</v>
      </c>
      <c r="CS213" t="str">
        <f ca="1">IFERROR(__xludf.DUMMYFUNCTION("""COMPUTED_VALUE"""),"#VALUE!")</f>
        <v>#VALUE!</v>
      </c>
      <c r="CU213" t="str">
        <f ca="1">IFERROR(__xludf.DUMMYFUNCTION("""COMPUTED_VALUE"""),"#VALUE!")</f>
        <v>#VALUE!</v>
      </c>
      <c r="CW213" t="str">
        <f ca="1">IFERROR(__xludf.DUMMYFUNCTION("""COMPUTED_VALUE"""),"#VALUE!")</f>
        <v>#VALUE!</v>
      </c>
      <c r="CY213" t="str">
        <f ca="1">IFERROR(__xludf.DUMMYFUNCTION("""COMPUTED_VALUE"""),"#VALUE!")</f>
        <v>#VALUE!</v>
      </c>
      <c r="DC213" t="str">
        <f ca="1">IFERROR(__xludf.DUMMYFUNCTION("""COMPUTED_VALUE"""),"#VALUE!")</f>
        <v>#VALUE!</v>
      </c>
      <c r="DE213" t="str">
        <f ca="1">IFERROR(__xludf.DUMMYFUNCTION("""COMPUTED_VALUE"""),"#VALUE!")</f>
        <v>#VALUE!</v>
      </c>
      <c r="DF213" t="str">
        <f ca="1">IFERROR(__xludf.DUMMYFUNCTION("""COMPUTED_VALUE"""),"y")</f>
        <v>y</v>
      </c>
      <c r="DG213" t="str">
        <f ca="1">IFERROR(__xludf.DUMMYFUNCTION("""COMPUTED_VALUE"""),"225-226")</f>
        <v>225-226</v>
      </c>
      <c r="DH213" t="str">
        <f ca="1">IFERROR(__xludf.DUMMYFUNCTION("""COMPUTED_VALUE"""),"L0068#L0114#L0130#L0089#L0137")</f>
        <v>L0068#L0114#L0130#L0089#L0137</v>
      </c>
      <c r="DI213" t="str">
        <f ca="1">IFERROR(__xludf.DUMMYFUNCTION("""COMPUTED_VALUE"""),"domus Vieti de Mondino #domus Henrieti de Mondino #domus Iacobete de Mondino #domus Iohannis de Facio Ferrandi #domus Petri de Facio")</f>
        <v>domus Vieti de Mondino #domus Henrieti de Mondino #domus Iacobete de Mondino #domus Iohannis de Facio Ferrandi #domus Petri de Facio</v>
      </c>
      <c r="DJ213" t="str">
        <f ca="1">IFERROR(__xludf.DUMMYFUNCTION("""COMPUTED_VALUE"""),"domus #domus #domus #domus #domus")</f>
        <v>domus #domus #domus #domus #domus</v>
      </c>
      <c r="DL213" t="str">
        <f ca="1">IFERROR(__xludf.DUMMYFUNCTION("""COMPUTED_VALUE"""),"Davor Salihović")</f>
        <v>Davor Salihović</v>
      </c>
    </row>
    <row r="214" spans="1:116" ht="13.2" x14ac:dyDescent="0.25">
      <c r="A214" t="str">
        <f ca="1">IFERROR(__xludf.DUMMYFUNCTION("""COMPUTED_VALUE"""),"P0218")</f>
        <v>P0218</v>
      </c>
      <c r="B214" t="str">
        <f ca="1">IFERROR(__xludf.DUMMYFUNCTION("""COMPUTED_VALUE"""),"soror Henrieti et Vyeti de Mondino")</f>
        <v>soror Henrieti et Vyeti de Mondino</v>
      </c>
      <c r="D214" t="str">
        <f ca="1">IFERROR(__xludf.DUMMYFUNCTION("""COMPUTED_VALUE"""),"#VALUE!")</f>
        <v>#VALUE!</v>
      </c>
      <c r="E214" t="str">
        <f ca="1">IFERROR(__xludf.DUMMYFUNCTION("""COMPUTED_VALUE"""),"soror Henrieti et Vyeti de Mondino")</f>
        <v>soror Henrieti et Vyeti de Mondino</v>
      </c>
      <c r="Q214" t="str">
        <f ca="1">IFERROR(__xludf.DUMMYFUNCTION("""COMPUTED_VALUE"""),"soror Henrieti et Vyeti de Mondino")</f>
        <v>soror Henrieti et Vyeti de Mondino</v>
      </c>
      <c r="S214" t="str">
        <f ca="1">IFERROR(__xludf.DUMMYFUNCTION("""COMPUTED_VALUE"""),"Latin")</f>
        <v>Latin</v>
      </c>
      <c r="T214" t="str">
        <f ca="1">IFERROR(__xludf.DUMMYFUNCTION("""COMPUTED_VALUE"""),"indefinite")</f>
        <v>indefinite</v>
      </c>
      <c r="U214" t="str">
        <f ca="1">IFERROR(__xludf.DUMMYFUNCTION("""COMPUTED_VALUE"""),"C2552")</f>
        <v>C2552</v>
      </c>
      <c r="V214" t="str">
        <f ca="1">IFERROR(__xludf.DUMMYFUNCTION("""COMPUTED_VALUE"""),"female")</f>
        <v>female</v>
      </c>
      <c r="Z214" t="str">
        <f ca="1">IFERROR(__xludf.DUMMYFUNCTION("""COMPUTED_VALUE"""),"177, 193")</f>
        <v>177, 193</v>
      </c>
      <c r="AA214" t="str">
        <f ca="1">IFERROR(__xludf.DUMMYFUNCTION("""COMPUTED_VALUE"""),"d")</f>
        <v>d</v>
      </c>
      <c r="AB214" t="str">
        <f ca="1">IFERROR(__xludf.DUMMYFUNCTION("""COMPUTED_VALUE"""),"suspect")</f>
        <v>suspect</v>
      </c>
      <c r="AE214" t="str">
        <f ca="1">IFERROR(__xludf.DUMMYFUNCTION("""COMPUTED_VALUE"""),"#VALUE!")</f>
        <v>#VALUE!</v>
      </c>
      <c r="AF214" t="str">
        <f ca="1">IFERROR(__xludf.DUMMYFUNCTION("""COMPUTED_VALUE"""),"#N/A")</f>
        <v>#N/A</v>
      </c>
      <c r="AG214" t="str">
        <f ca="1">IFERROR(__xludf.DUMMYFUNCTION("""COMPUTED_VALUE"""),"#N/A")</f>
        <v>#N/A</v>
      </c>
      <c r="AI214" t="str">
        <f ca="1">IFERROR(__xludf.DUMMYFUNCTION("""COMPUTED_VALUE"""),"#VALUE!")</f>
        <v>#VALUE!</v>
      </c>
      <c r="AK214" t="str">
        <f ca="1">IFERROR(__xludf.DUMMYFUNCTION("""COMPUTED_VALUE"""),"#VALUE!")</f>
        <v>#VALUE!</v>
      </c>
      <c r="AM214" t="str">
        <f ca="1">IFERROR(__xludf.DUMMYFUNCTION("""COMPUTED_VALUE"""),"#VALUE!")</f>
        <v>#VALUE!</v>
      </c>
      <c r="AO214" t="str">
        <f ca="1">IFERROR(__xludf.DUMMYFUNCTION("""COMPUTED_VALUE"""),"#VALUE!")</f>
        <v>#VALUE!</v>
      </c>
      <c r="AQ214" t="str">
        <f ca="1">IFERROR(__xludf.DUMMYFUNCTION("""COMPUTED_VALUE"""),"#VALUE!")</f>
        <v>#VALUE!</v>
      </c>
      <c r="AS214" t="str">
        <f ca="1">IFERROR(__xludf.DUMMYFUNCTION("""COMPUTED_VALUE"""),"#VALUE!")</f>
        <v>#VALUE!</v>
      </c>
      <c r="AU214" t="str">
        <f ca="1">IFERROR(__xludf.DUMMYFUNCTION("""COMPUTED_VALUE"""),"#VALUE!")</f>
        <v>#VALUE!</v>
      </c>
      <c r="AW214" t="str">
        <f ca="1">IFERROR(__xludf.DUMMYFUNCTION("""COMPUTED_VALUE"""),"#VALUE!")</f>
        <v>#VALUE!</v>
      </c>
      <c r="AY214" t="str">
        <f ca="1">IFERROR(__xludf.DUMMYFUNCTION("""COMPUTED_VALUE"""),"#VALUE!")</f>
        <v>#VALUE!</v>
      </c>
      <c r="BA214" t="str">
        <f ca="1">IFERROR(__xludf.DUMMYFUNCTION("""COMPUTED_VALUE"""),"#VALUE!")</f>
        <v>#VALUE!</v>
      </c>
      <c r="BC214" t="str">
        <f ca="1">IFERROR(__xludf.DUMMYFUNCTION("""COMPUTED_VALUE"""),"#VALUE!")</f>
        <v>#VALUE!</v>
      </c>
      <c r="BE214" t="str">
        <f ca="1">IFERROR(__xludf.DUMMYFUNCTION("""COMPUTED_VALUE"""),"#VALUE!")</f>
        <v>#VALUE!</v>
      </c>
      <c r="BG214" t="str">
        <f ca="1">IFERROR(__xludf.DUMMYFUNCTION("""COMPUTED_VALUE"""),"#VALUE!")</f>
        <v>#VALUE!</v>
      </c>
      <c r="BI214" t="str">
        <f ca="1">IFERROR(__xludf.DUMMYFUNCTION("""COMPUTED_VALUE"""),"#VALUE!")</f>
        <v>#VALUE!</v>
      </c>
      <c r="BK214" t="str">
        <f ca="1">IFERROR(__xludf.DUMMYFUNCTION("""COMPUTED_VALUE"""),"#VALUE!")</f>
        <v>#VALUE!</v>
      </c>
      <c r="BM214" t="str">
        <f ca="1">IFERROR(__xludf.DUMMYFUNCTION("""COMPUTED_VALUE"""),"#VALUE!")</f>
        <v>#VALUE!</v>
      </c>
      <c r="BO214" t="str">
        <f ca="1">IFERROR(__xludf.DUMMYFUNCTION("""COMPUTED_VALUE"""),"#VALUE!")</f>
        <v>#VALUE!</v>
      </c>
      <c r="BQ214" t="str">
        <f ca="1">IFERROR(__xludf.DUMMYFUNCTION("""COMPUTED_VALUE"""),"#VALUE!")</f>
        <v>#VALUE!</v>
      </c>
      <c r="BS214" t="str">
        <f ca="1">IFERROR(__xludf.DUMMYFUNCTION("""COMPUTED_VALUE"""),"#VALUE!")</f>
        <v>#VALUE!</v>
      </c>
      <c r="BU214" t="str">
        <f ca="1">IFERROR(__xludf.DUMMYFUNCTION("""COMPUTED_VALUE"""),"#VALUE!")</f>
        <v>#VALUE!</v>
      </c>
      <c r="BW214" t="str">
        <f ca="1">IFERROR(__xludf.DUMMYFUNCTION("""COMPUTED_VALUE"""),"#VALUE!")</f>
        <v>#VALUE!</v>
      </c>
      <c r="BY214" t="str">
        <f ca="1">IFERROR(__xludf.DUMMYFUNCTION("""COMPUTED_VALUE"""),"#VALUE!")</f>
        <v>#VALUE!</v>
      </c>
      <c r="CA214" t="str">
        <f ca="1">IFERROR(__xludf.DUMMYFUNCTION("""COMPUTED_VALUE"""),"#VALUE!")</f>
        <v>#VALUE!</v>
      </c>
      <c r="CC214" t="str">
        <f ca="1">IFERROR(__xludf.DUMMYFUNCTION("""COMPUTED_VALUE"""),"#VALUE!")</f>
        <v>#VALUE!</v>
      </c>
      <c r="CD214" t="str">
        <f ca="1">IFERROR(__xludf.DUMMYFUNCTION("""COMPUTED_VALUE"""),"C3598")</f>
        <v>C3598</v>
      </c>
      <c r="CE214" t="str">
        <f ca="1">IFERROR(__xludf.DUMMYFUNCTION("""COMPUTED_VALUE"""),"location of congregation")</f>
        <v>location of congregation</v>
      </c>
      <c r="CF214" t="str">
        <f ca="1">IFERROR(__xludf.DUMMYFUNCTION("""COMPUTED_VALUE"""),"L0068")</f>
        <v>L0068</v>
      </c>
      <c r="CG214" t="str">
        <f ca="1">IFERROR(__xludf.DUMMYFUNCTION("""COMPUTED_VALUE"""),"domus Vieti de Mondino")</f>
        <v>domus Vieti de Mondino</v>
      </c>
      <c r="CI214" t="str">
        <f ca="1">IFERROR(__xludf.DUMMYFUNCTION("""COMPUTED_VALUE"""),"#VALUE!")</f>
        <v>#VALUE!</v>
      </c>
      <c r="CK214" t="str">
        <f ca="1">IFERROR(__xludf.DUMMYFUNCTION("""COMPUTED_VALUE"""),"#VALUE!")</f>
        <v>#VALUE!</v>
      </c>
      <c r="CS214" t="str">
        <f ca="1">IFERROR(__xludf.DUMMYFUNCTION("""COMPUTED_VALUE"""),"#VALUE!")</f>
        <v>#VALUE!</v>
      </c>
      <c r="CU214" t="str">
        <f ca="1">IFERROR(__xludf.DUMMYFUNCTION("""COMPUTED_VALUE"""),"#VALUE!")</f>
        <v>#VALUE!</v>
      </c>
      <c r="CW214" t="str">
        <f ca="1">IFERROR(__xludf.DUMMYFUNCTION("""COMPUTED_VALUE"""),"#VALUE!")</f>
        <v>#VALUE!</v>
      </c>
      <c r="CY214" t="str">
        <f ca="1">IFERROR(__xludf.DUMMYFUNCTION("""COMPUTED_VALUE"""),"#VALUE!")</f>
        <v>#VALUE!</v>
      </c>
      <c r="DC214" t="str">
        <f ca="1">IFERROR(__xludf.DUMMYFUNCTION("""COMPUTED_VALUE"""),"#VALUE!")</f>
        <v>#VALUE!</v>
      </c>
      <c r="DE214" t="str">
        <f ca="1">IFERROR(__xludf.DUMMYFUNCTION("""COMPUTED_VALUE"""),"#VALUE!")</f>
        <v>#VALUE!</v>
      </c>
      <c r="DH214" t="str">
        <f ca="1">IFERROR(__xludf.DUMMYFUNCTION("""COMPUTED_VALUE"""),"L0068")</f>
        <v>L0068</v>
      </c>
      <c r="DI214" t="str">
        <f ca="1">IFERROR(__xludf.DUMMYFUNCTION("""COMPUTED_VALUE"""),"domus Vieti de Mondino")</f>
        <v>domus Vieti de Mondino</v>
      </c>
      <c r="DJ214" t="str">
        <f ca="1">IFERROR(__xludf.DUMMYFUNCTION("""COMPUTED_VALUE"""),"domus")</f>
        <v>domus</v>
      </c>
      <c r="DL214" t="str">
        <f ca="1">IFERROR(__xludf.DUMMYFUNCTION("""COMPUTED_VALUE"""),"Davor Salihović")</f>
        <v>Davor Salihović</v>
      </c>
    </row>
    <row r="215" spans="1:116" ht="13.2" x14ac:dyDescent="0.25">
      <c r="A215" t="str">
        <f ca="1">IFERROR(__xludf.DUMMYFUNCTION("""COMPUTED_VALUE"""),"P0219")</f>
        <v>P0219</v>
      </c>
      <c r="B215" t="str">
        <f ca="1">IFERROR(__xludf.DUMMYFUNCTION("""COMPUTED_VALUE"""),"soror Henrieti et Vyeti de Mondino")</f>
        <v>soror Henrieti et Vyeti de Mondino</v>
      </c>
      <c r="D215" t="str">
        <f ca="1">IFERROR(__xludf.DUMMYFUNCTION("""COMPUTED_VALUE"""),"#VALUE!")</f>
        <v>#VALUE!</v>
      </c>
      <c r="E215" t="str">
        <f ca="1">IFERROR(__xludf.DUMMYFUNCTION("""COMPUTED_VALUE"""),"soror Henrieti et Vyeti de Mondino")</f>
        <v>soror Henrieti et Vyeti de Mondino</v>
      </c>
      <c r="Q215" t="str">
        <f ca="1">IFERROR(__xludf.DUMMYFUNCTION("""COMPUTED_VALUE"""),"soror Henrieti et Vyeti de Mondino")</f>
        <v>soror Henrieti et Vyeti de Mondino</v>
      </c>
      <c r="S215" t="str">
        <f ca="1">IFERROR(__xludf.DUMMYFUNCTION("""COMPUTED_VALUE"""),"Latin")</f>
        <v>Latin</v>
      </c>
      <c r="T215" t="str">
        <f ca="1">IFERROR(__xludf.DUMMYFUNCTION("""COMPUTED_VALUE"""),"indefinite")</f>
        <v>indefinite</v>
      </c>
      <c r="U215" t="str">
        <f ca="1">IFERROR(__xludf.DUMMYFUNCTION("""COMPUTED_VALUE"""),"C2552")</f>
        <v>C2552</v>
      </c>
      <c r="V215" t="str">
        <f ca="1">IFERROR(__xludf.DUMMYFUNCTION("""COMPUTED_VALUE"""),"female")</f>
        <v>female</v>
      </c>
      <c r="Z215" t="str">
        <f ca="1">IFERROR(__xludf.DUMMYFUNCTION("""COMPUTED_VALUE"""),"177, 193")</f>
        <v>177, 193</v>
      </c>
      <c r="AA215" t="str">
        <f ca="1">IFERROR(__xludf.DUMMYFUNCTION("""COMPUTED_VALUE"""),"d")</f>
        <v>d</v>
      </c>
      <c r="AB215" t="str">
        <f ca="1">IFERROR(__xludf.DUMMYFUNCTION("""COMPUTED_VALUE"""),"suspect")</f>
        <v>suspect</v>
      </c>
      <c r="AE215" t="str">
        <f ca="1">IFERROR(__xludf.DUMMYFUNCTION("""COMPUTED_VALUE"""),"#VALUE!")</f>
        <v>#VALUE!</v>
      </c>
      <c r="AF215" t="str">
        <f ca="1">IFERROR(__xludf.DUMMYFUNCTION("""COMPUTED_VALUE"""),"#N/A")</f>
        <v>#N/A</v>
      </c>
      <c r="AG215" t="str">
        <f ca="1">IFERROR(__xludf.DUMMYFUNCTION("""COMPUTED_VALUE"""),"#N/A")</f>
        <v>#N/A</v>
      </c>
      <c r="AI215" t="str">
        <f ca="1">IFERROR(__xludf.DUMMYFUNCTION("""COMPUTED_VALUE"""),"#VALUE!")</f>
        <v>#VALUE!</v>
      </c>
      <c r="AK215" t="str">
        <f ca="1">IFERROR(__xludf.DUMMYFUNCTION("""COMPUTED_VALUE"""),"#VALUE!")</f>
        <v>#VALUE!</v>
      </c>
      <c r="AM215" t="str">
        <f ca="1">IFERROR(__xludf.DUMMYFUNCTION("""COMPUTED_VALUE"""),"#VALUE!")</f>
        <v>#VALUE!</v>
      </c>
      <c r="AO215" t="str">
        <f ca="1">IFERROR(__xludf.DUMMYFUNCTION("""COMPUTED_VALUE"""),"#VALUE!")</f>
        <v>#VALUE!</v>
      </c>
      <c r="AQ215" t="str">
        <f ca="1">IFERROR(__xludf.DUMMYFUNCTION("""COMPUTED_VALUE"""),"#VALUE!")</f>
        <v>#VALUE!</v>
      </c>
      <c r="AS215" t="str">
        <f ca="1">IFERROR(__xludf.DUMMYFUNCTION("""COMPUTED_VALUE"""),"#VALUE!")</f>
        <v>#VALUE!</v>
      </c>
      <c r="AU215" t="str">
        <f ca="1">IFERROR(__xludf.DUMMYFUNCTION("""COMPUTED_VALUE"""),"#VALUE!")</f>
        <v>#VALUE!</v>
      </c>
      <c r="AW215" t="str">
        <f ca="1">IFERROR(__xludf.DUMMYFUNCTION("""COMPUTED_VALUE"""),"#VALUE!")</f>
        <v>#VALUE!</v>
      </c>
      <c r="AY215" t="str">
        <f ca="1">IFERROR(__xludf.DUMMYFUNCTION("""COMPUTED_VALUE"""),"#VALUE!")</f>
        <v>#VALUE!</v>
      </c>
      <c r="BA215" t="str">
        <f ca="1">IFERROR(__xludf.DUMMYFUNCTION("""COMPUTED_VALUE"""),"#VALUE!")</f>
        <v>#VALUE!</v>
      </c>
      <c r="BC215" t="str">
        <f ca="1">IFERROR(__xludf.DUMMYFUNCTION("""COMPUTED_VALUE"""),"#VALUE!")</f>
        <v>#VALUE!</v>
      </c>
      <c r="BE215" t="str">
        <f ca="1">IFERROR(__xludf.DUMMYFUNCTION("""COMPUTED_VALUE"""),"#VALUE!")</f>
        <v>#VALUE!</v>
      </c>
      <c r="BG215" t="str">
        <f ca="1">IFERROR(__xludf.DUMMYFUNCTION("""COMPUTED_VALUE"""),"#VALUE!")</f>
        <v>#VALUE!</v>
      </c>
      <c r="BI215" t="str">
        <f ca="1">IFERROR(__xludf.DUMMYFUNCTION("""COMPUTED_VALUE"""),"#VALUE!")</f>
        <v>#VALUE!</v>
      </c>
      <c r="BK215" t="str">
        <f ca="1">IFERROR(__xludf.DUMMYFUNCTION("""COMPUTED_VALUE"""),"#VALUE!")</f>
        <v>#VALUE!</v>
      </c>
      <c r="BM215" t="str">
        <f ca="1">IFERROR(__xludf.DUMMYFUNCTION("""COMPUTED_VALUE"""),"#VALUE!")</f>
        <v>#VALUE!</v>
      </c>
      <c r="BO215" t="str">
        <f ca="1">IFERROR(__xludf.DUMMYFUNCTION("""COMPUTED_VALUE"""),"#VALUE!")</f>
        <v>#VALUE!</v>
      </c>
      <c r="BQ215" t="str">
        <f ca="1">IFERROR(__xludf.DUMMYFUNCTION("""COMPUTED_VALUE"""),"#VALUE!")</f>
        <v>#VALUE!</v>
      </c>
      <c r="BS215" t="str">
        <f ca="1">IFERROR(__xludf.DUMMYFUNCTION("""COMPUTED_VALUE"""),"#VALUE!")</f>
        <v>#VALUE!</v>
      </c>
      <c r="BU215" t="str">
        <f ca="1">IFERROR(__xludf.DUMMYFUNCTION("""COMPUTED_VALUE"""),"#VALUE!")</f>
        <v>#VALUE!</v>
      </c>
      <c r="BW215" t="str">
        <f ca="1">IFERROR(__xludf.DUMMYFUNCTION("""COMPUTED_VALUE"""),"#VALUE!")</f>
        <v>#VALUE!</v>
      </c>
      <c r="BY215" t="str">
        <f ca="1">IFERROR(__xludf.DUMMYFUNCTION("""COMPUTED_VALUE"""),"#VALUE!")</f>
        <v>#VALUE!</v>
      </c>
      <c r="CA215" t="str">
        <f ca="1">IFERROR(__xludf.DUMMYFUNCTION("""COMPUTED_VALUE"""),"#VALUE!")</f>
        <v>#VALUE!</v>
      </c>
      <c r="CC215" t="str">
        <f ca="1">IFERROR(__xludf.DUMMYFUNCTION("""COMPUTED_VALUE"""),"#VALUE!")</f>
        <v>#VALUE!</v>
      </c>
      <c r="CD215" t="str">
        <f ca="1">IFERROR(__xludf.DUMMYFUNCTION("""COMPUTED_VALUE"""),"C3598")</f>
        <v>C3598</v>
      </c>
      <c r="CE215" t="str">
        <f ca="1">IFERROR(__xludf.DUMMYFUNCTION("""COMPUTED_VALUE"""),"location of congregation")</f>
        <v>location of congregation</v>
      </c>
      <c r="CF215" t="str">
        <f ca="1">IFERROR(__xludf.DUMMYFUNCTION("""COMPUTED_VALUE"""),"L0068")</f>
        <v>L0068</v>
      </c>
      <c r="CG215" t="str">
        <f ca="1">IFERROR(__xludf.DUMMYFUNCTION("""COMPUTED_VALUE"""),"domus Vieti de Mondino")</f>
        <v>domus Vieti de Mondino</v>
      </c>
      <c r="CI215" t="str">
        <f ca="1">IFERROR(__xludf.DUMMYFUNCTION("""COMPUTED_VALUE"""),"#VALUE!")</f>
        <v>#VALUE!</v>
      </c>
      <c r="CK215" t="str">
        <f ca="1">IFERROR(__xludf.DUMMYFUNCTION("""COMPUTED_VALUE"""),"#VALUE!")</f>
        <v>#VALUE!</v>
      </c>
      <c r="CS215" t="str">
        <f ca="1">IFERROR(__xludf.DUMMYFUNCTION("""COMPUTED_VALUE"""),"#VALUE!")</f>
        <v>#VALUE!</v>
      </c>
      <c r="CU215" t="str">
        <f ca="1">IFERROR(__xludf.DUMMYFUNCTION("""COMPUTED_VALUE"""),"#VALUE!")</f>
        <v>#VALUE!</v>
      </c>
      <c r="CW215" t="str">
        <f ca="1">IFERROR(__xludf.DUMMYFUNCTION("""COMPUTED_VALUE"""),"#VALUE!")</f>
        <v>#VALUE!</v>
      </c>
      <c r="CY215" t="str">
        <f ca="1">IFERROR(__xludf.DUMMYFUNCTION("""COMPUTED_VALUE"""),"#VALUE!")</f>
        <v>#VALUE!</v>
      </c>
      <c r="DC215" t="str">
        <f ca="1">IFERROR(__xludf.DUMMYFUNCTION("""COMPUTED_VALUE"""),"#VALUE!")</f>
        <v>#VALUE!</v>
      </c>
      <c r="DE215" t="str">
        <f ca="1">IFERROR(__xludf.DUMMYFUNCTION("""COMPUTED_VALUE"""),"#VALUE!")</f>
        <v>#VALUE!</v>
      </c>
      <c r="DH215" t="str">
        <f ca="1">IFERROR(__xludf.DUMMYFUNCTION("""COMPUTED_VALUE"""),"L0068")</f>
        <v>L0068</v>
      </c>
      <c r="DI215" t="str">
        <f ca="1">IFERROR(__xludf.DUMMYFUNCTION("""COMPUTED_VALUE"""),"domus Vieti de Mondino")</f>
        <v>domus Vieti de Mondino</v>
      </c>
      <c r="DJ215" t="str">
        <f ca="1">IFERROR(__xludf.DUMMYFUNCTION("""COMPUTED_VALUE"""),"domus")</f>
        <v>domus</v>
      </c>
      <c r="DL215" t="str">
        <f ca="1">IFERROR(__xludf.DUMMYFUNCTION("""COMPUTED_VALUE"""),"Davor Salihović")</f>
        <v>Davor Salihović</v>
      </c>
    </row>
    <row r="216" spans="1:116" ht="13.2" x14ac:dyDescent="0.25">
      <c r="A216" t="str">
        <f ca="1">IFERROR(__xludf.DUMMYFUNCTION("""COMPUTED_VALUE"""),"P0220")</f>
        <v>P0220</v>
      </c>
      <c r="B216" t="str">
        <f ca="1">IFERROR(__xludf.DUMMYFUNCTION("""COMPUTED_VALUE"""),"Iohannes de Facio Ferrandi")</f>
        <v>Iohannes de Facio Ferrandi</v>
      </c>
      <c r="D216" t="str">
        <f ca="1">IFERROR(__xludf.DUMMYFUNCTION("""COMPUTED_VALUE"""),"#VALUE!")</f>
        <v>#VALUE!</v>
      </c>
      <c r="E216" t="str">
        <f ca="1">IFERROR(__xludf.DUMMYFUNCTION("""COMPUTED_VALUE"""),"Iohannes")</f>
        <v>Iohannes</v>
      </c>
      <c r="J216" t="str">
        <f ca="1">IFERROR(__xludf.DUMMYFUNCTION("""COMPUTED_VALUE"""),"de")</f>
        <v>de</v>
      </c>
      <c r="K216" t="str">
        <f ca="1">IFERROR(__xludf.DUMMYFUNCTION("""COMPUTED_VALUE"""),"Facio Ferrandi")</f>
        <v>Facio Ferrandi</v>
      </c>
      <c r="L216" t="str">
        <f ca="1">IFERROR(__xludf.DUMMYFUNCTION("""COMPUTED_VALUE"""),"de Facio Ferrandi")</f>
        <v>de Facio Ferrandi</v>
      </c>
      <c r="S216" t="str">
        <f ca="1">IFERROR(__xludf.DUMMYFUNCTION("""COMPUTED_VALUE"""),"Latin")</f>
        <v>Latin</v>
      </c>
      <c r="T216" t="str">
        <f ca="1">IFERROR(__xludf.DUMMYFUNCTION("""COMPUTED_VALUE"""),"definite")</f>
        <v>definite</v>
      </c>
      <c r="U216" t="str">
        <f ca="1">IFERROR(__xludf.DUMMYFUNCTION("""COMPUTED_VALUE"""),"C2553")</f>
        <v>C2553</v>
      </c>
      <c r="V216" t="str">
        <f ca="1">IFERROR(__xludf.DUMMYFUNCTION("""COMPUTED_VALUE"""),"male")</f>
        <v>male</v>
      </c>
      <c r="Z216" t="str">
        <f ca="1">IFERROR(__xludf.DUMMYFUNCTION("""COMPUTED_VALUE"""),"177, 179, 181, 184, 190, 191, 205, 208, 209, 210, 211, 212, 214, 215, 217, 218, 219, 220, 224, 225, 228, 229, 230, 232, 234, 235, 237, 238, 244, 245")</f>
        <v>177, 179, 181, 184, 190, 191, 205, 208, 209, 210, 211, 212, 214, 215, 217, 218, 219, 220, 224, 225, 228, 229, 230, 232, 234, 235, 237, 238, 244, 245</v>
      </c>
      <c r="AA216" t="str">
        <f ca="1">IFERROR(__xludf.DUMMYFUNCTION("""COMPUTED_VALUE"""),"d")</f>
        <v>d</v>
      </c>
      <c r="AB216" t="str">
        <f ca="1">IFERROR(__xludf.DUMMYFUNCTION("""COMPUTED_VALUE"""),"suspect")</f>
        <v>suspect</v>
      </c>
      <c r="AD216" t="str">
        <f ca="1">IFERROR(__xludf.DUMMYFUNCTION("""COMPUTED_VALUE"""),"C3287")</f>
        <v>C3287</v>
      </c>
      <c r="AE216" t="str">
        <f ca="1">IFERROR(__xludf.DUMMYFUNCTION("""COMPUTED_VALUE"""),"alive")</f>
        <v>alive</v>
      </c>
      <c r="AF216" t="str">
        <f ca="1">IFERROR(__xludf.DUMMYFUNCTION("""COMPUTED_VALUE"""),"C1753")</f>
        <v>C1753</v>
      </c>
      <c r="AG216" t="str">
        <f ca="1">IFERROR(__xludf.DUMMYFUNCTION("""COMPUTED_VALUE"""),"1335-01-20")</f>
        <v>1335-01-20</v>
      </c>
      <c r="AH216" t="str">
        <f ca="1">IFERROR(__xludf.DUMMYFUNCTION("""COMPUTED_VALUE"""),"C2337")</f>
        <v>C2337</v>
      </c>
      <c r="AI216" t="str">
        <f ca="1">IFERROR(__xludf.DUMMYFUNCTION("""COMPUTED_VALUE"""),"brother")</f>
        <v>brother</v>
      </c>
      <c r="AJ216" t="str">
        <f ca="1">IFERROR(__xludf.DUMMYFUNCTION("""COMPUTED_VALUE"""),"P0287")</f>
        <v>P0287</v>
      </c>
      <c r="AK216" t="str">
        <f ca="1">IFERROR(__xludf.DUMMYFUNCTION("""COMPUTED_VALUE"""),"Petrus, frater Iohannis de Facio Ferrandi")</f>
        <v>Petrus, frater Iohannis de Facio Ferrandi</v>
      </c>
      <c r="AL216" t="str">
        <f ca="1">IFERROR(__xludf.DUMMYFUNCTION("""COMPUTED_VALUE"""),"C2348")</f>
        <v>C2348</v>
      </c>
      <c r="AM216" t="str">
        <f ca="1">IFERROR(__xludf.DUMMYFUNCTION("""COMPUTED_VALUE"""),"wife")</f>
        <v>wife</v>
      </c>
      <c r="AN216" t="str">
        <f ca="1">IFERROR(__xludf.DUMMYFUNCTION("""COMPUTED_VALUE"""),"P0361")</f>
        <v>P0361</v>
      </c>
      <c r="AO216" t="str">
        <f ca="1">IFERROR(__xludf.DUMMYFUNCTION("""COMPUTED_VALUE"""),"uxor Iohannis de Facio Ferrandi")</f>
        <v>uxor Iohannis de Facio Ferrandi</v>
      </c>
      <c r="AP216" t="str">
        <f ca="1">IFERROR(__xludf.DUMMYFUNCTION("""COMPUTED_VALUE"""),"C2347")</f>
        <v>C2347</v>
      </c>
      <c r="AQ216" t="str">
        <f ca="1">IFERROR(__xludf.DUMMYFUNCTION("""COMPUTED_VALUE"""),"sister")</f>
        <v>sister</v>
      </c>
      <c r="AR216" t="str">
        <f ca="1">IFERROR(__xludf.DUMMYFUNCTION("""COMPUTED_VALUE"""),"P0362")</f>
        <v>P0362</v>
      </c>
      <c r="AS216" t="str">
        <f ca="1">IFERROR(__xludf.DUMMYFUNCTION("""COMPUTED_VALUE"""),"soror Iohannis de Facio Ferrandi")</f>
        <v>soror Iohannis de Facio Ferrandi</v>
      </c>
      <c r="AT216" t="str">
        <f ca="1">IFERROR(__xludf.DUMMYFUNCTION("""COMPUTED_VALUE"""),"C2347")</f>
        <v>C2347</v>
      </c>
      <c r="AU216" t="str">
        <f ca="1">IFERROR(__xludf.DUMMYFUNCTION("""COMPUTED_VALUE"""),"sister")</f>
        <v>sister</v>
      </c>
      <c r="AV216" t="str">
        <f ca="1">IFERROR(__xludf.DUMMYFUNCTION("""COMPUTED_VALUE"""),"P0363")</f>
        <v>P0363</v>
      </c>
      <c r="AW216" t="str">
        <f ca="1">IFERROR(__xludf.DUMMYFUNCTION("""COMPUTED_VALUE"""),"soror Iohannis de Facio Ferrandi")</f>
        <v>soror Iohannis de Facio Ferrandi</v>
      </c>
      <c r="AX216" t="str">
        <f ca="1">IFERROR(__xludf.DUMMYFUNCTION("""COMPUTED_VALUE"""),"C2347")</f>
        <v>C2347</v>
      </c>
      <c r="AY216" t="str">
        <f ca="1">IFERROR(__xludf.DUMMYFUNCTION("""COMPUTED_VALUE"""),"sister")</f>
        <v>sister</v>
      </c>
      <c r="AZ216" t="str">
        <f ca="1">IFERROR(__xludf.DUMMYFUNCTION("""COMPUTED_VALUE"""),"P0387")</f>
        <v>P0387</v>
      </c>
      <c r="BA216" t="str">
        <f ca="1">IFERROR(__xludf.DUMMYFUNCTION("""COMPUTED_VALUE"""),"Villelmina, soror Iohannis de Facio Ferrandi")</f>
        <v>Villelmina, soror Iohannis de Facio Ferrandi</v>
      </c>
      <c r="BB216" t="str">
        <f ca="1">IFERROR(__xludf.DUMMYFUNCTION("""COMPUTED_VALUE"""),"C0718")</f>
        <v>C0718</v>
      </c>
      <c r="BC216" t="str">
        <f ca="1">IFERROR(__xludf.DUMMYFUNCTION("""COMPUTED_VALUE"""),"familia")</f>
        <v>familia</v>
      </c>
      <c r="BD216" t="str">
        <f ca="1">IFERROR(__xludf.DUMMYFUNCTION("""COMPUTED_VALUE"""),"G0026")</f>
        <v>G0026</v>
      </c>
      <c r="BE216" t="str">
        <f ca="1">IFERROR(__xludf.DUMMYFUNCTION("""COMPUTED_VALUE"""),"familia Iohannis de Facio Ferrandi")</f>
        <v>familia Iohannis de Facio Ferrandi</v>
      </c>
      <c r="BF216" t="str">
        <f ca="1">IFERROR(__xludf.DUMMYFUNCTION("""COMPUTED_VALUE"""),"C3041")</f>
        <v>C3041</v>
      </c>
      <c r="BG216" t="str">
        <f ca="1">IFERROR(__xludf.DUMMYFUNCTION("""COMPUTED_VALUE"""),"household")</f>
        <v>household</v>
      </c>
      <c r="BH216" t="str">
        <f ca="1">IFERROR(__xludf.DUMMYFUNCTION("""COMPUTED_VALUE"""),"G0042")</f>
        <v>G0042</v>
      </c>
      <c r="BI216" t="str">
        <f ca="1">IFERROR(__xludf.DUMMYFUNCTION("""COMPUTED_VALUE"""),"hospitium Iohannis de Facio Ferrandi")</f>
        <v>hospitium Iohannis de Facio Ferrandi</v>
      </c>
      <c r="BJ216" t="str">
        <f ca="1">IFERROR(__xludf.DUMMYFUNCTION("""COMPUTED_VALUE"""),"C3041")</f>
        <v>C3041</v>
      </c>
      <c r="BK216" t="str">
        <f ca="1">IFERROR(__xludf.DUMMYFUNCTION("""COMPUTED_VALUE"""),"household")</f>
        <v>household</v>
      </c>
      <c r="BL216" t="str">
        <f ca="1">IFERROR(__xludf.DUMMYFUNCTION("""COMPUTED_VALUE"""),"G0042")</f>
        <v>G0042</v>
      </c>
      <c r="BM216" t="str">
        <f ca="1">IFERROR(__xludf.DUMMYFUNCTION("""COMPUTED_VALUE"""),"hospitium Iohannis de Facio Ferrandi")</f>
        <v>hospitium Iohannis de Facio Ferrandi</v>
      </c>
      <c r="BN216" t="str">
        <f ca="1">IFERROR(__xludf.DUMMYFUNCTION("""COMPUTED_VALUE"""),"C0147")</f>
        <v>C0147</v>
      </c>
      <c r="BO216" t="str">
        <f ca="1">IFERROR(__xludf.DUMMYFUNCTION("""COMPUTED_VALUE"""),"warrantor")</f>
        <v>warrantor</v>
      </c>
      <c r="BP216" t="str">
        <f ca="1">IFERROR(__xludf.DUMMYFUNCTION("""COMPUTED_VALUE"""),"P0041")</f>
        <v>P0041</v>
      </c>
      <c r="BQ216" t="str">
        <f ca="1">IFERROR(__xludf.DUMMYFUNCTION("""COMPUTED_VALUE"""),"Bernardus de Rosseto")</f>
        <v>Bernardus de Rosseto</v>
      </c>
      <c r="BR216" t="str">
        <f ca="1">IFERROR(__xludf.DUMMYFUNCTION("""COMPUTED_VALUE"""),"C0147")</f>
        <v>C0147</v>
      </c>
      <c r="BS216" t="str">
        <f ca="1">IFERROR(__xludf.DUMMYFUNCTION("""COMPUTED_VALUE"""),"warrantor")</f>
        <v>warrantor</v>
      </c>
      <c r="BT216" t="str">
        <f ca="1">IFERROR(__xludf.DUMMYFUNCTION("""COMPUTED_VALUE"""),"P0239")</f>
        <v>P0239</v>
      </c>
      <c r="BU216" t="str">
        <f ca="1">IFERROR(__xludf.DUMMYFUNCTION("""COMPUTED_VALUE"""),"Iohannes Garola")</f>
        <v>Iohannes Garola</v>
      </c>
      <c r="BV216" t="str">
        <f ca="1">IFERROR(__xludf.DUMMYFUNCTION("""COMPUTED_VALUE"""),"C0147")</f>
        <v>C0147</v>
      </c>
      <c r="BW216" t="str">
        <f ca="1">IFERROR(__xludf.DUMMYFUNCTION("""COMPUTED_VALUE"""),"warrantor")</f>
        <v>warrantor</v>
      </c>
      <c r="BX216" t="str">
        <f ca="1">IFERROR(__xludf.DUMMYFUNCTION("""COMPUTED_VALUE"""),"P0240")</f>
        <v>P0240</v>
      </c>
      <c r="BY216" t="str">
        <f ca="1">IFERROR(__xludf.DUMMYFUNCTION("""COMPUTED_VALUE"""),"Hugo Camos")</f>
        <v>Hugo Camos</v>
      </c>
      <c r="BZ216" t="str">
        <f ca="1">IFERROR(__xludf.DUMMYFUNCTION("""COMPUTED_VALUE"""),"C0147")</f>
        <v>C0147</v>
      </c>
      <c r="CA216" t="str">
        <f ca="1">IFERROR(__xludf.DUMMYFUNCTION("""COMPUTED_VALUE"""),"warrantor")</f>
        <v>warrantor</v>
      </c>
      <c r="CB216" t="str">
        <f ca="1">IFERROR(__xludf.DUMMYFUNCTION("""COMPUTED_VALUE"""),"P0241")</f>
        <v>P0241</v>
      </c>
      <c r="CC216" t="str">
        <f ca="1">IFERROR(__xludf.DUMMYFUNCTION("""COMPUTED_VALUE"""),"Petrus de Mondino")</f>
        <v>Petrus de Mondino</v>
      </c>
      <c r="CD216" t="str">
        <f ca="1">IFERROR(__xludf.DUMMYFUNCTION("""COMPUTED_VALUE"""),"C3598")</f>
        <v>C3598</v>
      </c>
      <c r="CE216" t="str">
        <f ca="1">IFERROR(__xludf.DUMMYFUNCTION("""COMPUTED_VALUE"""),"location of congregation")</f>
        <v>location of congregation</v>
      </c>
      <c r="CF216" t="str">
        <f ca="1">IFERROR(__xludf.DUMMYFUNCTION("""COMPUTED_VALUE"""),"L0068#L0089#L0069#L0106#L0114#L0129#L0130")</f>
        <v>L0068#L0089#L0069#L0106#L0114#L0129#L0130</v>
      </c>
      <c r="CG216" t="str">
        <f ca="1">IFERROR(__xludf.DUMMYFUNCTION("""COMPUTED_VALUE"""),"domus Vieti de Mondino #domus Iohannis de Facio Ferrandi #domus Iohannis Martini #domus Petri de Boysono #domus Henrieti de Mondino #domus Marchete de Mondino #domus Iacobete de Mondino")</f>
        <v>domus Vieti de Mondino #domus Iohannis de Facio Ferrandi #domus Iohannis Martini #domus Petri de Boysono #domus Henrieti de Mondino #domus Marchete de Mondino #domus Iacobete de Mondino</v>
      </c>
      <c r="CH216" t="str">
        <f ca="1">IFERROR(__xludf.DUMMYFUNCTION("""COMPUTED_VALUE"""),"P0041#P0239#P0240#P0241")</f>
        <v>P0041#P0239#P0240#P0241</v>
      </c>
      <c r="CI216" t="str">
        <f ca="1">IFERROR(__xludf.DUMMYFUNCTION("""COMPUTED_VALUE"""),"Bernardus de Rosseto #Iohannes Garola #Hugo Camos #Petrus de Mondino")</f>
        <v>Bernardus de Rosseto #Iohannes Garola #Hugo Camos #Petrus de Mondino</v>
      </c>
      <c r="CJ216" t="str">
        <f ca="1">IFERROR(__xludf.DUMMYFUNCTION("""COMPUTED_VALUE"""),"P0053")</f>
        <v>P0053</v>
      </c>
      <c r="CK216" t="str">
        <f ca="1">IFERROR(__xludf.DUMMYFUNCTION("""COMPUTED_VALUE"""),"Iohannes Gauterii")</f>
        <v>Iohannes Gauterii</v>
      </c>
      <c r="CS216" t="str">
        <f ca="1">IFERROR(__xludf.DUMMYFUNCTION("""COMPUTED_VALUE"""),"#VALUE!")</f>
        <v>#VALUE!</v>
      </c>
      <c r="CU216" t="str">
        <f ca="1">IFERROR(__xludf.DUMMYFUNCTION("""COMPUTED_VALUE"""),"#VALUE!")</f>
        <v>#VALUE!</v>
      </c>
      <c r="CW216" t="str">
        <f ca="1">IFERROR(__xludf.DUMMYFUNCTION("""COMPUTED_VALUE"""),"#VALUE!")</f>
        <v>#VALUE!</v>
      </c>
      <c r="CY216" t="str">
        <f ca="1">IFERROR(__xludf.DUMMYFUNCTION("""COMPUTED_VALUE"""),"#VALUE!")</f>
        <v>#VALUE!</v>
      </c>
      <c r="DC216" t="str">
        <f ca="1">IFERROR(__xludf.DUMMYFUNCTION("""COMPUTED_VALUE"""),"#VALUE!")</f>
        <v>#VALUE!</v>
      </c>
      <c r="DE216" t="str">
        <f ca="1">IFERROR(__xludf.DUMMYFUNCTION("""COMPUTED_VALUE"""),"#VALUE!")</f>
        <v>#VALUE!</v>
      </c>
      <c r="DF216" t="str">
        <f ca="1">IFERROR(__xludf.DUMMYFUNCTION("""COMPUTED_VALUE"""),"y")</f>
        <v>y</v>
      </c>
      <c r="DG216" t="str">
        <f ca="1">IFERROR(__xludf.DUMMYFUNCTION("""COMPUTED_VALUE"""),"181, 208-209")</f>
        <v>181, 208-209</v>
      </c>
      <c r="DH216" t="str">
        <f ca="1">IFERROR(__xludf.DUMMYFUNCTION("""COMPUTED_VALUE"""),"L0068#L0089#L0069#L0106#L0114#L0129#L0130")</f>
        <v>L0068#L0089#L0069#L0106#L0114#L0129#L0130</v>
      </c>
      <c r="DI216" t="str">
        <f ca="1">IFERROR(__xludf.DUMMYFUNCTION("""COMPUTED_VALUE"""),"domus Vieti de Mondino #domus Iohannis de Facio Ferrandi #domus Iohannis Martini #domus Petri de Boysono #domus Henrieti de Mondino #domus Marchete de Mondino #domus Iacobete de Mondino")</f>
        <v>domus Vieti de Mondino #domus Iohannis de Facio Ferrandi #domus Iohannis Martini #domus Petri de Boysono #domus Henrieti de Mondino #domus Marchete de Mondino #domus Iacobete de Mondino</v>
      </c>
      <c r="DJ216" t="str">
        <f ca="1">IFERROR(__xludf.DUMMYFUNCTION("""COMPUTED_VALUE"""),"domus #domus #domus #domus #domus #domus #domus")</f>
        <v>domus #domus #domus #domus #domus #domus #domus</v>
      </c>
      <c r="DL216" t="str">
        <f ca="1">IFERROR(__xludf.DUMMYFUNCTION("""COMPUTED_VALUE"""),"Davor Salihović")</f>
        <v>Davor Salihović</v>
      </c>
    </row>
    <row r="217" spans="1:116" ht="13.2" x14ac:dyDescent="0.25">
      <c r="A217" t="str">
        <f ca="1">IFERROR(__xludf.DUMMYFUNCTION("""COMPUTED_VALUE"""),"P0222")</f>
        <v>P0222</v>
      </c>
      <c r="B217" t="str">
        <f ca="1">IFERROR(__xludf.DUMMYFUNCTION("""COMPUTED_VALUE"""),"Thomas, filius Iohannis Iordani")</f>
        <v>Thomas, filius Iohannis Iordani</v>
      </c>
      <c r="D217" t="str">
        <f ca="1">IFERROR(__xludf.DUMMYFUNCTION("""COMPUTED_VALUE"""),"#VALUE!")</f>
        <v>#VALUE!</v>
      </c>
      <c r="E217" t="str">
        <f ca="1">IFERROR(__xludf.DUMMYFUNCTION("""COMPUTED_VALUE"""),"Thomas")</f>
        <v>Thomas</v>
      </c>
      <c r="M217" t="str">
        <f ca="1">IFERROR(__xludf.DUMMYFUNCTION("""COMPUTED_VALUE"""),"de")</f>
        <v>de</v>
      </c>
      <c r="N217" t="str">
        <f ca="1">IFERROR(__xludf.DUMMYFUNCTION("""COMPUTED_VALUE"""),"Iohanne Iordani")</f>
        <v>Iohanne Iordani</v>
      </c>
      <c r="O217" t="str">
        <f ca="1">IFERROR(__xludf.DUMMYFUNCTION("""COMPUTED_VALUE"""),"de Iohanne Iordani")</f>
        <v>de Iohanne Iordani</v>
      </c>
      <c r="Q217" t="str">
        <f ca="1">IFERROR(__xludf.DUMMYFUNCTION("""COMPUTED_VALUE"""),"filius Iohannis Iordani")</f>
        <v>filius Iohannis Iordani</v>
      </c>
      <c r="S217" t="str">
        <f ca="1">IFERROR(__xludf.DUMMYFUNCTION("""COMPUTED_VALUE"""),"Latin")</f>
        <v>Latin</v>
      </c>
      <c r="T217" t="str">
        <f ca="1">IFERROR(__xludf.DUMMYFUNCTION("""COMPUTED_VALUE"""),"definite")</f>
        <v>definite</v>
      </c>
      <c r="U217" t="str">
        <f ca="1">IFERROR(__xludf.DUMMYFUNCTION("""COMPUTED_VALUE"""),"C2553")</f>
        <v>C2553</v>
      </c>
      <c r="V217" t="str">
        <f ca="1">IFERROR(__xludf.DUMMYFUNCTION("""COMPUTED_VALUE"""),"male")</f>
        <v>male</v>
      </c>
      <c r="Z217" t="str">
        <f ca="1">IFERROR(__xludf.DUMMYFUNCTION("""COMPUTED_VALUE"""),"177, 179, 183, 190, 207, 208, 209, 210, 212, 244")</f>
        <v>177, 179, 183, 190, 207, 208, 209, 210, 212, 244</v>
      </c>
      <c r="AA217" t="str">
        <f ca="1">IFERROR(__xludf.DUMMYFUNCTION("""COMPUTED_VALUE"""),"d")</f>
        <v>d</v>
      </c>
      <c r="AB217" t="str">
        <f ca="1">IFERROR(__xludf.DUMMYFUNCTION("""COMPUTED_VALUE"""),"suspect")</f>
        <v>suspect</v>
      </c>
      <c r="AD217" t="str">
        <f ca="1">IFERROR(__xludf.DUMMYFUNCTION("""COMPUTED_VALUE"""),"C3287")</f>
        <v>C3287</v>
      </c>
      <c r="AE217" t="str">
        <f ca="1">IFERROR(__xludf.DUMMYFUNCTION("""COMPUTED_VALUE"""),"alive")</f>
        <v>alive</v>
      </c>
      <c r="AF217" t="str">
        <f ca="1">IFERROR(__xludf.DUMMYFUNCTION("""COMPUTED_VALUE"""),"C1753")</f>
        <v>C1753</v>
      </c>
      <c r="AG217" t="str">
        <f ca="1">IFERROR(__xludf.DUMMYFUNCTION("""COMPUTED_VALUE"""),"1335-01-20")</f>
        <v>1335-01-20</v>
      </c>
      <c r="AH217" t="str">
        <f ca="1">IFERROR(__xludf.DUMMYFUNCTION("""COMPUTED_VALUE"""),"C2337")</f>
        <v>C2337</v>
      </c>
      <c r="AI217" t="str">
        <f ca="1">IFERROR(__xludf.DUMMYFUNCTION("""COMPUTED_VALUE"""),"brother")</f>
        <v>brother</v>
      </c>
      <c r="AJ217" t="str">
        <f ca="1">IFERROR(__xludf.DUMMYFUNCTION("""COMPUTED_VALUE"""),"P0282")</f>
        <v>P0282</v>
      </c>
      <c r="AK217" t="str">
        <f ca="1">IFERROR(__xludf.DUMMYFUNCTION("""COMPUTED_VALUE"""),"frater Thome de Iohanne Iordani")</f>
        <v>frater Thome de Iohanne Iordani</v>
      </c>
      <c r="AL217" t="str">
        <f ca="1">IFERROR(__xludf.DUMMYFUNCTION("""COMPUTED_VALUE"""),"C0718")</f>
        <v>C0718</v>
      </c>
      <c r="AM217" t="str">
        <f ca="1">IFERROR(__xludf.DUMMYFUNCTION("""COMPUTED_VALUE"""),"familia")</f>
        <v>familia</v>
      </c>
      <c r="AN217" t="str">
        <f ca="1">IFERROR(__xludf.DUMMYFUNCTION("""COMPUTED_VALUE"""),"G0027")</f>
        <v>G0027</v>
      </c>
      <c r="AO217" t="str">
        <f ca="1">IFERROR(__xludf.DUMMYFUNCTION("""COMPUTED_VALUE"""),"familia Thome de Iohanne Iordani")</f>
        <v>familia Thome de Iohanne Iordani</v>
      </c>
      <c r="AP217" t="str">
        <f ca="1">IFERROR(__xludf.DUMMYFUNCTION("""COMPUTED_VALUE"""),"C0147")</f>
        <v>C0147</v>
      </c>
      <c r="AQ217" t="str">
        <f ca="1">IFERROR(__xludf.DUMMYFUNCTION("""COMPUTED_VALUE"""),"warrantor")</f>
        <v>warrantor</v>
      </c>
      <c r="AR217" t="str">
        <f ca="1">IFERROR(__xludf.DUMMYFUNCTION("""COMPUTED_VALUE"""),"P0111")</f>
        <v>P0111</v>
      </c>
      <c r="AS217" t="str">
        <f ca="1">IFERROR(__xludf.DUMMYFUNCTION("""COMPUTED_VALUE"""),"Domenicus Mulinerii")</f>
        <v>Domenicus Mulinerii</v>
      </c>
      <c r="AU217" t="str">
        <f ca="1">IFERROR(__xludf.DUMMYFUNCTION("""COMPUTED_VALUE"""),"#VALUE!")</f>
        <v>#VALUE!</v>
      </c>
      <c r="AW217" t="str">
        <f ca="1">IFERROR(__xludf.DUMMYFUNCTION("""COMPUTED_VALUE"""),"#VALUE!")</f>
        <v>#VALUE!</v>
      </c>
      <c r="AY217" t="str">
        <f ca="1">IFERROR(__xludf.DUMMYFUNCTION("""COMPUTED_VALUE"""),"#VALUE!")</f>
        <v>#VALUE!</v>
      </c>
      <c r="BA217" t="str">
        <f ca="1">IFERROR(__xludf.DUMMYFUNCTION("""COMPUTED_VALUE"""),"#VALUE!")</f>
        <v>#VALUE!</v>
      </c>
      <c r="BC217" t="str">
        <f ca="1">IFERROR(__xludf.DUMMYFUNCTION("""COMPUTED_VALUE"""),"#VALUE!")</f>
        <v>#VALUE!</v>
      </c>
      <c r="BE217" t="str">
        <f ca="1">IFERROR(__xludf.DUMMYFUNCTION("""COMPUTED_VALUE"""),"#VALUE!")</f>
        <v>#VALUE!</v>
      </c>
      <c r="BG217" t="str">
        <f ca="1">IFERROR(__xludf.DUMMYFUNCTION("""COMPUTED_VALUE"""),"#VALUE!")</f>
        <v>#VALUE!</v>
      </c>
      <c r="BI217" t="str">
        <f ca="1">IFERROR(__xludf.DUMMYFUNCTION("""COMPUTED_VALUE"""),"#VALUE!")</f>
        <v>#VALUE!</v>
      </c>
      <c r="BK217" t="str">
        <f ca="1">IFERROR(__xludf.DUMMYFUNCTION("""COMPUTED_VALUE"""),"#VALUE!")</f>
        <v>#VALUE!</v>
      </c>
      <c r="BM217" t="str">
        <f ca="1">IFERROR(__xludf.DUMMYFUNCTION("""COMPUTED_VALUE"""),"#VALUE!")</f>
        <v>#VALUE!</v>
      </c>
      <c r="BO217" t="str">
        <f ca="1">IFERROR(__xludf.DUMMYFUNCTION("""COMPUTED_VALUE"""),"#VALUE!")</f>
        <v>#VALUE!</v>
      </c>
      <c r="BQ217" t="str">
        <f ca="1">IFERROR(__xludf.DUMMYFUNCTION("""COMPUTED_VALUE"""),"#VALUE!")</f>
        <v>#VALUE!</v>
      </c>
      <c r="BS217" t="str">
        <f ca="1">IFERROR(__xludf.DUMMYFUNCTION("""COMPUTED_VALUE"""),"#VALUE!")</f>
        <v>#VALUE!</v>
      </c>
      <c r="BU217" t="str">
        <f ca="1">IFERROR(__xludf.DUMMYFUNCTION("""COMPUTED_VALUE"""),"#VALUE!")</f>
        <v>#VALUE!</v>
      </c>
      <c r="BW217" t="str">
        <f ca="1">IFERROR(__xludf.DUMMYFUNCTION("""COMPUTED_VALUE"""),"#VALUE!")</f>
        <v>#VALUE!</v>
      </c>
      <c r="BY217" t="str">
        <f ca="1">IFERROR(__xludf.DUMMYFUNCTION("""COMPUTED_VALUE"""),"#VALUE!")</f>
        <v>#VALUE!</v>
      </c>
      <c r="CA217" t="str">
        <f ca="1">IFERROR(__xludf.DUMMYFUNCTION("""COMPUTED_VALUE"""),"#VALUE!")</f>
        <v>#VALUE!</v>
      </c>
      <c r="CC217" t="str">
        <f ca="1">IFERROR(__xludf.DUMMYFUNCTION("""COMPUTED_VALUE"""),"#VALUE!")</f>
        <v>#VALUE!</v>
      </c>
      <c r="CD217" t="str">
        <f ca="1">IFERROR(__xludf.DUMMYFUNCTION("""COMPUTED_VALUE"""),"C3598")</f>
        <v>C3598</v>
      </c>
      <c r="CE217" t="str">
        <f ca="1">IFERROR(__xludf.DUMMYFUNCTION("""COMPUTED_VALUE"""),"location of congregation")</f>
        <v>location of congregation</v>
      </c>
      <c r="CF217" t="str">
        <f ca="1">IFERROR(__xludf.DUMMYFUNCTION("""COMPUTED_VALUE"""),"L0069#L0090#L0108#L0089#L0068#L0111#L0112#L0114")</f>
        <v>L0069#L0090#L0108#L0089#L0068#L0111#L0112#L0114</v>
      </c>
      <c r="CG217" t="str">
        <f ca="1">IFERROR(__xludf.DUMMYFUNCTION("""COMPUTED_VALUE"""),"domus Iohannis Martini #domus Thome de Iohanne Iordani #domus Petri de Oddo #domus Iohannis de Facio Ferrandi #domus Vieti de Mondino #domus Villelmi de Oddo in Villa #tectum Thome de Iohanne Iordani #domus Henrieti de Mondino")</f>
        <v>domus Iohannis Martini #domus Thome de Iohanne Iordani #domus Petri de Oddo #domus Iohannis de Facio Ferrandi #domus Vieti de Mondino #domus Villelmi de Oddo in Villa #tectum Thome de Iohanne Iordani #domus Henrieti de Mondino</v>
      </c>
      <c r="CH217" t="str">
        <f ca="1">IFERROR(__xludf.DUMMYFUNCTION("""COMPUTED_VALUE"""),"P0111")</f>
        <v>P0111</v>
      </c>
      <c r="CI217" t="str">
        <f ca="1">IFERROR(__xludf.DUMMYFUNCTION("""COMPUTED_VALUE"""),"Domenicus Mulinerii")</f>
        <v>Domenicus Mulinerii</v>
      </c>
      <c r="CJ217" t="str">
        <f ca="1">IFERROR(__xludf.DUMMYFUNCTION("""COMPUTED_VALUE"""),"P0105")</f>
        <v>P0105</v>
      </c>
      <c r="CK217" t="str">
        <f ca="1">IFERROR(__xludf.DUMMYFUNCTION("""COMPUTED_VALUE"""),"Villelminus de Oddo")</f>
        <v>Villelminus de Oddo</v>
      </c>
      <c r="CS217" t="str">
        <f ca="1">IFERROR(__xludf.DUMMYFUNCTION("""COMPUTED_VALUE"""),"#VALUE!")</f>
        <v>#VALUE!</v>
      </c>
      <c r="CU217" t="str">
        <f ca="1">IFERROR(__xludf.DUMMYFUNCTION("""COMPUTED_VALUE"""),"#VALUE!")</f>
        <v>#VALUE!</v>
      </c>
      <c r="CW217" t="str">
        <f ca="1">IFERROR(__xludf.DUMMYFUNCTION("""COMPUTED_VALUE"""),"#VALUE!")</f>
        <v>#VALUE!</v>
      </c>
      <c r="CY217" t="str">
        <f ca="1">IFERROR(__xludf.DUMMYFUNCTION("""COMPUTED_VALUE"""),"#VALUE!")</f>
        <v>#VALUE!</v>
      </c>
      <c r="DC217" t="str">
        <f ca="1">IFERROR(__xludf.DUMMYFUNCTION("""COMPUTED_VALUE"""),"#VALUE!")</f>
        <v>#VALUE!</v>
      </c>
      <c r="DE217" t="str">
        <f ca="1">IFERROR(__xludf.DUMMYFUNCTION("""COMPUTED_VALUE"""),"#VALUE!")</f>
        <v>#VALUE!</v>
      </c>
      <c r="DF217" t="str">
        <f ca="1">IFERROR(__xludf.DUMMYFUNCTION("""COMPUTED_VALUE"""),"y")</f>
        <v>y</v>
      </c>
      <c r="DG217" t="str">
        <f ca="1">IFERROR(__xludf.DUMMYFUNCTION("""COMPUTED_VALUE"""),"183, 209-210")</f>
        <v>183, 209-210</v>
      </c>
      <c r="DH217" t="str">
        <f ca="1">IFERROR(__xludf.DUMMYFUNCTION("""COMPUTED_VALUE"""),"L0069#L0090#L0108#L0089#L0068#L0111#L0112#L0114")</f>
        <v>L0069#L0090#L0108#L0089#L0068#L0111#L0112#L0114</v>
      </c>
      <c r="DI217" t="str">
        <f ca="1">IFERROR(__xludf.DUMMYFUNCTION("""COMPUTED_VALUE"""),"domus Iohannis Martini #domus Thome de Iohanne Iordani #domus Petri de Oddo #domus Iohannis de Facio Ferrandi #domus Vieti de Mondino #domus Villelmi de Oddo in Villa #tectum Thome de Iohanne Iordani #domus Henrieti de Mondino")</f>
        <v>domus Iohannis Martini #domus Thome de Iohanne Iordani #domus Petri de Oddo #domus Iohannis de Facio Ferrandi #domus Vieti de Mondino #domus Villelmi de Oddo in Villa #tectum Thome de Iohanne Iordani #domus Henrieti de Mondino</v>
      </c>
      <c r="DJ217" t="str">
        <f ca="1">IFERROR(__xludf.DUMMYFUNCTION("""COMPUTED_VALUE"""),"domus #domus #domus #domus #domus #domus #building #domus")</f>
        <v>domus #domus #domus #domus #domus #domus #building #domus</v>
      </c>
      <c r="DL217" t="str">
        <f ca="1">IFERROR(__xludf.DUMMYFUNCTION("""COMPUTED_VALUE"""),"Davor Salihović")</f>
        <v>Davor Salihović</v>
      </c>
    </row>
    <row r="218" spans="1:116" ht="13.2" x14ac:dyDescent="0.25">
      <c r="A218" t="str">
        <f ca="1">IFERROR(__xludf.DUMMYFUNCTION("""COMPUTED_VALUE"""),"P0223")</f>
        <v>P0223</v>
      </c>
      <c r="B218" t="str">
        <f ca="1">IFERROR(__xludf.DUMMYFUNCTION("""COMPUTED_VALUE"""),"Iohannes Iordani")</f>
        <v>Iohannes Iordani</v>
      </c>
      <c r="D218" t="str">
        <f ca="1">IFERROR(__xludf.DUMMYFUNCTION("""COMPUTED_VALUE"""),"#VALUE!")</f>
        <v>#VALUE!</v>
      </c>
      <c r="E218" t="str">
        <f ca="1">IFERROR(__xludf.DUMMYFUNCTION("""COMPUTED_VALUE"""),"Iohannes ")</f>
        <v xml:space="preserve">Iohannes </v>
      </c>
      <c r="K218" t="str">
        <f ca="1">IFERROR(__xludf.DUMMYFUNCTION("""COMPUTED_VALUE"""),"Iordani")</f>
        <v>Iordani</v>
      </c>
      <c r="L218" t="str">
        <f ca="1">IFERROR(__xludf.DUMMYFUNCTION("""COMPUTED_VALUE"""),"Iordani")</f>
        <v>Iordani</v>
      </c>
      <c r="S218" t="str">
        <f ca="1">IFERROR(__xludf.DUMMYFUNCTION("""COMPUTED_VALUE"""),"Latin")</f>
        <v>Latin</v>
      </c>
      <c r="T218" t="str">
        <f ca="1">IFERROR(__xludf.DUMMYFUNCTION("""COMPUTED_VALUE"""),"definite")</f>
        <v>definite</v>
      </c>
      <c r="U218" t="str">
        <f ca="1">IFERROR(__xludf.DUMMYFUNCTION("""COMPUTED_VALUE"""),"C2553")</f>
        <v>C2553</v>
      </c>
      <c r="V218" t="str">
        <f ca="1">IFERROR(__xludf.DUMMYFUNCTION("""COMPUTED_VALUE"""),"male")</f>
        <v>male</v>
      </c>
      <c r="Z218" t="str">
        <f ca="1">IFERROR(__xludf.DUMMYFUNCTION("""COMPUTED_VALUE"""),"177, 190")</f>
        <v>177, 190</v>
      </c>
      <c r="AA218" t="str">
        <f ca="1">IFERROR(__xludf.DUMMYFUNCTION("""COMPUTED_VALUE"""),"d")</f>
        <v>d</v>
      </c>
      <c r="AB218" t="str">
        <f ca="1">IFERROR(__xludf.DUMMYFUNCTION("""COMPUTED_VALUE"""),"NA")</f>
        <v>NA</v>
      </c>
      <c r="AE218" t="str">
        <f ca="1">IFERROR(__xludf.DUMMYFUNCTION("""COMPUTED_VALUE"""),"#VALUE!")</f>
        <v>#VALUE!</v>
      </c>
      <c r="AF218" t="str">
        <f ca="1">IFERROR(__xludf.DUMMYFUNCTION("""COMPUTED_VALUE"""),"#N/A")</f>
        <v>#N/A</v>
      </c>
      <c r="AG218" t="str">
        <f ca="1">IFERROR(__xludf.DUMMYFUNCTION("""COMPUTED_VALUE"""),"#N/A")</f>
        <v>#N/A</v>
      </c>
      <c r="AH218" t="str">
        <f ca="1">IFERROR(__xludf.DUMMYFUNCTION("""COMPUTED_VALUE"""),"C2336")</f>
        <v>C2336</v>
      </c>
      <c r="AI218" t="str">
        <f ca="1">IFERROR(__xludf.DUMMYFUNCTION("""COMPUTED_VALUE"""),"son")</f>
        <v>son</v>
      </c>
      <c r="AJ218" t="str">
        <f ca="1">IFERROR(__xludf.DUMMYFUNCTION("""COMPUTED_VALUE"""),"P0222")</f>
        <v>P0222</v>
      </c>
      <c r="AK218" t="str">
        <f ca="1">IFERROR(__xludf.DUMMYFUNCTION("""COMPUTED_VALUE"""),"Thomas, filius Iohannis Iordani")</f>
        <v>Thomas, filius Iohannis Iordani</v>
      </c>
      <c r="AM218" t="str">
        <f ca="1">IFERROR(__xludf.DUMMYFUNCTION("""COMPUTED_VALUE"""),"#VALUE!")</f>
        <v>#VALUE!</v>
      </c>
      <c r="AO218" t="str">
        <f ca="1">IFERROR(__xludf.DUMMYFUNCTION("""COMPUTED_VALUE"""),"#VALUE!")</f>
        <v>#VALUE!</v>
      </c>
      <c r="AQ218" t="str">
        <f ca="1">IFERROR(__xludf.DUMMYFUNCTION("""COMPUTED_VALUE"""),"#VALUE!")</f>
        <v>#VALUE!</v>
      </c>
      <c r="AS218" t="str">
        <f ca="1">IFERROR(__xludf.DUMMYFUNCTION("""COMPUTED_VALUE"""),"#VALUE!")</f>
        <v>#VALUE!</v>
      </c>
      <c r="AU218" t="str">
        <f ca="1">IFERROR(__xludf.DUMMYFUNCTION("""COMPUTED_VALUE"""),"#VALUE!")</f>
        <v>#VALUE!</v>
      </c>
      <c r="AW218" t="str">
        <f ca="1">IFERROR(__xludf.DUMMYFUNCTION("""COMPUTED_VALUE"""),"#VALUE!")</f>
        <v>#VALUE!</v>
      </c>
      <c r="AY218" t="str">
        <f ca="1">IFERROR(__xludf.DUMMYFUNCTION("""COMPUTED_VALUE"""),"#VALUE!")</f>
        <v>#VALUE!</v>
      </c>
      <c r="BA218" t="str">
        <f ca="1">IFERROR(__xludf.DUMMYFUNCTION("""COMPUTED_VALUE"""),"#VALUE!")</f>
        <v>#VALUE!</v>
      </c>
      <c r="BC218" t="str">
        <f ca="1">IFERROR(__xludf.DUMMYFUNCTION("""COMPUTED_VALUE"""),"#VALUE!")</f>
        <v>#VALUE!</v>
      </c>
      <c r="BE218" t="str">
        <f ca="1">IFERROR(__xludf.DUMMYFUNCTION("""COMPUTED_VALUE"""),"#VALUE!")</f>
        <v>#VALUE!</v>
      </c>
      <c r="BG218" t="str">
        <f ca="1">IFERROR(__xludf.DUMMYFUNCTION("""COMPUTED_VALUE"""),"#VALUE!")</f>
        <v>#VALUE!</v>
      </c>
      <c r="BI218" t="str">
        <f ca="1">IFERROR(__xludf.DUMMYFUNCTION("""COMPUTED_VALUE"""),"#VALUE!")</f>
        <v>#VALUE!</v>
      </c>
      <c r="BK218" t="str">
        <f ca="1">IFERROR(__xludf.DUMMYFUNCTION("""COMPUTED_VALUE"""),"#VALUE!")</f>
        <v>#VALUE!</v>
      </c>
      <c r="BM218" t="str">
        <f ca="1">IFERROR(__xludf.DUMMYFUNCTION("""COMPUTED_VALUE"""),"#VALUE!")</f>
        <v>#VALUE!</v>
      </c>
      <c r="BO218" t="str">
        <f ca="1">IFERROR(__xludf.DUMMYFUNCTION("""COMPUTED_VALUE"""),"#VALUE!")</f>
        <v>#VALUE!</v>
      </c>
      <c r="BQ218" t="str">
        <f ca="1">IFERROR(__xludf.DUMMYFUNCTION("""COMPUTED_VALUE"""),"#VALUE!")</f>
        <v>#VALUE!</v>
      </c>
      <c r="BS218" t="str">
        <f ca="1">IFERROR(__xludf.DUMMYFUNCTION("""COMPUTED_VALUE"""),"#VALUE!")</f>
        <v>#VALUE!</v>
      </c>
      <c r="BU218" t="str">
        <f ca="1">IFERROR(__xludf.DUMMYFUNCTION("""COMPUTED_VALUE"""),"#VALUE!")</f>
        <v>#VALUE!</v>
      </c>
      <c r="BW218" t="str">
        <f ca="1">IFERROR(__xludf.DUMMYFUNCTION("""COMPUTED_VALUE"""),"#VALUE!")</f>
        <v>#VALUE!</v>
      </c>
      <c r="BY218" t="str">
        <f ca="1">IFERROR(__xludf.DUMMYFUNCTION("""COMPUTED_VALUE"""),"#VALUE!")</f>
        <v>#VALUE!</v>
      </c>
      <c r="CA218" t="str">
        <f ca="1">IFERROR(__xludf.DUMMYFUNCTION("""COMPUTED_VALUE"""),"#VALUE!")</f>
        <v>#VALUE!</v>
      </c>
      <c r="CC218" t="str">
        <f ca="1">IFERROR(__xludf.DUMMYFUNCTION("""COMPUTED_VALUE"""),"#VALUE!")</f>
        <v>#VALUE!</v>
      </c>
      <c r="CE218" t="str">
        <f ca="1">IFERROR(__xludf.DUMMYFUNCTION("""COMPUTED_VALUE"""),"#VALUE!")</f>
        <v>#VALUE!</v>
      </c>
      <c r="CG218" t="str">
        <f ca="1">IFERROR(__xludf.DUMMYFUNCTION("""COMPUTED_VALUE"""),"#VALUE!")</f>
        <v>#VALUE!</v>
      </c>
      <c r="CI218" t="str">
        <f ca="1">IFERROR(__xludf.DUMMYFUNCTION("""COMPUTED_VALUE"""),"#VALUE!")</f>
        <v>#VALUE!</v>
      </c>
      <c r="CK218" t="str">
        <f ca="1">IFERROR(__xludf.DUMMYFUNCTION("""COMPUTED_VALUE"""),"#VALUE!")</f>
        <v>#VALUE!</v>
      </c>
      <c r="CS218" t="str">
        <f ca="1">IFERROR(__xludf.DUMMYFUNCTION("""COMPUTED_VALUE"""),"#VALUE!")</f>
        <v>#VALUE!</v>
      </c>
      <c r="CU218" t="str">
        <f ca="1">IFERROR(__xludf.DUMMYFUNCTION("""COMPUTED_VALUE"""),"#VALUE!")</f>
        <v>#VALUE!</v>
      </c>
      <c r="CW218" t="str">
        <f ca="1">IFERROR(__xludf.DUMMYFUNCTION("""COMPUTED_VALUE"""),"#VALUE!")</f>
        <v>#VALUE!</v>
      </c>
      <c r="CY218" t="str">
        <f ca="1">IFERROR(__xludf.DUMMYFUNCTION("""COMPUTED_VALUE"""),"#VALUE!")</f>
        <v>#VALUE!</v>
      </c>
      <c r="DC218" t="str">
        <f ca="1">IFERROR(__xludf.DUMMYFUNCTION("""COMPUTED_VALUE"""),"#VALUE!")</f>
        <v>#VALUE!</v>
      </c>
      <c r="DE218" t="str">
        <f ca="1">IFERROR(__xludf.DUMMYFUNCTION("""COMPUTED_VALUE"""),"#VALUE!")</f>
        <v>#VALUE!</v>
      </c>
      <c r="DI218" t="str">
        <f ca="1">IFERROR(__xludf.DUMMYFUNCTION("""COMPUTED_VALUE"""),"#VALUE!")</f>
        <v>#VALUE!</v>
      </c>
      <c r="DJ218" t="str">
        <f ca="1">IFERROR(__xludf.DUMMYFUNCTION("""COMPUTED_VALUE"""),"#VALUE!")</f>
        <v>#VALUE!</v>
      </c>
      <c r="DL218" t="str">
        <f ca="1">IFERROR(__xludf.DUMMYFUNCTION("""COMPUTED_VALUE"""),"Davor Salihović")</f>
        <v>Davor Salihović</v>
      </c>
    </row>
    <row r="219" spans="1:116" ht="13.2" x14ac:dyDescent="0.25">
      <c r="A219" t="str">
        <f ca="1">IFERROR(__xludf.DUMMYFUNCTION("""COMPUTED_VALUE"""),"P0224")</f>
        <v>P0224</v>
      </c>
      <c r="B219" t="str">
        <f ca="1">IFERROR(__xludf.DUMMYFUNCTION("""COMPUTED_VALUE"""),"Iohannes Mulini")</f>
        <v>Iohannes Mulini</v>
      </c>
      <c r="D219" t="str">
        <f ca="1">IFERROR(__xludf.DUMMYFUNCTION("""COMPUTED_VALUE"""),"#VALUE!")</f>
        <v>#VALUE!</v>
      </c>
      <c r="E219" t="str">
        <f ca="1">IFERROR(__xludf.DUMMYFUNCTION("""COMPUTED_VALUE"""),"Iohannes")</f>
        <v>Iohannes</v>
      </c>
      <c r="K219" t="str">
        <f ca="1">IFERROR(__xludf.DUMMYFUNCTION("""COMPUTED_VALUE"""),"Mulini")</f>
        <v>Mulini</v>
      </c>
      <c r="L219" t="str">
        <f ca="1">IFERROR(__xludf.DUMMYFUNCTION("""COMPUTED_VALUE"""),"Mulini")</f>
        <v>Mulini</v>
      </c>
      <c r="S219" t="str">
        <f ca="1">IFERROR(__xludf.DUMMYFUNCTION("""COMPUTED_VALUE"""),"Latin")</f>
        <v>Latin</v>
      </c>
      <c r="T219" t="str">
        <f ca="1">IFERROR(__xludf.DUMMYFUNCTION("""COMPUTED_VALUE"""),"definite")</f>
        <v>definite</v>
      </c>
      <c r="U219" t="str">
        <f ca="1">IFERROR(__xludf.DUMMYFUNCTION("""COMPUTED_VALUE"""),"C2553")</f>
        <v>C2553</v>
      </c>
      <c r="V219" t="str">
        <f ca="1">IFERROR(__xludf.DUMMYFUNCTION("""COMPUTED_VALUE"""),"male")</f>
        <v>male</v>
      </c>
      <c r="Z219" t="str">
        <f ca="1">IFERROR(__xludf.DUMMYFUNCTION("""COMPUTED_VALUE"""),"178, 184, 186, 189, 190, 191, 192, 194, 202, 208, 211, 213, 221, 226, 227, 229, 237, 250")</f>
        <v>178, 184, 186, 189, 190, 191, 192, 194, 202, 208, 211, 213, 221, 226, 227, 229, 237, 250</v>
      </c>
      <c r="AA219" t="str">
        <f ca="1">IFERROR(__xludf.DUMMYFUNCTION("""COMPUTED_VALUE"""),"d")</f>
        <v>d</v>
      </c>
      <c r="AB219" t="str">
        <f ca="1">IFERROR(__xludf.DUMMYFUNCTION("""COMPUTED_VALUE"""),"suspect")</f>
        <v>suspect</v>
      </c>
      <c r="AD219" t="str">
        <f ca="1">IFERROR(__xludf.DUMMYFUNCTION("""COMPUTED_VALUE"""),"C3287")</f>
        <v>C3287</v>
      </c>
      <c r="AE219" t="str">
        <f ca="1">IFERROR(__xludf.DUMMYFUNCTION("""COMPUTED_VALUE"""),"alive")</f>
        <v>alive</v>
      </c>
      <c r="AF219" t="str">
        <f ca="1">IFERROR(__xludf.DUMMYFUNCTION("""COMPUTED_VALUE"""),"C1753")</f>
        <v>C1753</v>
      </c>
      <c r="AG219" t="str">
        <f ca="1">IFERROR(__xludf.DUMMYFUNCTION("""COMPUTED_VALUE"""),"1335-01-20")</f>
        <v>1335-01-20</v>
      </c>
      <c r="AH219" t="str">
        <f ca="1">IFERROR(__xludf.DUMMYFUNCTION("""COMPUTED_VALUE"""),"C2039")</f>
        <v>C2039</v>
      </c>
      <c r="AI219" t="str">
        <f ca="1">IFERROR(__xludf.DUMMYFUNCTION("""COMPUTED_VALUE"""),"kinperson")</f>
        <v>kinperson</v>
      </c>
      <c r="AJ219" t="str">
        <f ca="1">IFERROR(__xludf.DUMMYFUNCTION("""COMPUTED_VALUE"""),"P0226")</f>
        <v>P0226</v>
      </c>
      <c r="AK219" t="str">
        <f ca="1">IFERROR(__xludf.DUMMYFUNCTION("""COMPUTED_VALUE"""),"Facius de Papono")</f>
        <v>Facius de Papono</v>
      </c>
      <c r="AL219" t="str">
        <f ca="1">IFERROR(__xludf.DUMMYFUNCTION("""COMPUTED_VALUE"""),"C2348")</f>
        <v>C2348</v>
      </c>
      <c r="AM219" t="str">
        <f ca="1">IFERROR(__xludf.DUMMYFUNCTION("""COMPUTED_VALUE"""),"wife")</f>
        <v>wife</v>
      </c>
      <c r="AN219" t="str">
        <f ca="1">IFERROR(__xludf.DUMMYFUNCTION("""COMPUTED_VALUE"""),"P0225")</f>
        <v>P0225</v>
      </c>
      <c r="AO219" t="str">
        <f ca="1">IFERROR(__xludf.DUMMYFUNCTION("""COMPUTED_VALUE"""),"Addorna, uxor Iohannis Mulini")</f>
        <v>Addorna, uxor Iohannis Mulini</v>
      </c>
      <c r="AP219" t="str">
        <f ca="1">IFERROR(__xludf.DUMMYFUNCTION("""COMPUTED_VALUE"""),"C2337")</f>
        <v>C2337</v>
      </c>
      <c r="AQ219" t="str">
        <f ca="1">IFERROR(__xludf.DUMMYFUNCTION("""COMPUTED_VALUE"""),"brother")</f>
        <v>brother</v>
      </c>
      <c r="AR219" t="str">
        <f ca="1">IFERROR(__xludf.DUMMYFUNCTION("""COMPUTED_VALUE"""),"P0289")</f>
        <v>P0289</v>
      </c>
      <c r="AS219" t="str">
        <f ca="1">IFERROR(__xludf.DUMMYFUNCTION("""COMPUTED_VALUE"""),"Iohannes de Ancesio")</f>
        <v>Iohannes de Ancesio</v>
      </c>
      <c r="AT219" t="str">
        <f ca="1">IFERROR(__xludf.DUMMYFUNCTION("""COMPUTED_VALUE"""),"C0718")</f>
        <v>C0718</v>
      </c>
      <c r="AU219" t="str">
        <f ca="1">IFERROR(__xludf.DUMMYFUNCTION("""COMPUTED_VALUE"""),"familia")</f>
        <v>familia</v>
      </c>
      <c r="AV219" t="str">
        <f ca="1">IFERROR(__xludf.DUMMYFUNCTION("""COMPUTED_VALUE"""),"G0025")</f>
        <v>G0025</v>
      </c>
      <c r="AW219" t="str">
        <f ca="1">IFERROR(__xludf.DUMMYFUNCTION("""COMPUTED_VALUE"""),"familia Iohannis Mulini")</f>
        <v>familia Iohannis Mulini</v>
      </c>
      <c r="AX219" t="str">
        <f ca="1">IFERROR(__xludf.DUMMYFUNCTION("""COMPUTED_VALUE"""),"C0147")</f>
        <v>C0147</v>
      </c>
      <c r="AY219" t="str">
        <f ca="1">IFERROR(__xludf.DUMMYFUNCTION("""COMPUTED_VALUE"""),"warrantor")</f>
        <v>warrantor</v>
      </c>
      <c r="AZ219" t="str">
        <f ca="1">IFERROR(__xludf.DUMMYFUNCTION("""COMPUTED_VALUE"""),"P0289")</f>
        <v>P0289</v>
      </c>
      <c r="BA219" t="str">
        <f ca="1">IFERROR(__xludf.DUMMYFUNCTION("""COMPUTED_VALUE"""),"Iohannes de Ancesio")</f>
        <v>Iohannes de Ancesio</v>
      </c>
      <c r="BC219" t="str">
        <f ca="1">IFERROR(__xludf.DUMMYFUNCTION("""COMPUTED_VALUE"""),"#VALUE!")</f>
        <v>#VALUE!</v>
      </c>
      <c r="BE219" t="str">
        <f ca="1">IFERROR(__xludf.DUMMYFUNCTION("""COMPUTED_VALUE"""),"#VALUE!")</f>
        <v>#VALUE!</v>
      </c>
      <c r="BG219" t="str">
        <f ca="1">IFERROR(__xludf.DUMMYFUNCTION("""COMPUTED_VALUE"""),"#VALUE!")</f>
        <v>#VALUE!</v>
      </c>
      <c r="BI219" t="str">
        <f ca="1">IFERROR(__xludf.DUMMYFUNCTION("""COMPUTED_VALUE"""),"#VALUE!")</f>
        <v>#VALUE!</v>
      </c>
      <c r="BK219" t="str">
        <f ca="1">IFERROR(__xludf.DUMMYFUNCTION("""COMPUTED_VALUE"""),"#VALUE!")</f>
        <v>#VALUE!</v>
      </c>
      <c r="BM219" t="str">
        <f ca="1">IFERROR(__xludf.DUMMYFUNCTION("""COMPUTED_VALUE"""),"#VALUE!")</f>
        <v>#VALUE!</v>
      </c>
      <c r="BO219" t="str">
        <f ca="1">IFERROR(__xludf.DUMMYFUNCTION("""COMPUTED_VALUE"""),"#VALUE!")</f>
        <v>#VALUE!</v>
      </c>
      <c r="BQ219" t="str">
        <f ca="1">IFERROR(__xludf.DUMMYFUNCTION("""COMPUTED_VALUE"""),"#VALUE!")</f>
        <v>#VALUE!</v>
      </c>
      <c r="BS219" t="str">
        <f ca="1">IFERROR(__xludf.DUMMYFUNCTION("""COMPUTED_VALUE"""),"#VALUE!")</f>
        <v>#VALUE!</v>
      </c>
      <c r="BU219" t="str">
        <f ca="1">IFERROR(__xludf.DUMMYFUNCTION("""COMPUTED_VALUE"""),"#VALUE!")</f>
        <v>#VALUE!</v>
      </c>
      <c r="BW219" t="str">
        <f ca="1">IFERROR(__xludf.DUMMYFUNCTION("""COMPUTED_VALUE"""),"#VALUE!")</f>
        <v>#VALUE!</v>
      </c>
      <c r="BY219" t="str">
        <f ca="1">IFERROR(__xludf.DUMMYFUNCTION("""COMPUTED_VALUE"""),"#VALUE!")</f>
        <v>#VALUE!</v>
      </c>
      <c r="CA219" t="str">
        <f ca="1">IFERROR(__xludf.DUMMYFUNCTION("""COMPUTED_VALUE"""),"#VALUE!")</f>
        <v>#VALUE!</v>
      </c>
      <c r="CC219" t="str">
        <f ca="1">IFERROR(__xludf.DUMMYFUNCTION("""COMPUTED_VALUE"""),"#VALUE!")</f>
        <v>#VALUE!</v>
      </c>
      <c r="CD219" t="str">
        <f ca="1">IFERROR(__xludf.DUMMYFUNCTION("""COMPUTED_VALUE"""),"C3598")</f>
        <v>C3598</v>
      </c>
      <c r="CE219" t="str">
        <f ca="1">IFERROR(__xludf.DUMMYFUNCTION("""COMPUTED_VALUE"""),"location of congregation")</f>
        <v>location of congregation</v>
      </c>
      <c r="CF219" t="str">
        <f ca="1">IFERROR(__xludf.DUMMYFUNCTION("""COMPUTED_VALUE"""),"L0071#L0092#L0025#L0089#L0083#L0100#L0106#L0068#L0114#L0078#L0076#L0131#L0133")</f>
        <v>L0071#L0092#L0025#L0089#L0083#L0100#L0106#L0068#L0114#L0078#L0076#L0131#L0133</v>
      </c>
      <c r="CG219" t="str">
        <f ca="1">IFERROR(__xludf.DUMMYFUNCTION("""COMPUTED_VALUE"""),"domus Iohannis Mulini de Sala #domus Humberti Baroni de Coazze #domus Villelmeti Domenici #domus Iohannis de Facio Ferrandi #domus Nicoleti Feliçati de Villanova #domus de Boysono #domus Petri de Boysono #domus Vieti de Mondino #domus Henrieti de Mondino "&amp;"#domus Facii de Papono #domus Iohannis Torenchi #domus Ronde Feliçati #domus Sandrie Torenchi")</f>
        <v>domus Iohannis Mulini de Sala #domus Humberti Baroni de Coazze #domus Villelmeti Domenici #domus Iohannis de Facio Ferrandi #domus Nicoleti Feliçati de Villanova #domus de Boysono #domus Petri de Boysono #domus Vieti de Mondino #domus Henrieti de Mondino #domus Facii de Papono #domus Iohannis Torenchi #domus Ronde Feliçati #domus Sandrie Torenchi</v>
      </c>
      <c r="CH219" t="str">
        <f ca="1">IFERROR(__xludf.DUMMYFUNCTION("""COMPUTED_VALUE"""),"P0289")</f>
        <v>P0289</v>
      </c>
      <c r="CI219" t="str">
        <f ca="1">IFERROR(__xludf.DUMMYFUNCTION("""COMPUTED_VALUE"""),"Iohannes de Ancesio")</f>
        <v>Iohannes de Ancesio</v>
      </c>
      <c r="CK219" t="str">
        <f ca="1">IFERROR(__xludf.DUMMYFUNCTION("""COMPUTED_VALUE"""),"#VALUE!")</f>
        <v>#VALUE!</v>
      </c>
      <c r="CS219" t="str">
        <f ca="1">IFERROR(__xludf.DUMMYFUNCTION("""COMPUTED_VALUE"""),"#VALUE!")</f>
        <v>#VALUE!</v>
      </c>
      <c r="CU219" t="str">
        <f ca="1">IFERROR(__xludf.DUMMYFUNCTION("""COMPUTED_VALUE"""),"#VALUE!")</f>
        <v>#VALUE!</v>
      </c>
      <c r="CV219" t="str">
        <f ca="1">IFERROR(__xludf.DUMMYFUNCTION("""COMPUTED_VALUE"""),"L0047")</f>
        <v>L0047</v>
      </c>
      <c r="CW219" t="str">
        <f ca="1">IFERROR(__xludf.DUMMYFUNCTION("""COMPUTED_VALUE"""),"Sala")</f>
        <v>Sala</v>
      </c>
      <c r="CY219" t="str">
        <f ca="1">IFERROR(__xludf.DUMMYFUNCTION("""COMPUTED_VALUE"""),"#VALUE!")</f>
        <v>#VALUE!</v>
      </c>
      <c r="DC219" t="str">
        <f ca="1">IFERROR(__xludf.DUMMYFUNCTION("""COMPUTED_VALUE"""),"#VALUE!")</f>
        <v>#VALUE!</v>
      </c>
      <c r="DE219" t="str">
        <f ca="1">IFERROR(__xludf.DUMMYFUNCTION("""COMPUTED_VALUE"""),"#VALUE!")</f>
        <v>#VALUE!</v>
      </c>
      <c r="DF219" t="str">
        <f ca="1">IFERROR(__xludf.DUMMYFUNCTION("""COMPUTED_VALUE"""),"y")</f>
        <v>y</v>
      </c>
      <c r="DG219" t="str">
        <f ca="1">IFERROR(__xludf.DUMMYFUNCTION("""COMPUTED_VALUE"""),"191-192")</f>
        <v>191-192</v>
      </c>
      <c r="DH219" t="str">
        <f ca="1">IFERROR(__xludf.DUMMYFUNCTION("""COMPUTED_VALUE"""),"L0071#L0092#L0025#L0089#L0083#L0100#L0106#L0068#L0114#L0078#L0076#L0131#L0133")</f>
        <v>L0071#L0092#L0025#L0089#L0083#L0100#L0106#L0068#L0114#L0078#L0076#L0131#L0133</v>
      </c>
      <c r="DI219" t="str">
        <f ca="1">IFERROR(__xludf.DUMMYFUNCTION("""COMPUTED_VALUE"""),"domus Iohannis Mulini de Sala #domus Humberti Baroni de Coazze #domus Villelmeti Domenici #domus Iohannis de Facio Ferrandi #domus Nicoleti Feliçati de Villanova #domus de Boysono #domus Petri de Boysono #domus Vieti de Mondino #domus Henrieti de Mondino "&amp;"#domus Facii de Papono #domus Iohannis Torenchi #domus Ronde Feliçati #domus Sandrie Torenchi")</f>
        <v>domus Iohannis Mulini de Sala #domus Humberti Baroni de Coazze #domus Villelmeti Domenici #domus Iohannis de Facio Ferrandi #domus Nicoleti Feliçati de Villanova #domus de Boysono #domus Petri de Boysono #domus Vieti de Mondino #domus Henrieti de Mondino #domus Facii de Papono #domus Iohannis Torenchi #domus Ronde Feliçati #domus Sandrie Torenchi</v>
      </c>
      <c r="DJ219" t="str">
        <f ca="1">IFERROR(__xludf.DUMMYFUNCTION("""COMPUTED_VALUE"""),"domus #domus #domus #domus #domus #domus #domus #domus #domus #domus #domus #domus #domus")</f>
        <v>domus #domus #domus #domus #domus #domus #domus #domus #domus #domus #domus #domus #domus</v>
      </c>
      <c r="DL219" t="str">
        <f ca="1">IFERROR(__xludf.DUMMYFUNCTION("""COMPUTED_VALUE"""),"Davor Salihović")</f>
        <v>Davor Salihović</v>
      </c>
    </row>
    <row r="220" spans="1:116" ht="13.2" x14ac:dyDescent="0.25">
      <c r="A220" t="str">
        <f ca="1">IFERROR(__xludf.DUMMYFUNCTION("""COMPUTED_VALUE"""),"P0225")</f>
        <v>P0225</v>
      </c>
      <c r="B220" t="str">
        <f ca="1">IFERROR(__xludf.DUMMYFUNCTION("""COMPUTED_VALUE"""),"Addorna, uxor Iohannis Mulini")</f>
        <v>Addorna, uxor Iohannis Mulini</v>
      </c>
      <c r="D220" t="str">
        <f ca="1">IFERROR(__xludf.DUMMYFUNCTION("""COMPUTED_VALUE"""),"#VALUE!")</f>
        <v>#VALUE!</v>
      </c>
      <c r="E220" t="str">
        <f ca="1">IFERROR(__xludf.DUMMYFUNCTION("""COMPUTED_VALUE"""),"Addorna")</f>
        <v>Addorna</v>
      </c>
      <c r="Q220" t="str">
        <f ca="1">IFERROR(__xludf.DUMMYFUNCTION("""COMPUTED_VALUE"""),"uxor Iohannis Mulini de Sala")</f>
        <v>uxor Iohannis Mulini de Sala</v>
      </c>
      <c r="S220" t="str">
        <f ca="1">IFERROR(__xludf.DUMMYFUNCTION("""COMPUTED_VALUE"""),"Latin")</f>
        <v>Latin</v>
      </c>
      <c r="T220" t="str">
        <f ca="1">IFERROR(__xludf.DUMMYFUNCTION("""COMPUTED_VALUE"""),"definite")</f>
        <v>definite</v>
      </c>
      <c r="U220" t="str">
        <f ca="1">IFERROR(__xludf.DUMMYFUNCTION("""COMPUTED_VALUE"""),"C2552")</f>
        <v>C2552</v>
      </c>
      <c r="V220" t="str">
        <f ca="1">IFERROR(__xludf.DUMMYFUNCTION("""COMPUTED_VALUE"""),"female")</f>
        <v>female</v>
      </c>
      <c r="Z220" t="str">
        <f ca="1">IFERROR(__xludf.DUMMYFUNCTION("""COMPUTED_VALUE"""),"178, 187, 189, 221, 255")</f>
        <v>178, 187, 189, 221, 255</v>
      </c>
      <c r="AA220" t="str">
        <f ca="1">IFERROR(__xludf.DUMMYFUNCTION("""COMPUTED_VALUE"""),"d")</f>
        <v>d</v>
      </c>
      <c r="AB220" t="str">
        <f ca="1">IFERROR(__xludf.DUMMYFUNCTION("""COMPUTED_VALUE"""),"suspect")</f>
        <v>suspect</v>
      </c>
      <c r="AD220" t="str">
        <f ca="1">IFERROR(__xludf.DUMMYFUNCTION("""COMPUTED_VALUE"""),"C3287")</f>
        <v>C3287</v>
      </c>
      <c r="AE220" t="str">
        <f ca="1">IFERROR(__xludf.DUMMYFUNCTION("""COMPUTED_VALUE"""),"alive")</f>
        <v>alive</v>
      </c>
      <c r="AF220" t="str">
        <f ca="1">IFERROR(__xludf.DUMMYFUNCTION("""COMPUTED_VALUE"""),"C1753")</f>
        <v>C1753</v>
      </c>
      <c r="AG220" t="str">
        <f ca="1">IFERROR(__xludf.DUMMYFUNCTION("""COMPUTED_VALUE"""),"1335-01-20")</f>
        <v>1335-01-20</v>
      </c>
      <c r="AI220" t="str">
        <f ca="1">IFERROR(__xludf.DUMMYFUNCTION("""COMPUTED_VALUE"""),"#VALUE!")</f>
        <v>#VALUE!</v>
      </c>
      <c r="AK220" t="str">
        <f ca="1">IFERROR(__xludf.DUMMYFUNCTION("""COMPUTED_VALUE"""),"#VALUE!")</f>
        <v>#VALUE!</v>
      </c>
      <c r="AM220" t="str">
        <f ca="1">IFERROR(__xludf.DUMMYFUNCTION("""COMPUTED_VALUE"""),"#VALUE!")</f>
        <v>#VALUE!</v>
      </c>
      <c r="AO220" t="str">
        <f ca="1">IFERROR(__xludf.DUMMYFUNCTION("""COMPUTED_VALUE"""),"#VALUE!")</f>
        <v>#VALUE!</v>
      </c>
      <c r="AQ220" t="str">
        <f ca="1">IFERROR(__xludf.DUMMYFUNCTION("""COMPUTED_VALUE"""),"#VALUE!")</f>
        <v>#VALUE!</v>
      </c>
      <c r="AS220" t="str">
        <f ca="1">IFERROR(__xludf.DUMMYFUNCTION("""COMPUTED_VALUE"""),"#VALUE!")</f>
        <v>#VALUE!</v>
      </c>
      <c r="AU220" t="str">
        <f ca="1">IFERROR(__xludf.DUMMYFUNCTION("""COMPUTED_VALUE"""),"#VALUE!")</f>
        <v>#VALUE!</v>
      </c>
      <c r="AW220" t="str">
        <f ca="1">IFERROR(__xludf.DUMMYFUNCTION("""COMPUTED_VALUE"""),"#VALUE!")</f>
        <v>#VALUE!</v>
      </c>
      <c r="AY220" t="str">
        <f ca="1">IFERROR(__xludf.DUMMYFUNCTION("""COMPUTED_VALUE"""),"#VALUE!")</f>
        <v>#VALUE!</v>
      </c>
      <c r="BA220" t="str">
        <f ca="1">IFERROR(__xludf.DUMMYFUNCTION("""COMPUTED_VALUE"""),"#VALUE!")</f>
        <v>#VALUE!</v>
      </c>
      <c r="BC220" t="str">
        <f ca="1">IFERROR(__xludf.DUMMYFUNCTION("""COMPUTED_VALUE"""),"#VALUE!")</f>
        <v>#VALUE!</v>
      </c>
      <c r="BE220" t="str">
        <f ca="1">IFERROR(__xludf.DUMMYFUNCTION("""COMPUTED_VALUE"""),"#VALUE!")</f>
        <v>#VALUE!</v>
      </c>
      <c r="BG220" t="str">
        <f ca="1">IFERROR(__xludf.DUMMYFUNCTION("""COMPUTED_VALUE"""),"#VALUE!")</f>
        <v>#VALUE!</v>
      </c>
      <c r="BI220" t="str">
        <f ca="1">IFERROR(__xludf.DUMMYFUNCTION("""COMPUTED_VALUE"""),"#VALUE!")</f>
        <v>#VALUE!</v>
      </c>
      <c r="BK220" t="str">
        <f ca="1">IFERROR(__xludf.DUMMYFUNCTION("""COMPUTED_VALUE"""),"#VALUE!")</f>
        <v>#VALUE!</v>
      </c>
      <c r="BM220" t="str">
        <f ca="1">IFERROR(__xludf.DUMMYFUNCTION("""COMPUTED_VALUE"""),"#VALUE!")</f>
        <v>#VALUE!</v>
      </c>
      <c r="BO220" t="str">
        <f ca="1">IFERROR(__xludf.DUMMYFUNCTION("""COMPUTED_VALUE"""),"#VALUE!")</f>
        <v>#VALUE!</v>
      </c>
      <c r="BQ220" t="str">
        <f ca="1">IFERROR(__xludf.DUMMYFUNCTION("""COMPUTED_VALUE"""),"#VALUE!")</f>
        <v>#VALUE!</v>
      </c>
      <c r="BS220" t="str">
        <f ca="1">IFERROR(__xludf.DUMMYFUNCTION("""COMPUTED_VALUE"""),"#VALUE!")</f>
        <v>#VALUE!</v>
      </c>
      <c r="BU220" t="str">
        <f ca="1">IFERROR(__xludf.DUMMYFUNCTION("""COMPUTED_VALUE"""),"#VALUE!")</f>
        <v>#VALUE!</v>
      </c>
      <c r="BW220" t="str">
        <f ca="1">IFERROR(__xludf.DUMMYFUNCTION("""COMPUTED_VALUE"""),"#VALUE!")</f>
        <v>#VALUE!</v>
      </c>
      <c r="BY220" t="str">
        <f ca="1">IFERROR(__xludf.DUMMYFUNCTION("""COMPUTED_VALUE"""),"#VALUE!")</f>
        <v>#VALUE!</v>
      </c>
      <c r="CA220" t="str">
        <f ca="1">IFERROR(__xludf.DUMMYFUNCTION("""COMPUTED_VALUE"""),"#VALUE!")</f>
        <v>#VALUE!</v>
      </c>
      <c r="CC220" t="str">
        <f ca="1">IFERROR(__xludf.DUMMYFUNCTION("""COMPUTED_VALUE"""),"#VALUE!")</f>
        <v>#VALUE!</v>
      </c>
      <c r="CD220" t="str">
        <f ca="1">IFERROR(__xludf.DUMMYFUNCTION("""COMPUTED_VALUE"""),"C3598")</f>
        <v>C3598</v>
      </c>
      <c r="CE220" t="str">
        <f ca="1">IFERROR(__xludf.DUMMYFUNCTION("""COMPUTED_VALUE"""),"location of congregation")</f>
        <v>location of congregation</v>
      </c>
      <c r="CF220" t="str">
        <f ca="1">IFERROR(__xludf.DUMMYFUNCTION("""COMPUTED_VALUE"""),"L0071#L0119")</f>
        <v>L0071#L0119</v>
      </c>
      <c r="CG220" t="str">
        <f ca="1">IFERROR(__xludf.DUMMYFUNCTION("""COMPUTED_VALUE"""),"domus Iohannis Mulini de Sala #domus Addorne, uxoris Iohannis Mulini")</f>
        <v>domus Iohannis Mulini de Sala #domus Addorne, uxoris Iohannis Mulini</v>
      </c>
      <c r="CI220" t="str">
        <f ca="1">IFERROR(__xludf.DUMMYFUNCTION("""COMPUTED_VALUE"""),"#VALUE!")</f>
        <v>#VALUE!</v>
      </c>
      <c r="CJ220" t="str">
        <f ca="1">IFERROR(__xludf.DUMMYFUNCTION("""COMPUTED_VALUE"""),"P0229")</f>
        <v>P0229</v>
      </c>
      <c r="CK220" t="str">
        <f ca="1">IFERROR(__xludf.DUMMYFUNCTION("""COMPUTED_VALUE"""),"Marguerita Borsseta")</f>
        <v>Marguerita Borsseta</v>
      </c>
      <c r="CS220" t="str">
        <f ca="1">IFERROR(__xludf.DUMMYFUNCTION("""COMPUTED_VALUE"""),"#VALUE!")</f>
        <v>#VALUE!</v>
      </c>
      <c r="CU220" t="str">
        <f ca="1">IFERROR(__xludf.DUMMYFUNCTION("""COMPUTED_VALUE"""),"#VALUE!")</f>
        <v>#VALUE!</v>
      </c>
      <c r="CV220" t="str">
        <f ca="1">IFERROR(__xludf.DUMMYFUNCTION("""COMPUTED_VALUE"""),"L0047")</f>
        <v>L0047</v>
      </c>
      <c r="CW220" t="str">
        <f ca="1">IFERROR(__xludf.DUMMYFUNCTION("""COMPUTED_VALUE"""),"Sala")</f>
        <v>Sala</v>
      </c>
      <c r="CY220" t="str">
        <f ca="1">IFERROR(__xludf.DUMMYFUNCTION("""COMPUTED_VALUE"""),"#VALUE!")</f>
        <v>#VALUE!</v>
      </c>
      <c r="DC220" t="str">
        <f ca="1">IFERROR(__xludf.DUMMYFUNCTION("""COMPUTED_VALUE"""),"#VALUE!")</f>
        <v>#VALUE!</v>
      </c>
      <c r="DE220" t="str">
        <f ca="1">IFERROR(__xludf.DUMMYFUNCTION("""COMPUTED_VALUE"""),"#VALUE!")</f>
        <v>#VALUE!</v>
      </c>
      <c r="DH220" t="str">
        <f ca="1">IFERROR(__xludf.DUMMYFUNCTION("""COMPUTED_VALUE"""),"L0071#L0119")</f>
        <v>L0071#L0119</v>
      </c>
      <c r="DI220" t="str">
        <f ca="1">IFERROR(__xludf.DUMMYFUNCTION("""COMPUTED_VALUE"""),"domus Iohannis Mulini de Sala #domus Addorne, uxoris Iohannis Mulini")</f>
        <v>domus Iohannis Mulini de Sala #domus Addorne, uxoris Iohannis Mulini</v>
      </c>
      <c r="DJ220" t="str">
        <f ca="1">IFERROR(__xludf.DUMMYFUNCTION("""COMPUTED_VALUE"""),"domus #domus")</f>
        <v>domus #domus</v>
      </c>
      <c r="DL220" t="str">
        <f ca="1">IFERROR(__xludf.DUMMYFUNCTION("""COMPUTED_VALUE"""),"Davor Salihović")</f>
        <v>Davor Salihović</v>
      </c>
    </row>
    <row r="221" spans="1:116" ht="13.2" x14ac:dyDescent="0.25">
      <c r="A221" t="str">
        <f ca="1">IFERROR(__xludf.DUMMYFUNCTION("""COMPUTED_VALUE"""),"P0226")</f>
        <v>P0226</v>
      </c>
      <c r="B221" t="str">
        <f ca="1">IFERROR(__xludf.DUMMYFUNCTION("""COMPUTED_VALUE"""),"Facius de Papono")</f>
        <v>Facius de Papono</v>
      </c>
      <c r="D221" t="str">
        <f ca="1">IFERROR(__xludf.DUMMYFUNCTION("""COMPUTED_VALUE"""),"#VALUE!")</f>
        <v>#VALUE!</v>
      </c>
      <c r="E221" t="str">
        <f ca="1">IFERROR(__xludf.DUMMYFUNCTION("""COMPUTED_VALUE"""),"Facius")</f>
        <v>Facius</v>
      </c>
      <c r="J221" t="str">
        <f ca="1">IFERROR(__xludf.DUMMYFUNCTION("""COMPUTED_VALUE"""),"de")</f>
        <v>de</v>
      </c>
      <c r="K221" t="str">
        <f ca="1">IFERROR(__xludf.DUMMYFUNCTION("""COMPUTED_VALUE"""),"Papono")</f>
        <v>Papono</v>
      </c>
      <c r="L221" t="str">
        <f ca="1">IFERROR(__xludf.DUMMYFUNCTION("""COMPUTED_VALUE"""),"de Papono")</f>
        <v>de Papono</v>
      </c>
      <c r="Q221" t="str">
        <f ca="1">IFERROR(__xludf.DUMMYFUNCTION("""COMPUTED_VALUE"""),"de Sala")</f>
        <v>de Sala</v>
      </c>
      <c r="S221" t="str">
        <f ca="1">IFERROR(__xludf.DUMMYFUNCTION("""COMPUTED_VALUE"""),"Latin")</f>
        <v>Latin</v>
      </c>
      <c r="T221" t="str">
        <f ca="1">IFERROR(__xludf.DUMMYFUNCTION("""COMPUTED_VALUE"""),"definite")</f>
        <v>definite</v>
      </c>
      <c r="U221" t="str">
        <f ca="1">IFERROR(__xludf.DUMMYFUNCTION("""COMPUTED_VALUE"""),"C2553")</f>
        <v>C2553</v>
      </c>
      <c r="V221" t="str">
        <f ca="1">IFERROR(__xludf.DUMMYFUNCTION("""COMPUTED_VALUE"""),"male")</f>
        <v>male</v>
      </c>
      <c r="Z221" t="str">
        <f ca="1">IFERROR(__xludf.DUMMYFUNCTION("""COMPUTED_VALUE"""),"178, 186, 187, 189, 191, 213, 245")</f>
        <v>178, 186, 187, 189, 191, 213, 245</v>
      </c>
      <c r="AA221" t="str">
        <f ca="1">IFERROR(__xludf.DUMMYFUNCTION("""COMPUTED_VALUE"""),"d")</f>
        <v>d</v>
      </c>
      <c r="AB221" t="str">
        <f ca="1">IFERROR(__xludf.DUMMYFUNCTION("""COMPUTED_VALUE"""),"suspect")</f>
        <v>suspect</v>
      </c>
      <c r="AD221" t="str">
        <f ca="1">IFERROR(__xludf.DUMMYFUNCTION("""COMPUTED_VALUE"""),"C3287")</f>
        <v>C3287</v>
      </c>
      <c r="AE221" t="str">
        <f ca="1">IFERROR(__xludf.DUMMYFUNCTION("""COMPUTED_VALUE"""),"alive")</f>
        <v>alive</v>
      </c>
      <c r="AF221" t="str">
        <f ca="1">IFERROR(__xludf.DUMMYFUNCTION("""COMPUTED_VALUE"""),"C1753")</f>
        <v>C1753</v>
      </c>
      <c r="AG221" t="str">
        <f ca="1">IFERROR(__xludf.DUMMYFUNCTION("""COMPUTED_VALUE"""),"1335-01-20")</f>
        <v>1335-01-20</v>
      </c>
      <c r="AH221" t="str">
        <f ca="1">IFERROR(__xludf.DUMMYFUNCTION("""COMPUTED_VALUE"""),"C2039")</f>
        <v>C2039</v>
      </c>
      <c r="AI221" t="str">
        <f ca="1">IFERROR(__xludf.DUMMYFUNCTION("""COMPUTED_VALUE"""),"kinperson")</f>
        <v>kinperson</v>
      </c>
      <c r="AJ221" t="str">
        <f ca="1">IFERROR(__xludf.DUMMYFUNCTION("""COMPUTED_VALUE"""),"P0224")</f>
        <v>P0224</v>
      </c>
      <c r="AK221" t="str">
        <f ca="1">IFERROR(__xludf.DUMMYFUNCTION("""COMPUTED_VALUE"""),"Iohannes Mulini")</f>
        <v>Iohannes Mulini</v>
      </c>
      <c r="AL221" t="str">
        <f ca="1">IFERROR(__xludf.DUMMYFUNCTION("""COMPUTED_VALUE"""),"C2039")</f>
        <v>C2039</v>
      </c>
      <c r="AM221" t="str">
        <f ca="1">IFERROR(__xludf.DUMMYFUNCTION("""COMPUTED_VALUE"""),"kinperson")</f>
        <v>kinperson</v>
      </c>
      <c r="AN221" t="str">
        <f ca="1">IFERROR(__xludf.DUMMYFUNCTION("""COMPUTED_VALUE"""),"P0225")</f>
        <v>P0225</v>
      </c>
      <c r="AO221" t="str">
        <f ca="1">IFERROR(__xludf.DUMMYFUNCTION("""COMPUTED_VALUE"""),"Addorna, uxor Iohannis Mulini")</f>
        <v>Addorna, uxor Iohannis Mulini</v>
      </c>
      <c r="AP221" t="str">
        <f ca="1">IFERROR(__xludf.DUMMYFUNCTION("""COMPUTED_VALUE"""),"C2039")</f>
        <v>C2039</v>
      </c>
      <c r="AQ221" t="str">
        <f ca="1">IFERROR(__xludf.DUMMYFUNCTION("""COMPUTED_VALUE"""),"kinperson")</f>
        <v>kinperson</v>
      </c>
      <c r="AR221" t="str">
        <f ca="1">IFERROR(__xludf.DUMMYFUNCTION("""COMPUTED_VALUE"""),"P0249")</f>
        <v>P0249</v>
      </c>
      <c r="AS221" t="str">
        <f ca="1">IFERROR(__xludf.DUMMYFUNCTION("""COMPUTED_VALUE"""),"Iohannes Torenchi")</f>
        <v>Iohannes Torenchi</v>
      </c>
      <c r="AT221" t="str">
        <f ca="1">IFERROR(__xludf.DUMMYFUNCTION("""COMPUTED_VALUE"""),"C2348")</f>
        <v>C2348</v>
      </c>
      <c r="AU221" t="str">
        <f ca="1">IFERROR(__xludf.DUMMYFUNCTION("""COMPUTED_VALUE"""),"wife")</f>
        <v>wife</v>
      </c>
      <c r="AV221" t="str">
        <f ca="1">IFERROR(__xludf.DUMMYFUNCTION("""COMPUTED_VALUE"""),"P0227")</f>
        <v>P0227</v>
      </c>
      <c r="AW221" t="str">
        <f ca="1">IFERROR(__xludf.DUMMYFUNCTION("""COMPUTED_VALUE"""),"Villelma, uxor Facii de Papono")</f>
        <v>Villelma, uxor Facii de Papono</v>
      </c>
      <c r="AX221" t="str">
        <f ca="1">IFERROR(__xludf.DUMMYFUNCTION("""COMPUTED_VALUE"""),"C0147")</f>
        <v>C0147</v>
      </c>
      <c r="AY221" t="str">
        <f ca="1">IFERROR(__xludf.DUMMYFUNCTION("""COMPUTED_VALUE"""),"warrantor")</f>
        <v>warrantor</v>
      </c>
      <c r="AZ221" t="str">
        <f ca="1">IFERROR(__xludf.DUMMYFUNCTION("""COMPUTED_VALUE"""),"P0224")</f>
        <v>P0224</v>
      </c>
      <c r="BA221" t="str">
        <f ca="1">IFERROR(__xludf.DUMMYFUNCTION("""COMPUTED_VALUE"""),"Iohannes Mulini")</f>
        <v>Iohannes Mulini</v>
      </c>
      <c r="BB221" t="str">
        <f ca="1">IFERROR(__xludf.DUMMYFUNCTION("""COMPUTED_VALUE"""),"C0147")</f>
        <v>C0147</v>
      </c>
      <c r="BC221" t="str">
        <f ca="1">IFERROR(__xludf.DUMMYFUNCTION("""COMPUTED_VALUE"""),"warrantor")</f>
        <v>warrantor</v>
      </c>
      <c r="BD221" t="str">
        <f ca="1">IFERROR(__xludf.DUMMYFUNCTION("""COMPUTED_VALUE"""),"P0263")</f>
        <v>P0263</v>
      </c>
      <c r="BE221" t="str">
        <f ca="1">IFERROR(__xludf.DUMMYFUNCTION("""COMPUTED_VALUE"""),"Iohannes Pellicerii")</f>
        <v>Iohannes Pellicerii</v>
      </c>
      <c r="BG221" t="str">
        <f ca="1">IFERROR(__xludf.DUMMYFUNCTION("""COMPUTED_VALUE"""),"#VALUE!")</f>
        <v>#VALUE!</v>
      </c>
      <c r="BI221" t="str">
        <f ca="1">IFERROR(__xludf.DUMMYFUNCTION("""COMPUTED_VALUE"""),"#VALUE!")</f>
        <v>#VALUE!</v>
      </c>
      <c r="BK221" t="str">
        <f ca="1">IFERROR(__xludf.DUMMYFUNCTION("""COMPUTED_VALUE"""),"#VALUE!")</f>
        <v>#VALUE!</v>
      </c>
      <c r="BM221" t="str">
        <f ca="1">IFERROR(__xludf.DUMMYFUNCTION("""COMPUTED_VALUE"""),"#VALUE!")</f>
        <v>#VALUE!</v>
      </c>
      <c r="BO221" t="str">
        <f ca="1">IFERROR(__xludf.DUMMYFUNCTION("""COMPUTED_VALUE"""),"#VALUE!")</f>
        <v>#VALUE!</v>
      </c>
      <c r="BQ221" t="str">
        <f ca="1">IFERROR(__xludf.DUMMYFUNCTION("""COMPUTED_VALUE"""),"#VALUE!")</f>
        <v>#VALUE!</v>
      </c>
      <c r="BS221" t="str">
        <f ca="1">IFERROR(__xludf.DUMMYFUNCTION("""COMPUTED_VALUE"""),"#VALUE!")</f>
        <v>#VALUE!</v>
      </c>
      <c r="BU221" t="str">
        <f ca="1">IFERROR(__xludf.DUMMYFUNCTION("""COMPUTED_VALUE"""),"#VALUE!")</f>
        <v>#VALUE!</v>
      </c>
      <c r="BW221" t="str">
        <f ca="1">IFERROR(__xludf.DUMMYFUNCTION("""COMPUTED_VALUE"""),"#VALUE!")</f>
        <v>#VALUE!</v>
      </c>
      <c r="BY221" t="str">
        <f ca="1">IFERROR(__xludf.DUMMYFUNCTION("""COMPUTED_VALUE"""),"#VALUE!")</f>
        <v>#VALUE!</v>
      </c>
      <c r="CA221" t="str">
        <f ca="1">IFERROR(__xludf.DUMMYFUNCTION("""COMPUTED_VALUE"""),"#VALUE!")</f>
        <v>#VALUE!</v>
      </c>
      <c r="CC221" t="str">
        <f ca="1">IFERROR(__xludf.DUMMYFUNCTION("""COMPUTED_VALUE"""),"#VALUE!")</f>
        <v>#VALUE!</v>
      </c>
      <c r="CD221" t="str">
        <f ca="1">IFERROR(__xludf.DUMMYFUNCTION("""COMPUTED_VALUE"""),"C3598")</f>
        <v>C3598</v>
      </c>
      <c r="CE221" t="str">
        <f ca="1">IFERROR(__xludf.DUMMYFUNCTION("""COMPUTED_VALUE"""),"location of congregation")</f>
        <v>location of congregation</v>
      </c>
      <c r="CF221" t="str">
        <f ca="1">IFERROR(__xludf.DUMMYFUNCTION("""COMPUTED_VALUE"""),"L0071#L0078")</f>
        <v>L0071#L0078</v>
      </c>
      <c r="CG221" t="str">
        <f ca="1">IFERROR(__xludf.DUMMYFUNCTION("""COMPUTED_VALUE"""),"domus Iohannis Mulini de Sala #domus Facii de Papono")</f>
        <v>domus Iohannis Mulini de Sala #domus Facii de Papono</v>
      </c>
      <c r="CH221" t="str">
        <f ca="1">IFERROR(__xludf.DUMMYFUNCTION("""COMPUTED_VALUE"""),"P0224#P0263")</f>
        <v>P0224#P0263</v>
      </c>
      <c r="CI221" t="str">
        <f ca="1">IFERROR(__xludf.DUMMYFUNCTION("""COMPUTED_VALUE"""),"Iohannes Mulini #Iohannes Pellicerii")</f>
        <v>Iohannes Mulini #Iohannes Pellicerii</v>
      </c>
      <c r="CJ221" t="str">
        <f ca="1">IFERROR(__xludf.DUMMYFUNCTION("""COMPUTED_VALUE"""),"P0208")</f>
        <v>P0208</v>
      </c>
      <c r="CK221" t="str">
        <f ca="1">IFERROR(__xludf.DUMMYFUNCTION("""COMPUTED_VALUE"""),"Martinus Dominici")</f>
        <v>Martinus Dominici</v>
      </c>
      <c r="CS221" t="str">
        <f ca="1">IFERROR(__xludf.DUMMYFUNCTION("""COMPUTED_VALUE"""),"#VALUE!")</f>
        <v>#VALUE!</v>
      </c>
      <c r="CU221" t="str">
        <f ca="1">IFERROR(__xludf.DUMMYFUNCTION("""COMPUTED_VALUE"""),"#VALUE!")</f>
        <v>#VALUE!</v>
      </c>
      <c r="CV221" t="str">
        <f ca="1">IFERROR(__xludf.DUMMYFUNCTION("""COMPUTED_VALUE"""),"L0047")</f>
        <v>L0047</v>
      </c>
      <c r="CW221" t="str">
        <f ca="1">IFERROR(__xludf.DUMMYFUNCTION("""COMPUTED_VALUE"""),"Sala")</f>
        <v>Sala</v>
      </c>
      <c r="CY221" t="str">
        <f ca="1">IFERROR(__xludf.DUMMYFUNCTION("""COMPUTED_VALUE"""),"#VALUE!")</f>
        <v>#VALUE!</v>
      </c>
      <c r="DC221" t="str">
        <f ca="1">IFERROR(__xludf.DUMMYFUNCTION("""COMPUTED_VALUE"""),"#VALUE!")</f>
        <v>#VALUE!</v>
      </c>
      <c r="DE221" t="str">
        <f ca="1">IFERROR(__xludf.DUMMYFUNCTION("""COMPUTED_VALUE"""),"#VALUE!")</f>
        <v>#VALUE!</v>
      </c>
      <c r="DF221" t="str">
        <f ca="1">IFERROR(__xludf.DUMMYFUNCTION("""COMPUTED_VALUE"""),"y")</f>
        <v>y</v>
      </c>
      <c r="DG221" t="str">
        <f ca="1">IFERROR(__xludf.DUMMYFUNCTION("""COMPUTED_VALUE"""),"186-187, 213")</f>
        <v>186-187, 213</v>
      </c>
      <c r="DH221" t="str">
        <f ca="1">IFERROR(__xludf.DUMMYFUNCTION("""COMPUTED_VALUE"""),"L0071#L0078")</f>
        <v>L0071#L0078</v>
      </c>
      <c r="DI221" t="str">
        <f ca="1">IFERROR(__xludf.DUMMYFUNCTION("""COMPUTED_VALUE"""),"domus Iohannis Mulini de Sala #domus Facii de Papono")</f>
        <v>domus Iohannis Mulini de Sala #domus Facii de Papono</v>
      </c>
      <c r="DJ221" t="str">
        <f ca="1">IFERROR(__xludf.DUMMYFUNCTION("""COMPUTED_VALUE"""),"domus #domus")</f>
        <v>domus #domus</v>
      </c>
      <c r="DL221" t="str">
        <f ca="1">IFERROR(__xludf.DUMMYFUNCTION("""COMPUTED_VALUE"""),"Davor Salihović")</f>
        <v>Davor Salihović</v>
      </c>
    </row>
    <row r="222" spans="1:116" ht="13.2" x14ac:dyDescent="0.25">
      <c r="A222" t="str">
        <f ca="1">IFERROR(__xludf.DUMMYFUNCTION("""COMPUTED_VALUE"""),"P0227")</f>
        <v>P0227</v>
      </c>
      <c r="B222" t="str">
        <f ca="1">IFERROR(__xludf.DUMMYFUNCTION("""COMPUTED_VALUE"""),"Villelma, uxor Facii de Papono")</f>
        <v>Villelma, uxor Facii de Papono</v>
      </c>
      <c r="D222" t="str">
        <f ca="1">IFERROR(__xludf.DUMMYFUNCTION("""COMPUTED_VALUE"""),"#VALUE!")</f>
        <v>#VALUE!</v>
      </c>
      <c r="E222" t="str">
        <f ca="1">IFERROR(__xludf.DUMMYFUNCTION("""COMPUTED_VALUE"""),"Villelma")</f>
        <v>Villelma</v>
      </c>
      <c r="Q222" t="str">
        <f ca="1">IFERROR(__xludf.DUMMYFUNCTION("""COMPUTED_VALUE"""),"uxor Facii")</f>
        <v>uxor Facii</v>
      </c>
      <c r="S222" t="str">
        <f ca="1">IFERROR(__xludf.DUMMYFUNCTION("""COMPUTED_VALUE"""),"Latin")</f>
        <v>Latin</v>
      </c>
      <c r="T222" t="str">
        <f ca="1">IFERROR(__xludf.DUMMYFUNCTION("""COMPUTED_VALUE"""),"definite")</f>
        <v>definite</v>
      </c>
      <c r="U222" t="str">
        <f ca="1">IFERROR(__xludf.DUMMYFUNCTION("""COMPUTED_VALUE"""),"C2552")</f>
        <v>C2552</v>
      </c>
      <c r="V222" t="str">
        <f ca="1">IFERROR(__xludf.DUMMYFUNCTION("""COMPUTED_VALUE"""),"female")</f>
        <v>female</v>
      </c>
      <c r="Z222" t="str">
        <f ca="1">IFERROR(__xludf.DUMMYFUNCTION("""COMPUTED_VALUE"""),"178, 187, 189")</f>
        <v>178, 187, 189</v>
      </c>
      <c r="AA222" t="str">
        <f ca="1">IFERROR(__xludf.DUMMYFUNCTION("""COMPUTED_VALUE"""),"d")</f>
        <v>d</v>
      </c>
      <c r="AB222" t="str">
        <f ca="1">IFERROR(__xludf.DUMMYFUNCTION("""COMPUTED_VALUE"""),"suspect")</f>
        <v>suspect</v>
      </c>
      <c r="AE222" t="str">
        <f ca="1">IFERROR(__xludf.DUMMYFUNCTION("""COMPUTED_VALUE"""),"#VALUE!")</f>
        <v>#VALUE!</v>
      </c>
      <c r="AF222" t="str">
        <f ca="1">IFERROR(__xludf.DUMMYFUNCTION("""COMPUTED_VALUE"""),"#N/A")</f>
        <v>#N/A</v>
      </c>
      <c r="AG222" t="str">
        <f ca="1">IFERROR(__xludf.DUMMYFUNCTION("""COMPUTED_VALUE"""),"#N/A")</f>
        <v>#N/A</v>
      </c>
      <c r="AI222" t="str">
        <f ca="1">IFERROR(__xludf.DUMMYFUNCTION("""COMPUTED_VALUE"""),"#VALUE!")</f>
        <v>#VALUE!</v>
      </c>
      <c r="AK222" t="str">
        <f ca="1">IFERROR(__xludf.DUMMYFUNCTION("""COMPUTED_VALUE"""),"#VALUE!")</f>
        <v>#VALUE!</v>
      </c>
      <c r="AM222" t="str">
        <f ca="1">IFERROR(__xludf.DUMMYFUNCTION("""COMPUTED_VALUE"""),"#VALUE!")</f>
        <v>#VALUE!</v>
      </c>
      <c r="AO222" t="str">
        <f ca="1">IFERROR(__xludf.DUMMYFUNCTION("""COMPUTED_VALUE"""),"#VALUE!")</f>
        <v>#VALUE!</v>
      </c>
      <c r="AQ222" t="str">
        <f ca="1">IFERROR(__xludf.DUMMYFUNCTION("""COMPUTED_VALUE"""),"#VALUE!")</f>
        <v>#VALUE!</v>
      </c>
      <c r="AS222" t="str">
        <f ca="1">IFERROR(__xludf.DUMMYFUNCTION("""COMPUTED_VALUE"""),"#VALUE!")</f>
        <v>#VALUE!</v>
      </c>
      <c r="AU222" t="str">
        <f ca="1">IFERROR(__xludf.DUMMYFUNCTION("""COMPUTED_VALUE"""),"#VALUE!")</f>
        <v>#VALUE!</v>
      </c>
      <c r="AW222" t="str">
        <f ca="1">IFERROR(__xludf.DUMMYFUNCTION("""COMPUTED_VALUE"""),"#VALUE!")</f>
        <v>#VALUE!</v>
      </c>
      <c r="AY222" t="str">
        <f ca="1">IFERROR(__xludf.DUMMYFUNCTION("""COMPUTED_VALUE"""),"#VALUE!")</f>
        <v>#VALUE!</v>
      </c>
      <c r="BA222" t="str">
        <f ca="1">IFERROR(__xludf.DUMMYFUNCTION("""COMPUTED_VALUE"""),"#VALUE!")</f>
        <v>#VALUE!</v>
      </c>
      <c r="BC222" t="str">
        <f ca="1">IFERROR(__xludf.DUMMYFUNCTION("""COMPUTED_VALUE"""),"#VALUE!")</f>
        <v>#VALUE!</v>
      </c>
      <c r="BE222" t="str">
        <f ca="1">IFERROR(__xludf.DUMMYFUNCTION("""COMPUTED_VALUE"""),"#VALUE!")</f>
        <v>#VALUE!</v>
      </c>
      <c r="BG222" t="str">
        <f ca="1">IFERROR(__xludf.DUMMYFUNCTION("""COMPUTED_VALUE"""),"#VALUE!")</f>
        <v>#VALUE!</v>
      </c>
      <c r="BI222" t="str">
        <f ca="1">IFERROR(__xludf.DUMMYFUNCTION("""COMPUTED_VALUE"""),"#VALUE!")</f>
        <v>#VALUE!</v>
      </c>
      <c r="BK222" t="str">
        <f ca="1">IFERROR(__xludf.DUMMYFUNCTION("""COMPUTED_VALUE"""),"#VALUE!")</f>
        <v>#VALUE!</v>
      </c>
      <c r="BM222" t="str">
        <f ca="1">IFERROR(__xludf.DUMMYFUNCTION("""COMPUTED_VALUE"""),"#VALUE!")</f>
        <v>#VALUE!</v>
      </c>
      <c r="BO222" t="str">
        <f ca="1">IFERROR(__xludf.DUMMYFUNCTION("""COMPUTED_VALUE"""),"#VALUE!")</f>
        <v>#VALUE!</v>
      </c>
      <c r="BQ222" t="str">
        <f ca="1">IFERROR(__xludf.DUMMYFUNCTION("""COMPUTED_VALUE"""),"#VALUE!")</f>
        <v>#VALUE!</v>
      </c>
      <c r="BS222" t="str">
        <f ca="1">IFERROR(__xludf.DUMMYFUNCTION("""COMPUTED_VALUE"""),"#VALUE!")</f>
        <v>#VALUE!</v>
      </c>
      <c r="BU222" t="str">
        <f ca="1">IFERROR(__xludf.DUMMYFUNCTION("""COMPUTED_VALUE"""),"#VALUE!")</f>
        <v>#VALUE!</v>
      </c>
      <c r="BW222" t="str">
        <f ca="1">IFERROR(__xludf.DUMMYFUNCTION("""COMPUTED_VALUE"""),"#VALUE!")</f>
        <v>#VALUE!</v>
      </c>
      <c r="BY222" t="str">
        <f ca="1">IFERROR(__xludf.DUMMYFUNCTION("""COMPUTED_VALUE"""),"#VALUE!")</f>
        <v>#VALUE!</v>
      </c>
      <c r="CA222" t="str">
        <f ca="1">IFERROR(__xludf.DUMMYFUNCTION("""COMPUTED_VALUE"""),"#VALUE!")</f>
        <v>#VALUE!</v>
      </c>
      <c r="CC222" t="str">
        <f ca="1">IFERROR(__xludf.DUMMYFUNCTION("""COMPUTED_VALUE"""),"#VALUE!")</f>
        <v>#VALUE!</v>
      </c>
      <c r="CD222" t="str">
        <f ca="1">IFERROR(__xludf.DUMMYFUNCTION("""COMPUTED_VALUE"""),"C3598")</f>
        <v>C3598</v>
      </c>
      <c r="CE222" t="str">
        <f ca="1">IFERROR(__xludf.DUMMYFUNCTION("""COMPUTED_VALUE"""),"location of congregation")</f>
        <v>location of congregation</v>
      </c>
      <c r="CF222" t="str">
        <f ca="1">IFERROR(__xludf.DUMMYFUNCTION("""COMPUTED_VALUE"""),"L0071")</f>
        <v>L0071</v>
      </c>
      <c r="CG222" t="str">
        <f ca="1">IFERROR(__xludf.DUMMYFUNCTION("""COMPUTED_VALUE"""),"domus Iohannis Mulini de Sala")</f>
        <v>domus Iohannis Mulini de Sala</v>
      </c>
      <c r="CI222" t="str">
        <f ca="1">IFERROR(__xludf.DUMMYFUNCTION("""COMPUTED_VALUE"""),"#VALUE!")</f>
        <v>#VALUE!</v>
      </c>
      <c r="CK222" t="str">
        <f ca="1">IFERROR(__xludf.DUMMYFUNCTION("""COMPUTED_VALUE"""),"#VALUE!")</f>
        <v>#VALUE!</v>
      </c>
      <c r="CS222" t="str">
        <f ca="1">IFERROR(__xludf.DUMMYFUNCTION("""COMPUTED_VALUE"""),"#VALUE!")</f>
        <v>#VALUE!</v>
      </c>
      <c r="CU222" t="str">
        <f ca="1">IFERROR(__xludf.DUMMYFUNCTION("""COMPUTED_VALUE"""),"#VALUE!")</f>
        <v>#VALUE!</v>
      </c>
      <c r="CV222" t="str">
        <f ca="1">IFERROR(__xludf.DUMMYFUNCTION("""COMPUTED_VALUE"""),"L0047")</f>
        <v>L0047</v>
      </c>
      <c r="CW222" t="str">
        <f ca="1">IFERROR(__xludf.DUMMYFUNCTION("""COMPUTED_VALUE"""),"Sala")</f>
        <v>Sala</v>
      </c>
      <c r="CY222" t="str">
        <f ca="1">IFERROR(__xludf.DUMMYFUNCTION("""COMPUTED_VALUE"""),"#VALUE!")</f>
        <v>#VALUE!</v>
      </c>
      <c r="DC222" t="str">
        <f ca="1">IFERROR(__xludf.DUMMYFUNCTION("""COMPUTED_VALUE"""),"#VALUE!")</f>
        <v>#VALUE!</v>
      </c>
      <c r="DE222" t="str">
        <f ca="1">IFERROR(__xludf.DUMMYFUNCTION("""COMPUTED_VALUE"""),"#VALUE!")</f>
        <v>#VALUE!</v>
      </c>
      <c r="DH222" t="str">
        <f ca="1">IFERROR(__xludf.DUMMYFUNCTION("""COMPUTED_VALUE"""),"L0071")</f>
        <v>L0071</v>
      </c>
      <c r="DI222" t="str">
        <f ca="1">IFERROR(__xludf.DUMMYFUNCTION("""COMPUTED_VALUE"""),"domus Iohannis Mulini de Sala")</f>
        <v>domus Iohannis Mulini de Sala</v>
      </c>
      <c r="DJ222" t="str">
        <f ca="1">IFERROR(__xludf.DUMMYFUNCTION("""COMPUTED_VALUE"""),"domus")</f>
        <v>domus</v>
      </c>
      <c r="DL222" t="str">
        <f ca="1">IFERROR(__xludf.DUMMYFUNCTION("""COMPUTED_VALUE"""),"Davor Salihović")</f>
        <v>Davor Salihović</v>
      </c>
    </row>
    <row r="223" spans="1:116" ht="13.2" x14ac:dyDescent="0.25">
      <c r="A223" t="str">
        <f ca="1">IFERROR(__xludf.DUMMYFUNCTION("""COMPUTED_VALUE"""),"P0228")</f>
        <v>P0228</v>
      </c>
      <c r="B223" t="str">
        <f ca="1">IFERROR(__xludf.DUMMYFUNCTION("""COMPUTED_VALUE"""),"Iohanna de Bruneto")</f>
        <v>Iohanna de Bruneto</v>
      </c>
      <c r="D223" t="str">
        <f ca="1">IFERROR(__xludf.DUMMYFUNCTION("""COMPUTED_VALUE"""),"#VALUE!")</f>
        <v>#VALUE!</v>
      </c>
      <c r="E223" t="str">
        <f ca="1">IFERROR(__xludf.DUMMYFUNCTION("""COMPUTED_VALUE"""),"Iohanna")</f>
        <v>Iohanna</v>
      </c>
      <c r="F223" t="str">
        <f ca="1">IFERROR(__xludf.DUMMYFUNCTION("""COMPUTED_VALUE"""),"Iohanneta")</f>
        <v>Iohanneta</v>
      </c>
      <c r="J223" t="str">
        <f ca="1">IFERROR(__xludf.DUMMYFUNCTION("""COMPUTED_VALUE"""),"de")</f>
        <v>de</v>
      </c>
      <c r="K223" t="str">
        <f ca="1">IFERROR(__xludf.DUMMYFUNCTION("""COMPUTED_VALUE"""),"Bruneto")</f>
        <v>Bruneto</v>
      </c>
      <c r="L223" t="str">
        <f ca="1">IFERROR(__xludf.DUMMYFUNCTION("""COMPUTED_VALUE"""),"de Bruneto")</f>
        <v>de Bruneto</v>
      </c>
      <c r="P223" t="str">
        <f ca="1">IFERROR(__xludf.DUMMYFUNCTION("""COMPUTED_VALUE"""),"de Bruna")</f>
        <v>de Bruna</v>
      </c>
      <c r="Q223" t="str">
        <f ca="1">IFERROR(__xludf.DUMMYFUNCTION("""COMPUTED_VALUE"""),"testrix de Sala")</f>
        <v>testrix de Sala</v>
      </c>
      <c r="S223" t="str">
        <f ca="1">IFERROR(__xludf.DUMMYFUNCTION("""COMPUTED_VALUE"""),"Latin")</f>
        <v>Latin</v>
      </c>
      <c r="T223" t="str">
        <f ca="1">IFERROR(__xludf.DUMMYFUNCTION("""COMPUTED_VALUE"""),"definite")</f>
        <v>definite</v>
      </c>
      <c r="U223" t="str">
        <f ca="1">IFERROR(__xludf.DUMMYFUNCTION("""COMPUTED_VALUE"""),"C2552")</f>
        <v>C2552</v>
      </c>
      <c r="V223" t="str">
        <f ca="1">IFERROR(__xludf.DUMMYFUNCTION("""COMPUTED_VALUE"""),"female")</f>
        <v>female</v>
      </c>
      <c r="Z223" t="str">
        <f ca="1">IFERROR(__xludf.DUMMYFUNCTION("""COMPUTED_VALUE"""),"178, 191, 213, 215, 221, 228, 237, 250, 255")</f>
        <v>178, 191, 213, 215, 221, 228, 237, 250, 255</v>
      </c>
      <c r="AA223" t="str">
        <f ca="1">IFERROR(__xludf.DUMMYFUNCTION("""COMPUTED_VALUE"""),"d")</f>
        <v>d</v>
      </c>
      <c r="AB223" t="str">
        <f ca="1">IFERROR(__xludf.DUMMYFUNCTION("""COMPUTED_VALUE"""),"suspect")</f>
        <v>suspect</v>
      </c>
      <c r="AD223" t="str">
        <f ca="1">IFERROR(__xludf.DUMMYFUNCTION("""COMPUTED_VALUE"""),"C3287")</f>
        <v>C3287</v>
      </c>
      <c r="AE223" t="str">
        <f ca="1">IFERROR(__xludf.DUMMYFUNCTION("""COMPUTED_VALUE"""),"alive")</f>
        <v>alive</v>
      </c>
      <c r="AF223" t="str">
        <f ca="1">IFERROR(__xludf.DUMMYFUNCTION("""COMPUTED_VALUE"""),"C1753")</f>
        <v>C1753</v>
      </c>
      <c r="AG223" t="str">
        <f ca="1">IFERROR(__xludf.DUMMYFUNCTION("""COMPUTED_VALUE"""),"1335-01-20")</f>
        <v>1335-01-20</v>
      </c>
      <c r="AH223" t="str">
        <f ca="1">IFERROR(__xludf.DUMMYFUNCTION("""COMPUTED_VALUE"""),"C2335")</f>
        <v>C2335</v>
      </c>
      <c r="AI223" t="str">
        <f ca="1">IFERROR(__xludf.DUMMYFUNCTION("""COMPUTED_VALUE"""),"daughter")</f>
        <v>daughter</v>
      </c>
      <c r="AJ223" t="str">
        <f ca="1">IFERROR(__xludf.DUMMYFUNCTION("""COMPUTED_VALUE"""),"P0269")</f>
        <v>P0269</v>
      </c>
      <c r="AK223" t="str">
        <f ca="1">IFERROR(__xludf.DUMMYFUNCTION("""COMPUTED_VALUE"""),"Galiçona, filia Iohannete de Bruneto")</f>
        <v>Galiçona, filia Iohannete de Bruneto</v>
      </c>
      <c r="AM223" t="str">
        <f ca="1">IFERROR(__xludf.DUMMYFUNCTION("""COMPUTED_VALUE"""),"#VALUE!")</f>
        <v>#VALUE!</v>
      </c>
      <c r="AO223" t="str">
        <f ca="1">IFERROR(__xludf.DUMMYFUNCTION("""COMPUTED_VALUE"""),"#VALUE!")</f>
        <v>#VALUE!</v>
      </c>
      <c r="AQ223" t="str">
        <f ca="1">IFERROR(__xludf.DUMMYFUNCTION("""COMPUTED_VALUE"""),"#VALUE!")</f>
        <v>#VALUE!</v>
      </c>
      <c r="AS223" t="str">
        <f ca="1">IFERROR(__xludf.DUMMYFUNCTION("""COMPUTED_VALUE"""),"#VALUE!")</f>
        <v>#VALUE!</v>
      </c>
      <c r="AU223" t="str">
        <f ca="1">IFERROR(__xludf.DUMMYFUNCTION("""COMPUTED_VALUE"""),"#VALUE!")</f>
        <v>#VALUE!</v>
      </c>
      <c r="AW223" t="str">
        <f ca="1">IFERROR(__xludf.DUMMYFUNCTION("""COMPUTED_VALUE"""),"#VALUE!")</f>
        <v>#VALUE!</v>
      </c>
      <c r="AY223" t="str">
        <f ca="1">IFERROR(__xludf.DUMMYFUNCTION("""COMPUTED_VALUE"""),"#VALUE!")</f>
        <v>#VALUE!</v>
      </c>
      <c r="BA223" t="str">
        <f ca="1">IFERROR(__xludf.DUMMYFUNCTION("""COMPUTED_VALUE"""),"#VALUE!")</f>
        <v>#VALUE!</v>
      </c>
      <c r="BC223" t="str">
        <f ca="1">IFERROR(__xludf.DUMMYFUNCTION("""COMPUTED_VALUE"""),"#VALUE!")</f>
        <v>#VALUE!</v>
      </c>
      <c r="BE223" t="str">
        <f ca="1">IFERROR(__xludf.DUMMYFUNCTION("""COMPUTED_VALUE"""),"#VALUE!")</f>
        <v>#VALUE!</v>
      </c>
      <c r="BG223" t="str">
        <f ca="1">IFERROR(__xludf.DUMMYFUNCTION("""COMPUTED_VALUE"""),"#VALUE!")</f>
        <v>#VALUE!</v>
      </c>
      <c r="BI223" t="str">
        <f ca="1">IFERROR(__xludf.DUMMYFUNCTION("""COMPUTED_VALUE"""),"#VALUE!")</f>
        <v>#VALUE!</v>
      </c>
      <c r="BK223" t="str">
        <f ca="1">IFERROR(__xludf.DUMMYFUNCTION("""COMPUTED_VALUE"""),"#VALUE!")</f>
        <v>#VALUE!</v>
      </c>
      <c r="BM223" t="str">
        <f ca="1">IFERROR(__xludf.DUMMYFUNCTION("""COMPUTED_VALUE"""),"#VALUE!")</f>
        <v>#VALUE!</v>
      </c>
      <c r="BO223" t="str">
        <f ca="1">IFERROR(__xludf.DUMMYFUNCTION("""COMPUTED_VALUE"""),"#VALUE!")</f>
        <v>#VALUE!</v>
      </c>
      <c r="BQ223" t="str">
        <f ca="1">IFERROR(__xludf.DUMMYFUNCTION("""COMPUTED_VALUE"""),"#VALUE!")</f>
        <v>#VALUE!</v>
      </c>
      <c r="BS223" t="str">
        <f ca="1">IFERROR(__xludf.DUMMYFUNCTION("""COMPUTED_VALUE"""),"#VALUE!")</f>
        <v>#VALUE!</v>
      </c>
      <c r="BU223" t="str">
        <f ca="1">IFERROR(__xludf.DUMMYFUNCTION("""COMPUTED_VALUE"""),"#VALUE!")</f>
        <v>#VALUE!</v>
      </c>
      <c r="BW223" t="str">
        <f ca="1">IFERROR(__xludf.DUMMYFUNCTION("""COMPUTED_VALUE"""),"#VALUE!")</f>
        <v>#VALUE!</v>
      </c>
      <c r="BY223" t="str">
        <f ca="1">IFERROR(__xludf.DUMMYFUNCTION("""COMPUTED_VALUE"""),"#VALUE!")</f>
        <v>#VALUE!</v>
      </c>
      <c r="CA223" t="str">
        <f ca="1">IFERROR(__xludf.DUMMYFUNCTION("""COMPUTED_VALUE"""),"#VALUE!")</f>
        <v>#VALUE!</v>
      </c>
      <c r="CC223" t="str">
        <f ca="1">IFERROR(__xludf.DUMMYFUNCTION("""COMPUTED_VALUE"""),"#VALUE!")</f>
        <v>#VALUE!</v>
      </c>
      <c r="CD223" t="str">
        <f ca="1">IFERROR(__xludf.DUMMYFUNCTION("""COMPUTED_VALUE"""),"C3598")</f>
        <v>C3598</v>
      </c>
      <c r="CE223" t="str">
        <f ca="1">IFERROR(__xludf.DUMMYFUNCTION("""COMPUTED_VALUE"""),"location of congregation")</f>
        <v>location of congregation</v>
      </c>
      <c r="CF223" t="str">
        <f ca="1">IFERROR(__xludf.DUMMYFUNCTION("""COMPUTED_VALUE"""),"L0071#L0119#L0080")</f>
        <v>L0071#L0119#L0080</v>
      </c>
      <c r="CG223" t="str">
        <f ca="1">IFERROR(__xludf.DUMMYFUNCTION("""COMPUTED_VALUE"""),"domus Iohannis Mulini de Sala #domus Addorne, uxoris Iohannis Mulini #domus Petrii Burgi")</f>
        <v>domus Iohannis Mulini de Sala #domus Addorne, uxoris Iohannis Mulini #domus Petrii Burgi</v>
      </c>
      <c r="CI223" t="str">
        <f ca="1">IFERROR(__xludf.DUMMYFUNCTION("""COMPUTED_VALUE"""),"#VALUE!")</f>
        <v>#VALUE!</v>
      </c>
      <c r="CK223" t="str">
        <f ca="1">IFERROR(__xludf.DUMMYFUNCTION("""COMPUTED_VALUE"""),"#VALUE!")</f>
        <v>#VALUE!</v>
      </c>
      <c r="CO223" t="str">
        <f ca="1">IFERROR(__xludf.DUMMYFUNCTION("""COMPUTED_VALUE"""),"Bruna")</f>
        <v>Bruna</v>
      </c>
      <c r="CS223" t="str">
        <f ca="1">IFERROR(__xludf.DUMMYFUNCTION("""COMPUTED_VALUE"""),"#VALUE!")</f>
        <v>#VALUE!</v>
      </c>
      <c r="CU223" t="str">
        <f ca="1">IFERROR(__xludf.DUMMYFUNCTION("""COMPUTED_VALUE"""),"#VALUE!")</f>
        <v>#VALUE!</v>
      </c>
      <c r="CV223" t="str">
        <f ca="1">IFERROR(__xludf.DUMMYFUNCTION("""COMPUTED_VALUE"""),"L0047")</f>
        <v>L0047</v>
      </c>
      <c r="CW223" t="str">
        <f ca="1">IFERROR(__xludf.DUMMYFUNCTION("""COMPUTED_VALUE"""),"Sala")</f>
        <v>Sala</v>
      </c>
      <c r="CX223" t="str">
        <f ca="1">IFERROR(__xludf.DUMMYFUNCTION("""COMPUTED_VALUE"""),"C0360")</f>
        <v>C0360</v>
      </c>
      <c r="CY223" t="str">
        <f ca="1">IFERROR(__xludf.DUMMYFUNCTION("""COMPUTED_VALUE"""),"textor")</f>
        <v>textor</v>
      </c>
      <c r="DA223" t="str">
        <f ca="1">IFERROR(__xludf.DUMMYFUNCTION("""COMPUTED_VALUE"""),"craftsman")</f>
        <v>craftsman</v>
      </c>
      <c r="DB223" t="str">
        <f ca="1">IFERROR(__xludf.DUMMYFUNCTION("""COMPUTED_VALUE"""),"C0360")</f>
        <v>C0360</v>
      </c>
      <c r="DC223" t="str">
        <f ca="1">IFERROR(__xludf.DUMMYFUNCTION("""COMPUTED_VALUE"""),"textor")</f>
        <v>textor</v>
      </c>
      <c r="DE223" t="str">
        <f ca="1">IFERROR(__xludf.DUMMYFUNCTION("""COMPUTED_VALUE"""),"#VALUE!")</f>
        <v>#VALUE!</v>
      </c>
      <c r="DF223" t="str">
        <f ca="1">IFERROR(__xludf.DUMMYFUNCTION("""COMPUTED_VALUE"""),"y")</f>
        <v>y</v>
      </c>
      <c r="DG223" t="str">
        <f ca="1">IFERROR(__xludf.DUMMYFUNCTION("""COMPUTED_VALUE"""),"221")</f>
        <v>221</v>
      </c>
      <c r="DH223" t="str">
        <f ca="1">IFERROR(__xludf.DUMMYFUNCTION("""COMPUTED_VALUE"""),"L0071#L0119#L0080")</f>
        <v>L0071#L0119#L0080</v>
      </c>
      <c r="DI223" t="str">
        <f ca="1">IFERROR(__xludf.DUMMYFUNCTION("""COMPUTED_VALUE"""),"domus Iohannis Mulini de Sala #domus Addorne, uxoris Iohannis Mulini #domus Petrii Burgi")</f>
        <v>domus Iohannis Mulini de Sala #domus Addorne, uxoris Iohannis Mulini #domus Petrii Burgi</v>
      </c>
      <c r="DJ223" t="str">
        <f ca="1">IFERROR(__xludf.DUMMYFUNCTION("""COMPUTED_VALUE"""),"domus #domus #domus")</f>
        <v>domus #domus #domus</v>
      </c>
      <c r="DL223" t="str">
        <f ca="1">IFERROR(__xludf.DUMMYFUNCTION("""COMPUTED_VALUE"""),"Davor Salihović")</f>
        <v>Davor Salihović</v>
      </c>
    </row>
    <row r="224" spans="1:116" ht="13.2" x14ac:dyDescent="0.25">
      <c r="A224" t="str">
        <f ca="1">IFERROR(__xludf.DUMMYFUNCTION("""COMPUTED_VALUE"""),"P0229")</f>
        <v>P0229</v>
      </c>
      <c r="B224" t="str">
        <f ca="1">IFERROR(__xludf.DUMMYFUNCTION("""COMPUTED_VALUE"""),"Marguerita Borsseta")</f>
        <v>Marguerita Borsseta</v>
      </c>
      <c r="D224" t="str">
        <f ca="1">IFERROR(__xludf.DUMMYFUNCTION("""COMPUTED_VALUE"""),"#VALUE!")</f>
        <v>#VALUE!</v>
      </c>
      <c r="E224" t="str">
        <f ca="1">IFERROR(__xludf.DUMMYFUNCTION("""COMPUTED_VALUE"""),"Marguerita")</f>
        <v>Marguerita</v>
      </c>
      <c r="K224" t="str">
        <f ca="1">IFERROR(__xludf.DUMMYFUNCTION("""COMPUTED_VALUE"""),"Borsseta")</f>
        <v>Borsseta</v>
      </c>
      <c r="L224" t="str">
        <f ca="1">IFERROR(__xludf.DUMMYFUNCTION("""COMPUTED_VALUE"""),"Borsseta")</f>
        <v>Borsseta</v>
      </c>
      <c r="S224" t="str">
        <f ca="1">IFERROR(__xludf.DUMMYFUNCTION("""COMPUTED_VALUE"""),"Latin")</f>
        <v>Latin</v>
      </c>
      <c r="T224" t="str">
        <f ca="1">IFERROR(__xludf.DUMMYFUNCTION("""COMPUTED_VALUE"""),"definite")</f>
        <v>definite</v>
      </c>
      <c r="U224" t="str">
        <f ca="1">IFERROR(__xludf.DUMMYFUNCTION("""COMPUTED_VALUE"""),"C2552")</f>
        <v>C2552</v>
      </c>
      <c r="V224" t="str">
        <f ca="1">IFERROR(__xludf.DUMMYFUNCTION("""COMPUTED_VALUE"""),"female")</f>
        <v>female</v>
      </c>
      <c r="Z224" t="str">
        <f ca="1">IFERROR(__xludf.DUMMYFUNCTION("""COMPUTED_VALUE"""),"178, 184, 185, 189, 192, 197, 198, 206, 207, 216, 221, 232, 234, 235, 236, 238, 241, 246")</f>
        <v>178, 184, 185, 189, 192, 197, 198, 206, 207, 216, 221, 232, 234, 235, 236, 238, 241, 246</v>
      </c>
      <c r="AA224" t="str">
        <f ca="1">IFERROR(__xludf.DUMMYFUNCTION("""COMPUTED_VALUE"""),"d")</f>
        <v>d</v>
      </c>
      <c r="AB224" t="str">
        <f ca="1">IFERROR(__xludf.DUMMYFUNCTION("""COMPUTED_VALUE"""),"suspect")</f>
        <v>suspect</v>
      </c>
      <c r="AE224" t="str">
        <f ca="1">IFERROR(__xludf.DUMMYFUNCTION("""COMPUTED_VALUE"""),"#VALUE!")</f>
        <v>#VALUE!</v>
      </c>
      <c r="AF224" t="str">
        <f ca="1">IFERROR(__xludf.DUMMYFUNCTION("""COMPUTED_VALUE"""),"#N/A")</f>
        <v>#N/A</v>
      </c>
      <c r="AG224" t="str">
        <f ca="1">IFERROR(__xludf.DUMMYFUNCTION("""COMPUTED_VALUE"""),"#N/A")</f>
        <v>#N/A</v>
      </c>
      <c r="AH224" t="str">
        <f ca="1">IFERROR(__xludf.DUMMYFUNCTION("""COMPUTED_VALUE"""),"C2336")</f>
        <v>C2336</v>
      </c>
      <c r="AI224" t="str">
        <f ca="1">IFERROR(__xludf.DUMMYFUNCTION("""COMPUTED_VALUE"""),"son")</f>
        <v>son</v>
      </c>
      <c r="AJ224" t="str">
        <f ca="1">IFERROR(__xludf.DUMMYFUNCTION("""COMPUTED_VALUE"""),"P0230")</f>
        <v>P0230</v>
      </c>
      <c r="AK224" t="str">
        <f ca="1">IFERROR(__xludf.DUMMYFUNCTION("""COMPUTED_VALUE"""),"Iohannes, filius Marguerite Borssete")</f>
        <v>Iohannes, filius Marguerite Borssete</v>
      </c>
      <c r="AL224" t="str">
        <f ca="1">IFERROR(__xludf.DUMMYFUNCTION("""COMPUTED_VALUE"""),"C2335")</f>
        <v>C2335</v>
      </c>
      <c r="AM224" t="str">
        <f ca="1">IFERROR(__xludf.DUMMYFUNCTION("""COMPUTED_VALUE"""),"daughter")</f>
        <v>daughter</v>
      </c>
      <c r="AN224" t="str">
        <f ca="1">IFERROR(__xludf.DUMMYFUNCTION("""COMPUTED_VALUE"""),"P0247")</f>
        <v>P0247</v>
      </c>
      <c r="AO224" t="str">
        <f ca="1">IFERROR(__xludf.DUMMYFUNCTION("""COMPUTED_VALUE"""),"Iohanna, filia Marguerite Borssete")</f>
        <v>Iohanna, filia Marguerite Borssete</v>
      </c>
      <c r="AP224" t="str">
        <f ca="1">IFERROR(__xludf.DUMMYFUNCTION("""COMPUTED_VALUE"""),"C2335")</f>
        <v>C2335</v>
      </c>
      <c r="AQ224" t="str">
        <f ca="1">IFERROR(__xludf.DUMMYFUNCTION("""COMPUTED_VALUE"""),"daughter")</f>
        <v>daughter</v>
      </c>
      <c r="AR224" t="str">
        <f ca="1">IFERROR(__xludf.DUMMYFUNCTION("""COMPUTED_VALUE"""),"P0254")</f>
        <v>P0254</v>
      </c>
      <c r="AS224" t="str">
        <f ca="1">IFERROR(__xludf.DUMMYFUNCTION("""COMPUTED_VALUE"""),"filia Margurite Borssete")</f>
        <v>filia Margurite Borssete</v>
      </c>
      <c r="AT224" t="str">
        <f ca="1">IFERROR(__xludf.DUMMYFUNCTION("""COMPUTED_VALUE"""),"C2335")</f>
        <v>C2335</v>
      </c>
      <c r="AU224" t="str">
        <f ca="1">IFERROR(__xludf.DUMMYFUNCTION("""COMPUTED_VALUE"""),"daughter")</f>
        <v>daughter</v>
      </c>
      <c r="AV224" t="str">
        <f ca="1">IFERROR(__xludf.DUMMYFUNCTION("""COMPUTED_VALUE"""),"P0255")</f>
        <v>P0255</v>
      </c>
      <c r="AW224" t="str">
        <f ca="1">IFERROR(__xludf.DUMMYFUNCTION("""COMPUTED_VALUE"""),"filia Margurite Borssete")</f>
        <v>filia Margurite Borssete</v>
      </c>
      <c r="AX224" t="str">
        <f ca="1">IFERROR(__xludf.DUMMYFUNCTION("""COMPUTED_VALUE"""),"C2335")</f>
        <v>C2335</v>
      </c>
      <c r="AY224" t="str">
        <f ca="1">IFERROR(__xludf.DUMMYFUNCTION("""COMPUTED_VALUE"""),"daughter")</f>
        <v>daughter</v>
      </c>
      <c r="AZ224" t="str">
        <f ca="1">IFERROR(__xludf.DUMMYFUNCTION("""COMPUTED_VALUE"""),"P0290")</f>
        <v>P0290</v>
      </c>
      <c r="BA224" t="str">
        <f ca="1">IFERROR(__xludf.DUMMYFUNCTION("""COMPUTED_VALUE"""),"Aymoneta, filia Marguerite Borssete")</f>
        <v>Aymoneta, filia Marguerite Borssete</v>
      </c>
      <c r="BB224" t="str">
        <f ca="1">IFERROR(__xludf.DUMMYFUNCTION("""COMPUTED_VALUE"""),"C3041")</f>
        <v>C3041</v>
      </c>
      <c r="BC224" t="str">
        <f ca="1">IFERROR(__xludf.DUMMYFUNCTION("""COMPUTED_VALUE"""),"household")</f>
        <v>household</v>
      </c>
      <c r="BD224" t="str">
        <f ca="1">IFERROR(__xludf.DUMMYFUNCTION("""COMPUTED_VALUE"""),"G0029")</f>
        <v>G0029</v>
      </c>
      <c r="BE224" t="str">
        <f ca="1">IFERROR(__xludf.DUMMYFUNCTION("""COMPUTED_VALUE"""),"hospitium Marguerite Borssete")</f>
        <v>hospitium Marguerite Borssete</v>
      </c>
      <c r="BG224" t="str">
        <f ca="1">IFERROR(__xludf.DUMMYFUNCTION("""COMPUTED_VALUE"""),"#VALUE!")</f>
        <v>#VALUE!</v>
      </c>
      <c r="BI224" t="str">
        <f ca="1">IFERROR(__xludf.DUMMYFUNCTION("""COMPUTED_VALUE"""),"#VALUE!")</f>
        <v>#VALUE!</v>
      </c>
      <c r="BK224" t="str">
        <f ca="1">IFERROR(__xludf.DUMMYFUNCTION("""COMPUTED_VALUE"""),"#VALUE!")</f>
        <v>#VALUE!</v>
      </c>
      <c r="BM224" t="str">
        <f ca="1">IFERROR(__xludf.DUMMYFUNCTION("""COMPUTED_VALUE"""),"#VALUE!")</f>
        <v>#VALUE!</v>
      </c>
      <c r="BO224" t="str">
        <f ca="1">IFERROR(__xludf.DUMMYFUNCTION("""COMPUTED_VALUE"""),"#VALUE!")</f>
        <v>#VALUE!</v>
      </c>
      <c r="BQ224" t="str">
        <f ca="1">IFERROR(__xludf.DUMMYFUNCTION("""COMPUTED_VALUE"""),"#VALUE!")</f>
        <v>#VALUE!</v>
      </c>
      <c r="BS224" t="str">
        <f ca="1">IFERROR(__xludf.DUMMYFUNCTION("""COMPUTED_VALUE"""),"#VALUE!")</f>
        <v>#VALUE!</v>
      </c>
      <c r="BU224" t="str">
        <f ca="1">IFERROR(__xludf.DUMMYFUNCTION("""COMPUTED_VALUE"""),"#VALUE!")</f>
        <v>#VALUE!</v>
      </c>
      <c r="BW224" t="str">
        <f ca="1">IFERROR(__xludf.DUMMYFUNCTION("""COMPUTED_VALUE"""),"#VALUE!")</f>
        <v>#VALUE!</v>
      </c>
      <c r="BY224" t="str">
        <f ca="1">IFERROR(__xludf.DUMMYFUNCTION("""COMPUTED_VALUE"""),"#VALUE!")</f>
        <v>#VALUE!</v>
      </c>
      <c r="CA224" t="str">
        <f ca="1">IFERROR(__xludf.DUMMYFUNCTION("""COMPUTED_VALUE"""),"#VALUE!")</f>
        <v>#VALUE!</v>
      </c>
      <c r="CC224" t="str">
        <f ca="1">IFERROR(__xludf.DUMMYFUNCTION("""COMPUTED_VALUE"""),"#VALUE!")</f>
        <v>#VALUE!</v>
      </c>
      <c r="CD224" t="str">
        <f ca="1">IFERROR(__xludf.DUMMYFUNCTION("""COMPUTED_VALUE"""),"C3598")</f>
        <v>C3598</v>
      </c>
      <c r="CE224" t="str">
        <f ca="1">IFERROR(__xludf.DUMMYFUNCTION("""COMPUTED_VALUE"""),"location of congregation")</f>
        <v>location of congregation</v>
      </c>
      <c r="CF224" t="str">
        <f ca="1">IFERROR(__xludf.DUMMYFUNCTION("""COMPUTED_VALUE"""),"L0077#L0066")</f>
        <v>L0077#L0066</v>
      </c>
      <c r="CG224" t="str">
        <f ca="1">IFERROR(__xludf.DUMMYFUNCTION("""COMPUTED_VALUE"""),"domus Margerite Borssete #domus Bernardi de Rosseto")</f>
        <v>domus Margerite Borssete #domus Bernardi de Rosseto</v>
      </c>
      <c r="CI224" t="str">
        <f ca="1">IFERROR(__xludf.DUMMYFUNCTION("""COMPUTED_VALUE"""),"#VALUE!")</f>
        <v>#VALUE!</v>
      </c>
      <c r="CK224" t="str">
        <f ca="1">IFERROR(__xludf.DUMMYFUNCTION("""COMPUTED_VALUE"""),"#VALUE!")</f>
        <v>#VALUE!</v>
      </c>
      <c r="CS224" t="str">
        <f ca="1">IFERROR(__xludf.DUMMYFUNCTION("""COMPUTED_VALUE"""),"#VALUE!")</f>
        <v>#VALUE!</v>
      </c>
      <c r="CU224" t="str">
        <f ca="1">IFERROR(__xludf.DUMMYFUNCTION("""COMPUTED_VALUE"""),"#VALUE!")</f>
        <v>#VALUE!</v>
      </c>
      <c r="CW224" t="str">
        <f ca="1">IFERROR(__xludf.DUMMYFUNCTION("""COMPUTED_VALUE"""),"#VALUE!")</f>
        <v>#VALUE!</v>
      </c>
      <c r="CY224" t="str">
        <f ca="1">IFERROR(__xludf.DUMMYFUNCTION("""COMPUTED_VALUE"""),"#VALUE!")</f>
        <v>#VALUE!</v>
      </c>
      <c r="DC224" t="str">
        <f ca="1">IFERROR(__xludf.DUMMYFUNCTION("""COMPUTED_VALUE"""),"#VALUE!")</f>
        <v>#VALUE!</v>
      </c>
      <c r="DE224" t="str">
        <f ca="1">IFERROR(__xludf.DUMMYFUNCTION("""COMPUTED_VALUE"""),"#VALUE!")</f>
        <v>#VALUE!</v>
      </c>
      <c r="DH224" t="str">
        <f ca="1">IFERROR(__xludf.DUMMYFUNCTION("""COMPUTED_VALUE"""),"L0077#L0066")</f>
        <v>L0077#L0066</v>
      </c>
      <c r="DI224" t="str">
        <f ca="1">IFERROR(__xludf.DUMMYFUNCTION("""COMPUTED_VALUE"""),"domus Margerite Borssete #domus Bernardi de Rosseto")</f>
        <v>domus Margerite Borssete #domus Bernardi de Rosseto</v>
      </c>
      <c r="DJ224" t="str">
        <f ca="1">IFERROR(__xludf.DUMMYFUNCTION("""COMPUTED_VALUE"""),"domus #domus")</f>
        <v>domus #domus</v>
      </c>
      <c r="DL224" t="str">
        <f ca="1">IFERROR(__xludf.DUMMYFUNCTION("""COMPUTED_VALUE"""),"Davor Salihović")</f>
        <v>Davor Salihović</v>
      </c>
    </row>
    <row r="225" spans="1:116" ht="13.2" x14ac:dyDescent="0.25">
      <c r="A225" t="str">
        <f ca="1">IFERROR(__xludf.DUMMYFUNCTION("""COMPUTED_VALUE"""),"P0230")</f>
        <v>P0230</v>
      </c>
      <c r="B225" t="str">
        <f ca="1">IFERROR(__xludf.DUMMYFUNCTION("""COMPUTED_VALUE"""),"Iohannes, filius Marguerite Borssete")</f>
        <v>Iohannes, filius Marguerite Borssete</v>
      </c>
      <c r="D225" t="str">
        <f ca="1">IFERROR(__xludf.DUMMYFUNCTION("""COMPUTED_VALUE"""),"#VALUE!")</f>
        <v>#VALUE!</v>
      </c>
      <c r="E225" t="str">
        <f ca="1">IFERROR(__xludf.DUMMYFUNCTION("""COMPUTED_VALUE"""),"Iohannes")</f>
        <v>Iohannes</v>
      </c>
      <c r="Q225" t="str">
        <f ca="1">IFERROR(__xludf.DUMMYFUNCTION("""COMPUTED_VALUE"""),"filius Marguerite Borssete")</f>
        <v>filius Marguerite Borssete</v>
      </c>
      <c r="S225" t="str">
        <f ca="1">IFERROR(__xludf.DUMMYFUNCTION("""COMPUTED_VALUE"""),"Latin")</f>
        <v>Latin</v>
      </c>
      <c r="T225" t="str">
        <f ca="1">IFERROR(__xludf.DUMMYFUNCTION("""COMPUTED_VALUE"""),"definite")</f>
        <v>definite</v>
      </c>
      <c r="U225" t="str">
        <f ca="1">IFERROR(__xludf.DUMMYFUNCTION("""COMPUTED_VALUE"""),"C2553")</f>
        <v>C2553</v>
      </c>
      <c r="V225" t="str">
        <f ca="1">IFERROR(__xludf.DUMMYFUNCTION("""COMPUTED_VALUE"""),"male")</f>
        <v>male</v>
      </c>
      <c r="Z225" t="str">
        <f ca="1">IFERROR(__xludf.DUMMYFUNCTION("""COMPUTED_VALUE"""),"178, 184, 185, 189, 216, 217, 238")</f>
        <v>178, 184, 185, 189, 216, 217, 238</v>
      </c>
      <c r="AA225" t="str">
        <f ca="1">IFERROR(__xludf.DUMMYFUNCTION("""COMPUTED_VALUE"""),"d")</f>
        <v>d</v>
      </c>
      <c r="AB225" t="str">
        <f ca="1">IFERROR(__xludf.DUMMYFUNCTION("""COMPUTED_VALUE"""),"suspect")</f>
        <v>suspect</v>
      </c>
      <c r="AE225" t="str">
        <f ca="1">IFERROR(__xludf.DUMMYFUNCTION("""COMPUTED_VALUE"""),"#VALUE!")</f>
        <v>#VALUE!</v>
      </c>
      <c r="AF225" t="str">
        <f ca="1">IFERROR(__xludf.DUMMYFUNCTION("""COMPUTED_VALUE"""),"#N/A")</f>
        <v>#N/A</v>
      </c>
      <c r="AG225" t="str">
        <f ca="1">IFERROR(__xludf.DUMMYFUNCTION("""COMPUTED_VALUE"""),"#N/A")</f>
        <v>#N/A</v>
      </c>
      <c r="AH225" t="str">
        <f ca="1">IFERROR(__xludf.DUMMYFUNCTION("""COMPUTED_VALUE"""),"C2348")</f>
        <v>C2348</v>
      </c>
      <c r="AI225" t="str">
        <f ca="1">IFERROR(__xludf.DUMMYFUNCTION("""COMPUTED_VALUE"""),"wife")</f>
        <v>wife</v>
      </c>
      <c r="AJ225" t="str">
        <f ca="1">IFERROR(__xludf.DUMMYFUNCTION("""COMPUTED_VALUE"""),"P0280")</f>
        <v>P0280</v>
      </c>
      <c r="AK225" t="str">
        <f ca="1">IFERROR(__xludf.DUMMYFUNCTION("""COMPUTED_VALUE"""),"Villelmina, uxor Iohannis, filii Marguerite Borssete")</f>
        <v>Villelmina, uxor Iohannis, filii Marguerite Borssete</v>
      </c>
      <c r="AM225" t="str">
        <f ca="1">IFERROR(__xludf.DUMMYFUNCTION("""COMPUTED_VALUE"""),"#VALUE!")</f>
        <v>#VALUE!</v>
      </c>
      <c r="AO225" t="str">
        <f ca="1">IFERROR(__xludf.DUMMYFUNCTION("""COMPUTED_VALUE"""),"#VALUE!")</f>
        <v>#VALUE!</v>
      </c>
      <c r="AQ225" t="str">
        <f ca="1">IFERROR(__xludf.DUMMYFUNCTION("""COMPUTED_VALUE"""),"#VALUE!")</f>
        <v>#VALUE!</v>
      </c>
      <c r="AS225" t="str">
        <f ca="1">IFERROR(__xludf.DUMMYFUNCTION("""COMPUTED_VALUE"""),"#VALUE!")</f>
        <v>#VALUE!</v>
      </c>
      <c r="AU225" t="str">
        <f ca="1">IFERROR(__xludf.DUMMYFUNCTION("""COMPUTED_VALUE"""),"#VALUE!")</f>
        <v>#VALUE!</v>
      </c>
      <c r="AW225" t="str">
        <f ca="1">IFERROR(__xludf.DUMMYFUNCTION("""COMPUTED_VALUE"""),"#VALUE!")</f>
        <v>#VALUE!</v>
      </c>
      <c r="AY225" t="str">
        <f ca="1">IFERROR(__xludf.DUMMYFUNCTION("""COMPUTED_VALUE"""),"#VALUE!")</f>
        <v>#VALUE!</v>
      </c>
      <c r="BA225" t="str">
        <f ca="1">IFERROR(__xludf.DUMMYFUNCTION("""COMPUTED_VALUE"""),"#VALUE!")</f>
        <v>#VALUE!</v>
      </c>
      <c r="BC225" t="str">
        <f ca="1">IFERROR(__xludf.DUMMYFUNCTION("""COMPUTED_VALUE"""),"#VALUE!")</f>
        <v>#VALUE!</v>
      </c>
      <c r="BE225" t="str">
        <f ca="1">IFERROR(__xludf.DUMMYFUNCTION("""COMPUTED_VALUE"""),"#VALUE!")</f>
        <v>#VALUE!</v>
      </c>
      <c r="BG225" t="str">
        <f ca="1">IFERROR(__xludf.DUMMYFUNCTION("""COMPUTED_VALUE"""),"#VALUE!")</f>
        <v>#VALUE!</v>
      </c>
      <c r="BI225" t="str">
        <f ca="1">IFERROR(__xludf.DUMMYFUNCTION("""COMPUTED_VALUE"""),"#VALUE!")</f>
        <v>#VALUE!</v>
      </c>
      <c r="BK225" t="str">
        <f ca="1">IFERROR(__xludf.DUMMYFUNCTION("""COMPUTED_VALUE"""),"#VALUE!")</f>
        <v>#VALUE!</v>
      </c>
      <c r="BM225" t="str">
        <f ca="1">IFERROR(__xludf.DUMMYFUNCTION("""COMPUTED_VALUE"""),"#VALUE!")</f>
        <v>#VALUE!</v>
      </c>
      <c r="BO225" t="str">
        <f ca="1">IFERROR(__xludf.DUMMYFUNCTION("""COMPUTED_VALUE"""),"#VALUE!")</f>
        <v>#VALUE!</v>
      </c>
      <c r="BQ225" t="str">
        <f ca="1">IFERROR(__xludf.DUMMYFUNCTION("""COMPUTED_VALUE"""),"#VALUE!")</f>
        <v>#VALUE!</v>
      </c>
      <c r="BS225" t="str">
        <f ca="1">IFERROR(__xludf.DUMMYFUNCTION("""COMPUTED_VALUE"""),"#VALUE!")</f>
        <v>#VALUE!</v>
      </c>
      <c r="BU225" t="str">
        <f ca="1">IFERROR(__xludf.DUMMYFUNCTION("""COMPUTED_VALUE"""),"#VALUE!")</f>
        <v>#VALUE!</v>
      </c>
      <c r="BW225" t="str">
        <f ca="1">IFERROR(__xludf.DUMMYFUNCTION("""COMPUTED_VALUE"""),"#VALUE!")</f>
        <v>#VALUE!</v>
      </c>
      <c r="BY225" t="str">
        <f ca="1">IFERROR(__xludf.DUMMYFUNCTION("""COMPUTED_VALUE"""),"#VALUE!")</f>
        <v>#VALUE!</v>
      </c>
      <c r="CA225" t="str">
        <f ca="1">IFERROR(__xludf.DUMMYFUNCTION("""COMPUTED_VALUE"""),"#VALUE!")</f>
        <v>#VALUE!</v>
      </c>
      <c r="CC225" t="str">
        <f ca="1">IFERROR(__xludf.DUMMYFUNCTION("""COMPUTED_VALUE"""),"#VALUE!")</f>
        <v>#VALUE!</v>
      </c>
      <c r="CD225" t="str">
        <f ca="1">IFERROR(__xludf.DUMMYFUNCTION("""COMPUTED_VALUE"""),"C3598")</f>
        <v>C3598</v>
      </c>
      <c r="CE225" t="str">
        <f ca="1">IFERROR(__xludf.DUMMYFUNCTION("""COMPUTED_VALUE"""),"location of congregation")</f>
        <v>location of congregation</v>
      </c>
      <c r="CF225" t="str">
        <f ca="1">IFERROR(__xludf.DUMMYFUNCTION("""COMPUTED_VALUE"""),"L0077#L0066")</f>
        <v>L0077#L0066</v>
      </c>
      <c r="CG225" t="str">
        <f ca="1">IFERROR(__xludf.DUMMYFUNCTION("""COMPUTED_VALUE"""),"domus Margerite Borssete #domus Bernardi de Rosseto")</f>
        <v>domus Margerite Borssete #domus Bernardi de Rosseto</v>
      </c>
      <c r="CI225" t="str">
        <f ca="1">IFERROR(__xludf.DUMMYFUNCTION("""COMPUTED_VALUE"""),"#VALUE!")</f>
        <v>#VALUE!</v>
      </c>
      <c r="CK225" t="str">
        <f ca="1">IFERROR(__xludf.DUMMYFUNCTION("""COMPUTED_VALUE"""),"#VALUE!")</f>
        <v>#VALUE!</v>
      </c>
      <c r="CS225" t="str">
        <f ca="1">IFERROR(__xludf.DUMMYFUNCTION("""COMPUTED_VALUE"""),"#VALUE!")</f>
        <v>#VALUE!</v>
      </c>
      <c r="CU225" t="str">
        <f ca="1">IFERROR(__xludf.DUMMYFUNCTION("""COMPUTED_VALUE"""),"#VALUE!")</f>
        <v>#VALUE!</v>
      </c>
      <c r="CW225" t="str">
        <f ca="1">IFERROR(__xludf.DUMMYFUNCTION("""COMPUTED_VALUE"""),"#VALUE!")</f>
        <v>#VALUE!</v>
      </c>
      <c r="CY225" t="str">
        <f ca="1">IFERROR(__xludf.DUMMYFUNCTION("""COMPUTED_VALUE"""),"#VALUE!")</f>
        <v>#VALUE!</v>
      </c>
      <c r="DC225" t="str">
        <f ca="1">IFERROR(__xludf.DUMMYFUNCTION("""COMPUTED_VALUE"""),"#VALUE!")</f>
        <v>#VALUE!</v>
      </c>
      <c r="DE225" t="str">
        <f ca="1">IFERROR(__xludf.DUMMYFUNCTION("""COMPUTED_VALUE"""),"#VALUE!")</f>
        <v>#VALUE!</v>
      </c>
      <c r="DH225" t="str">
        <f ca="1">IFERROR(__xludf.DUMMYFUNCTION("""COMPUTED_VALUE"""),"L0077#L0066")</f>
        <v>L0077#L0066</v>
      </c>
      <c r="DI225" t="str">
        <f ca="1">IFERROR(__xludf.DUMMYFUNCTION("""COMPUTED_VALUE"""),"domus Margerite Borssete #domus Bernardi de Rosseto")</f>
        <v>domus Margerite Borssete #domus Bernardi de Rosseto</v>
      </c>
      <c r="DJ225" t="str">
        <f ca="1">IFERROR(__xludf.DUMMYFUNCTION("""COMPUTED_VALUE"""),"domus #domus")</f>
        <v>domus #domus</v>
      </c>
      <c r="DL225" t="str">
        <f ca="1">IFERROR(__xludf.DUMMYFUNCTION("""COMPUTED_VALUE"""),"Davor Salihović")</f>
        <v>Davor Salihović</v>
      </c>
    </row>
    <row r="226" spans="1:116" ht="13.2" x14ac:dyDescent="0.25">
      <c r="A226" t="str">
        <f ca="1">IFERROR(__xludf.DUMMYFUNCTION("""COMPUTED_VALUE"""),"P0231")</f>
        <v>P0231</v>
      </c>
      <c r="B226" t="str">
        <f ca="1">IFERROR(__xludf.DUMMYFUNCTION("""COMPUTED_VALUE"""),"Brunetus Plancha")</f>
        <v>Brunetus Plancha</v>
      </c>
      <c r="D226" t="str">
        <f ca="1">IFERROR(__xludf.DUMMYFUNCTION("""COMPUTED_VALUE"""),"#VALUE!")</f>
        <v>#VALUE!</v>
      </c>
      <c r="E226" t="str">
        <f ca="1">IFERROR(__xludf.DUMMYFUNCTION("""COMPUTED_VALUE"""),"Brunetus")</f>
        <v>Brunetus</v>
      </c>
      <c r="K226" t="str">
        <f ca="1">IFERROR(__xludf.DUMMYFUNCTION("""COMPUTED_VALUE"""),"Plancha")</f>
        <v>Plancha</v>
      </c>
      <c r="L226" t="str">
        <f ca="1">IFERROR(__xludf.DUMMYFUNCTION("""COMPUTED_VALUE"""),"Plancha")</f>
        <v>Plancha</v>
      </c>
      <c r="S226" t="str">
        <f ca="1">IFERROR(__xludf.DUMMYFUNCTION("""COMPUTED_VALUE"""),"Latin")</f>
        <v>Latin</v>
      </c>
      <c r="T226" t="str">
        <f ca="1">IFERROR(__xludf.DUMMYFUNCTION("""COMPUTED_VALUE"""),"definite")</f>
        <v>definite</v>
      </c>
      <c r="U226" t="str">
        <f ca="1">IFERROR(__xludf.DUMMYFUNCTION("""COMPUTED_VALUE"""),"C2553")</f>
        <v>C2553</v>
      </c>
      <c r="V226" t="str">
        <f ca="1">IFERROR(__xludf.DUMMYFUNCTION("""COMPUTED_VALUE"""),"male")</f>
        <v>male</v>
      </c>
      <c r="Z226" t="str">
        <f ca="1">IFERROR(__xludf.DUMMYFUNCTION("""COMPUTED_VALUE"""),"178, 196")</f>
        <v>178, 196</v>
      </c>
      <c r="AA226" t="str">
        <f ca="1">IFERROR(__xludf.DUMMYFUNCTION("""COMPUTED_VALUE"""),"d")</f>
        <v>d</v>
      </c>
      <c r="AB226" t="str">
        <f ca="1">IFERROR(__xludf.DUMMYFUNCTION("""COMPUTED_VALUE"""),"NA")</f>
        <v>NA</v>
      </c>
      <c r="AC226" t="str">
        <f ca="1">IFERROR(__xludf.DUMMYFUNCTION("""COMPUTED_VALUE"""),"y")</f>
        <v>y</v>
      </c>
      <c r="AD226" t="str">
        <f ca="1">IFERROR(__xludf.DUMMYFUNCTION("""COMPUTED_VALUE"""),"C3288")</f>
        <v>C3288</v>
      </c>
      <c r="AE226" t="str">
        <f ca="1">IFERROR(__xludf.DUMMYFUNCTION("""COMPUTED_VALUE"""),"dead")</f>
        <v>dead</v>
      </c>
      <c r="AF226" t="str">
        <f ca="1">IFERROR(__xludf.DUMMYFUNCTION("""COMPUTED_VALUE"""),"C1749")</f>
        <v>C1749</v>
      </c>
      <c r="AG226" t="str">
        <f ca="1">IFERROR(__xludf.DUMMYFUNCTION("""COMPUTED_VALUE"""),"1335-01-20")</f>
        <v>1335-01-20</v>
      </c>
      <c r="AH226" t="str">
        <f ca="1">IFERROR(__xludf.DUMMYFUNCTION("""COMPUTED_VALUE"""),"C2348")</f>
        <v>C2348</v>
      </c>
      <c r="AI226" t="str">
        <f ca="1">IFERROR(__xludf.DUMMYFUNCTION("""COMPUTED_VALUE"""),"wife")</f>
        <v>wife</v>
      </c>
      <c r="AJ226" t="str">
        <f ca="1">IFERROR(__xludf.DUMMYFUNCTION("""COMPUTED_VALUE"""),"P0232")</f>
        <v>P0232</v>
      </c>
      <c r="AK226" t="str">
        <f ca="1">IFERROR(__xludf.DUMMYFUNCTION("""COMPUTED_VALUE"""),"uxor Bruneti Plancha")</f>
        <v>uxor Bruneti Plancha</v>
      </c>
      <c r="AM226" t="str">
        <f ca="1">IFERROR(__xludf.DUMMYFUNCTION("""COMPUTED_VALUE"""),"#VALUE!")</f>
        <v>#VALUE!</v>
      </c>
      <c r="AO226" t="str">
        <f ca="1">IFERROR(__xludf.DUMMYFUNCTION("""COMPUTED_VALUE"""),"#VALUE!")</f>
        <v>#VALUE!</v>
      </c>
      <c r="AQ226" t="str">
        <f ca="1">IFERROR(__xludf.DUMMYFUNCTION("""COMPUTED_VALUE"""),"#VALUE!")</f>
        <v>#VALUE!</v>
      </c>
      <c r="AS226" t="str">
        <f ca="1">IFERROR(__xludf.DUMMYFUNCTION("""COMPUTED_VALUE"""),"#VALUE!")</f>
        <v>#VALUE!</v>
      </c>
      <c r="AU226" t="str">
        <f ca="1">IFERROR(__xludf.DUMMYFUNCTION("""COMPUTED_VALUE"""),"#VALUE!")</f>
        <v>#VALUE!</v>
      </c>
      <c r="AW226" t="str">
        <f ca="1">IFERROR(__xludf.DUMMYFUNCTION("""COMPUTED_VALUE"""),"#VALUE!")</f>
        <v>#VALUE!</v>
      </c>
      <c r="AY226" t="str">
        <f ca="1">IFERROR(__xludf.DUMMYFUNCTION("""COMPUTED_VALUE"""),"#VALUE!")</f>
        <v>#VALUE!</v>
      </c>
      <c r="BA226" t="str">
        <f ca="1">IFERROR(__xludf.DUMMYFUNCTION("""COMPUTED_VALUE"""),"#VALUE!")</f>
        <v>#VALUE!</v>
      </c>
      <c r="BC226" t="str">
        <f ca="1">IFERROR(__xludf.DUMMYFUNCTION("""COMPUTED_VALUE"""),"#VALUE!")</f>
        <v>#VALUE!</v>
      </c>
      <c r="BE226" t="str">
        <f ca="1">IFERROR(__xludf.DUMMYFUNCTION("""COMPUTED_VALUE"""),"#VALUE!")</f>
        <v>#VALUE!</v>
      </c>
      <c r="BG226" t="str">
        <f ca="1">IFERROR(__xludf.DUMMYFUNCTION("""COMPUTED_VALUE"""),"#VALUE!")</f>
        <v>#VALUE!</v>
      </c>
      <c r="BI226" t="str">
        <f ca="1">IFERROR(__xludf.DUMMYFUNCTION("""COMPUTED_VALUE"""),"#VALUE!")</f>
        <v>#VALUE!</v>
      </c>
      <c r="BK226" t="str">
        <f ca="1">IFERROR(__xludf.DUMMYFUNCTION("""COMPUTED_VALUE"""),"#VALUE!")</f>
        <v>#VALUE!</v>
      </c>
      <c r="BM226" t="str">
        <f ca="1">IFERROR(__xludf.DUMMYFUNCTION("""COMPUTED_VALUE"""),"#VALUE!")</f>
        <v>#VALUE!</v>
      </c>
      <c r="BO226" t="str">
        <f ca="1">IFERROR(__xludf.DUMMYFUNCTION("""COMPUTED_VALUE"""),"#VALUE!")</f>
        <v>#VALUE!</v>
      </c>
      <c r="BQ226" t="str">
        <f ca="1">IFERROR(__xludf.DUMMYFUNCTION("""COMPUTED_VALUE"""),"#VALUE!")</f>
        <v>#VALUE!</v>
      </c>
      <c r="BS226" t="str">
        <f ca="1">IFERROR(__xludf.DUMMYFUNCTION("""COMPUTED_VALUE"""),"#VALUE!")</f>
        <v>#VALUE!</v>
      </c>
      <c r="BU226" t="str">
        <f ca="1">IFERROR(__xludf.DUMMYFUNCTION("""COMPUTED_VALUE"""),"#VALUE!")</f>
        <v>#VALUE!</v>
      </c>
      <c r="BW226" t="str">
        <f ca="1">IFERROR(__xludf.DUMMYFUNCTION("""COMPUTED_VALUE"""),"#VALUE!")</f>
        <v>#VALUE!</v>
      </c>
      <c r="BY226" t="str">
        <f ca="1">IFERROR(__xludf.DUMMYFUNCTION("""COMPUTED_VALUE"""),"#VALUE!")</f>
        <v>#VALUE!</v>
      </c>
      <c r="CA226" t="str">
        <f ca="1">IFERROR(__xludf.DUMMYFUNCTION("""COMPUTED_VALUE"""),"#VALUE!")</f>
        <v>#VALUE!</v>
      </c>
      <c r="CC226" t="str">
        <f ca="1">IFERROR(__xludf.DUMMYFUNCTION("""COMPUTED_VALUE"""),"#VALUE!")</f>
        <v>#VALUE!</v>
      </c>
      <c r="CE226" t="str">
        <f ca="1">IFERROR(__xludf.DUMMYFUNCTION("""COMPUTED_VALUE"""),"#VALUE!")</f>
        <v>#VALUE!</v>
      </c>
      <c r="CG226" t="str">
        <f ca="1">IFERROR(__xludf.DUMMYFUNCTION("""COMPUTED_VALUE"""),"#VALUE!")</f>
        <v>#VALUE!</v>
      </c>
      <c r="CI226" t="str">
        <f ca="1">IFERROR(__xludf.DUMMYFUNCTION("""COMPUTED_VALUE"""),"#VALUE!")</f>
        <v>#VALUE!</v>
      </c>
      <c r="CK226" t="str">
        <f ca="1">IFERROR(__xludf.DUMMYFUNCTION("""COMPUTED_VALUE"""),"#VALUE!")</f>
        <v>#VALUE!</v>
      </c>
      <c r="CS226" t="str">
        <f ca="1">IFERROR(__xludf.DUMMYFUNCTION("""COMPUTED_VALUE"""),"#VALUE!")</f>
        <v>#VALUE!</v>
      </c>
      <c r="CU226" t="str">
        <f ca="1">IFERROR(__xludf.DUMMYFUNCTION("""COMPUTED_VALUE"""),"#VALUE!")</f>
        <v>#VALUE!</v>
      </c>
      <c r="CW226" t="str">
        <f ca="1">IFERROR(__xludf.DUMMYFUNCTION("""COMPUTED_VALUE"""),"#VALUE!")</f>
        <v>#VALUE!</v>
      </c>
      <c r="CY226" t="str">
        <f ca="1">IFERROR(__xludf.DUMMYFUNCTION("""COMPUTED_VALUE"""),"#VALUE!")</f>
        <v>#VALUE!</v>
      </c>
      <c r="DC226" t="str">
        <f ca="1">IFERROR(__xludf.DUMMYFUNCTION("""COMPUTED_VALUE"""),"#VALUE!")</f>
        <v>#VALUE!</v>
      </c>
      <c r="DE226" t="str">
        <f ca="1">IFERROR(__xludf.DUMMYFUNCTION("""COMPUTED_VALUE"""),"#VALUE!")</f>
        <v>#VALUE!</v>
      </c>
      <c r="DI226" t="str">
        <f ca="1">IFERROR(__xludf.DUMMYFUNCTION("""COMPUTED_VALUE"""),"#VALUE!")</f>
        <v>#VALUE!</v>
      </c>
      <c r="DJ226" t="str">
        <f ca="1">IFERROR(__xludf.DUMMYFUNCTION("""COMPUTED_VALUE"""),"#VALUE!")</f>
        <v>#VALUE!</v>
      </c>
      <c r="DL226" t="str">
        <f ca="1">IFERROR(__xludf.DUMMYFUNCTION("""COMPUTED_VALUE"""),"Davor Salihović")</f>
        <v>Davor Salihović</v>
      </c>
    </row>
    <row r="227" spans="1:116" ht="13.2" x14ac:dyDescent="0.25">
      <c r="A227" t="str">
        <f ca="1">IFERROR(__xludf.DUMMYFUNCTION("""COMPUTED_VALUE"""),"P0232")</f>
        <v>P0232</v>
      </c>
      <c r="B227" t="str">
        <f ca="1">IFERROR(__xludf.DUMMYFUNCTION("""COMPUTED_VALUE"""),"uxor Bruneti Plancha")</f>
        <v>uxor Bruneti Plancha</v>
      </c>
      <c r="D227" t="str">
        <f ca="1">IFERROR(__xludf.DUMMYFUNCTION("""COMPUTED_VALUE"""),"#VALUE!")</f>
        <v>#VALUE!</v>
      </c>
      <c r="E227" t="str">
        <f ca="1">IFERROR(__xludf.DUMMYFUNCTION("""COMPUTED_VALUE"""),"uxor Bruneti Plancha")</f>
        <v>uxor Bruneti Plancha</v>
      </c>
      <c r="Q227" t="str">
        <f ca="1">IFERROR(__xludf.DUMMYFUNCTION("""COMPUTED_VALUE"""),"uxor Bruneti Plancha")</f>
        <v>uxor Bruneti Plancha</v>
      </c>
      <c r="S227" t="str">
        <f ca="1">IFERROR(__xludf.DUMMYFUNCTION("""COMPUTED_VALUE"""),"Latin")</f>
        <v>Latin</v>
      </c>
      <c r="T227" t="str">
        <f ca="1">IFERROR(__xludf.DUMMYFUNCTION("""COMPUTED_VALUE"""),"definite")</f>
        <v>definite</v>
      </c>
      <c r="U227" t="str">
        <f ca="1">IFERROR(__xludf.DUMMYFUNCTION("""COMPUTED_VALUE"""),"C2552")</f>
        <v>C2552</v>
      </c>
      <c r="V227" t="str">
        <f ca="1">IFERROR(__xludf.DUMMYFUNCTION("""COMPUTED_VALUE"""),"female")</f>
        <v>female</v>
      </c>
      <c r="Z227" t="str">
        <f ca="1">IFERROR(__xludf.DUMMYFUNCTION("""COMPUTED_VALUE"""),"178, 196")</f>
        <v>178, 196</v>
      </c>
      <c r="AA227" t="str">
        <f ca="1">IFERROR(__xludf.DUMMYFUNCTION("""COMPUTED_VALUE"""),"d")</f>
        <v>d</v>
      </c>
      <c r="AB227" t="str">
        <f ca="1">IFERROR(__xludf.DUMMYFUNCTION("""COMPUTED_VALUE"""),"suspect")</f>
        <v>suspect</v>
      </c>
      <c r="AE227" t="str">
        <f ca="1">IFERROR(__xludf.DUMMYFUNCTION("""COMPUTED_VALUE"""),"#VALUE!")</f>
        <v>#VALUE!</v>
      </c>
      <c r="AF227" t="str">
        <f ca="1">IFERROR(__xludf.DUMMYFUNCTION("""COMPUTED_VALUE"""),"#N/A")</f>
        <v>#N/A</v>
      </c>
      <c r="AG227" t="str">
        <f ca="1">IFERROR(__xludf.DUMMYFUNCTION("""COMPUTED_VALUE"""),"#N/A")</f>
        <v>#N/A</v>
      </c>
      <c r="AI227" t="str">
        <f ca="1">IFERROR(__xludf.DUMMYFUNCTION("""COMPUTED_VALUE"""),"#VALUE!")</f>
        <v>#VALUE!</v>
      </c>
      <c r="AK227" t="str">
        <f ca="1">IFERROR(__xludf.DUMMYFUNCTION("""COMPUTED_VALUE"""),"#VALUE!")</f>
        <v>#VALUE!</v>
      </c>
      <c r="AM227" t="str">
        <f ca="1">IFERROR(__xludf.DUMMYFUNCTION("""COMPUTED_VALUE"""),"#VALUE!")</f>
        <v>#VALUE!</v>
      </c>
      <c r="AO227" t="str">
        <f ca="1">IFERROR(__xludf.DUMMYFUNCTION("""COMPUTED_VALUE"""),"#VALUE!")</f>
        <v>#VALUE!</v>
      </c>
      <c r="AQ227" t="str">
        <f ca="1">IFERROR(__xludf.DUMMYFUNCTION("""COMPUTED_VALUE"""),"#VALUE!")</f>
        <v>#VALUE!</v>
      </c>
      <c r="AS227" t="str">
        <f ca="1">IFERROR(__xludf.DUMMYFUNCTION("""COMPUTED_VALUE"""),"#VALUE!")</f>
        <v>#VALUE!</v>
      </c>
      <c r="AU227" t="str">
        <f ca="1">IFERROR(__xludf.DUMMYFUNCTION("""COMPUTED_VALUE"""),"#VALUE!")</f>
        <v>#VALUE!</v>
      </c>
      <c r="AW227" t="str">
        <f ca="1">IFERROR(__xludf.DUMMYFUNCTION("""COMPUTED_VALUE"""),"#VALUE!")</f>
        <v>#VALUE!</v>
      </c>
      <c r="AY227" t="str">
        <f ca="1">IFERROR(__xludf.DUMMYFUNCTION("""COMPUTED_VALUE"""),"#VALUE!")</f>
        <v>#VALUE!</v>
      </c>
      <c r="BA227" t="str">
        <f ca="1">IFERROR(__xludf.DUMMYFUNCTION("""COMPUTED_VALUE"""),"#VALUE!")</f>
        <v>#VALUE!</v>
      </c>
      <c r="BC227" t="str">
        <f ca="1">IFERROR(__xludf.DUMMYFUNCTION("""COMPUTED_VALUE"""),"#VALUE!")</f>
        <v>#VALUE!</v>
      </c>
      <c r="BE227" t="str">
        <f ca="1">IFERROR(__xludf.DUMMYFUNCTION("""COMPUTED_VALUE"""),"#VALUE!")</f>
        <v>#VALUE!</v>
      </c>
      <c r="BG227" t="str">
        <f ca="1">IFERROR(__xludf.DUMMYFUNCTION("""COMPUTED_VALUE"""),"#VALUE!")</f>
        <v>#VALUE!</v>
      </c>
      <c r="BI227" t="str">
        <f ca="1">IFERROR(__xludf.DUMMYFUNCTION("""COMPUTED_VALUE"""),"#VALUE!")</f>
        <v>#VALUE!</v>
      </c>
      <c r="BK227" t="str">
        <f ca="1">IFERROR(__xludf.DUMMYFUNCTION("""COMPUTED_VALUE"""),"#VALUE!")</f>
        <v>#VALUE!</v>
      </c>
      <c r="BM227" t="str">
        <f ca="1">IFERROR(__xludf.DUMMYFUNCTION("""COMPUTED_VALUE"""),"#VALUE!")</f>
        <v>#VALUE!</v>
      </c>
      <c r="BO227" t="str">
        <f ca="1">IFERROR(__xludf.DUMMYFUNCTION("""COMPUTED_VALUE"""),"#VALUE!")</f>
        <v>#VALUE!</v>
      </c>
      <c r="BQ227" t="str">
        <f ca="1">IFERROR(__xludf.DUMMYFUNCTION("""COMPUTED_VALUE"""),"#VALUE!")</f>
        <v>#VALUE!</v>
      </c>
      <c r="BS227" t="str">
        <f ca="1">IFERROR(__xludf.DUMMYFUNCTION("""COMPUTED_VALUE"""),"#VALUE!")</f>
        <v>#VALUE!</v>
      </c>
      <c r="BU227" t="str">
        <f ca="1">IFERROR(__xludf.DUMMYFUNCTION("""COMPUTED_VALUE"""),"#VALUE!")</f>
        <v>#VALUE!</v>
      </c>
      <c r="BW227" t="str">
        <f ca="1">IFERROR(__xludf.DUMMYFUNCTION("""COMPUTED_VALUE"""),"#VALUE!")</f>
        <v>#VALUE!</v>
      </c>
      <c r="BY227" t="str">
        <f ca="1">IFERROR(__xludf.DUMMYFUNCTION("""COMPUTED_VALUE"""),"#VALUE!")</f>
        <v>#VALUE!</v>
      </c>
      <c r="CA227" t="str">
        <f ca="1">IFERROR(__xludf.DUMMYFUNCTION("""COMPUTED_VALUE"""),"#VALUE!")</f>
        <v>#VALUE!</v>
      </c>
      <c r="CC227" t="str">
        <f ca="1">IFERROR(__xludf.DUMMYFUNCTION("""COMPUTED_VALUE"""),"#VALUE!")</f>
        <v>#VALUE!</v>
      </c>
      <c r="CD227" t="str">
        <f ca="1">IFERROR(__xludf.DUMMYFUNCTION("""COMPUTED_VALUE"""),"C3598")</f>
        <v>C3598</v>
      </c>
      <c r="CE227" t="str">
        <f ca="1">IFERROR(__xludf.DUMMYFUNCTION("""COMPUTED_VALUE"""),"location of congregation")</f>
        <v>location of congregation</v>
      </c>
      <c r="CF227" t="str">
        <f ca="1">IFERROR(__xludf.DUMMYFUNCTION("""COMPUTED_VALUE"""),"L0080")</f>
        <v>L0080</v>
      </c>
      <c r="CG227" t="str">
        <f ca="1">IFERROR(__xludf.DUMMYFUNCTION("""COMPUTED_VALUE"""),"domus Petrii Burgi")</f>
        <v>domus Petrii Burgi</v>
      </c>
      <c r="CI227" t="str">
        <f ca="1">IFERROR(__xludf.DUMMYFUNCTION("""COMPUTED_VALUE"""),"#VALUE!")</f>
        <v>#VALUE!</v>
      </c>
      <c r="CK227" t="str">
        <f ca="1">IFERROR(__xludf.DUMMYFUNCTION("""COMPUTED_VALUE"""),"#VALUE!")</f>
        <v>#VALUE!</v>
      </c>
      <c r="CS227" t="str">
        <f ca="1">IFERROR(__xludf.DUMMYFUNCTION("""COMPUTED_VALUE"""),"#VALUE!")</f>
        <v>#VALUE!</v>
      </c>
      <c r="CU227" t="str">
        <f ca="1">IFERROR(__xludf.DUMMYFUNCTION("""COMPUTED_VALUE"""),"#VALUE!")</f>
        <v>#VALUE!</v>
      </c>
      <c r="CW227" t="str">
        <f ca="1">IFERROR(__xludf.DUMMYFUNCTION("""COMPUTED_VALUE"""),"#VALUE!")</f>
        <v>#VALUE!</v>
      </c>
      <c r="CY227" t="str">
        <f ca="1">IFERROR(__xludf.DUMMYFUNCTION("""COMPUTED_VALUE"""),"#VALUE!")</f>
        <v>#VALUE!</v>
      </c>
      <c r="DC227" t="str">
        <f ca="1">IFERROR(__xludf.DUMMYFUNCTION("""COMPUTED_VALUE"""),"#VALUE!")</f>
        <v>#VALUE!</v>
      </c>
      <c r="DE227" t="str">
        <f ca="1">IFERROR(__xludf.DUMMYFUNCTION("""COMPUTED_VALUE"""),"#VALUE!")</f>
        <v>#VALUE!</v>
      </c>
      <c r="DH227" t="str">
        <f ca="1">IFERROR(__xludf.DUMMYFUNCTION("""COMPUTED_VALUE"""),"L0080")</f>
        <v>L0080</v>
      </c>
      <c r="DI227" t="str">
        <f ca="1">IFERROR(__xludf.DUMMYFUNCTION("""COMPUTED_VALUE"""),"domus Petrii Burgi")</f>
        <v>domus Petrii Burgi</v>
      </c>
      <c r="DJ227" t="str">
        <f ca="1">IFERROR(__xludf.DUMMYFUNCTION("""COMPUTED_VALUE"""),"domus")</f>
        <v>domus</v>
      </c>
      <c r="DL227" t="str">
        <f ca="1">IFERROR(__xludf.DUMMYFUNCTION("""COMPUTED_VALUE"""),"Davor Salihović")</f>
        <v>Davor Salihović</v>
      </c>
    </row>
    <row r="228" spans="1:116" ht="13.2" x14ac:dyDescent="0.25">
      <c r="A228" t="str">
        <f ca="1">IFERROR(__xludf.DUMMYFUNCTION("""COMPUTED_VALUE"""),"P0233")</f>
        <v>P0233</v>
      </c>
      <c r="B228" t="str">
        <f ca="1">IFERROR(__xludf.DUMMYFUNCTION("""COMPUTED_VALUE"""),"Iohannes Borrellati")</f>
        <v>Iohannes Borrellati</v>
      </c>
      <c r="D228" t="str">
        <f ca="1">IFERROR(__xludf.DUMMYFUNCTION("""COMPUTED_VALUE"""),"#VALUE!")</f>
        <v>#VALUE!</v>
      </c>
      <c r="E228" t="str">
        <f ca="1">IFERROR(__xludf.DUMMYFUNCTION("""COMPUTED_VALUE"""),"Iohannes")</f>
        <v>Iohannes</v>
      </c>
      <c r="K228" t="str">
        <f ca="1">IFERROR(__xludf.DUMMYFUNCTION("""COMPUTED_VALUE"""),"Borrellati")</f>
        <v>Borrellati</v>
      </c>
      <c r="L228" t="str">
        <f ca="1">IFERROR(__xludf.DUMMYFUNCTION("""COMPUTED_VALUE"""),"Borrellati")</f>
        <v>Borrellati</v>
      </c>
      <c r="S228" t="str">
        <f ca="1">IFERROR(__xludf.DUMMYFUNCTION("""COMPUTED_VALUE"""),"Latin")</f>
        <v>Latin</v>
      </c>
      <c r="T228" t="str">
        <f ca="1">IFERROR(__xludf.DUMMYFUNCTION("""COMPUTED_VALUE"""),"definite")</f>
        <v>definite</v>
      </c>
      <c r="U228" t="str">
        <f ca="1">IFERROR(__xludf.DUMMYFUNCTION("""COMPUTED_VALUE"""),"C2553")</f>
        <v>C2553</v>
      </c>
      <c r="V228" t="str">
        <f ca="1">IFERROR(__xludf.DUMMYFUNCTION("""COMPUTED_VALUE"""),"male")</f>
        <v>male</v>
      </c>
      <c r="Z228" t="str">
        <f ca="1">IFERROR(__xludf.DUMMYFUNCTION("""COMPUTED_VALUE"""),"178, 198, 201, 202, 206, 207, 208, 215, 218, 230, 233, 243, 246, 247, 250")</f>
        <v>178, 198, 201, 202, 206, 207, 208, 215, 218, 230, 233, 243, 246, 247, 250</v>
      </c>
      <c r="AA228" t="str">
        <f ca="1">IFERROR(__xludf.DUMMYFUNCTION("""COMPUTED_VALUE"""),"d")</f>
        <v>d</v>
      </c>
      <c r="AB228" t="str">
        <f ca="1">IFERROR(__xludf.DUMMYFUNCTION("""COMPUTED_VALUE"""),"suspect")</f>
        <v>suspect</v>
      </c>
      <c r="AD228" t="str">
        <f ca="1">IFERROR(__xludf.DUMMYFUNCTION("""COMPUTED_VALUE"""),"C3287")</f>
        <v>C3287</v>
      </c>
      <c r="AE228" t="str">
        <f ca="1">IFERROR(__xludf.DUMMYFUNCTION("""COMPUTED_VALUE"""),"alive")</f>
        <v>alive</v>
      </c>
      <c r="AF228" t="str">
        <f ca="1">IFERROR(__xludf.DUMMYFUNCTION("""COMPUTED_VALUE"""),"C1753")</f>
        <v>C1753</v>
      </c>
      <c r="AG228" t="str">
        <f ca="1">IFERROR(__xludf.DUMMYFUNCTION("""COMPUTED_VALUE"""),"1335-01-20")</f>
        <v>1335-01-20</v>
      </c>
      <c r="AH228" t="str">
        <f ca="1">IFERROR(__xludf.DUMMYFUNCTION("""COMPUTED_VALUE"""),"C2348")</f>
        <v>C2348</v>
      </c>
      <c r="AI228" t="str">
        <f ca="1">IFERROR(__xludf.DUMMYFUNCTION("""COMPUTED_VALUE"""),"wife")</f>
        <v>wife</v>
      </c>
      <c r="AJ228" t="str">
        <f ca="1">IFERROR(__xludf.DUMMYFUNCTION("""COMPUTED_VALUE"""),"P0348")</f>
        <v>P0348</v>
      </c>
      <c r="AK228" t="str">
        <f ca="1">IFERROR(__xludf.DUMMYFUNCTION("""COMPUTED_VALUE"""),"Beatrix, uxor Iohannis Borrellati")</f>
        <v>Beatrix, uxor Iohannis Borrellati</v>
      </c>
      <c r="AL228" t="str">
        <f ca="1">IFERROR(__xludf.DUMMYFUNCTION("""COMPUTED_VALUE"""),"C2348")</f>
        <v>C2348</v>
      </c>
      <c r="AM228" t="str">
        <f ca="1">IFERROR(__xludf.DUMMYFUNCTION("""COMPUTED_VALUE"""),"wife")</f>
        <v>wife</v>
      </c>
      <c r="AN228" t="str">
        <f ca="1">IFERROR(__xludf.DUMMYFUNCTION("""COMPUTED_VALUE"""),"P0393")</f>
        <v>P0393</v>
      </c>
      <c r="AO228" t="str">
        <f ca="1">IFERROR(__xludf.DUMMYFUNCTION("""COMPUTED_VALUE"""),"Ermeniona, uxor Iohannis Borrellati")</f>
        <v>Ermeniona, uxor Iohannis Borrellati</v>
      </c>
      <c r="AP228" t="str">
        <f ca="1">IFERROR(__xludf.DUMMYFUNCTION("""COMPUTED_VALUE"""),"C0718")</f>
        <v>C0718</v>
      </c>
      <c r="AQ228" t="str">
        <f ca="1">IFERROR(__xludf.DUMMYFUNCTION("""COMPUTED_VALUE"""),"familia")</f>
        <v>familia</v>
      </c>
      <c r="AR228" t="str">
        <f ca="1">IFERROR(__xludf.DUMMYFUNCTION("""COMPUTED_VALUE"""),"G0047")</f>
        <v>G0047</v>
      </c>
      <c r="AS228" t="str">
        <f ca="1">IFERROR(__xludf.DUMMYFUNCTION("""COMPUTED_VALUE"""),"familia Iohannis Borrellati")</f>
        <v>familia Iohannis Borrellati</v>
      </c>
      <c r="AU228" t="str">
        <f ca="1">IFERROR(__xludf.DUMMYFUNCTION("""COMPUTED_VALUE"""),"#VALUE!")</f>
        <v>#VALUE!</v>
      </c>
      <c r="AW228" t="str">
        <f ca="1">IFERROR(__xludf.DUMMYFUNCTION("""COMPUTED_VALUE"""),"#VALUE!")</f>
        <v>#VALUE!</v>
      </c>
      <c r="AY228" t="str">
        <f ca="1">IFERROR(__xludf.DUMMYFUNCTION("""COMPUTED_VALUE"""),"#VALUE!")</f>
        <v>#VALUE!</v>
      </c>
      <c r="BA228" t="str">
        <f ca="1">IFERROR(__xludf.DUMMYFUNCTION("""COMPUTED_VALUE"""),"#VALUE!")</f>
        <v>#VALUE!</v>
      </c>
      <c r="BC228" t="str">
        <f ca="1">IFERROR(__xludf.DUMMYFUNCTION("""COMPUTED_VALUE"""),"#VALUE!")</f>
        <v>#VALUE!</v>
      </c>
      <c r="BE228" t="str">
        <f ca="1">IFERROR(__xludf.DUMMYFUNCTION("""COMPUTED_VALUE"""),"#VALUE!")</f>
        <v>#VALUE!</v>
      </c>
      <c r="BG228" t="str">
        <f ca="1">IFERROR(__xludf.DUMMYFUNCTION("""COMPUTED_VALUE"""),"#VALUE!")</f>
        <v>#VALUE!</v>
      </c>
      <c r="BI228" t="str">
        <f ca="1">IFERROR(__xludf.DUMMYFUNCTION("""COMPUTED_VALUE"""),"#VALUE!")</f>
        <v>#VALUE!</v>
      </c>
      <c r="BK228" t="str">
        <f ca="1">IFERROR(__xludf.DUMMYFUNCTION("""COMPUTED_VALUE"""),"#VALUE!")</f>
        <v>#VALUE!</v>
      </c>
      <c r="BM228" t="str">
        <f ca="1">IFERROR(__xludf.DUMMYFUNCTION("""COMPUTED_VALUE"""),"#VALUE!")</f>
        <v>#VALUE!</v>
      </c>
      <c r="BO228" t="str">
        <f ca="1">IFERROR(__xludf.DUMMYFUNCTION("""COMPUTED_VALUE"""),"#VALUE!")</f>
        <v>#VALUE!</v>
      </c>
      <c r="BQ228" t="str">
        <f ca="1">IFERROR(__xludf.DUMMYFUNCTION("""COMPUTED_VALUE"""),"#VALUE!")</f>
        <v>#VALUE!</v>
      </c>
      <c r="BS228" t="str">
        <f ca="1">IFERROR(__xludf.DUMMYFUNCTION("""COMPUTED_VALUE"""),"#VALUE!")</f>
        <v>#VALUE!</v>
      </c>
      <c r="BU228" t="str">
        <f ca="1">IFERROR(__xludf.DUMMYFUNCTION("""COMPUTED_VALUE"""),"#VALUE!")</f>
        <v>#VALUE!</v>
      </c>
      <c r="BW228" t="str">
        <f ca="1">IFERROR(__xludf.DUMMYFUNCTION("""COMPUTED_VALUE"""),"#VALUE!")</f>
        <v>#VALUE!</v>
      </c>
      <c r="BY228" t="str">
        <f ca="1">IFERROR(__xludf.DUMMYFUNCTION("""COMPUTED_VALUE"""),"#VALUE!")</f>
        <v>#VALUE!</v>
      </c>
      <c r="CA228" t="str">
        <f ca="1">IFERROR(__xludf.DUMMYFUNCTION("""COMPUTED_VALUE"""),"#VALUE!")</f>
        <v>#VALUE!</v>
      </c>
      <c r="CC228" t="str">
        <f ca="1">IFERROR(__xludf.DUMMYFUNCTION("""COMPUTED_VALUE"""),"#VALUE!")</f>
        <v>#VALUE!</v>
      </c>
      <c r="CD228" t="str">
        <f ca="1">IFERROR(__xludf.DUMMYFUNCTION("""COMPUTED_VALUE"""),"C3598")</f>
        <v>C3598</v>
      </c>
      <c r="CE228" t="str">
        <f ca="1">IFERROR(__xludf.DUMMYFUNCTION("""COMPUTED_VALUE"""),"location of congregation")</f>
        <v>location of congregation</v>
      </c>
      <c r="CF228" t="str">
        <f ca="1">IFERROR(__xludf.DUMMYFUNCTION("""COMPUTED_VALUE"""),"L0097#L0096#L0100#L0105#L0065#L0116#L0106#L0107")</f>
        <v>L0097#L0096#L0100#L0105#L0065#L0116#L0106#L0107</v>
      </c>
      <c r="CG228" t="str">
        <f ca="1">IFERROR(__xludf.DUMMYFUNCTION("""COMPUTED_VALUE"""),"domus Iohannis Borrellati #domus Iohannis de Bonaudo #domus de Boysono #domus de Rossetis #domus Iohannis de Castagno de Giaveno #domus Iohannis Borrelli de Iacobina #domus Petri de Boysono #domus Iohannis Rocheti")</f>
        <v>domus Iohannis Borrellati #domus Iohannis de Bonaudo #domus de Boysono #domus de Rossetis #domus Iohannis de Castagno de Giaveno #domus Iohannis Borrelli de Iacobina #domus Petri de Boysono #domus Iohannis Rocheti</v>
      </c>
      <c r="CI228" t="str">
        <f ca="1">IFERROR(__xludf.DUMMYFUNCTION("""COMPUTED_VALUE"""),"#VALUE!")</f>
        <v>#VALUE!</v>
      </c>
      <c r="CJ228" t="str">
        <f ca="1">IFERROR(__xludf.DUMMYFUNCTION("""COMPUTED_VALUE"""),"P0055#P0229")</f>
        <v>P0055#P0229</v>
      </c>
      <c r="CK228" t="str">
        <f ca="1">IFERROR(__xludf.DUMMYFUNCTION("""COMPUTED_VALUE"""),"Petrus Rupphini #Marguerita Borsseta")</f>
        <v>Petrus Rupphini #Marguerita Borsseta</v>
      </c>
      <c r="CR228" t="str">
        <f ca="1">IFERROR(__xludf.DUMMYFUNCTION("""COMPUTED_VALUE"""),"L0001")</f>
        <v>L0001</v>
      </c>
      <c r="CS228" t="str">
        <f ca="1">IFERROR(__xludf.DUMMYFUNCTION("""COMPUTED_VALUE"""),"Giaveno")</f>
        <v>Giaveno</v>
      </c>
      <c r="CU228" t="str">
        <f ca="1">IFERROR(__xludf.DUMMYFUNCTION("""COMPUTED_VALUE"""),"#VALUE!")</f>
        <v>#VALUE!</v>
      </c>
      <c r="CW228" t="str">
        <f ca="1">IFERROR(__xludf.DUMMYFUNCTION("""COMPUTED_VALUE"""),"#VALUE!")</f>
        <v>#VALUE!</v>
      </c>
      <c r="CY228" t="str">
        <f ca="1">IFERROR(__xludf.DUMMYFUNCTION("""COMPUTED_VALUE"""),"#VALUE!")</f>
        <v>#VALUE!</v>
      </c>
      <c r="DC228" t="str">
        <f ca="1">IFERROR(__xludf.DUMMYFUNCTION("""COMPUTED_VALUE"""),"#VALUE!")</f>
        <v>#VALUE!</v>
      </c>
      <c r="DE228" t="str">
        <f ca="1">IFERROR(__xludf.DUMMYFUNCTION("""COMPUTED_VALUE"""),"#VALUE!")</f>
        <v>#VALUE!</v>
      </c>
      <c r="DF228" t="str">
        <f ca="1">IFERROR(__xludf.DUMMYFUNCTION("""COMPUTED_VALUE"""),"y")</f>
        <v>y</v>
      </c>
      <c r="DG228" t="str">
        <f ca="1">IFERROR(__xludf.DUMMYFUNCTION("""COMPUTED_VALUE"""),"206-207")</f>
        <v>206-207</v>
      </c>
      <c r="DH228" t="str">
        <f ca="1">IFERROR(__xludf.DUMMYFUNCTION("""COMPUTED_VALUE"""),"L0097#L0096#L0100#L0105#L0065#L0116#L0106#L0107")</f>
        <v>L0097#L0096#L0100#L0105#L0065#L0116#L0106#L0107</v>
      </c>
      <c r="DI228" t="str">
        <f ca="1">IFERROR(__xludf.DUMMYFUNCTION("""COMPUTED_VALUE"""),"domus Iohannis Borrellati #domus Iohannis de Bonaudo #domus de Boysono #domus de Rossetis #domus Iohannis de Castagno de Giaveno #domus Iohannis Borrelli de Iacobina #domus Petri de Boysono #domus Iohannis Rocheti")</f>
        <v>domus Iohannis Borrellati #domus Iohannis de Bonaudo #domus de Boysono #domus de Rossetis #domus Iohannis de Castagno de Giaveno #domus Iohannis Borrelli de Iacobina #domus Petri de Boysono #domus Iohannis Rocheti</v>
      </c>
      <c r="DJ228" t="str">
        <f ca="1">IFERROR(__xludf.DUMMYFUNCTION("""COMPUTED_VALUE"""),"domus #domus #domus #domus #domus #domus #domus #domus")</f>
        <v>domus #domus #domus #domus #domus #domus #domus #domus</v>
      </c>
      <c r="DL228" t="str">
        <f ca="1">IFERROR(__xludf.DUMMYFUNCTION("""COMPUTED_VALUE"""),"Davor Salihović")</f>
        <v>Davor Salihović</v>
      </c>
    </row>
    <row r="229" spans="1:116" ht="13.2" x14ac:dyDescent="0.25">
      <c r="A229" t="str">
        <f ca="1">IFERROR(__xludf.DUMMYFUNCTION("""COMPUTED_VALUE"""),"P0234")</f>
        <v>P0234</v>
      </c>
      <c r="B229" t="str">
        <f ca="1">IFERROR(__xludf.DUMMYFUNCTION("""COMPUTED_VALUE"""),"Bruna, soror Michaelis Planchi")</f>
        <v>Bruna, soror Michaelis Planchi</v>
      </c>
      <c r="D229" t="str">
        <f ca="1">IFERROR(__xludf.DUMMYFUNCTION("""COMPUTED_VALUE"""),"#VALUE!")</f>
        <v>#VALUE!</v>
      </c>
      <c r="E229" t="str">
        <f ca="1">IFERROR(__xludf.DUMMYFUNCTION("""COMPUTED_VALUE"""),"Bruna")</f>
        <v>Bruna</v>
      </c>
      <c r="F229" t="str">
        <f ca="1">IFERROR(__xludf.DUMMYFUNCTION("""COMPUTED_VALUE"""),"Peroneta")</f>
        <v>Peroneta</v>
      </c>
      <c r="Q229" t="str">
        <f ca="1">IFERROR(__xludf.DUMMYFUNCTION("""COMPUTED_VALUE"""),"soror Michaelis Planchi")</f>
        <v>soror Michaelis Planchi</v>
      </c>
      <c r="S229" t="str">
        <f ca="1">IFERROR(__xludf.DUMMYFUNCTION("""COMPUTED_VALUE"""),"Latin")</f>
        <v>Latin</v>
      </c>
      <c r="T229" t="str">
        <f ca="1">IFERROR(__xludf.DUMMYFUNCTION("""COMPUTED_VALUE"""),"definite")</f>
        <v>definite</v>
      </c>
      <c r="U229" t="str">
        <f ca="1">IFERROR(__xludf.DUMMYFUNCTION("""COMPUTED_VALUE"""),"C2552")</f>
        <v>C2552</v>
      </c>
      <c r="V229" t="str">
        <f ca="1">IFERROR(__xludf.DUMMYFUNCTION("""COMPUTED_VALUE"""),"female")</f>
        <v>female</v>
      </c>
      <c r="Z229" t="str">
        <f ca="1">IFERROR(__xludf.DUMMYFUNCTION("""COMPUTED_VALUE"""),"178, 201, 202, 204, 216, 219, 220, 221, 223")</f>
        <v>178, 201, 202, 204, 216, 219, 220, 221, 223</v>
      </c>
      <c r="AA229" t="str">
        <f ca="1">IFERROR(__xludf.DUMMYFUNCTION("""COMPUTED_VALUE"""),"d")</f>
        <v>d</v>
      </c>
      <c r="AB229" t="str">
        <f ca="1">IFERROR(__xludf.DUMMYFUNCTION("""COMPUTED_VALUE"""),"suspect")</f>
        <v>suspect</v>
      </c>
      <c r="AD229" t="str">
        <f ca="1">IFERROR(__xludf.DUMMYFUNCTION("""COMPUTED_VALUE"""),"C3287")</f>
        <v>C3287</v>
      </c>
      <c r="AE229" t="str">
        <f ca="1">IFERROR(__xludf.DUMMYFUNCTION("""COMPUTED_VALUE"""),"alive")</f>
        <v>alive</v>
      </c>
      <c r="AF229" t="str">
        <f ca="1">IFERROR(__xludf.DUMMYFUNCTION("""COMPUTED_VALUE"""),"C1753")</f>
        <v>C1753</v>
      </c>
      <c r="AG229" t="str">
        <f ca="1">IFERROR(__xludf.DUMMYFUNCTION("""COMPUTED_VALUE"""),"1335-01-20")</f>
        <v>1335-01-20</v>
      </c>
      <c r="AH229" t="str">
        <f ca="1">IFERROR(__xludf.DUMMYFUNCTION("""COMPUTED_VALUE"""),"C2341")</f>
        <v>C2341</v>
      </c>
      <c r="AI229" t="str">
        <f ca="1">IFERROR(__xludf.DUMMYFUNCTION("""COMPUTED_VALUE"""),"mother")</f>
        <v>mother</v>
      </c>
      <c r="AJ229" t="str">
        <f ca="1">IFERROR(__xludf.DUMMYFUNCTION("""COMPUTED_VALUE"""),"P0339")</f>
        <v>P0339</v>
      </c>
      <c r="AK229" t="str">
        <f ca="1">IFERROR(__xludf.DUMMYFUNCTION("""COMPUTED_VALUE"""),"Ysabella, mater Michaelis Planche")</f>
        <v>Ysabella, mater Michaelis Planche</v>
      </c>
      <c r="AL229" t="str">
        <f ca="1">IFERROR(__xludf.DUMMYFUNCTION("""COMPUTED_VALUE"""),"C0147")</f>
        <v>C0147</v>
      </c>
      <c r="AM229" t="str">
        <f ca="1">IFERROR(__xludf.DUMMYFUNCTION("""COMPUTED_VALUE"""),"warrantor")</f>
        <v>warrantor</v>
      </c>
      <c r="AN229" t="str">
        <f ca="1">IFERROR(__xludf.DUMMYFUNCTION("""COMPUTED_VALUE"""),"P0380")</f>
        <v>P0380</v>
      </c>
      <c r="AO229" t="str">
        <f ca="1">IFERROR(__xludf.DUMMYFUNCTION("""COMPUTED_VALUE"""),"Iohannes Tonerii")</f>
        <v>Iohannes Tonerii</v>
      </c>
      <c r="AQ229" t="str">
        <f ca="1">IFERROR(__xludf.DUMMYFUNCTION("""COMPUTED_VALUE"""),"#VALUE!")</f>
        <v>#VALUE!</v>
      </c>
      <c r="AS229" t="str">
        <f ca="1">IFERROR(__xludf.DUMMYFUNCTION("""COMPUTED_VALUE"""),"#VALUE!")</f>
        <v>#VALUE!</v>
      </c>
      <c r="AU229" t="str">
        <f ca="1">IFERROR(__xludf.DUMMYFUNCTION("""COMPUTED_VALUE"""),"#VALUE!")</f>
        <v>#VALUE!</v>
      </c>
      <c r="AW229" t="str">
        <f ca="1">IFERROR(__xludf.DUMMYFUNCTION("""COMPUTED_VALUE"""),"#VALUE!")</f>
        <v>#VALUE!</v>
      </c>
      <c r="AY229" t="str">
        <f ca="1">IFERROR(__xludf.DUMMYFUNCTION("""COMPUTED_VALUE"""),"#VALUE!")</f>
        <v>#VALUE!</v>
      </c>
      <c r="BA229" t="str">
        <f ca="1">IFERROR(__xludf.DUMMYFUNCTION("""COMPUTED_VALUE"""),"#VALUE!")</f>
        <v>#VALUE!</v>
      </c>
      <c r="BC229" t="str">
        <f ca="1">IFERROR(__xludf.DUMMYFUNCTION("""COMPUTED_VALUE"""),"#VALUE!")</f>
        <v>#VALUE!</v>
      </c>
      <c r="BE229" t="str">
        <f ca="1">IFERROR(__xludf.DUMMYFUNCTION("""COMPUTED_VALUE"""),"#VALUE!")</f>
        <v>#VALUE!</v>
      </c>
      <c r="BG229" t="str">
        <f ca="1">IFERROR(__xludf.DUMMYFUNCTION("""COMPUTED_VALUE"""),"#VALUE!")</f>
        <v>#VALUE!</v>
      </c>
      <c r="BI229" t="str">
        <f ca="1">IFERROR(__xludf.DUMMYFUNCTION("""COMPUTED_VALUE"""),"#VALUE!")</f>
        <v>#VALUE!</v>
      </c>
      <c r="BK229" t="str">
        <f ca="1">IFERROR(__xludf.DUMMYFUNCTION("""COMPUTED_VALUE"""),"#VALUE!")</f>
        <v>#VALUE!</v>
      </c>
      <c r="BM229" t="str">
        <f ca="1">IFERROR(__xludf.DUMMYFUNCTION("""COMPUTED_VALUE"""),"#VALUE!")</f>
        <v>#VALUE!</v>
      </c>
      <c r="BO229" t="str">
        <f ca="1">IFERROR(__xludf.DUMMYFUNCTION("""COMPUTED_VALUE"""),"#VALUE!")</f>
        <v>#VALUE!</v>
      </c>
      <c r="BQ229" t="str">
        <f ca="1">IFERROR(__xludf.DUMMYFUNCTION("""COMPUTED_VALUE"""),"#VALUE!")</f>
        <v>#VALUE!</v>
      </c>
      <c r="BS229" t="str">
        <f ca="1">IFERROR(__xludf.DUMMYFUNCTION("""COMPUTED_VALUE"""),"#VALUE!")</f>
        <v>#VALUE!</v>
      </c>
      <c r="BU229" t="str">
        <f ca="1">IFERROR(__xludf.DUMMYFUNCTION("""COMPUTED_VALUE"""),"#VALUE!")</f>
        <v>#VALUE!</v>
      </c>
      <c r="BW229" t="str">
        <f ca="1">IFERROR(__xludf.DUMMYFUNCTION("""COMPUTED_VALUE"""),"#VALUE!")</f>
        <v>#VALUE!</v>
      </c>
      <c r="BY229" t="str">
        <f ca="1">IFERROR(__xludf.DUMMYFUNCTION("""COMPUTED_VALUE"""),"#VALUE!")</f>
        <v>#VALUE!</v>
      </c>
      <c r="CA229" t="str">
        <f ca="1">IFERROR(__xludf.DUMMYFUNCTION("""COMPUTED_VALUE"""),"#VALUE!")</f>
        <v>#VALUE!</v>
      </c>
      <c r="CC229" t="str">
        <f ca="1">IFERROR(__xludf.DUMMYFUNCTION("""COMPUTED_VALUE"""),"#VALUE!")</f>
        <v>#VALUE!</v>
      </c>
      <c r="CD229" t="str">
        <f ca="1">IFERROR(__xludf.DUMMYFUNCTION("""COMPUTED_VALUE"""),"C3598")</f>
        <v>C3598</v>
      </c>
      <c r="CE229" t="str">
        <f ca="1">IFERROR(__xludf.DUMMYFUNCTION("""COMPUTED_VALUE"""),"location of congregation")</f>
        <v>location of congregation</v>
      </c>
      <c r="CF229" t="str">
        <f ca="1">IFERROR(__xludf.DUMMYFUNCTION("""COMPUTED_VALUE"""),"L0098#L0118#L0079#L0122")</f>
        <v>L0098#L0118#L0079#L0122</v>
      </c>
      <c r="CG229" t="str">
        <f ca="1">IFERROR(__xludf.DUMMYFUNCTION("""COMPUTED_VALUE"""),"domus Michaelis Planche #domus matris Peronete et Michaelis Planche #domus Martinii Dominici #domus Margerite Planche")</f>
        <v>domus Michaelis Planche #domus matris Peronete et Michaelis Planche #domus Martinii Dominici #domus Margerite Planche</v>
      </c>
      <c r="CH229" t="str">
        <f ca="1">IFERROR(__xludf.DUMMYFUNCTION("""COMPUTED_VALUE"""),"P0380")</f>
        <v>P0380</v>
      </c>
      <c r="CI229" t="str">
        <f ca="1">IFERROR(__xludf.DUMMYFUNCTION("""COMPUTED_VALUE"""),"Iohannes Tonerii")</f>
        <v>Iohannes Tonerii</v>
      </c>
      <c r="CK229" t="str">
        <f ca="1">IFERROR(__xludf.DUMMYFUNCTION("""COMPUTED_VALUE"""),"#VALUE!")</f>
        <v>#VALUE!</v>
      </c>
      <c r="CS229" t="str">
        <f ca="1">IFERROR(__xludf.DUMMYFUNCTION("""COMPUTED_VALUE"""),"#VALUE!")</f>
        <v>#VALUE!</v>
      </c>
      <c r="CU229" t="str">
        <f ca="1">IFERROR(__xludf.DUMMYFUNCTION("""COMPUTED_VALUE"""),"#VALUE!")</f>
        <v>#VALUE!</v>
      </c>
      <c r="CW229" t="str">
        <f ca="1">IFERROR(__xludf.DUMMYFUNCTION("""COMPUTED_VALUE"""),"#VALUE!")</f>
        <v>#VALUE!</v>
      </c>
      <c r="CY229" t="str">
        <f ca="1">IFERROR(__xludf.DUMMYFUNCTION("""COMPUTED_VALUE"""),"#VALUE!")</f>
        <v>#VALUE!</v>
      </c>
      <c r="DC229" t="str">
        <f ca="1">IFERROR(__xludf.DUMMYFUNCTION("""COMPUTED_VALUE"""),"#VALUE!")</f>
        <v>#VALUE!</v>
      </c>
      <c r="DE229" t="str">
        <f ca="1">IFERROR(__xludf.DUMMYFUNCTION("""COMPUTED_VALUE"""),"#VALUE!")</f>
        <v>#VALUE!</v>
      </c>
      <c r="DF229" t="str">
        <f ca="1">IFERROR(__xludf.DUMMYFUNCTION("""COMPUTED_VALUE"""),"y")</f>
        <v>y</v>
      </c>
      <c r="DG229" t="str">
        <f ca="1">IFERROR(__xludf.DUMMYFUNCTION("""COMPUTED_VALUE"""),"219-220")</f>
        <v>219-220</v>
      </c>
      <c r="DH229" t="str">
        <f ca="1">IFERROR(__xludf.DUMMYFUNCTION("""COMPUTED_VALUE"""),"L0098#L0118#L0079#L0122")</f>
        <v>L0098#L0118#L0079#L0122</v>
      </c>
      <c r="DI229" t="str">
        <f ca="1">IFERROR(__xludf.DUMMYFUNCTION("""COMPUTED_VALUE"""),"domus Michaelis Planche #domus matris Peronete et Michaelis Planche #domus Martinii Dominici #domus Margerite Planche")</f>
        <v>domus Michaelis Planche #domus matris Peronete et Michaelis Planche #domus Martinii Dominici #domus Margerite Planche</v>
      </c>
      <c r="DJ229" t="str">
        <f ca="1">IFERROR(__xludf.DUMMYFUNCTION("""COMPUTED_VALUE"""),"domus #domus #domus #domus")</f>
        <v>domus #domus #domus #domus</v>
      </c>
      <c r="DL229" t="str">
        <f ca="1">IFERROR(__xludf.DUMMYFUNCTION("""COMPUTED_VALUE"""),"Davor Salihović")</f>
        <v>Davor Salihović</v>
      </c>
    </row>
    <row r="230" spans="1:116" ht="13.2" x14ac:dyDescent="0.25">
      <c r="A230" t="str">
        <f ca="1">IFERROR(__xludf.DUMMYFUNCTION("""COMPUTED_VALUE"""),"P0235")</f>
        <v>P0235</v>
      </c>
      <c r="B230" t="str">
        <f ca="1">IFERROR(__xludf.DUMMYFUNCTION("""COMPUTED_VALUE"""),"Merinetus Alberia")</f>
        <v>Merinetus Alberia</v>
      </c>
      <c r="D230" t="str">
        <f ca="1">IFERROR(__xludf.DUMMYFUNCTION("""COMPUTED_VALUE"""),"#VALUE!")</f>
        <v>#VALUE!</v>
      </c>
      <c r="E230" t="str">
        <f ca="1">IFERROR(__xludf.DUMMYFUNCTION("""COMPUTED_VALUE"""),"Merinetus")</f>
        <v>Merinetus</v>
      </c>
      <c r="K230" t="str">
        <f ca="1">IFERROR(__xludf.DUMMYFUNCTION("""COMPUTED_VALUE"""),"Alberia")</f>
        <v>Alberia</v>
      </c>
      <c r="L230" t="str">
        <f ca="1">IFERROR(__xludf.DUMMYFUNCTION("""COMPUTED_VALUE"""),"Alberia")</f>
        <v>Alberia</v>
      </c>
      <c r="S230" t="str">
        <f ca="1">IFERROR(__xludf.DUMMYFUNCTION("""COMPUTED_VALUE"""),"Latin")</f>
        <v>Latin</v>
      </c>
      <c r="T230" t="str">
        <f ca="1">IFERROR(__xludf.DUMMYFUNCTION("""COMPUTED_VALUE"""),"definite")</f>
        <v>definite</v>
      </c>
      <c r="U230" t="str">
        <f ca="1">IFERROR(__xludf.DUMMYFUNCTION("""COMPUTED_VALUE"""),"C2553")</f>
        <v>C2553</v>
      </c>
      <c r="V230" t="str">
        <f ca="1">IFERROR(__xludf.DUMMYFUNCTION("""COMPUTED_VALUE"""),"male")</f>
        <v>male</v>
      </c>
      <c r="Z230" t="str">
        <f ca="1">IFERROR(__xludf.DUMMYFUNCTION("""COMPUTED_VALUE"""),"178")</f>
        <v>178</v>
      </c>
      <c r="AA230" t="str">
        <f ca="1">IFERROR(__xludf.DUMMYFUNCTION("""COMPUTED_VALUE"""),"d")</f>
        <v>d</v>
      </c>
      <c r="AB230" t="str">
        <f ca="1">IFERROR(__xludf.DUMMYFUNCTION("""COMPUTED_VALUE"""),"suspect")</f>
        <v>suspect</v>
      </c>
      <c r="AE230" t="str">
        <f ca="1">IFERROR(__xludf.DUMMYFUNCTION("""COMPUTED_VALUE"""),"#VALUE!")</f>
        <v>#VALUE!</v>
      </c>
      <c r="AF230" t="str">
        <f ca="1">IFERROR(__xludf.DUMMYFUNCTION("""COMPUTED_VALUE"""),"#N/A")</f>
        <v>#N/A</v>
      </c>
      <c r="AG230" t="str">
        <f ca="1">IFERROR(__xludf.DUMMYFUNCTION("""COMPUTED_VALUE"""),"#N/A")</f>
        <v>#N/A</v>
      </c>
      <c r="AI230" t="str">
        <f ca="1">IFERROR(__xludf.DUMMYFUNCTION("""COMPUTED_VALUE"""),"#VALUE!")</f>
        <v>#VALUE!</v>
      </c>
      <c r="AK230" t="str">
        <f ca="1">IFERROR(__xludf.DUMMYFUNCTION("""COMPUTED_VALUE"""),"#VALUE!")</f>
        <v>#VALUE!</v>
      </c>
      <c r="AM230" t="str">
        <f ca="1">IFERROR(__xludf.DUMMYFUNCTION("""COMPUTED_VALUE"""),"#VALUE!")</f>
        <v>#VALUE!</v>
      </c>
      <c r="AO230" t="str">
        <f ca="1">IFERROR(__xludf.DUMMYFUNCTION("""COMPUTED_VALUE"""),"#VALUE!")</f>
        <v>#VALUE!</v>
      </c>
      <c r="AQ230" t="str">
        <f ca="1">IFERROR(__xludf.DUMMYFUNCTION("""COMPUTED_VALUE"""),"#VALUE!")</f>
        <v>#VALUE!</v>
      </c>
      <c r="AS230" t="str">
        <f ca="1">IFERROR(__xludf.DUMMYFUNCTION("""COMPUTED_VALUE"""),"#VALUE!")</f>
        <v>#VALUE!</v>
      </c>
      <c r="AU230" t="str">
        <f ca="1">IFERROR(__xludf.DUMMYFUNCTION("""COMPUTED_VALUE"""),"#VALUE!")</f>
        <v>#VALUE!</v>
      </c>
      <c r="AW230" t="str">
        <f ca="1">IFERROR(__xludf.DUMMYFUNCTION("""COMPUTED_VALUE"""),"#VALUE!")</f>
        <v>#VALUE!</v>
      </c>
      <c r="AY230" t="str">
        <f ca="1">IFERROR(__xludf.DUMMYFUNCTION("""COMPUTED_VALUE"""),"#VALUE!")</f>
        <v>#VALUE!</v>
      </c>
      <c r="BA230" t="str">
        <f ca="1">IFERROR(__xludf.DUMMYFUNCTION("""COMPUTED_VALUE"""),"#VALUE!")</f>
        <v>#VALUE!</v>
      </c>
      <c r="BC230" t="str">
        <f ca="1">IFERROR(__xludf.DUMMYFUNCTION("""COMPUTED_VALUE"""),"#VALUE!")</f>
        <v>#VALUE!</v>
      </c>
      <c r="BE230" t="str">
        <f ca="1">IFERROR(__xludf.DUMMYFUNCTION("""COMPUTED_VALUE"""),"#VALUE!")</f>
        <v>#VALUE!</v>
      </c>
      <c r="BG230" t="str">
        <f ca="1">IFERROR(__xludf.DUMMYFUNCTION("""COMPUTED_VALUE"""),"#VALUE!")</f>
        <v>#VALUE!</v>
      </c>
      <c r="BI230" t="str">
        <f ca="1">IFERROR(__xludf.DUMMYFUNCTION("""COMPUTED_VALUE"""),"#VALUE!")</f>
        <v>#VALUE!</v>
      </c>
      <c r="BK230" t="str">
        <f ca="1">IFERROR(__xludf.DUMMYFUNCTION("""COMPUTED_VALUE"""),"#VALUE!")</f>
        <v>#VALUE!</v>
      </c>
      <c r="BM230" t="str">
        <f ca="1">IFERROR(__xludf.DUMMYFUNCTION("""COMPUTED_VALUE"""),"#VALUE!")</f>
        <v>#VALUE!</v>
      </c>
      <c r="BO230" t="str">
        <f ca="1">IFERROR(__xludf.DUMMYFUNCTION("""COMPUTED_VALUE"""),"#VALUE!")</f>
        <v>#VALUE!</v>
      </c>
      <c r="BQ230" t="str">
        <f ca="1">IFERROR(__xludf.DUMMYFUNCTION("""COMPUTED_VALUE"""),"#VALUE!")</f>
        <v>#VALUE!</v>
      </c>
      <c r="BS230" t="str">
        <f ca="1">IFERROR(__xludf.DUMMYFUNCTION("""COMPUTED_VALUE"""),"#VALUE!")</f>
        <v>#VALUE!</v>
      </c>
      <c r="BU230" t="str">
        <f ca="1">IFERROR(__xludf.DUMMYFUNCTION("""COMPUTED_VALUE"""),"#VALUE!")</f>
        <v>#VALUE!</v>
      </c>
      <c r="BW230" t="str">
        <f ca="1">IFERROR(__xludf.DUMMYFUNCTION("""COMPUTED_VALUE"""),"#VALUE!")</f>
        <v>#VALUE!</v>
      </c>
      <c r="BY230" t="str">
        <f ca="1">IFERROR(__xludf.DUMMYFUNCTION("""COMPUTED_VALUE"""),"#VALUE!")</f>
        <v>#VALUE!</v>
      </c>
      <c r="CA230" t="str">
        <f ca="1">IFERROR(__xludf.DUMMYFUNCTION("""COMPUTED_VALUE"""),"#VALUE!")</f>
        <v>#VALUE!</v>
      </c>
      <c r="CC230" t="str">
        <f ca="1">IFERROR(__xludf.DUMMYFUNCTION("""COMPUTED_VALUE"""),"#VALUE!")</f>
        <v>#VALUE!</v>
      </c>
      <c r="CD230" t="str">
        <f ca="1">IFERROR(__xludf.DUMMYFUNCTION("""COMPUTED_VALUE"""),"C3598")</f>
        <v>C3598</v>
      </c>
      <c r="CE230" t="str">
        <f ca="1">IFERROR(__xludf.DUMMYFUNCTION("""COMPUTED_VALUE"""),"location of congregation")</f>
        <v>location of congregation</v>
      </c>
      <c r="CF230" t="str">
        <f ca="1">IFERROR(__xludf.DUMMYFUNCTION("""COMPUTED_VALUE"""),"L0072")</f>
        <v>L0072</v>
      </c>
      <c r="CG230" t="str">
        <f ca="1">IFERROR(__xludf.DUMMYFUNCTION("""COMPUTED_VALUE"""),"domus Merineti Alberia")</f>
        <v>domus Merineti Alberia</v>
      </c>
      <c r="CI230" t="str">
        <f ca="1">IFERROR(__xludf.DUMMYFUNCTION("""COMPUTED_VALUE"""),"#VALUE!")</f>
        <v>#VALUE!</v>
      </c>
      <c r="CK230" t="str">
        <f ca="1">IFERROR(__xludf.DUMMYFUNCTION("""COMPUTED_VALUE"""),"#VALUE!")</f>
        <v>#VALUE!</v>
      </c>
      <c r="CS230" t="str">
        <f ca="1">IFERROR(__xludf.DUMMYFUNCTION("""COMPUTED_VALUE"""),"#VALUE!")</f>
        <v>#VALUE!</v>
      </c>
      <c r="CU230" t="str">
        <f ca="1">IFERROR(__xludf.DUMMYFUNCTION("""COMPUTED_VALUE"""),"#VALUE!")</f>
        <v>#VALUE!</v>
      </c>
      <c r="CV230" t="str">
        <f ca="1">IFERROR(__xludf.DUMMYFUNCTION("""COMPUTED_VALUE"""),"L0054")</f>
        <v>L0054</v>
      </c>
      <c r="CW230" t="str">
        <f ca="1">IFERROR(__xludf.DUMMYFUNCTION("""COMPUTED_VALUE"""),"Villaretto")</f>
        <v>Villaretto</v>
      </c>
      <c r="CY230" t="str">
        <f ca="1">IFERROR(__xludf.DUMMYFUNCTION("""COMPUTED_VALUE"""),"#VALUE!")</f>
        <v>#VALUE!</v>
      </c>
      <c r="DC230" t="str">
        <f ca="1">IFERROR(__xludf.DUMMYFUNCTION("""COMPUTED_VALUE"""),"#VALUE!")</f>
        <v>#VALUE!</v>
      </c>
      <c r="DE230" t="str">
        <f ca="1">IFERROR(__xludf.DUMMYFUNCTION("""COMPUTED_VALUE"""),"#VALUE!")</f>
        <v>#VALUE!</v>
      </c>
      <c r="DH230" t="str">
        <f ca="1">IFERROR(__xludf.DUMMYFUNCTION("""COMPUTED_VALUE"""),"L0072")</f>
        <v>L0072</v>
      </c>
      <c r="DI230" t="str">
        <f ca="1">IFERROR(__xludf.DUMMYFUNCTION("""COMPUTED_VALUE"""),"domus Merineti Alberia")</f>
        <v>domus Merineti Alberia</v>
      </c>
      <c r="DJ230" t="str">
        <f ca="1">IFERROR(__xludf.DUMMYFUNCTION("""COMPUTED_VALUE"""),"domus")</f>
        <v>domus</v>
      </c>
      <c r="DL230" t="str">
        <f ca="1">IFERROR(__xludf.DUMMYFUNCTION("""COMPUTED_VALUE"""),"Davor Salihović")</f>
        <v>Davor Salihović</v>
      </c>
    </row>
    <row r="231" spans="1:116" ht="13.2" x14ac:dyDescent="0.25">
      <c r="A231" t="str">
        <f ca="1">IFERROR(__xludf.DUMMYFUNCTION("""COMPUTED_VALUE"""),"P0236")</f>
        <v>P0236</v>
      </c>
      <c r="B231" t="str">
        <f ca="1">IFERROR(__xludf.DUMMYFUNCTION("""COMPUTED_VALUE"""),"Peronetus Caponis")</f>
        <v>Peronetus Caponis</v>
      </c>
      <c r="D231" t="str">
        <f ca="1">IFERROR(__xludf.DUMMYFUNCTION("""COMPUTED_VALUE"""),"#VALUE!")</f>
        <v>#VALUE!</v>
      </c>
      <c r="E231" t="str">
        <f ca="1">IFERROR(__xludf.DUMMYFUNCTION("""COMPUTED_VALUE"""),"Peronetus")</f>
        <v>Peronetus</v>
      </c>
      <c r="K231" t="str">
        <f ca="1">IFERROR(__xludf.DUMMYFUNCTION("""COMPUTED_VALUE"""),"Caponis")</f>
        <v>Caponis</v>
      </c>
      <c r="L231" t="str">
        <f ca="1">IFERROR(__xludf.DUMMYFUNCTION("""COMPUTED_VALUE"""),"Caponis")</f>
        <v>Caponis</v>
      </c>
      <c r="S231" t="str">
        <f ca="1">IFERROR(__xludf.DUMMYFUNCTION("""COMPUTED_VALUE"""),"Latin")</f>
        <v>Latin</v>
      </c>
      <c r="T231" t="str">
        <f ca="1">IFERROR(__xludf.DUMMYFUNCTION("""COMPUTED_VALUE"""),"definite")</f>
        <v>definite</v>
      </c>
      <c r="U231" t="str">
        <f ca="1">IFERROR(__xludf.DUMMYFUNCTION("""COMPUTED_VALUE"""),"C2553")</f>
        <v>C2553</v>
      </c>
      <c r="V231" t="str">
        <f ca="1">IFERROR(__xludf.DUMMYFUNCTION("""COMPUTED_VALUE"""),"male")</f>
        <v>male</v>
      </c>
      <c r="Z231" t="str">
        <f ca="1">IFERROR(__xludf.DUMMYFUNCTION("""COMPUTED_VALUE"""),"178, 179, 186, 187, 188, 189, 192, 193, 194, 196, 197, 199, 201, 200, 208, 211, 214, 216, 224, 226, 228, 229, 230, 232, 234, 238")</f>
        <v>178, 179, 186, 187, 188, 189, 192, 193, 194, 196, 197, 199, 201, 200, 208, 211, 214, 216, 224, 226, 228, 229, 230, 232, 234, 238</v>
      </c>
      <c r="AA231" t="str">
        <f ca="1">IFERROR(__xludf.DUMMYFUNCTION("""COMPUTED_VALUE"""),"i")</f>
        <v>i</v>
      </c>
      <c r="AB231" t="str">
        <f ca="1">IFERROR(__xludf.DUMMYFUNCTION("""COMPUTED_VALUE"""),"assessor")</f>
        <v>assessor</v>
      </c>
      <c r="AD231" t="str">
        <f ca="1">IFERROR(__xludf.DUMMYFUNCTION("""COMPUTED_VALUE"""),"C3287")</f>
        <v>C3287</v>
      </c>
      <c r="AE231" t="str">
        <f ca="1">IFERROR(__xludf.DUMMYFUNCTION("""COMPUTED_VALUE"""),"alive")</f>
        <v>alive</v>
      </c>
      <c r="AF231" t="str">
        <f ca="1">IFERROR(__xludf.DUMMYFUNCTION("""COMPUTED_VALUE"""),"C1753")</f>
        <v>C1753</v>
      </c>
      <c r="AG231" t="str">
        <f ca="1">IFERROR(__xludf.DUMMYFUNCTION("""COMPUTED_VALUE"""),"1335-01-20")</f>
        <v>1335-01-20</v>
      </c>
      <c r="AI231" t="str">
        <f ca="1">IFERROR(__xludf.DUMMYFUNCTION("""COMPUTED_VALUE"""),"#VALUE!")</f>
        <v>#VALUE!</v>
      </c>
      <c r="AK231" t="str">
        <f ca="1">IFERROR(__xludf.DUMMYFUNCTION("""COMPUTED_VALUE"""),"#VALUE!")</f>
        <v>#VALUE!</v>
      </c>
      <c r="AM231" t="str">
        <f ca="1">IFERROR(__xludf.DUMMYFUNCTION("""COMPUTED_VALUE"""),"#VALUE!")</f>
        <v>#VALUE!</v>
      </c>
      <c r="AO231" t="str">
        <f ca="1">IFERROR(__xludf.DUMMYFUNCTION("""COMPUTED_VALUE"""),"#VALUE!")</f>
        <v>#VALUE!</v>
      </c>
      <c r="AQ231" t="str">
        <f ca="1">IFERROR(__xludf.DUMMYFUNCTION("""COMPUTED_VALUE"""),"#VALUE!")</f>
        <v>#VALUE!</v>
      </c>
      <c r="AS231" t="str">
        <f ca="1">IFERROR(__xludf.DUMMYFUNCTION("""COMPUTED_VALUE"""),"#VALUE!")</f>
        <v>#VALUE!</v>
      </c>
      <c r="AU231" t="str">
        <f ca="1">IFERROR(__xludf.DUMMYFUNCTION("""COMPUTED_VALUE"""),"#VALUE!")</f>
        <v>#VALUE!</v>
      </c>
      <c r="AW231" t="str">
        <f ca="1">IFERROR(__xludf.DUMMYFUNCTION("""COMPUTED_VALUE"""),"#VALUE!")</f>
        <v>#VALUE!</v>
      </c>
      <c r="AY231" t="str">
        <f ca="1">IFERROR(__xludf.DUMMYFUNCTION("""COMPUTED_VALUE"""),"#VALUE!")</f>
        <v>#VALUE!</v>
      </c>
      <c r="BA231" t="str">
        <f ca="1">IFERROR(__xludf.DUMMYFUNCTION("""COMPUTED_VALUE"""),"#VALUE!")</f>
        <v>#VALUE!</v>
      </c>
      <c r="BC231" t="str">
        <f ca="1">IFERROR(__xludf.DUMMYFUNCTION("""COMPUTED_VALUE"""),"#VALUE!")</f>
        <v>#VALUE!</v>
      </c>
      <c r="BE231" t="str">
        <f ca="1">IFERROR(__xludf.DUMMYFUNCTION("""COMPUTED_VALUE"""),"#VALUE!")</f>
        <v>#VALUE!</v>
      </c>
      <c r="BG231" t="str">
        <f ca="1">IFERROR(__xludf.DUMMYFUNCTION("""COMPUTED_VALUE"""),"#VALUE!")</f>
        <v>#VALUE!</v>
      </c>
      <c r="BI231" t="str">
        <f ca="1">IFERROR(__xludf.DUMMYFUNCTION("""COMPUTED_VALUE"""),"#VALUE!")</f>
        <v>#VALUE!</v>
      </c>
      <c r="BK231" t="str">
        <f ca="1">IFERROR(__xludf.DUMMYFUNCTION("""COMPUTED_VALUE"""),"#VALUE!")</f>
        <v>#VALUE!</v>
      </c>
      <c r="BM231" t="str">
        <f ca="1">IFERROR(__xludf.DUMMYFUNCTION("""COMPUTED_VALUE"""),"#VALUE!")</f>
        <v>#VALUE!</v>
      </c>
      <c r="BO231" t="str">
        <f ca="1">IFERROR(__xludf.DUMMYFUNCTION("""COMPUTED_VALUE"""),"#VALUE!")</f>
        <v>#VALUE!</v>
      </c>
      <c r="BQ231" t="str">
        <f ca="1">IFERROR(__xludf.DUMMYFUNCTION("""COMPUTED_VALUE"""),"#VALUE!")</f>
        <v>#VALUE!</v>
      </c>
      <c r="BS231" t="str">
        <f ca="1">IFERROR(__xludf.DUMMYFUNCTION("""COMPUTED_VALUE"""),"#VALUE!")</f>
        <v>#VALUE!</v>
      </c>
      <c r="BU231" t="str">
        <f ca="1">IFERROR(__xludf.DUMMYFUNCTION("""COMPUTED_VALUE"""),"#VALUE!")</f>
        <v>#VALUE!</v>
      </c>
      <c r="BW231" t="str">
        <f ca="1">IFERROR(__xludf.DUMMYFUNCTION("""COMPUTED_VALUE"""),"#VALUE!")</f>
        <v>#VALUE!</v>
      </c>
      <c r="BY231" t="str">
        <f ca="1">IFERROR(__xludf.DUMMYFUNCTION("""COMPUTED_VALUE"""),"#VALUE!")</f>
        <v>#VALUE!</v>
      </c>
      <c r="CA231" t="str">
        <f ca="1">IFERROR(__xludf.DUMMYFUNCTION("""COMPUTED_VALUE"""),"#VALUE!")</f>
        <v>#VALUE!</v>
      </c>
      <c r="CC231" t="str">
        <f ca="1">IFERROR(__xludf.DUMMYFUNCTION("""COMPUTED_VALUE"""),"#VALUE!")</f>
        <v>#VALUE!</v>
      </c>
      <c r="CE231" t="str">
        <f ca="1">IFERROR(__xludf.DUMMYFUNCTION("""COMPUTED_VALUE"""),"#VALUE!")</f>
        <v>#VALUE!</v>
      </c>
      <c r="CG231" t="str">
        <f ca="1">IFERROR(__xludf.DUMMYFUNCTION("""COMPUTED_VALUE"""),"#VALUE!")</f>
        <v>#VALUE!</v>
      </c>
      <c r="CI231" t="str">
        <f ca="1">IFERROR(__xludf.DUMMYFUNCTION("""COMPUTED_VALUE"""),"#VALUE!")</f>
        <v>#VALUE!</v>
      </c>
      <c r="CK231" t="str">
        <f ca="1">IFERROR(__xludf.DUMMYFUNCTION("""COMPUTED_VALUE"""),"#VALUE!")</f>
        <v>#VALUE!</v>
      </c>
      <c r="CS231" t="str">
        <f ca="1">IFERROR(__xludf.DUMMYFUNCTION("""COMPUTED_VALUE"""),"#VALUE!")</f>
        <v>#VALUE!</v>
      </c>
      <c r="CU231" t="str">
        <f ca="1">IFERROR(__xludf.DUMMYFUNCTION("""COMPUTED_VALUE"""),"#VALUE!")</f>
        <v>#VALUE!</v>
      </c>
      <c r="CV231" t="str">
        <f ca="1">IFERROR(__xludf.DUMMYFUNCTION("""COMPUTED_VALUE"""),"L0001")</f>
        <v>L0001</v>
      </c>
      <c r="CW231" t="str">
        <f ca="1">IFERROR(__xludf.DUMMYFUNCTION("""COMPUTED_VALUE"""),"Giaveno")</f>
        <v>Giaveno</v>
      </c>
      <c r="CX231" t="str">
        <f ca="1">IFERROR(__xludf.DUMMYFUNCTION("""COMPUTED_VALUE"""),"C3174")</f>
        <v>C3174</v>
      </c>
      <c r="CY231" t="str">
        <f ca="1">IFERROR(__xludf.DUMMYFUNCTION("""COMPUTED_VALUE"""),"castellanus ")</f>
        <v xml:space="preserve">castellanus </v>
      </c>
      <c r="DA231" t="str">
        <f ca="1">IFERROR(__xludf.DUMMYFUNCTION("""COMPUTED_VALUE"""),"official")</f>
        <v>official</v>
      </c>
      <c r="DC231" t="str">
        <f ca="1">IFERROR(__xludf.DUMMYFUNCTION("""COMPUTED_VALUE"""),"#VALUE!")</f>
        <v>#VALUE!</v>
      </c>
      <c r="DD231" t="str">
        <f ca="1">IFERROR(__xludf.DUMMYFUNCTION("""COMPUTED_VALUE"""),"C3174")</f>
        <v>C3174</v>
      </c>
      <c r="DE231" t="str">
        <f ca="1">IFERROR(__xludf.DUMMYFUNCTION("""COMPUTED_VALUE"""),"castellanus ")</f>
        <v xml:space="preserve">castellanus </v>
      </c>
      <c r="DI231" t="str">
        <f ca="1">IFERROR(__xludf.DUMMYFUNCTION("""COMPUTED_VALUE"""),"#VALUE!")</f>
        <v>#VALUE!</v>
      </c>
      <c r="DJ231" t="str">
        <f ca="1">IFERROR(__xludf.DUMMYFUNCTION("""COMPUTED_VALUE"""),"#VALUE!")</f>
        <v>#VALUE!</v>
      </c>
      <c r="DL231" t="str">
        <f ca="1">IFERROR(__xludf.DUMMYFUNCTION("""COMPUTED_VALUE"""),"Davor Salihović")</f>
        <v>Davor Salihović</v>
      </c>
    </row>
    <row r="232" spans="1:116" ht="13.2" x14ac:dyDescent="0.25">
      <c r="A232" t="str">
        <f ca="1">IFERROR(__xludf.DUMMYFUNCTION("""COMPUTED_VALUE"""),"P0237")</f>
        <v>P0237</v>
      </c>
      <c r="B232" t="str">
        <f ca="1">IFERROR(__xludf.DUMMYFUNCTION("""COMPUTED_VALUE"""),"papa")</f>
        <v>papa</v>
      </c>
      <c r="C232" t="str">
        <f ca="1">IFERROR(__xludf.DUMMYFUNCTION("""COMPUTED_VALUE"""),"C3252")</f>
        <v>C3252</v>
      </c>
      <c r="D232" t="str">
        <f ca="1">IFERROR(__xludf.DUMMYFUNCTION("""COMPUTED_VALUE"""),"dominus")</f>
        <v>dominus</v>
      </c>
      <c r="E232" t="str">
        <f ca="1">IFERROR(__xludf.DUMMYFUNCTION("""COMPUTED_VALUE"""),"papa")</f>
        <v>papa</v>
      </c>
      <c r="S232" t="str">
        <f ca="1">IFERROR(__xludf.DUMMYFUNCTION("""COMPUTED_VALUE"""),"Latin")</f>
        <v>Latin</v>
      </c>
      <c r="T232" t="str">
        <f ca="1">IFERROR(__xludf.DUMMYFUNCTION("""COMPUTED_VALUE"""),"generic")</f>
        <v>generic</v>
      </c>
      <c r="U232" t="str">
        <f ca="1">IFERROR(__xludf.DUMMYFUNCTION("""COMPUTED_VALUE"""),"C2553")</f>
        <v>C2553</v>
      </c>
      <c r="V232" t="str">
        <f ca="1">IFERROR(__xludf.DUMMYFUNCTION("""COMPUTED_VALUE"""),"male")</f>
        <v>male</v>
      </c>
      <c r="Z232" t="str">
        <f ca="1">IFERROR(__xludf.DUMMYFUNCTION("""COMPUTED_VALUE"""),"179, 191, 192, 193, 195, 197, 200")</f>
        <v>179, 191, 192, 193, 195, 197, 200</v>
      </c>
      <c r="AA232" t="str">
        <f ca="1">IFERROR(__xludf.DUMMYFUNCTION("""COMPUTED_VALUE"""),"o")</f>
        <v>o</v>
      </c>
      <c r="AB232" t="str">
        <f ca="1">IFERROR(__xludf.DUMMYFUNCTION("""COMPUTED_VALUE"""),"NA")</f>
        <v>NA</v>
      </c>
      <c r="AE232" t="str">
        <f ca="1">IFERROR(__xludf.DUMMYFUNCTION("""COMPUTED_VALUE"""),"#VALUE!")</f>
        <v>#VALUE!</v>
      </c>
      <c r="AF232" t="str">
        <f ca="1">IFERROR(__xludf.DUMMYFUNCTION("""COMPUTED_VALUE"""),"#N/A")</f>
        <v>#N/A</v>
      </c>
      <c r="AG232" t="str">
        <f ca="1">IFERROR(__xludf.DUMMYFUNCTION("""COMPUTED_VALUE"""),"#N/A")</f>
        <v>#N/A</v>
      </c>
      <c r="AI232" t="str">
        <f ca="1">IFERROR(__xludf.DUMMYFUNCTION("""COMPUTED_VALUE"""),"#VALUE!")</f>
        <v>#VALUE!</v>
      </c>
      <c r="AK232" t="str">
        <f ca="1">IFERROR(__xludf.DUMMYFUNCTION("""COMPUTED_VALUE"""),"#VALUE!")</f>
        <v>#VALUE!</v>
      </c>
      <c r="AM232" t="str">
        <f ca="1">IFERROR(__xludf.DUMMYFUNCTION("""COMPUTED_VALUE"""),"#VALUE!")</f>
        <v>#VALUE!</v>
      </c>
      <c r="AO232" t="str">
        <f ca="1">IFERROR(__xludf.DUMMYFUNCTION("""COMPUTED_VALUE"""),"#VALUE!")</f>
        <v>#VALUE!</v>
      </c>
      <c r="AQ232" t="str">
        <f ca="1">IFERROR(__xludf.DUMMYFUNCTION("""COMPUTED_VALUE"""),"#VALUE!")</f>
        <v>#VALUE!</v>
      </c>
      <c r="AS232" t="str">
        <f ca="1">IFERROR(__xludf.DUMMYFUNCTION("""COMPUTED_VALUE"""),"#VALUE!")</f>
        <v>#VALUE!</v>
      </c>
      <c r="AU232" t="str">
        <f ca="1">IFERROR(__xludf.DUMMYFUNCTION("""COMPUTED_VALUE"""),"#VALUE!")</f>
        <v>#VALUE!</v>
      </c>
      <c r="AW232" t="str">
        <f ca="1">IFERROR(__xludf.DUMMYFUNCTION("""COMPUTED_VALUE"""),"#VALUE!")</f>
        <v>#VALUE!</v>
      </c>
      <c r="AY232" t="str">
        <f ca="1">IFERROR(__xludf.DUMMYFUNCTION("""COMPUTED_VALUE"""),"#VALUE!")</f>
        <v>#VALUE!</v>
      </c>
      <c r="BA232" t="str">
        <f ca="1">IFERROR(__xludf.DUMMYFUNCTION("""COMPUTED_VALUE"""),"#VALUE!")</f>
        <v>#VALUE!</v>
      </c>
      <c r="BC232" t="str">
        <f ca="1">IFERROR(__xludf.DUMMYFUNCTION("""COMPUTED_VALUE"""),"#VALUE!")</f>
        <v>#VALUE!</v>
      </c>
      <c r="BE232" t="str">
        <f ca="1">IFERROR(__xludf.DUMMYFUNCTION("""COMPUTED_VALUE"""),"#VALUE!")</f>
        <v>#VALUE!</v>
      </c>
      <c r="BG232" t="str">
        <f ca="1">IFERROR(__xludf.DUMMYFUNCTION("""COMPUTED_VALUE"""),"#VALUE!")</f>
        <v>#VALUE!</v>
      </c>
      <c r="BI232" t="str">
        <f ca="1">IFERROR(__xludf.DUMMYFUNCTION("""COMPUTED_VALUE"""),"#VALUE!")</f>
        <v>#VALUE!</v>
      </c>
      <c r="BK232" t="str">
        <f ca="1">IFERROR(__xludf.DUMMYFUNCTION("""COMPUTED_VALUE"""),"#VALUE!")</f>
        <v>#VALUE!</v>
      </c>
      <c r="BM232" t="str">
        <f ca="1">IFERROR(__xludf.DUMMYFUNCTION("""COMPUTED_VALUE"""),"#VALUE!")</f>
        <v>#VALUE!</v>
      </c>
      <c r="BO232" t="str">
        <f ca="1">IFERROR(__xludf.DUMMYFUNCTION("""COMPUTED_VALUE"""),"#VALUE!")</f>
        <v>#VALUE!</v>
      </c>
      <c r="BQ232" t="str">
        <f ca="1">IFERROR(__xludf.DUMMYFUNCTION("""COMPUTED_VALUE"""),"#VALUE!")</f>
        <v>#VALUE!</v>
      </c>
      <c r="BS232" t="str">
        <f ca="1">IFERROR(__xludf.DUMMYFUNCTION("""COMPUTED_VALUE"""),"#VALUE!")</f>
        <v>#VALUE!</v>
      </c>
      <c r="BU232" t="str">
        <f ca="1">IFERROR(__xludf.DUMMYFUNCTION("""COMPUTED_VALUE"""),"#VALUE!")</f>
        <v>#VALUE!</v>
      </c>
      <c r="BW232" t="str">
        <f ca="1">IFERROR(__xludf.DUMMYFUNCTION("""COMPUTED_VALUE"""),"#VALUE!")</f>
        <v>#VALUE!</v>
      </c>
      <c r="BY232" t="str">
        <f ca="1">IFERROR(__xludf.DUMMYFUNCTION("""COMPUTED_VALUE"""),"#VALUE!")</f>
        <v>#VALUE!</v>
      </c>
      <c r="CA232" t="str">
        <f ca="1">IFERROR(__xludf.DUMMYFUNCTION("""COMPUTED_VALUE"""),"#VALUE!")</f>
        <v>#VALUE!</v>
      </c>
      <c r="CC232" t="str">
        <f ca="1">IFERROR(__xludf.DUMMYFUNCTION("""COMPUTED_VALUE"""),"#VALUE!")</f>
        <v>#VALUE!</v>
      </c>
      <c r="CE232" t="str">
        <f ca="1">IFERROR(__xludf.DUMMYFUNCTION("""COMPUTED_VALUE"""),"#VALUE!")</f>
        <v>#VALUE!</v>
      </c>
      <c r="CG232" t="str">
        <f ca="1">IFERROR(__xludf.DUMMYFUNCTION("""COMPUTED_VALUE"""),"#VALUE!")</f>
        <v>#VALUE!</v>
      </c>
      <c r="CI232" t="str">
        <f ca="1">IFERROR(__xludf.DUMMYFUNCTION("""COMPUTED_VALUE"""),"#VALUE!")</f>
        <v>#VALUE!</v>
      </c>
      <c r="CK232" t="str">
        <f ca="1">IFERROR(__xludf.DUMMYFUNCTION("""COMPUTED_VALUE"""),"#VALUE!")</f>
        <v>#VALUE!</v>
      </c>
      <c r="CS232" t="str">
        <f ca="1">IFERROR(__xludf.DUMMYFUNCTION("""COMPUTED_VALUE"""),"#VALUE!")</f>
        <v>#VALUE!</v>
      </c>
      <c r="CU232" t="str">
        <f ca="1">IFERROR(__xludf.DUMMYFUNCTION("""COMPUTED_VALUE"""),"#VALUE!")</f>
        <v>#VALUE!</v>
      </c>
      <c r="CW232" t="str">
        <f ca="1">IFERROR(__xludf.DUMMYFUNCTION("""COMPUTED_VALUE"""),"#VALUE!")</f>
        <v>#VALUE!</v>
      </c>
      <c r="CY232" t="str">
        <f ca="1">IFERROR(__xludf.DUMMYFUNCTION("""COMPUTED_VALUE"""),"#VALUE!")</f>
        <v>#VALUE!</v>
      </c>
      <c r="DC232" t="str">
        <f ca="1">IFERROR(__xludf.DUMMYFUNCTION("""COMPUTED_VALUE"""),"#VALUE!")</f>
        <v>#VALUE!</v>
      </c>
      <c r="DE232" t="str">
        <f ca="1">IFERROR(__xludf.DUMMYFUNCTION("""COMPUTED_VALUE"""),"#VALUE!")</f>
        <v>#VALUE!</v>
      </c>
      <c r="DI232" t="str">
        <f ca="1">IFERROR(__xludf.DUMMYFUNCTION("""COMPUTED_VALUE"""),"#VALUE!")</f>
        <v>#VALUE!</v>
      </c>
      <c r="DJ232" t="str">
        <f ca="1">IFERROR(__xludf.DUMMYFUNCTION("""COMPUTED_VALUE"""),"#VALUE!")</f>
        <v>#VALUE!</v>
      </c>
      <c r="DL232" t="str">
        <f ca="1">IFERROR(__xludf.DUMMYFUNCTION("""COMPUTED_VALUE"""),"Davor Salihović")</f>
        <v>Davor Salihović</v>
      </c>
    </row>
    <row r="233" spans="1:116" ht="13.2" x14ac:dyDescent="0.25">
      <c r="A233" t="str">
        <f ca="1">IFERROR(__xludf.DUMMYFUNCTION("""COMPUTED_VALUE"""),"P0238")</f>
        <v>P0238</v>
      </c>
      <c r="B233" t="str">
        <f ca="1">IFERROR(__xludf.DUMMYFUNCTION("""COMPUTED_VALUE"""),"Petrus Gauterii")</f>
        <v>Petrus Gauterii</v>
      </c>
      <c r="D233" t="str">
        <f ca="1">IFERROR(__xludf.DUMMYFUNCTION("""COMPUTED_VALUE"""),"#VALUE!")</f>
        <v>#VALUE!</v>
      </c>
      <c r="E233" t="str">
        <f ca="1">IFERROR(__xludf.DUMMYFUNCTION("""COMPUTED_VALUE"""),"Petrus")</f>
        <v>Petrus</v>
      </c>
      <c r="K233" t="str">
        <f ca="1">IFERROR(__xludf.DUMMYFUNCTION("""COMPUTED_VALUE"""),"Gauterii")</f>
        <v>Gauterii</v>
      </c>
      <c r="L233" t="str">
        <f ca="1">IFERROR(__xludf.DUMMYFUNCTION("""COMPUTED_VALUE"""),"Gauterii")</f>
        <v>Gauterii</v>
      </c>
      <c r="S233" t="str">
        <f ca="1">IFERROR(__xludf.DUMMYFUNCTION("""COMPUTED_VALUE"""),"Latin")</f>
        <v>Latin</v>
      </c>
      <c r="T233" t="str">
        <f ca="1">IFERROR(__xludf.DUMMYFUNCTION("""COMPUTED_VALUE"""),"definite")</f>
        <v>definite</v>
      </c>
      <c r="U233" t="str">
        <f ca="1">IFERROR(__xludf.DUMMYFUNCTION("""COMPUTED_VALUE"""),"C2553")</f>
        <v>C2553</v>
      </c>
      <c r="V233" t="str">
        <f ca="1">IFERROR(__xludf.DUMMYFUNCTION("""COMPUTED_VALUE"""),"male")</f>
        <v>male</v>
      </c>
      <c r="Z233" t="str">
        <f ca="1">IFERROR(__xludf.DUMMYFUNCTION("""COMPUTED_VALUE"""),"179")</f>
        <v>179</v>
      </c>
      <c r="AA233" t="str">
        <f ca="1">IFERROR(__xludf.DUMMYFUNCTION("""COMPUTED_VALUE"""),"d")</f>
        <v>d</v>
      </c>
      <c r="AB233" t="str">
        <f ca="1">IFERROR(__xludf.DUMMYFUNCTION("""COMPUTED_VALUE"""),"NA")</f>
        <v>NA</v>
      </c>
      <c r="AD233" t="str">
        <f ca="1">IFERROR(__xludf.DUMMYFUNCTION("""COMPUTED_VALUE"""),"C3287")</f>
        <v>C3287</v>
      </c>
      <c r="AE233" t="str">
        <f ca="1">IFERROR(__xludf.DUMMYFUNCTION("""COMPUTED_VALUE"""),"alive")</f>
        <v>alive</v>
      </c>
      <c r="AF233" t="str">
        <f ca="1">IFERROR(__xludf.DUMMYFUNCTION("""COMPUTED_VALUE"""),"C1753")</f>
        <v>C1753</v>
      </c>
      <c r="AG233" t="str">
        <f ca="1">IFERROR(__xludf.DUMMYFUNCTION("""COMPUTED_VALUE"""),"1335-01-20")</f>
        <v>1335-01-20</v>
      </c>
      <c r="AI233" t="str">
        <f ca="1">IFERROR(__xludf.DUMMYFUNCTION("""COMPUTED_VALUE"""),"#VALUE!")</f>
        <v>#VALUE!</v>
      </c>
      <c r="AK233" t="str">
        <f ca="1">IFERROR(__xludf.DUMMYFUNCTION("""COMPUTED_VALUE"""),"#VALUE!")</f>
        <v>#VALUE!</v>
      </c>
      <c r="AM233" t="str">
        <f ca="1">IFERROR(__xludf.DUMMYFUNCTION("""COMPUTED_VALUE"""),"#VALUE!")</f>
        <v>#VALUE!</v>
      </c>
      <c r="AO233" t="str">
        <f ca="1">IFERROR(__xludf.DUMMYFUNCTION("""COMPUTED_VALUE"""),"#VALUE!")</f>
        <v>#VALUE!</v>
      </c>
      <c r="AQ233" t="str">
        <f ca="1">IFERROR(__xludf.DUMMYFUNCTION("""COMPUTED_VALUE"""),"#VALUE!")</f>
        <v>#VALUE!</v>
      </c>
      <c r="AS233" t="str">
        <f ca="1">IFERROR(__xludf.DUMMYFUNCTION("""COMPUTED_VALUE"""),"#VALUE!")</f>
        <v>#VALUE!</v>
      </c>
      <c r="AU233" t="str">
        <f ca="1">IFERROR(__xludf.DUMMYFUNCTION("""COMPUTED_VALUE"""),"#VALUE!")</f>
        <v>#VALUE!</v>
      </c>
      <c r="AW233" t="str">
        <f ca="1">IFERROR(__xludf.DUMMYFUNCTION("""COMPUTED_VALUE"""),"#VALUE!")</f>
        <v>#VALUE!</v>
      </c>
      <c r="AY233" t="str">
        <f ca="1">IFERROR(__xludf.DUMMYFUNCTION("""COMPUTED_VALUE"""),"#VALUE!")</f>
        <v>#VALUE!</v>
      </c>
      <c r="BA233" t="str">
        <f ca="1">IFERROR(__xludf.DUMMYFUNCTION("""COMPUTED_VALUE"""),"#VALUE!")</f>
        <v>#VALUE!</v>
      </c>
      <c r="BC233" t="str">
        <f ca="1">IFERROR(__xludf.DUMMYFUNCTION("""COMPUTED_VALUE"""),"#VALUE!")</f>
        <v>#VALUE!</v>
      </c>
      <c r="BE233" t="str">
        <f ca="1">IFERROR(__xludf.DUMMYFUNCTION("""COMPUTED_VALUE"""),"#VALUE!")</f>
        <v>#VALUE!</v>
      </c>
      <c r="BG233" t="str">
        <f ca="1">IFERROR(__xludf.DUMMYFUNCTION("""COMPUTED_VALUE"""),"#VALUE!")</f>
        <v>#VALUE!</v>
      </c>
      <c r="BI233" t="str">
        <f ca="1">IFERROR(__xludf.DUMMYFUNCTION("""COMPUTED_VALUE"""),"#VALUE!")</f>
        <v>#VALUE!</v>
      </c>
      <c r="BK233" t="str">
        <f ca="1">IFERROR(__xludf.DUMMYFUNCTION("""COMPUTED_VALUE"""),"#VALUE!")</f>
        <v>#VALUE!</v>
      </c>
      <c r="BM233" t="str">
        <f ca="1">IFERROR(__xludf.DUMMYFUNCTION("""COMPUTED_VALUE"""),"#VALUE!")</f>
        <v>#VALUE!</v>
      </c>
      <c r="BO233" t="str">
        <f ca="1">IFERROR(__xludf.DUMMYFUNCTION("""COMPUTED_VALUE"""),"#VALUE!")</f>
        <v>#VALUE!</v>
      </c>
      <c r="BQ233" t="str">
        <f ca="1">IFERROR(__xludf.DUMMYFUNCTION("""COMPUTED_VALUE"""),"#VALUE!")</f>
        <v>#VALUE!</v>
      </c>
      <c r="BS233" t="str">
        <f ca="1">IFERROR(__xludf.DUMMYFUNCTION("""COMPUTED_VALUE"""),"#VALUE!")</f>
        <v>#VALUE!</v>
      </c>
      <c r="BU233" t="str">
        <f ca="1">IFERROR(__xludf.DUMMYFUNCTION("""COMPUTED_VALUE"""),"#VALUE!")</f>
        <v>#VALUE!</v>
      </c>
      <c r="BW233" t="str">
        <f ca="1">IFERROR(__xludf.DUMMYFUNCTION("""COMPUTED_VALUE"""),"#VALUE!")</f>
        <v>#VALUE!</v>
      </c>
      <c r="BY233" t="str">
        <f ca="1">IFERROR(__xludf.DUMMYFUNCTION("""COMPUTED_VALUE"""),"#VALUE!")</f>
        <v>#VALUE!</v>
      </c>
      <c r="CA233" t="str">
        <f ca="1">IFERROR(__xludf.DUMMYFUNCTION("""COMPUTED_VALUE"""),"#VALUE!")</f>
        <v>#VALUE!</v>
      </c>
      <c r="CC233" t="str">
        <f ca="1">IFERROR(__xludf.DUMMYFUNCTION("""COMPUTED_VALUE"""),"#VALUE!")</f>
        <v>#VALUE!</v>
      </c>
      <c r="CE233" t="str">
        <f ca="1">IFERROR(__xludf.DUMMYFUNCTION("""COMPUTED_VALUE"""),"#VALUE!")</f>
        <v>#VALUE!</v>
      </c>
      <c r="CG233" t="str">
        <f ca="1">IFERROR(__xludf.DUMMYFUNCTION("""COMPUTED_VALUE"""),"#VALUE!")</f>
        <v>#VALUE!</v>
      </c>
      <c r="CI233" t="str">
        <f ca="1">IFERROR(__xludf.DUMMYFUNCTION("""COMPUTED_VALUE"""),"#VALUE!")</f>
        <v>#VALUE!</v>
      </c>
      <c r="CK233" t="str">
        <f ca="1">IFERROR(__xludf.DUMMYFUNCTION("""COMPUTED_VALUE"""),"#VALUE!")</f>
        <v>#VALUE!</v>
      </c>
      <c r="CS233" t="str">
        <f ca="1">IFERROR(__xludf.DUMMYFUNCTION("""COMPUTED_VALUE"""),"#VALUE!")</f>
        <v>#VALUE!</v>
      </c>
      <c r="CU233" t="str">
        <f ca="1">IFERROR(__xludf.DUMMYFUNCTION("""COMPUTED_VALUE"""),"#VALUE!")</f>
        <v>#VALUE!</v>
      </c>
      <c r="CW233" t="str">
        <f ca="1">IFERROR(__xludf.DUMMYFUNCTION("""COMPUTED_VALUE"""),"#VALUE!")</f>
        <v>#VALUE!</v>
      </c>
      <c r="CY233" t="str">
        <f ca="1">IFERROR(__xludf.DUMMYFUNCTION("""COMPUTED_VALUE"""),"#VALUE!")</f>
        <v>#VALUE!</v>
      </c>
      <c r="DC233" t="str">
        <f ca="1">IFERROR(__xludf.DUMMYFUNCTION("""COMPUTED_VALUE"""),"#VALUE!")</f>
        <v>#VALUE!</v>
      </c>
      <c r="DE233" t="str">
        <f ca="1">IFERROR(__xludf.DUMMYFUNCTION("""COMPUTED_VALUE"""),"#VALUE!")</f>
        <v>#VALUE!</v>
      </c>
      <c r="DI233" t="str">
        <f ca="1">IFERROR(__xludf.DUMMYFUNCTION("""COMPUTED_VALUE"""),"#VALUE!")</f>
        <v>#VALUE!</v>
      </c>
      <c r="DJ233" t="str">
        <f ca="1">IFERROR(__xludf.DUMMYFUNCTION("""COMPUTED_VALUE"""),"#VALUE!")</f>
        <v>#VALUE!</v>
      </c>
      <c r="DL233" t="str">
        <f ca="1">IFERROR(__xludf.DUMMYFUNCTION("""COMPUTED_VALUE"""),"Davor Salihović")</f>
        <v>Davor Salihović</v>
      </c>
    </row>
    <row r="234" spans="1:116" ht="13.2" x14ac:dyDescent="0.25">
      <c r="A234" t="str">
        <f ca="1">IFERROR(__xludf.DUMMYFUNCTION("""COMPUTED_VALUE"""),"P0239")</f>
        <v>P0239</v>
      </c>
      <c r="B234" t="str">
        <f ca="1">IFERROR(__xludf.DUMMYFUNCTION("""COMPUTED_VALUE"""),"Iohannes Garola")</f>
        <v>Iohannes Garola</v>
      </c>
      <c r="D234" t="str">
        <f ca="1">IFERROR(__xludf.DUMMYFUNCTION("""COMPUTED_VALUE"""),"#VALUE!")</f>
        <v>#VALUE!</v>
      </c>
      <c r="E234" t="str">
        <f ca="1">IFERROR(__xludf.DUMMYFUNCTION("""COMPUTED_VALUE"""),"Iohannes")</f>
        <v>Iohannes</v>
      </c>
      <c r="K234" t="str">
        <f ca="1">IFERROR(__xludf.DUMMYFUNCTION("""COMPUTED_VALUE"""),"Garola")</f>
        <v>Garola</v>
      </c>
      <c r="L234" t="str">
        <f ca="1">IFERROR(__xludf.DUMMYFUNCTION("""COMPUTED_VALUE"""),"Garola")</f>
        <v>Garola</v>
      </c>
      <c r="S234" t="str">
        <f ca="1">IFERROR(__xludf.DUMMYFUNCTION("""COMPUTED_VALUE"""),"Latin")</f>
        <v>Latin</v>
      </c>
      <c r="T234" t="str">
        <f ca="1">IFERROR(__xludf.DUMMYFUNCTION("""COMPUTED_VALUE"""),"definite")</f>
        <v>definite</v>
      </c>
      <c r="U234" t="str">
        <f ca="1">IFERROR(__xludf.DUMMYFUNCTION("""COMPUTED_VALUE"""),"C2553")</f>
        <v>C2553</v>
      </c>
      <c r="V234" t="str">
        <f ca="1">IFERROR(__xludf.DUMMYFUNCTION("""COMPUTED_VALUE"""),"male")</f>
        <v>male</v>
      </c>
      <c r="Z234" t="str">
        <f ca="1">IFERROR(__xludf.DUMMYFUNCTION("""COMPUTED_VALUE"""),"180, 181, 182")</f>
        <v>180, 181, 182</v>
      </c>
      <c r="AA234" t="str">
        <f ca="1">IFERROR(__xludf.DUMMYFUNCTION("""COMPUTED_VALUE"""),"d")</f>
        <v>d</v>
      </c>
      <c r="AB234" t="str">
        <f ca="1">IFERROR(__xludf.DUMMYFUNCTION("""COMPUTED_VALUE"""),"NA")</f>
        <v>NA</v>
      </c>
      <c r="AD234" t="str">
        <f ca="1">IFERROR(__xludf.DUMMYFUNCTION("""COMPUTED_VALUE"""),"C3287")</f>
        <v>C3287</v>
      </c>
      <c r="AE234" t="str">
        <f ca="1">IFERROR(__xludf.DUMMYFUNCTION("""COMPUTED_VALUE"""),"alive")</f>
        <v>alive</v>
      </c>
      <c r="AF234" t="str">
        <f ca="1">IFERROR(__xludf.DUMMYFUNCTION("""COMPUTED_VALUE"""),"C1753")</f>
        <v>C1753</v>
      </c>
      <c r="AG234" t="str">
        <f ca="1">IFERROR(__xludf.DUMMYFUNCTION("""COMPUTED_VALUE"""),"1335-01-20")</f>
        <v>1335-01-20</v>
      </c>
      <c r="AI234" t="str">
        <f ca="1">IFERROR(__xludf.DUMMYFUNCTION("""COMPUTED_VALUE"""),"#VALUE!")</f>
        <v>#VALUE!</v>
      </c>
      <c r="AK234" t="str">
        <f ca="1">IFERROR(__xludf.DUMMYFUNCTION("""COMPUTED_VALUE"""),"#VALUE!")</f>
        <v>#VALUE!</v>
      </c>
      <c r="AM234" t="str">
        <f ca="1">IFERROR(__xludf.DUMMYFUNCTION("""COMPUTED_VALUE"""),"#VALUE!")</f>
        <v>#VALUE!</v>
      </c>
      <c r="AO234" t="str">
        <f ca="1">IFERROR(__xludf.DUMMYFUNCTION("""COMPUTED_VALUE"""),"#VALUE!")</f>
        <v>#VALUE!</v>
      </c>
      <c r="AQ234" t="str">
        <f ca="1">IFERROR(__xludf.DUMMYFUNCTION("""COMPUTED_VALUE"""),"#VALUE!")</f>
        <v>#VALUE!</v>
      </c>
      <c r="AS234" t="str">
        <f ca="1">IFERROR(__xludf.DUMMYFUNCTION("""COMPUTED_VALUE"""),"#VALUE!")</f>
        <v>#VALUE!</v>
      </c>
      <c r="AU234" t="str">
        <f ca="1">IFERROR(__xludf.DUMMYFUNCTION("""COMPUTED_VALUE"""),"#VALUE!")</f>
        <v>#VALUE!</v>
      </c>
      <c r="AW234" t="str">
        <f ca="1">IFERROR(__xludf.DUMMYFUNCTION("""COMPUTED_VALUE"""),"#VALUE!")</f>
        <v>#VALUE!</v>
      </c>
      <c r="AY234" t="str">
        <f ca="1">IFERROR(__xludf.DUMMYFUNCTION("""COMPUTED_VALUE"""),"#VALUE!")</f>
        <v>#VALUE!</v>
      </c>
      <c r="BA234" t="str">
        <f ca="1">IFERROR(__xludf.DUMMYFUNCTION("""COMPUTED_VALUE"""),"#VALUE!")</f>
        <v>#VALUE!</v>
      </c>
      <c r="BC234" t="str">
        <f ca="1">IFERROR(__xludf.DUMMYFUNCTION("""COMPUTED_VALUE"""),"#VALUE!")</f>
        <v>#VALUE!</v>
      </c>
      <c r="BE234" t="str">
        <f ca="1">IFERROR(__xludf.DUMMYFUNCTION("""COMPUTED_VALUE"""),"#VALUE!")</f>
        <v>#VALUE!</v>
      </c>
      <c r="BG234" t="str">
        <f ca="1">IFERROR(__xludf.DUMMYFUNCTION("""COMPUTED_VALUE"""),"#VALUE!")</f>
        <v>#VALUE!</v>
      </c>
      <c r="BI234" t="str">
        <f ca="1">IFERROR(__xludf.DUMMYFUNCTION("""COMPUTED_VALUE"""),"#VALUE!")</f>
        <v>#VALUE!</v>
      </c>
      <c r="BK234" t="str">
        <f ca="1">IFERROR(__xludf.DUMMYFUNCTION("""COMPUTED_VALUE"""),"#VALUE!")</f>
        <v>#VALUE!</v>
      </c>
      <c r="BM234" t="str">
        <f ca="1">IFERROR(__xludf.DUMMYFUNCTION("""COMPUTED_VALUE"""),"#VALUE!")</f>
        <v>#VALUE!</v>
      </c>
      <c r="BO234" t="str">
        <f ca="1">IFERROR(__xludf.DUMMYFUNCTION("""COMPUTED_VALUE"""),"#VALUE!")</f>
        <v>#VALUE!</v>
      </c>
      <c r="BQ234" t="str">
        <f ca="1">IFERROR(__xludf.DUMMYFUNCTION("""COMPUTED_VALUE"""),"#VALUE!")</f>
        <v>#VALUE!</v>
      </c>
      <c r="BS234" t="str">
        <f ca="1">IFERROR(__xludf.DUMMYFUNCTION("""COMPUTED_VALUE"""),"#VALUE!")</f>
        <v>#VALUE!</v>
      </c>
      <c r="BU234" t="str">
        <f ca="1">IFERROR(__xludf.DUMMYFUNCTION("""COMPUTED_VALUE"""),"#VALUE!")</f>
        <v>#VALUE!</v>
      </c>
      <c r="BW234" t="str">
        <f ca="1">IFERROR(__xludf.DUMMYFUNCTION("""COMPUTED_VALUE"""),"#VALUE!")</f>
        <v>#VALUE!</v>
      </c>
      <c r="BY234" t="str">
        <f ca="1">IFERROR(__xludf.DUMMYFUNCTION("""COMPUTED_VALUE"""),"#VALUE!")</f>
        <v>#VALUE!</v>
      </c>
      <c r="CA234" t="str">
        <f ca="1">IFERROR(__xludf.DUMMYFUNCTION("""COMPUTED_VALUE"""),"#VALUE!")</f>
        <v>#VALUE!</v>
      </c>
      <c r="CC234" t="str">
        <f ca="1">IFERROR(__xludf.DUMMYFUNCTION("""COMPUTED_VALUE"""),"#VALUE!")</f>
        <v>#VALUE!</v>
      </c>
      <c r="CE234" t="str">
        <f ca="1">IFERROR(__xludf.DUMMYFUNCTION("""COMPUTED_VALUE"""),"#VALUE!")</f>
        <v>#VALUE!</v>
      </c>
      <c r="CG234" t="str">
        <f ca="1">IFERROR(__xludf.DUMMYFUNCTION("""COMPUTED_VALUE"""),"#VALUE!")</f>
        <v>#VALUE!</v>
      </c>
      <c r="CI234" t="str">
        <f ca="1">IFERROR(__xludf.DUMMYFUNCTION("""COMPUTED_VALUE"""),"#VALUE!")</f>
        <v>#VALUE!</v>
      </c>
      <c r="CK234" t="str">
        <f ca="1">IFERROR(__xludf.DUMMYFUNCTION("""COMPUTED_VALUE"""),"#VALUE!")</f>
        <v>#VALUE!</v>
      </c>
      <c r="CS234" t="str">
        <f ca="1">IFERROR(__xludf.DUMMYFUNCTION("""COMPUTED_VALUE"""),"#VALUE!")</f>
        <v>#VALUE!</v>
      </c>
      <c r="CU234" t="str">
        <f ca="1">IFERROR(__xludf.DUMMYFUNCTION("""COMPUTED_VALUE"""),"#VALUE!")</f>
        <v>#VALUE!</v>
      </c>
      <c r="CW234" t="str">
        <f ca="1">IFERROR(__xludf.DUMMYFUNCTION("""COMPUTED_VALUE"""),"#VALUE!")</f>
        <v>#VALUE!</v>
      </c>
      <c r="CY234" t="str">
        <f ca="1">IFERROR(__xludf.DUMMYFUNCTION("""COMPUTED_VALUE"""),"#VALUE!")</f>
        <v>#VALUE!</v>
      </c>
      <c r="DC234" t="str">
        <f ca="1">IFERROR(__xludf.DUMMYFUNCTION("""COMPUTED_VALUE"""),"#VALUE!")</f>
        <v>#VALUE!</v>
      </c>
      <c r="DE234" t="str">
        <f ca="1">IFERROR(__xludf.DUMMYFUNCTION("""COMPUTED_VALUE"""),"#VALUE!")</f>
        <v>#VALUE!</v>
      </c>
      <c r="DI234" t="str">
        <f ca="1">IFERROR(__xludf.DUMMYFUNCTION("""COMPUTED_VALUE"""),"#VALUE!")</f>
        <v>#VALUE!</v>
      </c>
      <c r="DJ234" t="str">
        <f ca="1">IFERROR(__xludf.DUMMYFUNCTION("""COMPUTED_VALUE"""),"#VALUE!")</f>
        <v>#VALUE!</v>
      </c>
      <c r="DL234" t="str">
        <f ca="1">IFERROR(__xludf.DUMMYFUNCTION("""COMPUTED_VALUE"""),"Davor Salihović")</f>
        <v>Davor Salihović</v>
      </c>
    </row>
    <row r="235" spans="1:116" ht="13.2" x14ac:dyDescent="0.25">
      <c r="A235" t="str">
        <f ca="1">IFERROR(__xludf.DUMMYFUNCTION("""COMPUTED_VALUE"""),"P0240")</f>
        <v>P0240</v>
      </c>
      <c r="B235" t="str">
        <f ca="1">IFERROR(__xludf.DUMMYFUNCTION("""COMPUTED_VALUE"""),"Hugo Camos")</f>
        <v>Hugo Camos</v>
      </c>
      <c r="D235" t="str">
        <f ca="1">IFERROR(__xludf.DUMMYFUNCTION("""COMPUTED_VALUE"""),"#VALUE!")</f>
        <v>#VALUE!</v>
      </c>
      <c r="E235" t="str">
        <f ca="1">IFERROR(__xludf.DUMMYFUNCTION("""COMPUTED_VALUE"""),"Hugo")</f>
        <v>Hugo</v>
      </c>
      <c r="F235" t="str">
        <f ca="1">IFERROR(__xludf.DUMMYFUNCTION("""COMPUTED_VALUE"""),"Hugoninus")</f>
        <v>Hugoninus</v>
      </c>
      <c r="K235" t="str">
        <f ca="1">IFERROR(__xludf.DUMMYFUNCTION("""COMPUTED_VALUE"""),"Camos")</f>
        <v>Camos</v>
      </c>
      <c r="L235" t="str">
        <f ca="1">IFERROR(__xludf.DUMMYFUNCTION("""COMPUTED_VALUE"""),"Camos")</f>
        <v>Camos</v>
      </c>
      <c r="S235" t="str">
        <f ca="1">IFERROR(__xludf.DUMMYFUNCTION("""COMPUTED_VALUE"""),"Latin")</f>
        <v>Latin</v>
      </c>
      <c r="T235" t="str">
        <f ca="1">IFERROR(__xludf.DUMMYFUNCTION("""COMPUTED_VALUE"""),"definite")</f>
        <v>definite</v>
      </c>
      <c r="U235" t="str">
        <f ca="1">IFERROR(__xludf.DUMMYFUNCTION("""COMPUTED_VALUE"""),"C2553")</f>
        <v>C2553</v>
      </c>
      <c r="V235" t="str">
        <f ca="1">IFERROR(__xludf.DUMMYFUNCTION("""COMPUTED_VALUE"""),"male")</f>
        <v>male</v>
      </c>
      <c r="Z235" t="str">
        <f ca="1">IFERROR(__xludf.DUMMYFUNCTION("""COMPUTED_VALUE"""),"180, 181, 182, 211")</f>
        <v>180, 181, 182, 211</v>
      </c>
      <c r="AA235" t="str">
        <f ca="1">IFERROR(__xludf.DUMMYFUNCTION("""COMPUTED_VALUE"""),"d")</f>
        <v>d</v>
      </c>
      <c r="AB235" t="str">
        <f ca="1">IFERROR(__xludf.DUMMYFUNCTION("""COMPUTED_VALUE"""),"NA")</f>
        <v>NA</v>
      </c>
      <c r="AD235" t="str">
        <f ca="1">IFERROR(__xludf.DUMMYFUNCTION("""COMPUTED_VALUE"""),"C3287")</f>
        <v>C3287</v>
      </c>
      <c r="AE235" t="str">
        <f ca="1">IFERROR(__xludf.DUMMYFUNCTION("""COMPUTED_VALUE"""),"alive")</f>
        <v>alive</v>
      </c>
      <c r="AF235" t="str">
        <f ca="1">IFERROR(__xludf.DUMMYFUNCTION("""COMPUTED_VALUE"""),"C1753")</f>
        <v>C1753</v>
      </c>
      <c r="AG235" t="str">
        <f ca="1">IFERROR(__xludf.DUMMYFUNCTION("""COMPUTED_VALUE"""),"1335-01-20")</f>
        <v>1335-01-20</v>
      </c>
      <c r="AI235" t="str">
        <f ca="1">IFERROR(__xludf.DUMMYFUNCTION("""COMPUTED_VALUE"""),"#VALUE!")</f>
        <v>#VALUE!</v>
      </c>
      <c r="AK235" t="str">
        <f ca="1">IFERROR(__xludf.DUMMYFUNCTION("""COMPUTED_VALUE"""),"#VALUE!")</f>
        <v>#VALUE!</v>
      </c>
      <c r="AM235" t="str">
        <f ca="1">IFERROR(__xludf.DUMMYFUNCTION("""COMPUTED_VALUE"""),"#VALUE!")</f>
        <v>#VALUE!</v>
      </c>
      <c r="AO235" t="str">
        <f ca="1">IFERROR(__xludf.DUMMYFUNCTION("""COMPUTED_VALUE"""),"#VALUE!")</f>
        <v>#VALUE!</v>
      </c>
      <c r="AQ235" t="str">
        <f ca="1">IFERROR(__xludf.DUMMYFUNCTION("""COMPUTED_VALUE"""),"#VALUE!")</f>
        <v>#VALUE!</v>
      </c>
      <c r="AS235" t="str">
        <f ca="1">IFERROR(__xludf.DUMMYFUNCTION("""COMPUTED_VALUE"""),"#VALUE!")</f>
        <v>#VALUE!</v>
      </c>
      <c r="AU235" t="str">
        <f ca="1">IFERROR(__xludf.DUMMYFUNCTION("""COMPUTED_VALUE"""),"#VALUE!")</f>
        <v>#VALUE!</v>
      </c>
      <c r="AW235" t="str">
        <f ca="1">IFERROR(__xludf.DUMMYFUNCTION("""COMPUTED_VALUE"""),"#VALUE!")</f>
        <v>#VALUE!</v>
      </c>
      <c r="AY235" t="str">
        <f ca="1">IFERROR(__xludf.DUMMYFUNCTION("""COMPUTED_VALUE"""),"#VALUE!")</f>
        <v>#VALUE!</v>
      </c>
      <c r="BA235" t="str">
        <f ca="1">IFERROR(__xludf.DUMMYFUNCTION("""COMPUTED_VALUE"""),"#VALUE!")</f>
        <v>#VALUE!</v>
      </c>
      <c r="BC235" t="str">
        <f ca="1">IFERROR(__xludf.DUMMYFUNCTION("""COMPUTED_VALUE"""),"#VALUE!")</f>
        <v>#VALUE!</v>
      </c>
      <c r="BE235" t="str">
        <f ca="1">IFERROR(__xludf.DUMMYFUNCTION("""COMPUTED_VALUE"""),"#VALUE!")</f>
        <v>#VALUE!</v>
      </c>
      <c r="BG235" t="str">
        <f ca="1">IFERROR(__xludf.DUMMYFUNCTION("""COMPUTED_VALUE"""),"#VALUE!")</f>
        <v>#VALUE!</v>
      </c>
      <c r="BI235" t="str">
        <f ca="1">IFERROR(__xludf.DUMMYFUNCTION("""COMPUTED_VALUE"""),"#VALUE!")</f>
        <v>#VALUE!</v>
      </c>
      <c r="BK235" t="str">
        <f ca="1">IFERROR(__xludf.DUMMYFUNCTION("""COMPUTED_VALUE"""),"#VALUE!")</f>
        <v>#VALUE!</v>
      </c>
      <c r="BM235" t="str">
        <f ca="1">IFERROR(__xludf.DUMMYFUNCTION("""COMPUTED_VALUE"""),"#VALUE!")</f>
        <v>#VALUE!</v>
      </c>
      <c r="BO235" t="str">
        <f ca="1">IFERROR(__xludf.DUMMYFUNCTION("""COMPUTED_VALUE"""),"#VALUE!")</f>
        <v>#VALUE!</v>
      </c>
      <c r="BQ235" t="str">
        <f ca="1">IFERROR(__xludf.DUMMYFUNCTION("""COMPUTED_VALUE"""),"#VALUE!")</f>
        <v>#VALUE!</v>
      </c>
      <c r="BS235" t="str">
        <f ca="1">IFERROR(__xludf.DUMMYFUNCTION("""COMPUTED_VALUE"""),"#VALUE!")</f>
        <v>#VALUE!</v>
      </c>
      <c r="BU235" t="str">
        <f ca="1">IFERROR(__xludf.DUMMYFUNCTION("""COMPUTED_VALUE"""),"#VALUE!")</f>
        <v>#VALUE!</v>
      </c>
      <c r="BW235" t="str">
        <f ca="1">IFERROR(__xludf.DUMMYFUNCTION("""COMPUTED_VALUE"""),"#VALUE!")</f>
        <v>#VALUE!</v>
      </c>
      <c r="BY235" t="str">
        <f ca="1">IFERROR(__xludf.DUMMYFUNCTION("""COMPUTED_VALUE"""),"#VALUE!")</f>
        <v>#VALUE!</v>
      </c>
      <c r="CA235" t="str">
        <f ca="1">IFERROR(__xludf.DUMMYFUNCTION("""COMPUTED_VALUE"""),"#VALUE!")</f>
        <v>#VALUE!</v>
      </c>
      <c r="CC235" t="str">
        <f ca="1">IFERROR(__xludf.DUMMYFUNCTION("""COMPUTED_VALUE"""),"#VALUE!")</f>
        <v>#VALUE!</v>
      </c>
      <c r="CE235" t="str">
        <f ca="1">IFERROR(__xludf.DUMMYFUNCTION("""COMPUTED_VALUE"""),"#VALUE!")</f>
        <v>#VALUE!</v>
      </c>
      <c r="CG235" t="str">
        <f ca="1">IFERROR(__xludf.DUMMYFUNCTION("""COMPUTED_VALUE"""),"#VALUE!")</f>
        <v>#VALUE!</v>
      </c>
      <c r="CI235" t="str">
        <f ca="1">IFERROR(__xludf.DUMMYFUNCTION("""COMPUTED_VALUE"""),"#VALUE!")</f>
        <v>#VALUE!</v>
      </c>
      <c r="CK235" t="str">
        <f ca="1">IFERROR(__xludf.DUMMYFUNCTION("""COMPUTED_VALUE"""),"#VALUE!")</f>
        <v>#VALUE!</v>
      </c>
      <c r="CS235" t="str">
        <f ca="1">IFERROR(__xludf.DUMMYFUNCTION("""COMPUTED_VALUE"""),"#VALUE!")</f>
        <v>#VALUE!</v>
      </c>
      <c r="CU235" t="str">
        <f ca="1">IFERROR(__xludf.DUMMYFUNCTION("""COMPUTED_VALUE"""),"#VALUE!")</f>
        <v>#VALUE!</v>
      </c>
      <c r="CW235" t="str">
        <f ca="1">IFERROR(__xludf.DUMMYFUNCTION("""COMPUTED_VALUE"""),"#VALUE!")</f>
        <v>#VALUE!</v>
      </c>
      <c r="CY235" t="str">
        <f ca="1">IFERROR(__xludf.DUMMYFUNCTION("""COMPUTED_VALUE"""),"#VALUE!")</f>
        <v>#VALUE!</v>
      </c>
      <c r="DC235" t="str">
        <f ca="1">IFERROR(__xludf.DUMMYFUNCTION("""COMPUTED_VALUE"""),"#VALUE!")</f>
        <v>#VALUE!</v>
      </c>
      <c r="DE235" t="str">
        <f ca="1">IFERROR(__xludf.DUMMYFUNCTION("""COMPUTED_VALUE"""),"#VALUE!")</f>
        <v>#VALUE!</v>
      </c>
      <c r="DI235" t="str">
        <f ca="1">IFERROR(__xludf.DUMMYFUNCTION("""COMPUTED_VALUE"""),"#VALUE!")</f>
        <v>#VALUE!</v>
      </c>
      <c r="DJ235" t="str">
        <f ca="1">IFERROR(__xludf.DUMMYFUNCTION("""COMPUTED_VALUE"""),"#VALUE!")</f>
        <v>#VALUE!</v>
      </c>
      <c r="DL235" t="str">
        <f ca="1">IFERROR(__xludf.DUMMYFUNCTION("""COMPUTED_VALUE"""),"Davor Salihović")</f>
        <v>Davor Salihović</v>
      </c>
    </row>
    <row r="236" spans="1:116" ht="13.2" x14ac:dyDescent="0.25">
      <c r="A236" t="str">
        <f ca="1">IFERROR(__xludf.DUMMYFUNCTION("""COMPUTED_VALUE"""),"P0241")</f>
        <v>P0241</v>
      </c>
      <c r="B236" t="str">
        <f ca="1">IFERROR(__xludf.DUMMYFUNCTION("""COMPUTED_VALUE"""),"Petrus de Mondino")</f>
        <v>Petrus de Mondino</v>
      </c>
      <c r="D236" t="str">
        <f ca="1">IFERROR(__xludf.DUMMYFUNCTION("""COMPUTED_VALUE"""),"#VALUE!")</f>
        <v>#VALUE!</v>
      </c>
      <c r="E236" t="str">
        <f ca="1">IFERROR(__xludf.DUMMYFUNCTION("""COMPUTED_VALUE"""),"Petrus")</f>
        <v>Petrus</v>
      </c>
      <c r="J236" t="str">
        <f ca="1">IFERROR(__xludf.DUMMYFUNCTION("""COMPUTED_VALUE"""),"de")</f>
        <v>de</v>
      </c>
      <c r="K236" t="str">
        <f ca="1">IFERROR(__xludf.DUMMYFUNCTION("""COMPUTED_VALUE"""),"Mondino")</f>
        <v>Mondino</v>
      </c>
      <c r="L236" t="str">
        <f ca="1">IFERROR(__xludf.DUMMYFUNCTION("""COMPUTED_VALUE"""),"de Mondino")</f>
        <v>de Mondino</v>
      </c>
      <c r="S236" t="str">
        <f ca="1">IFERROR(__xludf.DUMMYFUNCTION("""COMPUTED_VALUE"""),"Latin")</f>
        <v>Latin</v>
      </c>
      <c r="T236" t="str">
        <f ca="1">IFERROR(__xludf.DUMMYFUNCTION("""COMPUTED_VALUE"""),"definite")</f>
        <v>definite</v>
      </c>
      <c r="U236" t="str">
        <f ca="1">IFERROR(__xludf.DUMMYFUNCTION("""COMPUTED_VALUE"""),"C2553")</f>
        <v>C2553</v>
      </c>
      <c r="V236" t="str">
        <f ca="1">IFERROR(__xludf.DUMMYFUNCTION("""COMPUTED_VALUE"""),"male")</f>
        <v>male</v>
      </c>
      <c r="Z236" t="str">
        <f ca="1">IFERROR(__xludf.DUMMYFUNCTION("""COMPUTED_VALUE"""),"180, 181, 182, 198, 212")</f>
        <v>180, 181, 182, 198, 212</v>
      </c>
      <c r="AA236" t="str">
        <f ca="1">IFERROR(__xludf.DUMMYFUNCTION("""COMPUTED_VALUE"""),"d")</f>
        <v>d</v>
      </c>
      <c r="AB236" t="str">
        <f ca="1">IFERROR(__xludf.DUMMYFUNCTION("""COMPUTED_VALUE"""),"NA")</f>
        <v>NA</v>
      </c>
      <c r="AD236" t="str">
        <f ca="1">IFERROR(__xludf.DUMMYFUNCTION("""COMPUTED_VALUE"""),"C3287")</f>
        <v>C3287</v>
      </c>
      <c r="AE236" t="str">
        <f ca="1">IFERROR(__xludf.DUMMYFUNCTION("""COMPUTED_VALUE"""),"alive")</f>
        <v>alive</v>
      </c>
      <c r="AF236" t="str">
        <f ca="1">IFERROR(__xludf.DUMMYFUNCTION("""COMPUTED_VALUE"""),"C1753")</f>
        <v>C1753</v>
      </c>
      <c r="AG236" t="str">
        <f ca="1">IFERROR(__xludf.DUMMYFUNCTION("""COMPUTED_VALUE"""),"1335-01-20")</f>
        <v>1335-01-20</v>
      </c>
      <c r="AH236" t="str">
        <f ca="1">IFERROR(__xludf.DUMMYFUNCTION("""COMPUTED_VALUE"""),"C2348")</f>
        <v>C2348</v>
      </c>
      <c r="AI236" t="str">
        <f ca="1">IFERROR(__xludf.DUMMYFUNCTION("""COMPUTED_VALUE"""),"wife")</f>
        <v>wife</v>
      </c>
      <c r="AJ236" t="str">
        <f ca="1">IFERROR(__xludf.DUMMYFUNCTION("""COMPUTED_VALUE"""),"P0331")</f>
        <v>P0331</v>
      </c>
      <c r="AK236" t="str">
        <f ca="1">IFERROR(__xludf.DUMMYFUNCTION("""COMPUTED_VALUE"""),"uxor Petri de Mondino")</f>
        <v>uxor Petri de Mondino</v>
      </c>
      <c r="AM236" t="str">
        <f ca="1">IFERROR(__xludf.DUMMYFUNCTION("""COMPUTED_VALUE"""),"#VALUE!")</f>
        <v>#VALUE!</v>
      </c>
      <c r="AO236" t="str">
        <f ca="1">IFERROR(__xludf.DUMMYFUNCTION("""COMPUTED_VALUE"""),"#VALUE!")</f>
        <v>#VALUE!</v>
      </c>
      <c r="AQ236" t="str">
        <f ca="1">IFERROR(__xludf.DUMMYFUNCTION("""COMPUTED_VALUE"""),"#VALUE!")</f>
        <v>#VALUE!</v>
      </c>
      <c r="AS236" t="str">
        <f ca="1">IFERROR(__xludf.DUMMYFUNCTION("""COMPUTED_VALUE"""),"#VALUE!")</f>
        <v>#VALUE!</v>
      </c>
      <c r="AU236" t="str">
        <f ca="1">IFERROR(__xludf.DUMMYFUNCTION("""COMPUTED_VALUE"""),"#VALUE!")</f>
        <v>#VALUE!</v>
      </c>
      <c r="AW236" t="str">
        <f ca="1">IFERROR(__xludf.DUMMYFUNCTION("""COMPUTED_VALUE"""),"#VALUE!")</f>
        <v>#VALUE!</v>
      </c>
      <c r="AY236" t="str">
        <f ca="1">IFERROR(__xludf.DUMMYFUNCTION("""COMPUTED_VALUE"""),"#VALUE!")</f>
        <v>#VALUE!</v>
      </c>
      <c r="BA236" t="str">
        <f ca="1">IFERROR(__xludf.DUMMYFUNCTION("""COMPUTED_VALUE"""),"#VALUE!")</f>
        <v>#VALUE!</v>
      </c>
      <c r="BC236" t="str">
        <f ca="1">IFERROR(__xludf.DUMMYFUNCTION("""COMPUTED_VALUE"""),"#VALUE!")</f>
        <v>#VALUE!</v>
      </c>
      <c r="BE236" t="str">
        <f ca="1">IFERROR(__xludf.DUMMYFUNCTION("""COMPUTED_VALUE"""),"#VALUE!")</f>
        <v>#VALUE!</v>
      </c>
      <c r="BG236" t="str">
        <f ca="1">IFERROR(__xludf.DUMMYFUNCTION("""COMPUTED_VALUE"""),"#VALUE!")</f>
        <v>#VALUE!</v>
      </c>
      <c r="BI236" t="str">
        <f ca="1">IFERROR(__xludf.DUMMYFUNCTION("""COMPUTED_VALUE"""),"#VALUE!")</f>
        <v>#VALUE!</v>
      </c>
      <c r="BK236" t="str">
        <f ca="1">IFERROR(__xludf.DUMMYFUNCTION("""COMPUTED_VALUE"""),"#VALUE!")</f>
        <v>#VALUE!</v>
      </c>
      <c r="BM236" t="str">
        <f ca="1">IFERROR(__xludf.DUMMYFUNCTION("""COMPUTED_VALUE"""),"#VALUE!")</f>
        <v>#VALUE!</v>
      </c>
      <c r="BO236" t="str">
        <f ca="1">IFERROR(__xludf.DUMMYFUNCTION("""COMPUTED_VALUE"""),"#VALUE!")</f>
        <v>#VALUE!</v>
      </c>
      <c r="BQ236" t="str">
        <f ca="1">IFERROR(__xludf.DUMMYFUNCTION("""COMPUTED_VALUE"""),"#VALUE!")</f>
        <v>#VALUE!</v>
      </c>
      <c r="BS236" t="str">
        <f ca="1">IFERROR(__xludf.DUMMYFUNCTION("""COMPUTED_VALUE"""),"#VALUE!")</f>
        <v>#VALUE!</v>
      </c>
      <c r="BU236" t="str">
        <f ca="1">IFERROR(__xludf.DUMMYFUNCTION("""COMPUTED_VALUE"""),"#VALUE!")</f>
        <v>#VALUE!</v>
      </c>
      <c r="BW236" t="str">
        <f ca="1">IFERROR(__xludf.DUMMYFUNCTION("""COMPUTED_VALUE"""),"#VALUE!")</f>
        <v>#VALUE!</v>
      </c>
      <c r="BY236" t="str">
        <f ca="1">IFERROR(__xludf.DUMMYFUNCTION("""COMPUTED_VALUE"""),"#VALUE!")</f>
        <v>#VALUE!</v>
      </c>
      <c r="CA236" t="str">
        <f ca="1">IFERROR(__xludf.DUMMYFUNCTION("""COMPUTED_VALUE"""),"#VALUE!")</f>
        <v>#VALUE!</v>
      </c>
      <c r="CC236" t="str">
        <f ca="1">IFERROR(__xludf.DUMMYFUNCTION("""COMPUTED_VALUE"""),"#VALUE!")</f>
        <v>#VALUE!</v>
      </c>
      <c r="CE236" t="str">
        <f ca="1">IFERROR(__xludf.DUMMYFUNCTION("""COMPUTED_VALUE"""),"#VALUE!")</f>
        <v>#VALUE!</v>
      </c>
      <c r="CG236" t="str">
        <f ca="1">IFERROR(__xludf.DUMMYFUNCTION("""COMPUTED_VALUE"""),"#VALUE!")</f>
        <v>#VALUE!</v>
      </c>
      <c r="CI236" t="str">
        <f ca="1">IFERROR(__xludf.DUMMYFUNCTION("""COMPUTED_VALUE"""),"#VALUE!")</f>
        <v>#VALUE!</v>
      </c>
      <c r="CK236" t="str">
        <f ca="1">IFERROR(__xludf.DUMMYFUNCTION("""COMPUTED_VALUE"""),"#VALUE!")</f>
        <v>#VALUE!</v>
      </c>
      <c r="CS236" t="str">
        <f ca="1">IFERROR(__xludf.DUMMYFUNCTION("""COMPUTED_VALUE"""),"#VALUE!")</f>
        <v>#VALUE!</v>
      </c>
      <c r="CU236" t="str">
        <f ca="1">IFERROR(__xludf.DUMMYFUNCTION("""COMPUTED_VALUE"""),"#VALUE!")</f>
        <v>#VALUE!</v>
      </c>
      <c r="CW236" t="str">
        <f ca="1">IFERROR(__xludf.DUMMYFUNCTION("""COMPUTED_VALUE"""),"#VALUE!")</f>
        <v>#VALUE!</v>
      </c>
      <c r="CY236" t="str">
        <f ca="1">IFERROR(__xludf.DUMMYFUNCTION("""COMPUTED_VALUE"""),"#VALUE!")</f>
        <v>#VALUE!</v>
      </c>
      <c r="DC236" t="str">
        <f ca="1">IFERROR(__xludf.DUMMYFUNCTION("""COMPUTED_VALUE"""),"#VALUE!")</f>
        <v>#VALUE!</v>
      </c>
      <c r="DE236" t="str">
        <f ca="1">IFERROR(__xludf.DUMMYFUNCTION("""COMPUTED_VALUE"""),"#VALUE!")</f>
        <v>#VALUE!</v>
      </c>
      <c r="DI236" t="str">
        <f ca="1">IFERROR(__xludf.DUMMYFUNCTION("""COMPUTED_VALUE"""),"#VALUE!")</f>
        <v>#VALUE!</v>
      </c>
      <c r="DJ236" t="str">
        <f ca="1">IFERROR(__xludf.DUMMYFUNCTION("""COMPUTED_VALUE"""),"#VALUE!")</f>
        <v>#VALUE!</v>
      </c>
      <c r="DL236" t="str">
        <f ca="1">IFERROR(__xludf.DUMMYFUNCTION("""COMPUTED_VALUE"""),"Davor Salihović")</f>
        <v>Davor Salihović</v>
      </c>
    </row>
    <row r="237" spans="1:116" ht="13.2" x14ac:dyDescent="0.25">
      <c r="A237" t="str">
        <f ca="1">IFERROR(__xludf.DUMMYFUNCTION("""COMPUTED_VALUE"""),"P0242")</f>
        <v>P0242</v>
      </c>
      <c r="B237" t="str">
        <f ca="1">IFERROR(__xludf.DUMMYFUNCTION("""COMPUTED_VALUE"""),"Marguerita, uxor Michaelis Plancha")</f>
        <v>Marguerita, uxor Michaelis Plancha</v>
      </c>
      <c r="D237" t="str">
        <f ca="1">IFERROR(__xludf.DUMMYFUNCTION("""COMPUTED_VALUE"""),"#VALUE!")</f>
        <v>#VALUE!</v>
      </c>
      <c r="E237" t="str">
        <f ca="1">IFERROR(__xludf.DUMMYFUNCTION("""COMPUTED_VALUE"""),"Marguerita")</f>
        <v>Marguerita</v>
      </c>
      <c r="Q237" t="str">
        <f ca="1">IFERROR(__xludf.DUMMYFUNCTION("""COMPUTED_VALUE"""),"uxor Michaelis Plancha")</f>
        <v>uxor Michaelis Plancha</v>
      </c>
      <c r="S237" t="str">
        <f ca="1">IFERROR(__xludf.DUMMYFUNCTION("""COMPUTED_VALUE"""),"Latin")</f>
        <v>Latin</v>
      </c>
      <c r="T237" t="str">
        <f ca="1">IFERROR(__xludf.DUMMYFUNCTION("""COMPUTED_VALUE"""),"definite")</f>
        <v>definite</v>
      </c>
      <c r="U237" t="str">
        <f ca="1">IFERROR(__xludf.DUMMYFUNCTION("""COMPUTED_VALUE"""),"C2552")</f>
        <v>C2552</v>
      </c>
      <c r="V237" t="str">
        <f ca="1">IFERROR(__xludf.DUMMYFUNCTION("""COMPUTED_VALUE"""),"female")</f>
        <v>female</v>
      </c>
      <c r="Z237" t="str">
        <f ca="1">IFERROR(__xludf.DUMMYFUNCTION("""COMPUTED_VALUE"""),"181, 202, 204, 223")</f>
        <v>181, 202, 204, 223</v>
      </c>
      <c r="AA237" t="str">
        <f ca="1">IFERROR(__xludf.DUMMYFUNCTION("""COMPUTED_VALUE"""),"d")</f>
        <v>d</v>
      </c>
      <c r="AB237" t="str">
        <f ca="1">IFERROR(__xludf.DUMMYFUNCTION("""COMPUTED_VALUE"""),"NA")</f>
        <v>NA</v>
      </c>
      <c r="AD237" t="str">
        <f ca="1">IFERROR(__xludf.DUMMYFUNCTION("""COMPUTED_VALUE"""),"C3287")</f>
        <v>C3287</v>
      </c>
      <c r="AE237" t="str">
        <f ca="1">IFERROR(__xludf.DUMMYFUNCTION("""COMPUTED_VALUE"""),"alive")</f>
        <v>alive</v>
      </c>
      <c r="AF237" t="str">
        <f ca="1">IFERROR(__xludf.DUMMYFUNCTION("""COMPUTED_VALUE"""),"C1753")</f>
        <v>C1753</v>
      </c>
      <c r="AG237" t="str">
        <f ca="1">IFERROR(__xludf.DUMMYFUNCTION("""COMPUTED_VALUE"""),"1335-01-20")</f>
        <v>1335-01-20</v>
      </c>
      <c r="AH237" t="str">
        <f ca="1">IFERROR(__xludf.DUMMYFUNCTION("""COMPUTED_VALUE"""),"C2347")</f>
        <v>C2347</v>
      </c>
      <c r="AI237" t="str">
        <f ca="1">IFERROR(__xludf.DUMMYFUNCTION("""COMPUTED_VALUE"""),"sister")</f>
        <v>sister</v>
      </c>
      <c r="AJ237" t="str">
        <f ca="1">IFERROR(__xludf.DUMMYFUNCTION("""COMPUTED_VALUE"""),"P0343")</f>
        <v>P0343</v>
      </c>
      <c r="AK237" t="str">
        <f ca="1">IFERROR(__xludf.DUMMYFUNCTION("""COMPUTED_VALUE"""),"Perona, soror uxoris Michaelis Planche")</f>
        <v>Perona, soror uxoris Michaelis Planche</v>
      </c>
      <c r="AM237" t="str">
        <f ca="1">IFERROR(__xludf.DUMMYFUNCTION("""COMPUTED_VALUE"""),"#VALUE!")</f>
        <v>#VALUE!</v>
      </c>
      <c r="AO237" t="str">
        <f ca="1">IFERROR(__xludf.DUMMYFUNCTION("""COMPUTED_VALUE"""),"#VALUE!")</f>
        <v>#VALUE!</v>
      </c>
      <c r="AQ237" t="str">
        <f ca="1">IFERROR(__xludf.DUMMYFUNCTION("""COMPUTED_VALUE"""),"#VALUE!")</f>
        <v>#VALUE!</v>
      </c>
      <c r="AS237" t="str">
        <f ca="1">IFERROR(__xludf.DUMMYFUNCTION("""COMPUTED_VALUE"""),"#VALUE!")</f>
        <v>#VALUE!</v>
      </c>
      <c r="AU237" t="str">
        <f ca="1">IFERROR(__xludf.DUMMYFUNCTION("""COMPUTED_VALUE"""),"#VALUE!")</f>
        <v>#VALUE!</v>
      </c>
      <c r="AW237" t="str">
        <f ca="1">IFERROR(__xludf.DUMMYFUNCTION("""COMPUTED_VALUE"""),"#VALUE!")</f>
        <v>#VALUE!</v>
      </c>
      <c r="AY237" t="str">
        <f ca="1">IFERROR(__xludf.DUMMYFUNCTION("""COMPUTED_VALUE"""),"#VALUE!")</f>
        <v>#VALUE!</v>
      </c>
      <c r="BA237" t="str">
        <f ca="1">IFERROR(__xludf.DUMMYFUNCTION("""COMPUTED_VALUE"""),"#VALUE!")</f>
        <v>#VALUE!</v>
      </c>
      <c r="BC237" t="str">
        <f ca="1">IFERROR(__xludf.DUMMYFUNCTION("""COMPUTED_VALUE"""),"#VALUE!")</f>
        <v>#VALUE!</v>
      </c>
      <c r="BE237" t="str">
        <f ca="1">IFERROR(__xludf.DUMMYFUNCTION("""COMPUTED_VALUE"""),"#VALUE!")</f>
        <v>#VALUE!</v>
      </c>
      <c r="BG237" t="str">
        <f ca="1">IFERROR(__xludf.DUMMYFUNCTION("""COMPUTED_VALUE"""),"#VALUE!")</f>
        <v>#VALUE!</v>
      </c>
      <c r="BI237" t="str">
        <f ca="1">IFERROR(__xludf.DUMMYFUNCTION("""COMPUTED_VALUE"""),"#VALUE!")</f>
        <v>#VALUE!</v>
      </c>
      <c r="BK237" t="str">
        <f ca="1">IFERROR(__xludf.DUMMYFUNCTION("""COMPUTED_VALUE"""),"#VALUE!")</f>
        <v>#VALUE!</v>
      </c>
      <c r="BM237" t="str">
        <f ca="1">IFERROR(__xludf.DUMMYFUNCTION("""COMPUTED_VALUE"""),"#VALUE!")</f>
        <v>#VALUE!</v>
      </c>
      <c r="BO237" t="str">
        <f ca="1">IFERROR(__xludf.DUMMYFUNCTION("""COMPUTED_VALUE"""),"#VALUE!")</f>
        <v>#VALUE!</v>
      </c>
      <c r="BQ237" t="str">
        <f ca="1">IFERROR(__xludf.DUMMYFUNCTION("""COMPUTED_VALUE"""),"#VALUE!")</f>
        <v>#VALUE!</v>
      </c>
      <c r="BS237" t="str">
        <f ca="1">IFERROR(__xludf.DUMMYFUNCTION("""COMPUTED_VALUE"""),"#VALUE!")</f>
        <v>#VALUE!</v>
      </c>
      <c r="BU237" t="str">
        <f ca="1">IFERROR(__xludf.DUMMYFUNCTION("""COMPUTED_VALUE"""),"#VALUE!")</f>
        <v>#VALUE!</v>
      </c>
      <c r="BW237" t="str">
        <f ca="1">IFERROR(__xludf.DUMMYFUNCTION("""COMPUTED_VALUE"""),"#VALUE!")</f>
        <v>#VALUE!</v>
      </c>
      <c r="BY237" t="str">
        <f ca="1">IFERROR(__xludf.DUMMYFUNCTION("""COMPUTED_VALUE"""),"#VALUE!")</f>
        <v>#VALUE!</v>
      </c>
      <c r="CA237" t="str">
        <f ca="1">IFERROR(__xludf.DUMMYFUNCTION("""COMPUTED_VALUE"""),"#VALUE!")</f>
        <v>#VALUE!</v>
      </c>
      <c r="CC237" t="str">
        <f ca="1">IFERROR(__xludf.DUMMYFUNCTION("""COMPUTED_VALUE"""),"#VALUE!")</f>
        <v>#VALUE!</v>
      </c>
      <c r="CD237" t="str">
        <f ca="1">IFERROR(__xludf.DUMMYFUNCTION("""COMPUTED_VALUE"""),"C3598")</f>
        <v>C3598</v>
      </c>
      <c r="CE237" t="str">
        <f ca="1">IFERROR(__xludf.DUMMYFUNCTION("""COMPUTED_VALUE"""),"location of congregation")</f>
        <v>location of congregation</v>
      </c>
      <c r="CF237" t="str">
        <f ca="1">IFERROR(__xludf.DUMMYFUNCTION("""COMPUTED_VALUE"""),"L0098#L0122#L0079#L0032#L0066")</f>
        <v>L0098#L0122#L0079#L0032#L0066</v>
      </c>
      <c r="CG237" t="str">
        <f ca="1">IFERROR(__xludf.DUMMYFUNCTION("""COMPUTED_VALUE"""),"domus Michaelis Planche #domus Margerite Planche #domus Martinii Dominici #domus Villelmi de Oddo #domus Bernardi de Rosseto")</f>
        <v>domus Michaelis Planche #domus Margerite Planche #domus Martinii Dominici #domus Villelmi de Oddo #domus Bernardi de Rosseto</v>
      </c>
      <c r="CI237" t="str">
        <f ca="1">IFERROR(__xludf.DUMMYFUNCTION("""COMPUTED_VALUE"""),"#VALUE!")</f>
        <v>#VALUE!</v>
      </c>
      <c r="CJ237" t="str">
        <f ca="1">IFERROR(__xludf.DUMMYFUNCTION("""COMPUTED_VALUE"""),"P0339")</f>
        <v>P0339</v>
      </c>
      <c r="CK237" t="str">
        <f ca="1">IFERROR(__xludf.DUMMYFUNCTION("""COMPUTED_VALUE"""),"Ysabella, mater Michaelis Planche")</f>
        <v>Ysabella, mater Michaelis Planche</v>
      </c>
      <c r="CS237" t="str">
        <f ca="1">IFERROR(__xludf.DUMMYFUNCTION("""COMPUTED_VALUE"""),"#VALUE!")</f>
        <v>#VALUE!</v>
      </c>
      <c r="CU237" t="str">
        <f ca="1">IFERROR(__xludf.DUMMYFUNCTION("""COMPUTED_VALUE"""),"#VALUE!")</f>
        <v>#VALUE!</v>
      </c>
      <c r="CW237" t="str">
        <f ca="1">IFERROR(__xludf.DUMMYFUNCTION("""COMPUTED_VALUE"""),"#VALUE!")</f>
        <v>#VALUE!</v>
      </c>
      <c r="CY237" t="str">
        <f ca="1">IFERROR(__xludf.DUMMYFUNCTION("""COMPUTED_VALUE"""),"#VALUE!")</f>
        <v>#VALUE!</v>
      </c>
      <c r="DC237" t="str">
        <f ca="1">IFERROR(__xludf.DUMMYFUNCTION("""COMPUTED_VALUE"""),"#VALUE!")</f>
        <v>#VALUE!</v>
      </c>
      <c r="DE237" t="str">
        <f ca="1">IFERROR(__xludf.DUMMYFUNCTION("""COMPUTED_VALUE"""),"#VALUE!")</f>
        <v>#VALUE!</v>
      </c>
      <c r="DF237" t="str">
        <f ca="1">IFERROR(__xludf.DUMMYFUNCTION("""COMPUTED_VALUE"""),"y")</f>
        <v>y</v>
      </c>
      <c r="DG237" t="str">
        <f ca="1">IFERROR(__xludf.DUMMYFUNCTION("""COMPUTED_VALUE"""),"223-224")</f>
        <v>223-224</v>
      </c>
      <c r="DH237" t="str">
        <f ca="1">IFERROR(__xludf.DUMMYFUNCTION("""COMPUTED_VALUE"""),"L0098#L0122#L0079#L0032#L0066")</f>
        <v>L0098#L0122#L0079#L0032#L0066</v>
      </c>
      <c r="DI237" t="str">
        <f ca="1">IFERROR(__xludf.DUMMYFUNCTION("""COMPUTED_VALUE"""),"domus Michaelis Planche #domus Margerite Planche #domus Martinii Dominici #domus Villelmi de Oddo #domus Bernardi de Rosseto")</f>
        <v>domus Michaelis Planche #domus Margerite Planche #domus Martinii Dominici #domus Villelmi de Oddo #domus Bernardi de Rosseto</v>
      </c>
      <c r="DJ237" t="str">
        <f ca="1">IFERROR(__xludf.DUMMYFUNCTION("""COMPUTED_VALUE"""),"domus #domus #domus #domus #domus")</f>
        <v>domus #domus #domus #domus #domus</v>
      </c>
      <c r="DL237" t="str">
        <f ca="1">IFERROR(__xludf.DUMMYFUNCTION("""COMPUTED_VALUE"""),"Davor Salihović")</f>
        <v>Davor Salihović</v>
      </c>
    </row>
    <row r="238" spans="1:116" ht="13.2" x14ac:dyDescent="0.25">
      <c r="A238" t="str">
        <f ca="1">IFERROR(__xludf.DUMMYFUNCTION("""COMPUTED_VALUE"""),"P0243")</f>
        <v>P0243</v>
      </c>
      <c r="B238" t="str">
        <f ca="1">IFERROR(__xludf.DUMMYFUNCTION("""COMPUTED_VALUE"""),"Iacobus Blanc")</f>
        <v>Iacobus Blanc</v>
      </c>
      <c r="D238" t="str">
        <f ca="1">IFERROR(__xludf.DUMMYFUNCTION("""COMPUTED_VALUE"""),"#VALUE!")</f>
        <v>#VALUE!</v>
      </c>
      <c r="E238" t="str">
        <f ca="1">IFERROR(__xludf.DUMMYFUNCTION("""COMPUTED_VALUE"""),"Iacobus")</f>
        <v>Iacobus</v>
      </c>
      <c r="K238" t="str">
        <f ca="1">IFERROR(__xludf.DUMMYFUNCTION("""COMPUTED_VALUE"""),"Blanc")</f>
        <v>Blanc</v>
      </c>
      <c r="L238" t="str">
        <f ca="1">IFERROR(__xludf.DUMMYFUNCTION("""COMPUTED_VALUE"""),"Blanc")</f>
        <v>Blanc</v>
      </c>
      <c r="S238" t="str">
        <f ca="1">IFERROR(__xludf.DUMMYFUNCTION("""COMPUTED_VALUE"""),"Latin")</f>
        <v>Latin</v>
      </c>
      <c r="T238" t="str">
        <f ca="1">IFERROR(__xludf.DUMMYFUNCTION("""COMPUTED_VALUE"""),"definite")</f>
        <v>definite</v>
      </c>
      <c r="U238" t="str">
        <f ca="1">IFERROR(__xludf.DUMMYFUNCTION("""COMPUTED_VALUE"""),"C2553")</f>
        <v>C2553</v>
      </c>
      <c r="V238" t="str">
        <f ca="1">IFERROR(__xludf.DUMMYFUNCTION("""COMPUTED_VALUE"""),"male")</f>
        <v>male</v>
      </c>
      <c r="Z238" t="str">
        <f ca="1">IFERROR(__xludf.DUMMYFUNCTION("""COMPUTED_VALUE"""),"181")</f>
        <v>181</v>
      </c>
      <c r="AA238" t="str">
        <f ca="1">IFERROR(__xludf.DUMMYFUNCTION("""COMPUTED_VALUE"""),"d")</f>
        <v>d</v>
      </c>
      <c r="AB238" t="str">
        <f ca="1">IFERROR(__xludf.DUMMYFUNCTION("""COMPUTED_VALUE"""),"NA")</f>
        <v>NA</v>
      </c>
      <c r="AD238" t="str">
        <f ca="1">IFERROR(__xludf.DUMMYFUNCTION("""COMPUTED_VALUE"""),"C3287")</f>
        <v>C3287</v>
      </c>
      <c r="AE238" t="str">
        <f ca="1">IFERROR(__xludf.DUMMYFUNCTION("""COMPUTED_VALUE"""),"alive")</f>
        <v>alive</v>
      </c>
      <c r="AF238" t="str">
        <f ca="1">IFERROR(__xludf.DUMMYFUNCTION("""COMPUTED_VALUE"""),"C1753")</f>
        <v>C1753</v>
      </c>
      <c r="AG238" t="str">
        <f ca="1">IFERROR(__xludf.DUMMYFUNCTION("""COMPUTED_VALUE"""),"1335-01-20")</f>
        <v>1335-01-20</v>
      </c>
      <c r="AI238" t="str">
        <f ca="1">IFERROR(__xludf.DUMMYFUNCTION("""COMPUTED_VALUE"""),"#VALUE!")</f>
        <v>#VALUE!</v>
      </c>
      <c r="AK238" t="str">
        <f ca="1">IFERROR(__xludf.DUMMYFUNCTION("""COMPUTED_VALUE"""),"#VALUE!")</f>
        <v>#VALUE!</v>
      </c>
      <c r="AM238" t="str">
        <f ca="1">IFERROR(__xludf.DUMMYFUNCTION("""COMPUTED_VALUE"""),"#VALUE!")</f>
        <v>#VALUE!</v>
      </c>
      <c r="AO238" t="str">
        <f ca="1">IFERROR(__xludf.DUMMYFUNCTION("""COMPUTED_VALUE"""),"#VALUE!")</f>
        <v>#VALUE!</v>
      </c>
      <c r="AQ238" t="str">
        <f ca="1">IFERROR(__xludf.DUMMYFUNCTION("""COMPUTED_VALUE"""),"#VALUE!")</f>
        <v>#VALUE!</v>
      </c>
      <c r="AS238" t="str">
        <f ca="1">IFERROR(__xludf.DUMMYFUNCTION("""COMPUTED_VALUE"""),"#VALUE!")</f>
        <v>#VALUE!</v>
      </c>
      <c r="AU238" t="str">
        <f ca="1">IFERROR(__xludf.DUMMYFUNCTION("""COMPUTED_VALUE"""),"#VALUE!")</f>
        <v>#VALUE!</v>
      </c>
      <c r="AW238" t="str">
        <f ca="1">IFERROR(__xludf.DUMMYFUNCTION("""COMPUTED_VALUE"""),"#VALUE!")</f>
        <v>#VALUE!</v>
      </c>
      <c r="AY238" t="str">
        <f ca="1">IFERROR(__xludf.DUMMYFUNCTION("""COMPUTED_VALUE"""),"#VALUE!")</f>
        <v>#VALUE!</v>
      </c>
      <c r="BA238" t="str">
        <f ca="1">IFERROR(__xludf.DUMMYFUNCTION("""COMPUTED_VALUE"""),"#VALUE!")</f>
        <v>#VALUE!</v>
      </c>
      <c r="BC238" t="str">
        <f ca="1">IFERROR(__xludf.DUMMYFUNCTION("""COMPUTED_VALUE"""),"#VALUE!")</f>
        <v>#VALUE!</v>
      </c>
      <c r="BE238" t="str">
        <f ca="1">IFERROR(__xludf.DUMMYFUNCTION("""COMPUTED_VALUE"""),"#VALUE!")</f>
        <v>#VALUE!</v>
      </c>
      <c r="BG238" t="str">
        <f ca="1">IFERROR(__xludf.DUMMYFUNCTION("""COMPUTED_VALUE"""),"#VALUE!")</f>
        <v>#VALUE!</v>
      </c>
      <c r="BI238" t="str">
        <f ca="1">IFERROR(__xludf.DUMMYFUNCTION("""COMPUTED_VALUE"""),"#VALUE!")</f>
        <v>#VALUE!</v>
      </c>
      <c r="BK238" t="str">
        <f ca="1">IFERROR(__xludf.DUMMYFUNCTION("""COMPUTED_VALUE"""),"#VALUE!")</f>
        <v>#VALUE!</v>
      </c>
      <c r="BM238" t="str">
        <f ca="1">IFERROR(__xludf.DUMMYFUNCTION("""COMPUTED_VALUE"""),"#VALUE!")</f>
        <v>#VALUE!</v>
      </c>
      <c r="BO238" t="str">
        <f ca="1">IFERROR(__xludf.DUMMYFUNCTION("""COMPUTED_VALUE"""),"#VALUE!")</f>
        <v>#VALUE!</v>
      </c>
      <c r="BQ238" t="str">
        <f ca="1">IFERROR(__xludf.DUMMYFUNCTION("""COMPUTED_VALUE"""),"#VALUE!")</f>
        <v>#VALUE!</v>
      </c>
      <c r="BS238" t="str">
        <f ca="1">IFERROR(__xludf.DUMMYFUNCTION("""COMPUTED_VALUE"""),"#VALUE!")</f>
        <v>#VALUE!</v>
      </c>
      <c r="BU238" t="str">
        <f ca="1">IFERROR(__xludf.DUMMYFUNCTION("""COMPUTED_VALUE"""),"#VALUE!")</f>
        <v>#VALUE!</v>
      </c>
      <c r="BW238" t="str">
        <f ca="1">IFERROR(__xludf.DUMMYFUNCTION("""COMPUTED_VALUE"""),"#VALUE!")</f>
        <v>#VALUE!</v>
      </c>
      <c r="BY238" t="str">
        <f ca="1">IFERROR(__xludf.DUMMYFUNCTION("""COMPUTED_VALUE"""),"#VALUE!")</f>
        <v>#VALUE!</v>
      </c>
      <c r="CA238" t="str">
        <f ca="1">IFERROR(__xludf.DUMMYFUNCTION("""COMPUTED_VALUE"""),"#VALUE!")</f>
        <v>#VALUE!</v>
      </c>
      <c r="CC238" t="str">
        <f ca="1">IFERROR(__xludf.DUMMYFUNCTION("""COMPUTED_VALUE"""),"#VALUE!")</f>
        <v>#VALUE!</v>
      </c>
      <c r="CE238" t="str">
        <f ca="1">IFERROR(__xludf.DUMMYFUNCTION("""COMPUTED_VALUE"""),"#VALUE!")</f>
        <v>#VALUE!</v>
      </c>
      <c r="CG238" t="str">
        <f ca="1">IFERROR(__xludf.DUMMYFUNCTION("""COMPUTED_VALUE"""),"#VALUE!")</f>
        <v>#VALUE!</v>
      </c>
      <c r="CI238" t="str">
        <f ca="1">IFERROR(__xludf.DUMMYFUNCTION("""COMPUTED_VALUE"""),"#VALUE!")</f>
        <v>#VALUE!</v>
      </c>
      <c r="CK238" t="str">
        <f ca="1">IFERROR(__xludf.DUMMYFUNCTION("""COMPUTED_VALUE"""),"#VALUE!")</f>
        <v>#VALUE!</v>
      </c>
      <c r="CR238" t="str">
        <f ca="1">IFERROR(__xludf.DUMMYFUNCTION("""COMPUTED_VALUE"""),"L0002")</f>
        <v>L0002</v>
      </c>
      <c r="CS238" t="str">
        <f ca="1">IFERROR(__xludf.DUMMYFUNCTION("""COMPUTED_VALUE"""),"Coazze")</f>
        <v>Coazze</v>
      </c>
      <c r="CU238" t="str">
        <f ca="1">IFERROR(__xludf.DUMMYFUNCTION("""COMPUTED_VALUE"""),"#VALUE!")</f>
        <v>#VALUE!</v>
      </c>
      <c r="CW238" t="str">
        <f ca="1">IFERROR(__xludf.DUMMYFUNCTION("""COMPUTED_VALUE"""),"#VALUE!")</f>
        <v>#VALUE!</v>
      </c>
      <c r="CY238" t="str">
        <f ca="1">IFERROR(__xludf.DUMMYFUNCTION("""COMPUTED_VALUE"""),"#VALUE!")</f>
        <v>#VALUE!</v>
      </c>
      <c r="DC238" t="str">
        <f ca="1">IFERROR(__xludf.DUMMYFUNCTION("""COMPUTED_VALUE"""),"#VALUE!")</f>
        <v>#VALUE!</v>
      </c>
      <c r="DE238" t="str">
        <f ca="1">IFERROR(__xludf.DUMMYFUNCTION("""COMPUTED_VALUE"""),"#VALUE!")</f>
        <v>#VALUE!</v>
      </c>
      <c r="DI238" t="str">
        <f ca="1">IFERROR(__xludf.DUMMYFUNCTION("""COMPUTED_VALUE"""),"#VALUE!")</f>
        <v>#VALUE!</v>
      </c>
      <c r="DJ238" t="str">
        <f ca="1">IFERROR(__xludf.DUMMYFUNCTION("""COMPUTED_VALUE"""),"#VALUE!")</f>
        <v>#VALUE!</v>
      </c>
      <c r="DL238" t="str">
        <f ca="1">IFERROR(__xludf.DUMMYFUNCTION("""COMPUTED_VALUE"""),"Davor Salihović")</f>
        <v>Davor Salihović</v>
      </c>
    </row>
    <row r="239" spans="1:116" ht="13.2" x14ac:dyDescent="0.25">
      <c r="A239" t="str">
        <f ca="1">IFERROR(__xludf.DUMMYFUNCTION("""COMPUTED_VALUE"""),"P0244")</f>
        <v>P0244</v>
      </c>
      <c r="B239" t="str">
        <f ca="1">IFERROR(__xludf.DUMMYFUNCTION("""COMPUTED_VALUE"""),"Iohannes Barberi")</f>
        <v>Iohannes Barberi</v>
      </c>
      <c r="D239" t="str">
        <f ca="1">IFERROR(__xludf.DUMMYFUNCTION("""COMPUTED_VALUE"""),"#VALUE!")</f>
        <v>#VALUE!</v>
      </c>
      <c r="E239" t="str">
        <f ca="1">IFERROR(__xludf.DUMMYFUNCTION("""COMPUTED_VALUE"""),"Iohannes")</f>
        <v>Iohannes</v>
      </c>
      <c r="K239" t="str">
        <f ca="1">IFERROR(__xludf.DUMMYFUNCTION("""COMPUTED_VALUE"""),"Barberi")</f>
        <v>Barberi</v>
      </c>
      <c r="L239" t="str">
        <f ca="1">IFERROR(__xludf.DUMMYFUNCTION("""COMPUTED_VALUE"""),"Barberi")</f>
        <v>Barberi</v>
      </c>
      <c r="S239" t="str">
        <f ca="1">IFERROR(__xludf.DUMMYFUNCTION("""COMPUTED_VALUE"""),"Latin")</f>
        <v>Latin</v>
      </c>
      <c r="T239" t="str">
        <f ca="1">IFERROR(__xludf.DUMMYFUNCTION("""COMPUTED_VALUE"""),"definite")</f>
        <v>definite</v>
      </c>
      <c r="U239" t="str">
        <f ca="1">IFERROR(__xludf.DUMMYFUNCTION("""COMPUTED_VALUE"""),"C2553")</f>
        <v>C2553</v>
      </c>
      <c r="V239" t="str">
        <f ca="1">IFERROR(__xludf.DUMMYFUNCTION("""COMPUTED_VALUE"""),"male")</f>
        <v>male</v>
      </c>
      <c r="Z239" t="str">
        <f ca="1">IFERROR(__xludf.DUMMYFUNCTION("""COMPUTED_VALUE"""),"181")</f>
        <v>181</v>
      </c>
      <c r="AA239" t="str">
        <f ca="1">IFERROR(__xludf.DUMMYFUNCTION("""COMPUTED_VALUE"""),"d")</f>
        <v>d</v>
      </c>
      <c r="AB239" t="str">
        <f ca="1">IFERROR(__xludf.DUMMYFUNCTION("""COMPUTED_VALUE"""),"NA")</f>
        <v>NA</v>
      </c>
      <c r="AD239" t="str">
        <f ca="1">IFERROR(__xludf.DUMMYFUNCTION("""COMPUTED_VALUE"""),"C3287")</f>
        <v>C3287</v>
      </c>
      <c r="AE239" t="str">
        <f ca="1">IFERROR(__xludf.DUMMYFUNCTION("""COMPUTED_VALUE"""),"alive")</f>
        <v>alive</v>
      </c>
      <c r="AF239" t="str">
        <f ca="1">IFERROR(__xludf.DUMMYFUNCTION("""COMPUTED_VALUE"""),"C1753")</f>
        <v>C1753</v>
      </c>
      <c r="AG239" t="str">
        <f ca="1">IFERROR(__xludf.DUMMYFUNCTION("""COMPUTED_VALUE"""),"1335-01-20")</f>
        <v>1335-01-20</v>
      </c>
      <c r="AI239" t="str">
        <f ca="1">IFERROR(__xludf.DUMMYFUNCTION("""COMPUTED_VALUE"""),"#VALUE!")</f>
        <v>#VALUE!</v>
      </c>
      <c r="AK239" t="str">
        <f ca="1">IFERROR(__xludf.DUMMYFUNCTION("""COMPUTED_VALUE"""),"#VALUE!")</f>
        <v>#VALUE!</v>
      </c>
      <c r="AM239" t="str">
        <f ca="1">IFERROR(__xludf.DUMMYFUNCTION("""COMPUTED_VALUE"""),"#VALUE!")</f>
        <v>#VALUE!</v>
      </c>
      <c r="AO239" t="str">
        <f ca="1">IFERROR(__xludf.DUMMYFUNCTION("""COMPUTED_VALUE"""),"#VALUE!")</f>
        <v>#VALUE!</v>
      </c>
      <c r="AQ239" t="str">
        <f ca="1">IFERROR(__xludf.DUMMYFUNCTION("""COMPUTED_VALUE"""),"#VALUE!")</f>
        <v>#VALUE!</v>
      </c>
      <c r="AS239" t="str">
        <f ca="1">IFERROR(__xludf.DUMMYFUNCTION("""COMPUTED_VALUE"""),"#VALUE!")</f>
        <v>#VALUE!</v>
      </c>
      <c r="AU239" t="str">
        <f ca="1">IFERROR(__xludf.DUMMYFUNCTION("""COMPUTED_VALUE"""),"#VALUE!")</f>
        <v>#VALUE!</v>
      </c>
      <c r="AW239" t="str">
        <f ca="1">IFERROR(__xludf.DUMMYFUNCTION("""COMPUTED_VALUE"""),"#VALUE!")</f>
        <v>#VALUE!</v>
      </c>
      <c r="AY239" t="str">
        <f ca="1">IFERROR(__xludf.DUMMYFUNCTION("""COMPUTED_VALUE"""),"#VALUE!")</f>
        <v>#VALUE!</v>
      </c>
      <c r="BA239" t="str">
        <f ca="1">IFERROR(__xludf.DUMMYFUNCTION("""COMPUTED_VALUE"""),"#VALUE!")</f>
        <v>#VALUE!</v>
      </c>
      <c r="BC239" t="str">
        <f ca="1">IFERROR(__xludf.DUMMYFUNCTION("""COMPUTED_VALUE"""),"#VALUE!")</f>
        <v>#VALUE!</v>
      </c>
      <c r="BE239" t="str">
        <f ca="1">IFERROR(__xludf.DUMMYFUNCTION("""COMPUTED_VALUE"""),"#VALUE!")</f>
        <v>#VALUE!</v>
      </c>
      <c r="BG239" t="str">
        <f ca="1">IFERROR(__xludf.DUMMYFUNCTION("""COMPUTED_VALUE"""),"#VALUE!")</f>
        <v>#VALUE!</v>
      </c>
      <c r="BI239" t="str">
        <f ca="1">IFERROR(__xludf.DUMMYFUNCTION("""COMPUTED_VALUE"""),"#VALUE!")</f>
        <v>#VALUE!</v>
      </c>
      <c r="BK239" t="str">
        <f ca="1">IFERROR(__xludf.DUMMYFUNCTION("""COMPUTED_VALUE"""),"#VALUE!")</f>
        <v>#VALUE!</v>
      </c>
      <c r="BM239" t="str">
        <f ca="1">IFERROR(__xludf.DUMMYFUNCTION("""COMPUTED_VALUE"""),"#VALUE!")</f>
        <v>#VALUE!</v>
      </c>
      <c r="BO239" t="str">
        <f ca="1">IFERROR(__xludf.DUMMYFUNCTION("""COMPUTED_VALUE"""),"#VALUE!")</f>
        <v>#VALUE!</v>
      </c>
      <c r="BQ239" t="str">
        <f ca="1">IFERROR(__xludf.DUMMYFUNCTION("""COMPUTED_VALUE"""),"#VALUE!")</f>
        <v>#VALUE!</v>
      </c>
      <c r="BS239" t="str">
        <f ca="1">IFERROR(__xludf.DUMMYFUNCTION("""COMPUTED_VALUE"""),"#VALUE!")</f>
        <v>#VALUE!</v>
      </c>
      <c r="BU239" t="str">
        <f ca="1">IFERROR(__xludf.DUMMYFUNCTION("""COMPUTED_VALUE"""),"#VALUE!")</f>
        <v>#VALUE!</v>
      </c>
      <c r="BW239" t="str">
        <f ca="1">IFERROR(__xludf.DUMMYFUNCTION("""COMPUTED_VALUE"""),"#VALUE!")</f>
        <v>#VALUE!</v>
      </c>
      <c r="BY239" t="str">
        <f ca="1">IFERROR(__xludf.DUMMYFUNCTION("""COMPUTED_VALUE"""),"#VALUE!")</f>
        <v>#VALUE!</v>
      </c>
      <c r="CA239" t="str">
        <f ca="1">IFERROR(__xludf.DUMMYFUNCTION("""COMPUTED_VALUE"""),"#VALUE!")</f>
        <v>#VALUE!</v>
      </c>
      <c r="CC239" t="str">
        <f ca="1">IFERROR(__xludf.DUMMYFUNCTION("""COMPUTED_VALUE"""),"#VALUE!")</f>
        <v>#VALUE!</v>
      </c>
      <c r="CE239" t="str">
        <f ca="1">IFERROR(__xludf.DUMMYFUNCTION("""COMPUTED_VALUE"""),"#VALUE!")</f>
        <v>#VALUE!</v>
      </c>
      <c r="CG239" t="str">
        <f ca="1">IFERROR(__xludf.DUMMYFUNCTION("""COMPUTED_VALUE"""),"#VALUE!")</f>
        <v>#VALUE!</v>
      </c>
      <c r="CI239" t="str">
        <f ca="1">IFERROR(__xludf.DUMMYFUNCTION("""COMPUTED_VALUE"""),"#VALUE!")</f>
        <v>#VALUE!</v>
      </c>
      <c r="CK239" t="str">
        <f ca="1">IFERROR(__xludf.DUMMYFUNCTION("""COMPUTED_VALUE"""),"#VALUE!")</f>
        <v>#VALUE!</v>
      </c>
      <c r="CR239" t="str">
        <f ca="1">IFERROR(__xludf.DUMMYFUNCTION("""COMPUTED_VALUE"""),"L0001")</f>
        <v>L0001</v>
      </c>
      <c r="CS239" t="str">
        <f ca="1">IFERROR(__xludf.DUMMYFUNCTION("""COMPUTED_VALUE"""),"Giaveno")</f>
        <v>Giaveno</v>
      </c>
      <c r="CU239" t="str">
        <f ca="1">IFERROR(__xludf.DUMMYFUNCTION("""COMPUTED_VALUE"""),"#VALUE!")</f>
        <v>#VALUE!</v>
      </c>
      <c r="CW239" t="str">
        <f ca="1">IFERROR(__xludf.DUMMYFUNCTION("""COMPUTED_VALUE"""),"#VALUE!")</f>
        <v>#VALUE!</v>
      </c>
      <c r="CY239" t="str">
        <f ca="1">IFERROR(__xludf.DUMMYFUNCTION("""COMPUTED_VALUE"""),"#VALUE!")</f>
        <v>#VALUE!</v>
      </c>
      <c r="DC239" t="str">
        <f ca="1">IFERROR(__xludf.DUMMYFUNCTION("""COMPUTED_VALUE"""),"#VALUE!")</f>
        <v>#VALUE!</v>
      </c>
      <c r="DE239" t="str">
        <f ca="1">IFERROR(__xludf.DUMMYFUNCTION("""COMPUTED_VALUE"""),"#VALUE!")</f>
        <v>#VALUE!</v>
      </c>
      <c r="DI239" t="str">
        <f ca="1">IFERROR(__xludf.DUMMYFUNCTION("""COMPUTED_VALUE"""),"#VALUE!")</f>
        <v>#VALUE!</v>
      </c>
      <c r="DJ239" t="str">
        <f ca="1">IFERROR(__xludf.DUMMYFUNCTION("""COMPUTED_VALUE"""),"#VALUE!")</f>
        <v>#VALUE!</v>
      </c>
      <c r="DL239" t="str">
        <f ca="1">IFERROR(__xludf.DUMMYFUNCTION("""COMPUTED_VALUE"""),"Davor Salihović")</f>
        <v>Davor Salihović</v>
      </c>
    </row>
    <row r="240" spans="1:116" ht="13.2" x14ac:dyDescent="0.25">
      <c r="A240" t="str">
        <f ca="1">IFERROR(__xludf.DUMMYFUNCTION("""COMPUTED_VALUE"""),"P0245")</f>
        <v>P0245</v>
      </c>
      <c r="B240" t="str">
        <f ca="1">IFERROR(__xludf.DUMMYFUNCTION("""COMPUTED_VALUE"""),"Facius Ferrandi")</f>
        <v>Facius Ferrandi</v>
      </c>
      <c r="D240" t="str">
        <f ca="1">IFERROR(__xludf.DUMMYFUNCTION("""COMPUTED_VALUE"""),"#VALUE!")</f>
        <v>#VALUE!</v>
      </c>
      <c r="E240" t="str">
        <f ca="1">IFERROR(__xludf.DUMMYFUNCTION("""COMPUTED_VALUE"""),"Facius")</f>
        <v>Facius</v>
      </c>
      <c r="K240" t="str">
        <f ca="1">IFERROR(__xludf.DUMMYFUNCTION("""COMPUTED_VALUE"""),"Ferrandi")</f>
        <v>Ferrandi</v>
      </c>
      <c r="L240" t="str">
        <f ca="1">IFERROR(__xludf.DUMMYFUNCTION("""COMPUTED_VALUE"""),"Ferrandi")</f>
        <v>Ferrandi</v>
      </c>
      <c r="S240" t="str">
        <f ca="1">IFERROR(__xludf.DUMMYFUNCTION("""COMPUTED_VALUE"""),"Latin")</f>
        <v>Latin</v>
      </c>
      <c r="T240" t="str">
        <f ca="1">IFERROR(__xludf.DUMMYFUNCTION("""COMPUTED_VALUE"""),"definite")</f>
        <v>definite</v>
      </c>
      <c r="U240" t="str">
        <f ca="1">IFERROR(__xludf.DUMMYFUNCTION("""COMPUTED_VALUE"""),"C2553")</f>
        <v>C2553</v>
      </c>
      <c r="V240" t="str">
        <f ca="1">IFERROR(__xludf.DUMMYFUNCTION("""COMPUTED_VALUE"""),"male")</f>
        <v>male</v>
      </c>
      <c r="Z240" t="str">
        <f ca="1">IFERROR(__xludf.DUMMYFUNCTION("""COMPUTED_VALUE"""),"181")</f>
        <v>181</v>
      </c>
      <c r="AA240" t="str">
        <f ca="1">IFERROR(__xludf.DUMMYFUNCTION("""COMPUTED_VALUE"""),"d")</f>
        <v>d</v>
      </c>
      <c r="AB240" t="str">
        <f ca="1">IFERROR(__xludf.DUMMYFUNCTION("""COMPUTED_VALUE"""),"NA")</f>
        <v>NA</v>
      </c>
      <c r="AC240" t="str">
        <f ca="1">IFERROR(__xludf.DUMMYFUNCTION("""COMPUTED_VALUE"""),"y")</f>
        <v>y</v>
      </c>
      <c r="AD240" t="str">
        <f ca="1">IFERROR(__xludf.DUMMYFUNCTION("""COMPUTED_VALUE"""),"C3288")</f>
        <v>C3288</v>
      </c>
      <c r="AE240" t="str">
        <f ca="1">IFERROR(__xludf.DUMMYFUNCTION("""COMPUTED_VALUE"""),"dead")</f>
        <v>dead</v>
      </c>
      <c r="AF240" t="str">
        <f ca="1">IFERROR(__xludf.DUMMYFUNCTION("""COMPUTED_VALUE"""),"C1749")</f>
        <v>C1749</v>
      </c>
      <c r="AG240" t="str">
        <f ca="1">IFERROR(__xludf.DUMMYFUNCTION("""COMPUTED_VALUE"""),"1335-01-20")</f>
        <v>1335-01-20</v>
      </c>
      <c r="AH240" t="str">
        <f ca="1">IFERROR(__xludf.DUMMYFUNCTION("""COMPUTED_VALUE"""),"C2336")</f>
        <v>C2336</v>
      </c>
      <c r="AI240" t="str">
        <f ca="1">IFERROR(__xludf.DUMMYFUNCTION("""COMPUTED_VALUE"""),"son")</f>
        <v>son</v>
      </c>
      <c r="AJ240" t="str">
        <f ca="1">IFERROR(__xludf.DUMMYFUNCTION("""COMPUTED_VALUE"""),"P0220")</f>
        <v>P0220</v>
      </c>
      <c r="AK240" t="str">
        <f ca="1">IFERROR(__xludf.DUMMYFUNCTION("""COMPUTED_VALUE"""),"Iohannes de Facio Ferrandi")</f>
        <v>Iohannes de Facio Ferrandi</v>
      </c>
      <c r="AM240" t="str">
        <f ca="1">IFERROR(__xludf.DUMMYFUNCTION("""COMPUTED_VALUE"""),"#VALUE!")</f>
        <v>#VALUE!</v>
      </c>
      <c r="AO240" t="str">
        <f ca="1">IFERROR(__xludf.DUMMYFUNCTION("""COMPUTED_VALUE"""),"#VALUE!")</f>
        <v>#VALUE!</v>
      </c>
      <c r="AQ240" t="str">
        <f ca="1">IFERROR(__xludf.DUMMYFUNCTION("""COMPUTED_VALUE"""),"#VALUE!")</f>
        <v>#VALUE!</v>
      </c>
      <c r="AS240" t="str">
        <f ca="1">IFERROR(__xludf.DUMMYFUNCTION("""COMPUTED_VALUE"""),"#VALUE!")</f>
        <v>#VALUE!</v>
      </c>
      <c r="AU240" t="str">
        <f ca="1">IFERROR(__xludf.DUMMYFUNCTION("""COMPUTED_VALUE"""),"#VALUE!")</f>
        <v>#VALUE!</v>
      </c>
      <c r="AW240" t="str">
        <f ca="1">IFERROR(__xludf.DUMMYFUNCTION("""COMPUTED_VALUE"""),"#VALUE!")</f>
        <v>#VALUE!</v>
      </c>
      <c r="AY240" t="str">
        <f ca="1">IFERROR(__xludf.DUMMYFUNCTION("""COMPUTED_VALUE"""),"#VALUE!")</f>
        <v>#VALUE!</v>
      </c>
      <c r="BA240" t="str">
        <f ca="1">IFERROR(__xludf.DUMMYFUNCTION("""COMPUTED_VALUE"""),"#VALUE!")</f>
        <v>#VALUE!</v>
      </c>
      <c r="BC240" t="str">
        <f ca="1">IFERROR(__xludf.DUMMYFUNCTION("""COMPUTED_VALUE"""),"#VALUE!")</f>
        <v>#VALUE!</v>
      </c>
      <c r="BE240" t="str">
        <f ca="1">IFERROR(__xludf.DUMMYFUNCTION("""COMPUTED_VALUE"""),"#VALUE!")</f>
        <v>#VALUE!</v>
      </c>
      <c r="BG240" t="str">
        <f ca="1">IFERROR(__xludf.DUMMYFUNCTION("""COMPUTED_VALUE"""),"#VALUE!")</f>
        <v>#VALUE!</v>
      </c>
      <c r="BI240" t="str">
        <f ca="1">IFERROR(__xludf.DUMMYFUNCTION("""COMPUTED_VALUE"""),"#VALUE!")</f>
        <v>#VALUE!</v>
      </c>
      <c r="BK240" t="str">
        <f ca="1">IFERROR(__xludf.DUMMYFUNCTION("""COMPUTED_VALUE"""),"#VALUE!")</f>
        <v>#VALUE!</v>
      </c>
      <c r="BM240" t="str">
        <f ca="1">IFERROR(__xludf.DUMMYFUNCTION("""COMPUTED_VALUE"""),"#VALUE!")</f>
        <v>#VALUE!</v>
      </c>
      <c r="BO240" t="str">
        <f ca="1">IFERROR(__xludf.DUMMYFUNCTION("""COMPUTED_VALUE"""),"#VALUE!")</f>
        <v>#VALUE!</v>
      </c>
      <c r="BQ240" t="str">
        <f ca="1">IFERROR(__xludf.DUMMYFUNCTION("""COMPUTED_VALUE"""),"#VALUE!")</f>
        <v>#VALUE!</v>
      </c>
      <c r="BS240" t="str">
        <f ca="1">IFERROR(__xludf.DUMMYFUNCTION("""COMPUTED_VALUE"""),"#VALUE!")</f>
        <v>#VALUE!</v>
      </c>
      <c r="BU240" t="str">
        <f ca="1">IFERROR(__xludf.DUMMYFUNCTION("""COMPUTED_VALUE"""),"#VALUE!")</f>
        <v>#VALUE!</v>
      </c>
      <c r="BW240" t="str">
        <f ca="1">IFERROR(__xludf.DUMMYFUNCTION("""COMPUTED_VALUE"""),"#VALUE!")</f>
        <v>#VALUE!</v>
      </c>
      <c r="BY240" t="str">
        <f ca="1">IFERROR(__xludf.DUMMYFUNCTION("""COMPUTED_VALUE"""),"#VALUE!")</f>
        <v>#VALUE!</v>
      </c>
      <c r="CA240" t="str">
        <f ca="1">IFERROR(__xludf.DUMMYFUNCTION("""COMPUTED_VALUE"""),"#VALUE!")</f>
        <v>#VALUE!</v>
      </c>
      <c r="CC240" t="str">
        <f ca="1">IFERROR(__xludf.DUMMYFUNCTION("""COMPUTED_VALUE"""),"#VALUE!")</f>
        <v>#VALUE!</v>
      </c>
      <c r="CE240" t="str">
        <f ca="1">IFERROR(__xludf.DUMMYFUNCTION("""COMPUTED_VALUE"""),"#VALUE!")</f>
        <v>#VALUE!</v>
      </c>
      <c r="CG240" t="str">
        <f ca="1">IFERROR(__xludf.DUMMYFUNCTION("""COMPUTED_VALUE"""),"#VALUE!")</f>
        <v>#VALUE!</v>
      </c>
      <c r="CI240" t="str">
        <f ca="1">IFERROR(__xludf.DUMMYFUNCTION("""COMPUTED_VALUE"""),"#VALUE!")</f>
        <v>#VALUE!</v>
      </c>
      <c r="CK240" t="str">
        <f ca="1">IFERROR(__xludf.DUMMYFUNCTION("""COMPUTED_VALUE"""),"#VALUE!")</f>
        <v>#VALUE!</v>
      </c>
      <c r="CS240" t="str">
        <f ca="1">IFERROR(__xludf.DUMMYFUNCTION("""COMPUTED_VALUE"""),"#VALUE!")</f>
        <v>#VALUE!</v>
      </c>
      <c r="CU240" t="str">
        <f ca="1">IFERROR(__xludf.DUMMYFUNCTION("""COMPUTED_VALUE"""),"#VALUE!")</f>
        <v>#VALUE!</v>
      </c>
      <c r="CW240" t="str">
        <f ca="1">IFERROR(__xludf.DUMMYFUNCTION("""COMPUTED_VALUE"""),"#VALUE!")</f>
        <v>#VALUE!</v>
      </c>
      <c r="CY240" t="str">
        <f ca="1">IFERROR(__xludf.DUMMYFUNCTION("""COMPUTED_VALUE"""),"#VALUE!")</f>
        <v>#VALUE!</v>
      </c>
      <c r="DC240" t="str">
        <f ca="1">IFERROR(__xludf.DUMMYFUNCTION("""COMPUTED_VALUE"""),"#VALUE!")</f>
        <v>#VALUE!</v>
      </c>
      <c r="DE240" t="str">
        <f ca="1">IFERROR(__xludf.DUMMYFUNCTION("""COMPUTED_VALUE"""),"#VALUE!")</f>
        <v>#VALUE!</v>
      </c>
      <c r="DI240" t="str">
        <f ca="1">IFERROR(__xludf.DUMMYFUNCTION("""COMPUTED_VALUE"""),"#VALUE!")</f>
        <v>#VALUE!</v>
      </c>
      <c r="DJ240" t="str">
        <f ca="1">IFERROR(__xludf.DUMMYFUNCTION("""COMPUTED_VALUE"""),"#VALUE!")</f>
        <v>#VALUE!</v>
      </c>
      <c r="DK240" t="str">
        <f ca="1">IFERROR(__xludf.DUMMYFUNCTION("""COMPUTED_VALUE"""),"not clear whether personal name or one derived from profession")</f>
        <v>not clear whether personal name or one derived from profession</v>
      </c>
      <c r="DL240" t="str">
        <f ca="1">IFERROR(__xludf.DUMMYFUNCTION("""COMPUTED_VALUE"""),"Davor Salihović")</f>
        <v>Davor Salihović</v>
      </c>
    </row>
    <row r="241" spans="1:116" ht="13.2" x14ac:dyDescent="0.25">
      <c r="A241" t="str">
        <f ca="1">IFERROR(__xludf.DUMMYFUNCTION("""COMPUTED_VALUE"""),"P0246")</f>
        <v>P0246</v>
      </c>
      <c r="B241" t="str">
        <f ca="1">IFERROR(__xludf.DUMMYFUNCTION("""COMPUTED_VALUE"""),"Vincentius")</f>
        <v>Vincentius</v>
      </c>
      <c r="D241" t="str">
        <f ca="1">IFERROR(__xludf.DUMMYFUNCTION("""COMPUTED_VALUE"""),"#VALUE!")</f>
        <v>#VALUE!</v>
      </c>
      <c r="E241" t="str">
        <f ca="1">IFERROR(__xludf.DUMMYFUNCTION("""COMPUTED_VALUE"""),"Vincentius")</f>
        <v>Vincentius</v>
      </c>
      <c r="S241" t="str">
        <f ca="1">IFERROR(__xludf.DUMMYFUNCTION("""COMPUTED_VALUE"""),"Latin")</f>
        <v>Latin</v>
      </c>
      <c r="T241" t="str">
        <f ca="1">IFERROR(__xludf.DUMMYFUNCTION("""COMPUTED_VALUE"""),"definite")</f>
        <v>definite</v>
      </c>
      <c r="U241" t="str">
        <f ca="1">IFERROR(__xludf.DUMMYFUNCTION("""COMPUTED_VALUE"""),"C2553")</f>
        <v>C2553</v>
      </c>
      <c r="V241" t="str">
        <f ca="1">IFERROR(__xludf.DUMMYFUNCTION("""COMPUTED_VALUE"""),"male")</f>
        <v>male</v>
      </c>
      <c r="Z241" t="str">
        <f ca="1">IFERROR(__xludf.DUMMYFUNCTION("""COMPUTED_VALUE"""),"184")</f>
        <v>184</v>
      </c>
      <c r="AA241" t="str">
        <f ca="1">IFERROR(__xludf.DUMMYFUNCTION("""COMPUTED_VALUE"""),"d")</f>
        <v>d</v>
      </c>
      <c r="AB241" t="str">
        <f ca="1">IFERROR(__xludf.DUMMYFUNCTION("""COMPUTED_VALUE"""),"suspect")</f>
        <v>suspect</v>
      </c>
      <c r="AE241" t="str">
        <f ca="1">IFERROR(__xludf.DUMMYFUNCTION("""COMPUTED_VALUE"""),"#VALUE!")</f>
        <v>#VALUE!</v>
      </c>
      <c r="AF241" t="str">
        <f ca="1">IFERROR(__xludf.DUMMYFUNCTION("""COMPUTED_VALUE"""),"#N/A")</f>
        <v>#N/A</v>
      </c>
      <c r="AG241" t="str">
        <f ca="1">IFERROR(__xludf.DUMMYFUNCTION("""COMPUTED_VALUE"""),"#N/A")</f>
        <v>#N/A</v>
      </c>
      <c r="AI241" t="str">
        <f ca="1">IFERROR(__xludf.DUMMYFUNCTION("""COMPUTED_VALUE"""),"#VALUE!")</f>
        <v>#VALUE!</v>
      </c>
      <c r="AK241" t="str">
        <f ca="1">IFERROR(__xludf.DUMMYFUNCTION("""COMPUTED_VALUE"""),"#VALUE!")</f>
        <v>#VALUE!</v>
      </c>
      <c r="AM241" t="str">
        <f ca="1">IFERROR(__xludf.DUMMYFUNCTION("""COMPUTED_VALUE"""),"#VALUE!")</f>
        <v>#VALUE!</v>
      </c>
      <c r="AO241" t="str">
        <f ca="1">IFERROR(__xludf.DUMMYFUNCTION("""COMPUTED_VALUE"""),"#VALUE!")</f>
        <v>#VALUE!</v>
      </c>
      <c r="AQ241" t="str">
        <f ca="1">IFERROR(__xludf.DUMMYFUNCTION("""COMPUTED_VALUE"""),"#VALUE!")</f>
        <v>#VALUE!</v>
      </c>
      <c r="AS241" t="str">
        <f ca="1">IFERROR(__xludf.DUMMYFUNCTION("""COMPUTED_VALUE"""),"#VALUE!")</f>
        <v>#VALUE!</v>
      </c>
      <c r="AU241" t="str">
        <f ca="1">IFERROR(__xludf.DUMMYFUNCTION("""COMPUTED_VALUE"""),"#VALUE!")</f>
        <v>#VALUE!</v>
      </c>
      <c r="AW241" t="str">
        <f ca="1">IFERROR(__xludf.DUMMYFUNCTION("""COMPUTED_VALUE"""),"#VALUE!")</f>
        <v>#VALUE!</v>
      </c>
      <c r="AY241" t="str">
        <f ca="1">IFERROR(__xludf.DUMMYFUNCTION("""COMPUTED_VALUE"""),"#VALUE!")</f>
        <v>#VALUE!</v>
      </c>
      <c r="BA241" t="str">
        <f ca="1">IFERROR(__xludf.DUMMYFUNCTION("""COMPUTED_VALUE"""),"#VALUE!")</f>
        <v>#VALUE!</v>
      </c>
      <c r="BC241" t="str">
        <f ca="1">IFERROR(__xludf.DUMMYFUNCTION("""COMPUTED_VALUE"""),"#VALUE!")</f>
        <v>#VALUE!</v>
      </c>
      <c r="BE241" t="str">
        <f ca="1">IFERROR(__xludf.DUMMYFUNCTION("""COMPUTED_VALUE"""),"#VALUE!")</f>
        <v>#VALUE!</v>
      </c>
      <c r="BG241" t="str">
        <f ca="1">IFERROR(__xludf.DUMMYFUNCTION("""COMPUTED_VALUE"""),"#VALUE!")</f>
        <v>#VALUE!</v>
      </c>
      <c r="BI241" t="str">
        <f ca="1">IFERROR(__xludf.DUMMYFUNCTION("""COMPUTED_VALUE"""),"#VALUE!")</f>
        <v>#VALUE!</v>
      </c>
      <c r="BK241" t="str">
        <f ca="1">IFERROR(__xludf.DUMMYFUNCTION("""COMPUTED_VALUE"""),"#VALUE!")</f>
        <v>#VALUE!</v>
      </c>
      <c r="BM241" t="str">
        <f ca="1">IFERROR(__xludf.DUMMYFUNCTION("""COMPUTED_VALUE"""),"#VALUE!")</f>
        <v>#VALUE!</v>
      </c>
      <c r="BO241" t="str">
        <f ca="1">IFERROR(__xludf.DUMMYFUNCTION("""COMPUTED_VALUE"""),"#VALUE!")</f>
        <v>#VALUE!</v>
      </c>
      <c r="BQ241" t="str">
        <f ca="1">IFERROR(__xludf.DUMMYFUNCTION("""COMPUTED_VALUE"""),"#VALUE!")</f>
        <v>#VALUE!</v>
      </c>
      <c r="BS241" t="str">
        <f ca="1">IFERROR(__xludf.DUMMYFUNCTION("""COMPUTED_VALUE"""),"#VALUE!")</f>
        <v>#VALUE!</v>
      </c>
      <c r="BU241" t="str">
        <f ca="1">IFERROR(__xludf.DUMMYFUNCTION("""COMPUTED_VALUE"""),"#VALUE!")</f>
        <v>#VALUE!</v>
      </c>
      <c r="BW241" t="str">
        <f ca="1">IFERROR(__xludf.DUMMYFUNCTION("""COMPUTED_VALUE"""),"#VALUE!")</f>
        <v>#VALUE!</v>
      </c>
      <c r="BY241" t="str">
        <f ca="1">IFERROR(__xludf.DUMMYFUNCTION("""COMPUTED_VALUE"""),"#VALUE!")</f>
        <v>#VALUE!</v>
      </c>
      <c r="CA241" t="str">
        <f ca="1">IFERROR(__xludf.DUMMYFUNCTION("""COMPUTED_VALUE"""),"#VALUE!")</f>
        <v>#VALUE!</v>
      </c>
      <c r="CC241" t="str">
        <f ca="1">IFERROR(__xludf.DUMMYFUNCTION("""COMPUTED_VALUE"""),"#VALUE!")</f>
        <v>#VALUE!</v>
      </c>
      <c r="CE241" t="str">
        <f ca="1">IFERROR(__xludf.DUMMYFUNCTION("""COMPUTED_VALUE"""),"#VALUE!")</f>
        <v>#VALUE!</v>
      </c>
      <c r="CG241" t="str">
        <f ca="1">IFERROR(__xludf.DUMMYFUNCTION("""COMPUTED_VALUE"""),"#VALUE!")</f>
        <v>#VALUE!</v>
      </c>
      <c r="CI241" t="str">
        <f ca="1">IFERROR(__xludf.DUMMYFUNCTION("""COMPUTED_VALUE"""),"#VALUE!")</f>
        <v>#VALUE!</v>
      </c>
      <c r="CK241" t="str">
        <f ca="1">IFERROR(__xludf.DUMMYFUNCTION("""COMPUTED_VALUE"""),"#VALUE!")</f>
        <v>#VALUE!</v>
      </c>
      <c r="CS241" t="str">
        <f ca="1">IFERROR(__xludf.DUMMYFUNCTION("""COMPUTED_VALUE"""),"#VALUE!")</f>
        <v>#VALUE!</v>
      </c>
      <c r="CU241" t="str">
        <f ca="1">IFERROR(__xludf.DUMMYFUNCTION("""COMPUTED_VALUE"""),"#VALUE!")</f>
        <v>#VALUE!</v>
      </c>
      <c r="CV241" t="str">
        <f ca="1">IFERROR(__xludf.DUMMYFUNCTION("""COMPUTED_VALUE"""),"L0002")</f>
        <v>L0002</v>
      </c>
      <c r="CW241" t="str">
        <f ca="1">IFERROR(__xludf.DUMMYFUNCTION("""COMPUTED_VALUE"""),"Coazze")</f>
        <v>Coazze</v>
      </c>
      <c r="CY241" t="str">
        <f ca="1">IFERROR(__xludf.DUMMYFUNCTION("""COMPUTED_VALUE"""),"#VALUE!")</f>
        <v>#VALUE!</v>
      </c>
      <c r="DC241" t="str">
        <f ca="1">IFERROR(__xludf.DUMMYFUNCTION("""COMPUTED_VALUE"""),"#VALUE!")</f>
        <v>#VALUE!</v>
      </c>
      <c r="DE241" t="str">
        <f ca="1">IFERROR(__xludf.DUMMYFUNCTION("""COMPUTED_VALUE"""),"#VALUE!")</f>
        <v>#VALUE!</v>
      </c>
      <c r="DI241" t="str">
        <f ca="1">IFERROR(__xludf.DUMMYFUNCTION("""COMPUTED_VALUE"""),"#VALUE!")</f>
        <v>#VALUE!</v>
      </c>
      <c r="DJ241" t="str">
        <f ca="1">IFERROR(__xludf.DUMMYFUNCTION("""COMPUTED_VALUE"""),"#VALUE!")</f>
        <v>#VALUE!</v>
      </c>
      <c r="DL241" t="str">
        <f ca="1">IFERROR(__xludf.DUMMYFUNCTION("""COMPUTED_VALUE"""),"Davor Salihović")</f>
        <v>Davor Salihović</v>
      </c>
    </row>
    <row r="242" spans="1:116" ht="13.2" x14ac:dyDescent="0.25">
      <c r="A242" t="str">
        <f ca="1">IFERROR(__xludf.DUMMYFUNCTION("""COMPUTED_VALUE"""),"P0247")</f>
        <v>P0247</v>
      </c>
      <c r="B242" t="str">
        <f ca="1">IFERROR(__xludf.DUMMYFUNCTION("""COMPUTED_VALUE"""),"Iohanna, filia Marguerite Borssete")</f>
        <v>Iohanna, filia Marguerite Borssete</v>
      </c>
      <c r="D242" t="str">
        <f ca="1">IFERROR(__xludf.DUMMYFUNCTION("""COMPUTED_VALUE"""),"#VALUE!")</f>
        <v>#VALUE!</v>
      </c>
      <c r="E242" t="str">
        <f ca="1">IFERROR(__xludf.DUMMYFUNCTION("""COMPUTED_VALUE"""),"Iohanna")</f>
        <v>Iohanna</v>
      </c>
      <c r="Q242" t="str">
        <f ca="1">IFERROR(__xludf.DUMMYFUNCTION("""COMPUTED_VALUE"""),"filia Marguerite Borssete")</f>
        <v>filia Marguerite Borssete</v>
      </c>
      <c r="S242" t="str">
        <f ca="1">IFERROR(__xludf.DUMMYFUNCTION("""COMPUTED_VALUE"""),"Latin")</f>
        <v>Latin</v>
      </c>
      <c r="T242" t="str">
        <f ca="1">IFERROR(__xludf.DUMMYFUNCTION("""COMPUTED_VALUE"""),"definite")</f>
        <v>definite</v>
      </c>
      <c r="U242" t="str">
        <f ca="1">IFERROR(__xludf.DUMMYFUNCTION("""COMPUTED_VALUE"""),"C2552")</f>
        <v>C2552</v>
      </c>
      <c r="V242" t="str">
        <f ca="1">IFERROR(__xludf.DUMMYFUNCTION("""COMPUTED_VALUE"""),"female")</f>
        <v>female</v>
      </c>
      <c r="Z242" t="str">
        <f ca="1">IFERROR(__xludf.DUMMYFUNCTION("""COMPUTED_VALUE"""),"184, 185, 236, 238")</f>
        <v>184, 185, 236, 238</v>
      </c>
      <c r="AA242" t="str">
        <f ca="1">IFERROR(__xludf.DUMMYFUNCTION("""COMPUTED_VALUE"""),"d")</f>
        <v>d</v>
      </c>
      <c r="AB242" t="str">
        <f ca="1">IFERROR(__xludf.DUMMYFUNCTION("""COMPUTED_VALUE"""),"suspect")</f>
        <v>suspect</v>
      </c>
      <c r="AD242" t="str">
        <f ca="1">IFERROR(__xludf.DUMMYFUNCTION("""COMPUTED_VALUE"""),"C3287")</f>
        <v>C3287</v>
      </c>
      <c r="AE242" t="str">
        <f ca="1">IFERROR(__xludf.DUMMYFUNCTION("""COMPUTED_VALUE"""),"alive")</f>
        <v>alive</v>
      </c>
      <c r="AF242" t="str">
        <f ca="1">IFERROR(__xludf.DUMMYFUNCTION("""COMPUTED_VALUE"""),"C1753")</f>
        <v>C1753</v>
      </c>
      <c r="AG242" t="str">
        <f ca="1">IFERROR(__xludf.DUMMYFUNCTION("""COMPUTED_VALUE"""),"1335-01-20")</f>
        <v>1335-01-20</v>
      </c>
      <c r="AI242" t="str">
        <f ca="1">IFERROR(__xludf.DUMMYFUNCTION("""COMPUTED_VALUE"""),"#VALUE!")</f>
        <v>#VALUE!</v>
      </c>
      <c r="AK242" t="str">
        <f ca="1">IFERROR(__xludf.DUMMYFUNCTION("""COMPUTED_VALUE"""),"#VALUE!")</f>
        <v>#VALUE!</v>
      </c>
      <c r="AM242" t="str">
        <f ca="1">IFERROR(__xludf.DUMMYFUNCTION("""COMPUTED_VALUE"""),"#VALUE!")</f>
        <v>#VALUE!</v>
      </c>
      <c r="AO242" t="str">
        <f ca="1">IFERROR(__xludf.DUMMYFUNCTION("""COMPUTED_VALUE"""),"#VALUE!")</f>
        <v>#VALUE!</v>
      </c>
      <c r="AQ242" t="str">
        <f ca="1">IFERROR(__xludf.DUMMYFUNCTION("""COMPUTED_VALUE"""),"#VALUE!")</f>
        <v>#VALUE!</v>
      </c>
      <c r="AS242" t="str">
        <f ca="1">IFERROR(__xludf.DUMMYFUNCTION("""COMPUTED_VALUE"""),"#VALUE!")</f>
        <v>#VALUE!</v>
      </c>
      <c r="AU242" t="str">
        <f ca="1">IFERROR(__xludf.DUMMYFUNCTION("""COMPUTED_VALUE"""),"#VALUE!")</f>
        <v>#VALUE!</v>
      </c>
      <c r="AW242" t="str">
        <f ca="1">IFERROR(__xludf.DUMMYFUNCTION("""COMPUTED_VALUE"""),"#VALUE!")</f>
        <v>#VALUE!</v>
      </c>
      <c r="AY242" t="str">
        <f ca="1">IFERROR(__xludf.DUMMYFUNCTION("""COMPUTED_VALUE"""),"#VALUE!")</f>
        <v>#VALUE!</v>
      </c>
      <c r="BA242" t="str">
        <f ca="1">IFERROR(__xludf.DUMMYFUNCTION("""COMPUTED_VALUE"""),"#VALUE!")</f>
        <v>#VALUE!</v>
      </c>
      <c r="BC242" t="str">
        <f ca="1">IFERROR(__xludf.DUMMYFUNCTION("""COMPUTED_VALUE"""),"#VALUE!")</f>
        <v>#VALUE!</v>
      </c>
      <c r="BE242" t="str">
        <f ca="1">IFERROR(__xludf.DUMMYFUNCTION("""COMPUTED_VALUE"""),"#VALUE!")</f>
        <v>#VALUE!</v>
      </c>
      <c r="BG242" t="str">
        <f ca="1">IFERROR(__xludf.DUMMYFUNCTION("""COMPUTED_VALUE"""),"#VALUE!")</f>
        <v>#VALUE!</v>
      </c>
      <c r="BI242" t="str">
        <f ca="1">IFERROR(__xludf.DUMMYFUNCTION("""COMPUTED_VALUE"""),"#VALUE!")</f>
        <v>#VALUE!</v>
      </c>
      <c r="BK242" t="str">
        <f ca="1">IFERROR(__xludf.DUMMYFUNCTION("""COMPUTED_VALUE"""),"#VALUE!")</f>
        <v>#VALUE!</v>
      </c>
      <c r="BM242" t="str">
        <f ca="1">IFERROR(__xludf.DUMMYFUNCTION("""COMPUTED_VALUE"""),"#VALUE!")</f>
        <v>#VALUE!</v>
      </c>
      <c r="BO242" t="str">
        <f ca="1">IFERROR(__xludf.DUMMYFUNCTION("""COMPUTED_VALUE"""),"#VALUE!")</f>
        <v>#VALUE!</v>
      </c>
      <c r="BQ242" t="str">
        <f ca="1">IFERROR(__xludf.DUMMYFUNCTION("""COMPUTED_VALUE"""),"#VALUE!")</f>
        <v>#VALUE!</v>
      </c>
      <c r="BS242" t="str">
        <f ca="1">IFERROR(__xludf.DUMMYFUNCTION("""COMPUTED_VALUE"""),"#VALUE!")</f>
        <v>#VALUE!</v>
      </c>
      <c r="BU242" t="str">
        <f ca="1">IFERROR(__xludf.DUMMYFUNCTION("""COMPUTED_VALUE"""),"#VALUE!")</f>
        <v>#VALUE!</v>
      </c>
      <c r="BW242" t="str">
        <f ca="1">IFERROR(__xludf.DUMMYFUNCTION("""COMPUTED_VALUE"""),"#VALUE!")</f>
        <v>#VALUE!</v>
      </c>
      <c r="BY242" t="str">
        <f ca="1">IFERROR(__xludf.DUMMYFUNCTION("""COMPUTED_VALUE"""),"#VALUE!")</f>
        <v>#VALUE!</v>
      </c>
      <c r="CA242" t="str">
        <f ca="1">IFERROR(__xludf.DUMMYFUNCTION("""COMPUTED_VALUE"""),"#VALUE!")</f>
        <v>#VALUE!</v>
      </c>
      <c r="CC242" t="str">
        <f ca="1">IFERROR(__xludf.DUMMYFUNCTION("""COMPUTED_VALUE"""),"#VALUE!")</f>
        <v>#VALUE!</v>
      </c>
      <c r="CD242" t="str">
        <f ca="1">IFERROR(__xludf.DUMMYFUNCTION("""COMPUTED_VALUE"""),"C3598")</f>
        <v>C3598</v>
      </c>
      <c r="CE242" t="str">
        <f ca="1">IFERROR(__xludf.DUMMYFUNCTION("""COMPUTED_VALUE"""),"location of congregation")</f>
        <v>location of congregation</v>
      </c>
      <c r="CF242" t="str">
        <f ca="1">IFERROR(__xludf.DUMMYFUNCTION("""COMPUTED_VALUE"""),"L0077#L0066")</f>
        <v>L0077#L0066</v>
      </c>
      <c r="CG242" t="str">
        <f ca="1">IFERROR(__xludf.DUMMYFUNCTION("""COMPUTED_VALUE"""),"domus Margerite Borssete #domus Bernardi de Rosseto")</f>
        <v>domus Margerite Borssete #domus Bernardi de Rosseto</v>
      </c>
      <c r="CI242" t="str">
        <f ca="1">IFERROR(__xludf.DUMMYFUNCTION("""COMPUTED_VALUE"""),"#VALUE!")</f>
        <v>#VALUE!</v>
      </c>
      <c r="CK242" t="str">
        <f ca="1">IFERROR(__xludf.DUMMYFUNCTION("""COMPUTED_VALUE"""),"#VALUE!")</f>
        <v>#VALUE!</v>
      </c>
      <c r="CS242" t="str">
        <f ca="1">IFERROR(__xludf.DUMMYFUNCTION("""COMPUTED_VALUE"""),"#VALUE!")</f>
        <v>#VALUE!</v>
      </c>
      <c r="CU242" t="str">
        <f ca="1">IFERROR(__xludf.DUMMYFUNCTION("""COMPUTED_VALUE"""),"#VALUE!")</f>
        <v>#VALUE!</v>
      </c>
      <c r="CW242" t="str">
        <f ca="1">IFERROR(__xludf.DUMMYFUNCTION("""COMPUTED_VALUE"""),"#VALUE!")</f>
        <v>#VALUE!</v>
      </c>
      <c r="CY242" t="str">
        <f ca="1">IFERROR(__xludf.DUMMYFUNCTION("""COMPUTED_VALUE"""),"#VALUE!")</f>
        <v>#VALUE!</v>
      </c>
      <c r="DC242" t="str">
        <f ca="1">IFERROR(__xludf.DUMMYFUNCTION("""COMPUTED_VALUE"""),"#VALUE!")</f>
        <v>#VALUE!</v>
      </c>
      <c r="DE242" t="str">
        <f ca="1">IFERROR(__xludf.DUMMYFUNCTION("""COMPUTED_VALUE"""),"#VALUE!")</f>
        <v>#VALUE!</v>
      </c>
      <c r="DH242" t="str">
        <f ca="1">IFERROR(__xludf.DUMMYFUNCTION("""COMPUTED_VALUE"""),"L0077#L0066")</f>
        <v>L0077#L0066</v>
      </c>
      <c r="DI242" t="str">
        <f ca="1">IFERROR(__xludf.DUMMYFUNCTION("""COMPUTED_VALUE"""),"domus Margerite Borssete #domus Bernardi de Rosseto")</f>
        <v>domus Margerite Borssete #domus Bernardi de Rosseto</v>
      </c>
      <c r="DJ242" t="str">
        <f ca="1">IFERROR(__xludf.DUMMYFUNCTION("""COMPUTED_VALUE"""),"domus #domus")</f>
        <v>domus #domus</v>
      </c>
      <c r="DL242" t="str">
        <f ca="1">IFERROR(__xludf.DUMMYFUNCTION("""COMPUTED_VALUE"""),"Davor Salihović")</f>
        <v>Davor Salihović</v>
      </c>
    </row>
    <row r="243" spans="1:116" ht="13.2" x14ac:dyDescent="0.25">
      <c r="A243" t="str">
        <f ca="1">IFERROR(__xludf.DUMMYFUNCTION("""COMPUTED_VALUE"""),"P0248")</f>
        <v>P0248</v>
      </c>
      <c r="B243" t="str">
        <f ca="1">IFERROR(__xludf.DUMMYFUNCTION("""COMPUTED_VALUE"""),"Michael de Fomia")</f>
        <v>Michael de Fomia</v>
      </c>
      <c r="D243" t="str">
        <f ca="1">IFERROR(__xludf.DUMMYFUNCTION("""COMPUTED_VALUE"""),"#VALUE!")</f>
        <v>#VALUE!</v>
      </c>
      <c r="E243" t="str">
        <f ca="1">IFERROR(__xludf.DUMMYFUNCTION("""COMPUTED_VALUE"""),"Michael")</f>
        <v>Michael</v>
      </c>
      <c r="J243" t="str">
        <f ca="1">IFERROR(__xludf.DUMMYFUNCTION("""COMPUTED_VALUE"""),"de")</f>
        <v>de</v>
      </c>
      <c r="K243" t="str">
        <f ca="1">IFERROR(__xludf.DUMMYFUNCTION("""COMPUTED_VALUE"""),"Fomia")</f>
        <v>Fomia</v>
      </c>
      <c r="L243" t="str">
        <f ca="1">IFERROR(__xludf.DUMMYFUNCTION("""COMPUTED_VALUE"""),"de Fomia")</f>
        <v>de Fomia</v>
      </c>
      <c r="P243" t="str">
        <f ca="1">IFERROR(__xludf.DUMMYFUNCTION("""COMPUTED_VALUE"""),"de Fomya")</f>
        <v>de Fomya</v>
      </c>
      <c r="S243" t="str">
        <f ca="1">IFERROR(__xludf.DUMMYFUNCTION("""COMPUTED_VALUE"""),"Latin")</f>
        <v>Latin</v>
      </c>
      <c r="T243" t="str">
        <f ca="1">IFERROR(__xludf.DUMMYFUNCTION("""COMPUTED_VALUE"""),"definite")</f>
        <v>definite</v>
      </c>
      <c r="U243" t="str">
        <f ca="1">IFERROR(__xludf.DUMMYFUNCTION("""COMPUTED_VALUE"""),"C2553")</f>
        <v>C2553</v>
      </c>
      <c r="V243" t="str">
        <f ca="1">IFERROR(__xludf.DUMMYFUNCTION("""COMPUTED_VALUE"""),"male")</f>
        <v>male</v>
      </c>
      <c r="Z243" t="str">
        <f ca="1">IFERROR(__xludf.DUMMYFUNCTION("""COMPUTED_VALUE"""),"184, 196, 197, 199, 201, 202, 204, 207, 215, 216, 218, 219, 220, 230, 231, 232, 238, 241, 247, 253")</f>
        <v>184, 196, 197, 199, 201, 202, 204, 207, 215, 216, 218, 219, 220, 230, 231, 232, 238, 241, 247, 253</v>
      </c>
      <c r="AA243" t="str">
        <f ca="1">IFERROR(__xludf.DUMMYFUNCTION("""COMPUTED_VALUE"""),"d")</f>
        <v>d</v>
      </c>
      <c r="AB243" t="str">
        <f ca="1">IFERROR(__xludf.DUMMYFUNCTION("""COMPUTED_VALUE"""),"suspect")</f>
        <v>suspect</v>
      </c>
      <c r="AD243" t="str">
        <f ca="1">IFERROR(__xludf.DUMMYFUNCTION("""COMPUTED_VALUE"""),"C3287")</f>
        <v>C3287</v>
      </c>
      <c r="AE243" t="str">
        <f ca="1">IFERROR(__xludf.DUMMYFUNCTION("""COMPUTED_VALUE"""),"alive")</f>
        <v>alive</v>
      </c>
      <c r="AF243" t="str">
        <f ca="1">IFERROR(__xludf.DUMMYFUNCTION("""COMPUTED_VALUE"""),"C1753")</f>
        <v>C1753</v>
      </c>
      <c r="AG243" t="str">
        <f ca="1">IFERROR(__xludf.DUMMYFUNCTION("""COMPUTED_VALUE"""),"1335-01-20")</f>
        <v>1335-01-20</v>
      </c>
      <c r="AH243" t="str">
        <f ca="1">IFERROR(__xludf.DUMMYFUNCTION("""COMPUTED_VALUE"""),"C2341")</f>
        <v>C2341</v>
      </c>
      <c r="AI243" t="str">
        <f ca="1">IFERROR(__xludf.DUMMYFUNCTION("""COMPUTED_VALUE"""),"mother")</f>
        <v>mother</v>
      </c>
      <c r="AJ243" t="str">
        <f ca="1">IFERROR(__xludf.DUMMYFUNCTION("""COMPUTED_VALUE"""),"P0326")</f>
        <v>P0326</v>
      </c>
      <c r="AK243" t="str">
        <f ca="1">IFERROR(__xludf.DUMMYFUNCTION("""COMPUTED_VALUE"""),"mater Aymoneti et Michaelis de Fomia")</f>
        <v>mater Aymoneti et Michaelis de Fomia</v>
      </c>
      <c r="AL243" t="str">
        <f ca="1">IFERROR(__xludf.DUMMYFUNCTION("""COMPUTED_VALUE"""),"C0147")</f>
        <v>C0147</v>
      </c>
      <c r="AM243" t="str">
        <f ca="1">IFERROR(__xludf.DUMMYFUNCTION("""COMPUTED_VALUE"""),"warrantor")</f>
        <v>warrantor</v>
      </c>
      <c r="AN243" t="str">
        <f ca="1">IFERROR(__xludf.DUMMYFUNCTION("""COMPUTED_VALUE"""),"P0334")</f>
        <v>P0334</v>
      </c>
      <c r="AO243" t="str">
        <f ca="1">IFERROR(__xludf.DUMMYFUNCTION("""COMPUTED_VALUE"""),"Villelmus Caçii")</f>
        <v>Villelmus Caçii</v>
      </c>
      <c r="AQ243" t="str">
        <f ca="1">IFERROR(__xludf.DUMMYFUNCTION("""COMPUTED_VALUE"""),"#VALUE!")</f>
        <v>#VALUE!</v>
      </c>
      <c r="AS243" t="str">
        <f ca="1">IFERROR(__xludf.DUMMYFUNCTION("""COMPUTED_VALUE"""),"#VALUE!")</f>
        <v>#VALUE!</v>
      </c>
      <c r="AU243" t="str">
        <f ca="1">IFERROR(__xludf.DUMMYFUNCTION("""COMPUTED_VALUE"""),"#VALUE!")</f>
        <v>#VALUE!</v>
      </c>
      <c r="AW243" t="str">
        <f ca="1">IFERROR(__xludf.DUMMYFUNCTION("""COMPUTED_VALUE"""),"#VALUE!")</f>
        <v>#VALUE!</v>
      </c>
      <c r="AY243" t="str">
        <f ca="1">IFERROR(__xludf.DUMMYFUNCTION("""COMPUTED_VALUE"""),"#VALUE!")</f>
        <v>#VALUE!</v>
      </c>
      <c r="BA243" t="str">
        <f ca="1">IFERROR(__xludf.DUMMYFUNCTION("""COMPUTED_VALUE"""),"#VALUE!")</f>
        <v>#VALUE!</v>
      </c>
      <c r="BC243" t="str">
        <f ca="1">IFERROR(__xludf.DUMMYFUNCTION("""COMPUTED_VALUE"""),"#VALUE!")</f>
        <v>#VALUE!</v>
      </c>
      <c r="BE243" t="str">
        <f ca="1">IFERROR(__xludf.DUMMYFUNCTION("""COMPUTED_VALUE"""),"#VALUE!")</f>
        <v>#VALUE!</v>
      </c>
      <c r="BG243" t="str">
        <f ca="1">IFERROR(__xludf.DUMMYFUNCTION("""COMPUTED_VALUE"""),"#VALUE!")</f>
        <v>#VALUE!</v>
      </c>
      <c r="BI243" t="str">
        <f ca="1">IFERROR(__xludf.DUMMYFUNCTION("""COMPUTED_VALUE"""),"#VALUE!")</f>
        <v>#VALUE!</v>
      </c>
      <c r="BK243" t="str">
        <f ca="1">IFERROR(__xludf.DUMMYFUNCTION("""COMPUTED_VALUE"""),"#VALUE!")</f>
        <v>#VALUE!</v>
      </c>
      <c r="BM243" t="str">
        <f ca="1">IFERROR(__xludf.DUMMYFUNCTION("""COMPUTED_VALUE"""),"#VALUE!")</f>
        <v>#VALUE!</v>
      </c>
      <c r="BO243" t="str">
        <f ca="1">IFERROR(__xludf.DUMMYFUNCTION("""COMPUTED_VALUE"""),"#VALUE!")</f>
        <v>#VALUE!</v>
      </c>
      <c r="BQ243" t="str">
        <f ca="1">IFERROR(__xludf.DUMMYFUNCTION("""COMPUTED_VALUE"""),"#VALUE!")</f>
        <v>#VALUE!</v>
      </c>
      <c r="BS243" t="str">
        <f ca="1">IFERROR(__xludf.DUMMYFUNCTION("""COMPUTED_VALUE"""),"#VALUE!")</f>
        <v>#VALUE!</v>
      </c>
      <c r="BU243" t="str">
        <f ca="1">IFERROR(__xludf.DUMMYFUNCTION("""COMPUTED_VALUE"""),"#VALUE!")</f>
        <v>#VALUE!</v>
      </c>
      <c r="BW243" t="str">
        <f ca="1">IFERROR(__xludf.DUMMYFUNCTION("""COMPUTED_VALUE"""),"#VALUE!")</f>
        <v>#VALUE!</v>
      </c>
      <c r="BY243" t="str">
        <f ca="1">IFERROR(__xludf.DUMMYFUNCTION("""COMPUTED_VALUE"""),"#VALUE!")</f>
        <v>#VALUE!</v>
      </c>
      <c r="CA243" t="str">
        <f ca="1">IFERROR(__xludf.DUMMYFUNCTION("""COMPUTED_VALUE"""),"#VALUE!")</f>
        <v>#VALUE!</v>
      </c>
      <c r="CC243" t="str">
        <f ca="1">IFERROR(__xludf.DUMMYFUNCTION("""COMPUTED_VALUE"""),"#VALUE!")</f>
        <v>#VALUE!</v>
      </c>
      <c r="CD243" t="str">
        <f ca="1">IFERROR(__xludf.DUMMYFUNCTION("""COMPUTED_VALUE"""),"C3598")</f>
        <v>C3598</v>
      </c>
      <c r="CE243" t="str">
        <f ca="1">IFERROR(__xludf.DUMMYFUNCTION("""COMPUTED_VALUE"""),"location of congregation")</f>
        <v>location of congregation</v>
      </c>
      <c r="CF243" t="str">
        <f ca="1">IFERROR(__xludf.DUMMYFUNCTION("""COMPUTED_VALUE"""),"L0077#L0079#L0117#L0032#L0068#L0097#L0098#L0096#L0094#L0069#L0066#L0099#L0101#L0108#L0115#L0104#L0118")</f>
        <v>L0077#L0079#L0117#L0032#L0068#L0097#L0098#L0096#L0094#L0069#L0066#L0099#L0101#L0108#L0115#L0104#L0118</v>
      </c>
      <c r="CG243" t="str">
        <f ca="1">IFERROR(__xludf.DUMMYFUNCTION("""COMPUTED_VALUE"""),"domus Margerite Borssete #domus Martinii Dominici #domus Michaelis de Fomia #domus Villelmi de Oddo #domus Vieti de Mondino #domus Iohannis Borrellati #domus Michaelis Planche #domus Iohannis de Bonaudo #domus Roberti de Aprili de Selvaggio #domus Iohanni"&amp;"s Martini #domus Bernardi de Rosseto #domus Aymoneti de Fomia #domus Villelmi de Oddo #domus Petri de Oddo #domus Agnessone de Rosseto #domus Beatricis de Oddo #domus matris Peronete et Michaelis Planche")</f>
        <v>domus Margerite Borssete #domus Martinii Dominici #domus Michaelis de Fomia #domus Villelmi de Oddo #domus Vieti de Mondino #domus Iohannis Borrellati #domus Michaelis Planche #domus Iohannis de Bonaudo #domus Roberti de Aprili de Selvaggio #domus Iohannis Martini #domus Bernardi de Rosseto #domus Aymoneti de Fomia #domus Villelmi de Oddo #domus Petri de Oddo #domus Agnessone de Rosseto #domus Beatricis de Oddo #domus matris Peronete et Michaelis Planche</v>
      </c>
      <c r="CH243" t="str">
        <f ca="1">IFERROR(__xludf.DUMMYFUNCTION("""COMPUTED_VALUE"""),"P0334")</f>
        <v>P0334</v>
      </c>
      <c r="CI243" t="str">
        <f ca="1">IFERROR(__xludf.DUMMYFUNCTION("""COMPUTED_VALUE"""),"Villelmus Caçii")</f>
        <v>Villelmus Caçii</v>
      </c>
      <c r="CK243" t="str">
        <f ca="1">IFERROR(__xludf.DUMMYFUNCTION("""COMPUTED_VALUE"""),"#VALUE!")</f>
        <v>#VALUE!</v>
      </c>
      <c r="CO243" t="str">
        <f ca="1">IFERROR(__xludf.DUMMYFUNCTION("""COMPUTED_VALUE"""),"Fomya")</f>
        <v>Fomya</v>
      </c>
      <c r="CS243" t="str">
        <f ca="1">IFERROR(__xludf.DUMMYFUNCTION("""COMPUTED_VALUE"""),"#VALUE!")</f>
        <v>#VALUE!</v>
      </c>
      <c r="CU243" t="str">
        <f ca="1">IFERROR(__xludf.DUMMYFUNCTION("""COMPUTED_VALUE"""),"#VALUE!")</f>
        <v>#VALUE!</v>
      </c>
      <c r="CW243" t="str">
        <f ca="1">IFERROR(__xludf.DUMMYFUNCTION("""COMPUTED_VALUE"""),"#VALUE!")</f>
        <v>#VALUE!</v>
      </c>
      <c r="CY243" t="str">
        <f ca="1">IFERROR(__xludf.DUMMYFUNCTION("""COMPUTED_VALUE"""),"#VALUE!")</f>
        <v>#VALUE!</v>
      </c>
      <c r="DC243" t="str">
        <f ca="1">IFERROR(__xludf.DUMMYFUNCTION("""COMPUTED_VALUE"""),"#VALUE!")</f>
        <v>#VALUE!</v>
      </c>
      <c r="DE243" t="str">
        <f ca="1">IFERROR(__xludf.DUMMYFUNCTION("""COMPUTED_VALUE"""),"#VALUE!")</f>
        <v>#VALUE!</v>
      </c>
      <c r="DF243" t="str">
        <f ca="1">IFERROR(__xludf.DUMMYFUNCTION("""COMPUTED_VALUE"""),"y")</f>
        <v>y</v>
      </c>
      <c r="DG243" t="str">
        <f ca="1">IFERROR(__xludf.DUMMYFUNCTION("""COMPUTED_VALUE"""),"197-199")</f>
        <v>197-199</v>
      </c>
      <c r="DH243" t="str">
        <f ca="1">IFERROR(__xludf.DUMMYFUNCTION("""COMPUTED_VALUE"""),"L0077#L0079#L0117#L0032#L0068#L0097#L0098#L0096#L0094#L0069#L0066#L0099#L0101#L0108#L0115#L0104#L0118")</f>
        <v>L0077#L0079#L0117#L0032#L0068#L0097#L0098#L0096#L0094#L0069#L0066#L0099#L0101#L0108#L0115#L0104#L0118</v>
      </c>
      <c r="DI243" t="str">
        <f ca="1">IFERROR(__xludf.DUMMYFUNCTION("""COMPUTED_VALUE"""),"domus Margerite Borssete #domus Martinii Dominici #domus Michaelis de Fomia #domus Villelmi de Oddo #domus Vieti de Mondino #domus Iohannis Borrellati #domus Michaelis Planche #domus Iohannis de Bonaudo #domus Roberti de Aprili de Selvaggio #domus Iohanni"&amp;"s Martini #domus Bernardi de Rosseto #domus Aymoneti de Fomia #domus Villelmi de Oddo #domus Petri de Oddo #domus Agnessone de Rosseto #domus Beatricis de Oddo #domus matris Peronete et Michaelis Planche")</f>
        <v>domus Margerite Borssete #domus Martinii Dominici #domus Michaelis de Fomia #domus Villelmi de Oddo #domus Vieti de Mondino #domus Iohannis Borrellati #domus Michaelis Planche #domus Iohannis de Bonaudo #domus Roberti de Aprili de Selvaggio #domus Iohannis Martini #domus Bernardi de Rosseto #domus Aymoneti de Fomia #domus Villelmi de Oddo #domus Petri de Oddo #domus Agnessone de Rosseto #domus Beatricis de Oddo #domus matris Peronete et Michaelis Planche</v>
      </c>
      <c r="DJ243" t="str">
        <f ca="1">IFERROR(__xludf.DUMMYFUNCTION("""COMPUTED_VALUE"""),"domus #domus #domus #domus #domus #domus #domus #domus #domus #domus #domus #domus #domus #domus #domus #domus #domus")</f>
        <v>domus #domus #domus #domus #domus #domus #domus #domus #domus #domus #domus #domus #domus #domus #domus #domus #domus</v>
      </c>
      <c r="DL243" t="str">
        <f ca="1">IFERROR(__xludf.DUMMYFUNCTION("""COMPUTED_VALUE"""),"Davor Salihović")</f>
        <v>Davor Salihović</v>
      </c>
    </row>
    <row r="244" spans="1:116" ht="13.2" x14ac:dyDescent="0.25">
      <c r="A244" t="str">
        <f ca="1">IFERROR(__xludf.DUMMYFUNCTION("""COMPUTED_VALUE"""),"P0249")</f>
        <v>P0249</v>
      </c>
      <c r="B244" t="str">
        <f ca="1">IFERROR(__xludf.DUMMYFUNCTION("""COMPUTED_VALUE"""),"Iohannes Torenchi")</f>
        <v>Iohannes Torenchi</v>
      </c>
      <c r="D244" t="str">
        <f ca="1">IFERROR(__xludf.DUMMYFUNCTION("""COMPUTED_VALUE"""),"#VALUE!")</f>
        <v>#VALUE!</v>
      </c>
      <c r="E244" t="str">
        <f ca="1">IFERROR(__xludf.DUMMYFUNCTION("""COMPUTED_VALUE"""),"Iohannes")</f>
        <v>Iohannes</v>
      </c>
      <c r="K244" t="str">
        <f ca="1">IFERROR(__xludf.DUMMYFUNCTION("""COMPUTED_VALUE"""),"Torenchi")</f>
        <v>Torenchi</v>
      </c>
      <c r="L244" t="str">
        <f ca="1">IFERROR(__xludf.DUMMYFUNCTION("""COMPUTED_VALUE"""),"Torenchi")</f>
        <v>Torenchi</v>
      </c>
      <c r="P244" t="str">
        <f ca="1">IFERROR(__xludf.DUMMYFUNCTION("""COMPUTED_VALUE"""),"Torenghi")</f>
        <v>Torenghi</v>
      </c>
      <c r="S244" t="str">
        <f ca="1">IFERROR(__xludf.DUMMYFUNCTION("""COMPUTED_VALUE"""),"Latin")</f>
        <v>Latin</v>
      </c>
      <c r="T244" t="str">
        <f ca="1">IFERROR(__xludf.DUMMYFUNCTION("""COMPUTED_VALUE"""),"definite")</f>
        <v>definite</v>
      </c>
      <c r="U244" t="str">
        <f ca="1">IFERROR(__xludf.DUMMYFUNCTION("""COMPUTED_VALUE"""),"C2553")</f>
        <v>C2553</v>
      </c>
      <c r="V244" t="str">
        <f ca="1">IFERROR(__xludf.DUMMYFUNCTION("""COMPUTED_VALUE"""),"male")</f>
        <v>male</v>
      </c>
      <c r="Z244" t="str">
        <f ca="1">IFERROR(__xludf.DUMMYFUNCTION("""COMPUTED_VALUE"""),"184, 186, 187, 213, 214, 223, 229, 237, 246, 250")</f>
        <v>184, 186, 187, 213, 214, 223, 229, 237, 246, 250</v>
      </c>
      <c r="AA244" t="str">
        <f ca="1">IFERROR(__xludf.DUMMYFUNCTION("""COMPUTED_VALUE"""),"d")</f>
        <v>d</v>
      </c>
      <c r="AB244" t="str">
        <f ca="1">IFERROR(__xludf.DUMMYFUNCTION("""COMPUTED_VALUE"""),"suspect")</f>
        <v>suspect</v>
      </c>
      <c r="AD244" t="str">
        <f ca="1">IFERROR(__xludf.DUMMYFUNCTION("""COMPUTED_VALUE"""),"C3287")</f>
        <v>C3287</v>
      </c>
      <c r="AE244" t="str">
        <f ca="1">IFERROR(__xludf.DUMMYFUNCTION("""COMPUTED_VALUE"""),"alive")</f>
        <v>alive</v>
      </c>
      <c r="AF244" t="str">
        <f ca="1">IFERROR(__xludf.DUMMYFUNCTION("""COMPUTED_VALUE"""),"C1753")</f>
        <v>C1753</v>
      </c>
      <c r="AG244" t="str">
        <f ca="1">IFERROR(__xludf.DUMMYFUNCTION("""COMPUTED_VALUE"""),"1335-01-20")</f>
        <v>1335-01-20</v>
      </c>
      <c r="AH244" t="str">
        <f ca="1">IFERROR(__xludf.DUMMYFUNCTION("""COMPUTED_VALUE"""),"C2039")</f>
        <v>C2039</v>
      </c>
      <c r="AI244" t="str">
        <f ca="1">IFERROR(__xludf.DUMMYFUNCTION("""COMPUTED_VALUE"""),"kinperson")</f>
        <v>kinperson</v>
      </c>
      <c r="AJ244" t="str">
        <f ca="1">IFERROR(__xludf.DUMMYFUNCTION("""COMPUTED_VALUE"""),"P0208")</f>
        <v>P0208</v>
      </c>
      <c r="AK244" t="str">
        <f ca="1">IFERROR(__xludf.DUMMYFUNCTION("""COMPUTED_VALUE"""),"Martinus Dominici")</f>
        <v>Martinus Dominici</v>
      </c>
      <c r="AL244" t="str">
        <f ca="1">IFERROR(__xludf.DUMMYFUNCTION("""COMPUTED_VALUE"""),"C2348")</f>
        <v>C2348</v>
      </c>
      <c r="AM244" t="str">
        <f ca="1">IFERROR(__xludf.DUMMYFUNCTION("""COMPUTED_VALUE"""),"wife")</f>
        <v>wife</v>
      </c>
      <c r="AN244" t="str">
        <f ca="1">IFERROR(__xludf.DUMMYFUNCTION("""COMPUTED_VALUE"""),"P0368")</f>
        <v>P0368</v>
      </c>
      <c r="AO244" t="str">
        <f ca="1">IFERROR(__xludf.DUMMYFUNCTION("""COMPUTED_VALUE"""),"Sandria, uxor Iohannis Torenchi")</f>
        <v>Sandria, uxor Iohannis Torenchi</v>
      </c>
      <c r="AP244" t="str">
        <f ca="1">IFERROR(__xludf.DUMMYFUNCTION("""COMPUTED_VALUE"""),"C3041")</f>
        <v>C3041</v>
      </c>
      <c r="AQ244" t="str">
        <f ca="1">IFERROR(__xludf.DUMMYFUNCTION("""COMPUTED_VALUE"""),"household")</f>
        <v>household</v>
      </c>
      <c r="AR244" t="str">
        <f ca="1">IFERROR(__xludf.DUMMYFUNCTION("""COMPUTED_VALUE"""),"G0065")</f>
        <v>G0065</v>
      </c>
      <c r="AS244" t="str">
        <f ca="1">IFERROR(__xludf.DUMMYFUNCTION("""COMPUTED_VALUE"""),"illi de domo Iohannis Torenchi")</f>
        <v>illi de domo Iohannis Torenchi</v>
      </c>
      <c r="AT244" t="str">
        <f ca="1">IFERROR(__xludf.DUMMYFUNCTION("""COMPUTED_VALUE"""),"C0147")</f>
        <v>C0147</v>
      </c>
      <c r="AU244" t="str">
        <f ca="1">IFERROR(__xludf.DUMMYFUNCTION("""COMPUTED_VALUE"""),"warrantor")</f>
        <v>warrantor</v>
      </c>
      <c r="AV244" t="str">
        <f ca="1">IFERROR(__xludf.DUMMYFUNCTION("""COMPUTED_VALUE"""),"P0264")</f>
        <v>P0264</v>
      </c>
      <c r="AW244" t="str">
        <f ca="1">IFERROR(__xludf.DUMMYFUNCTION("""COMPUTED_VALUE"""),"Hugo, filius Baude de Bruna")</f>
        <v>Hugo, filius Baude de Bruna</v>
      </c>
      <c r="AX244" t="str">
        <f ca="1">IFERROR(__xludf.DUMMYFUNCTION("""COMPUTED_VALUE"""),"C0147")</f>
        <v>C0147</v>
      </c>
      <c r="AY244" t="str">
        <f ca="1">IFERROR(__xludf.DUMMYFUNCTION("""COMPUTED_VALUE"""),"warrantor")</f>
        <v>warrantor</v>
      </c>
      <c r="AZ244" t="str">
        <f ca="1">IFERROR(__xludf.DUMMYFUNCTION("""COMPUTED_VALUE"""),"P0369")</f>
        <v>P0369</v>
      </c>
      <c r="BA244" t="str">
        <f ca="1">IFERROR(__xludf.DUMMYFUNCTION("""COMPUTED_VALUE"""),"Iacometus Capitani")</f>
        <v>Iacometus Capitani</v>
      </c>
      <c r="BC244" t="str">
        <f ca="1">IFERROR(__xludf.DUMMYFUNCTION("""COMPUTED_VALUE"""),"#VALUE!")</f>
        <v>#VALUE!</v>
      </c>
      <c r="BE244" t="str">
        <f ca="1">IFERROR(__xludf.DUMMYFUNCTION("""COMPUTED_VALUE"""),"#VALUE!")</f>
        <v>#VALUE!</v>
      </c>
      <c r="BG244" t="str">
        <f ca="1">IFERROR(__xludf.DUMMYFUNCTION("""COMPUTED_VALUE"""),"#VALUE!")</f>
        <v>#VALUE!</v>
      </c>
      <c r="BI244" t="str">
        <f ca="1">IFERROR(__xludf.DUMMYFUNCTION("""COMPUTED_VALUE"""),"#VALUE!")</f>
        <v>#VALUE!</v>
      </c>
      <c r="BK244" t="str">
        <f ca="1">IFERROR(__xludf.DUMMYFUNCTION("""COMPUTED_VALUE"""),"#VALUE!")</f>
        <v>#VALUE!</v>
      </c>
      <c r="BM244" t="str">
        <f ca="1">IFERROR(__xludf.DUMMYFUNCTION("""COMPUTED_VALUE"""),"#VALUE!")</f>
        <v>#VALUE!</v>
      </c>
      <c r="BO244" t="str">
        <f ca="1">IFERROR(__xludf.DUMMYFUNCTION("""COMPUTED_VALUE"""),"#VALUE!")</f>
        <v>#VALUE!</v>
      </c>
      <c r="BQ244" t="str">
        <f ca="1">IFERROR(__xludf.DUMMYFUNCTION("""COMPUTED_VALUE"""),"#VALUE!")</f>
        <v>#VALUE!</v>
      </c>
      <c r="BS244" t="str">
        <f ca="1">IFERROR(__xludf.DUMMYFUNCTION("""COMPUTED_VALUE"""),"#VALUE!")</f>
        <v>#VALUE!</v>
      </c>
      <c r="BU244" t="str">
        <f ca="1">IFERROR(__xludf.DUMMYFUNCTION("""COMPUTED_VALUE"""),"#VALUE!")</f>
        <v>#VALUE!</v>
      </c>
      <c r="BW244" t="str">
        <f ca="1">IFERROR(__xludf.DUMMYFUNCTION("""COMPUTED_VALUE"""),"#VALUE!")</f>
        <v>#VALUE!</v>
      </c>
      <c r="BY244" t="str">
        <f ca="1">IFERROR(__xludf.DUMMYFUNCTION("""COMPUTED_VALUE"""),"#VALUE!")</f>
        <v>#VALUE!</v>
      </c>
      <c r="CA244" t="str">
        <f ca="1">IFERROR(__xludf.DUMMYFUNCTION("""COMPUTED_VALUE"""),"#VALUE!")</f>
        <v>#VALUE!</v>
      </c>
      <c r="CC244" t="str">
        <f ca="1">IFERROR(__xludf.DUMMYFUNCTION("""COMPUTED_VALUE"""),"#VALUE!")</f>
        <v>#VALUE!</v>
      </c>
      <c r="CD244" t="str">
        <f ca="1">IFERROR(__xludf.DUMMYFUNCTION("""COMPUTED_VALUE"""),"C3598")</f>
        <v>C3598</v>
      </c>
      <c r="CE244" t="str">
        <f ca="1">IFERROR(__xludf.DUMMYFUNCTION("""COMPUTED_VALUE"""),"location of congregation")</f>
        <v>location of congregation</v>
      </c>
      <c r="CF244" t="str">
        <f ca="1">IFERROR(__xludf.DUMMYFUNCTION("""COMPUTED_VALUE"""),"L0076")</f>
        <v>L0076</v>
      </c>
      <c r="CG244" t="str">
        <f ca="1">IFERROR(__xludf.DUMMYFUNCTION("""COMPUTED_VALUE"""),"domus Iohannis Torenchi")</f>
        <v>domus Iohannis Torenchi</v>
      </c>
      <c r="CH244" t="str">
        <f ca="1">IFERROR(__xludf.DUMMYFUNCTION("""COMPUTED_VALUE"""),"P0264#P0369")</f>
        <v>P0264#P0369</v>
      </c>
      <c r="CI244" t="str">
        <f ca="1">IFERROR(__xludf.DUMMYFUNCTION("""COMPUTED_VALUE"""),"Hugo, filius Baude de Bruna #Iacometus Capitani")</f>
        <v>Hugo, filius Baude de Bruna #Iacometus Capitani</v>
      </c>
      <c r="CJ244" t="str">
        <f ca="1">IFERROR(__xludf.DUMMYFUNCTION("""COMPUTED_VALUE"""),"P0208")</f>
        <v>P0208</v>
      </c>
      <c r="CK244" t="str">
        <f ca="1">IFERROR(__xludf.DUMMYFUNCTION("""COMPUTED_VALUE"""),"Martinus Dominici")</f>
        <v>Martinus Dominici</v>
      </c>
      <c r="CO244" t="str">
        <f ca="1">IFERROR(__xludf.DUMMYFUNCTION("""COMPUTED_VALUE"""),"Torenghi")</f>
        <v>Torenghi</v>
      </c>
      <c r="CS244" t="str">
        <f ca="1">IFERROR(__xludf.DUMMYFUNCTION("""COMPUTED_VALUE"""),"#VALUE!")</f>
        <v>#VALUE!</v>
      </c>
      <c r="CU244" t="str">
        <f ca="1">IFERROR(__xludf.DUMMYFUNCTION("""COMPUTED_VALUE"""),"#VALUE!")</f>
        <v>#VALUE!</v>
      </c>
      <c r="CW244" t="str">
        <f ca="1">IFERROR(__xludf.DUMMYFUNCTION("""COMPUTED_VALUE"""),"#VALUE!")</f>
        <v>#VALUE!</v>
      </c>
      <c r="CY244" t="str">
        <f ca="1">IFERROR(__xludf.DUMMYFUNCTION("""COMPUTED_VALUE"""),"#VALUE!")</f>
        <v>#VALUE!</v>
      </c>
      <c r="DC244" t="str">
        <f ca="1">IFERROR(__xludf.DUMMYFUNCTION("""COMPUTED_VALUE"""),"#VALUE!")</f>
        <v>#VALUE!</v>
      </c>
      <c r="DE244" t="str">
        <f ca="1">IFERROR(__xludf.DUMMYFUNCTION("""COMPUTED_VALUE"""),"#VALUE!")</f>
        <v>#VALUE!</v>
      </c>
      <c r="DF244" t="str">
        <f ca="1">IFERROR(__xludf.DUMMYFUNCTION("""COMPUTED_VALUE"""),"y")</f>
        <v>y</v>
      </c>
      <c r="DG244" t="str">
        <f ca="1">IFERROR(__xludf.DUMMYFUNCTION("""COMPUTED_VALUE"""),"187, 213-214")</f>
        <v>187, 213-214</v>
      </c>
      <c r="DH244" t="str">
        <f ca="1">IFERROR(__xludf.DUMMYFUNCTION("""COMPUTED_VALUE"""),"L0076")</f>
        <v>L0076</v>
      </c>
      <c r="DI244" t="str">
        <f ca="1">IFERROR(__xludf.DUMMYFUNCTION("""COMPUTED_VALUE"""),"domus Iohannis Torenchi")</f>
        <v>domus Iohannis Torenchi</v>
      </c>
      <c r="DJ244" t="str">
        <f ca="1">IFERROR(__xludf.DUMMYFUNCTION("""COMPUTED_VALUE"""),"domus")</f>
        <v>domus</v>
      </c>
      <c r="DL244" t="str">
        <f ca="1">IFERROR(__xludf.DUMMYFUNCTION("""COMPUTED_VALUE"""),"Davor Salihović")</f>
        <v>Davor Salihović</v>
      </c>
    </row>
    <row r="245" spans="1:116" ht="13.2" x14ac:dyDescent="0.25">
      <c r="A245" t="str">
        <f ca="1">IFERROR(__xludf.DUMMYFUNCTION("""COMPUTED_VALUE"""),"P0250")</f>
        <v>P0250</v>
      </c>
      <c r="B245" t="str">
        <f ca="1">IFERROR(__xludf.DUMMYFUNCTION("""COMPUTED_VALUE"""),"antiquus de Valle Iudea")</f>
        <v>antiquus de Valle Iudea</v>
      </c>
      <c r="D245" t="str">
        <f ca="1">IFERROR(__xludf.DUMMYFUNCTION("""COMPUTED_VALUE"""),"#VALUE!")</f>
        <v>#VALUE!</v>
      </c>
      <c r="E245" t="str">
        <f ca="1">IFERROR(__xludf.DUMMYFUNCTION("""COMPUTED_VALUE"""),"quidam antiquus de Valle Iudea")</f>
        <v>quidam antiquus de Valle Iudea</v>
      </c>
      <c r="Q245" t="str">
        <f ca="1">IFERROR(__xludf.DUMMYFUNCTION("""COMPUTED_VALUE"""),"antiquus de Valle Iudea")</f>
        <v>antiquus de Valle Iudea</v>
      </c>
      <c r="S245" t="str">
        <f ca="1">IFERROR(__xludf.DUMMYFUNCTION("""COMPUTED_VALUE"""),"Latin")</f>
        <v>Latin</v>
      </c>
      <c r="T245" t="str">
        <f ca="1">IFERROR(__xludf.DUMMYFUNCTION("""COMPUTED_VALUE"""),"indefinite")</f>
        <v>indefinite</v>
      </c>
      <c r="U245" t="str">
        <f ca="1">IFERROR(__xludf.DUMMYFUNCTION("""COMPUTED_VALUE"""),"C2553")</f>
        <v>C2553</v>
      </c>
      <c r="V245" t="str">
        <f ca="1">IFERROR(__xludf.DUMMYFUNCTION("""COMPUTED_VALUE"""),"male")</f>
        <v>male</v>
      </c>
      <c r="Z245" t="str">
        <f ca="1">IFERROR(__xludf.DUMMYFUNCTION("""COMPUTED_VALUE"""),"184")</f>
        <v>184</v>
      </c>
      <c r="AA245" t="str">
        <f ca="1">IFERROR(__xludf.DUMMYFUNCTION("""COMPUTED_VALUE"""),"d")</f>
        <v>d</v>
      </c>
      <c r="AB245" t="str">
        <f ca="1">IFERROR(__xludf.DUMMYFUNCTION("""COMPUTED_VALUE"""),"suspect")</f>
        <v>suspect</v>
      </c>
      <c r="AE245" t="str">
        <f ca="1">IFERROR(__xludf.DUMMYFUNCTION("""COMPUTED_VALUE"""),"#VALUE!")</f>
        <v>#VALUE!</v>
      </c>
      <c r="AF245" t="str">
        <f ca="1">IFERROR(__xludf.DUMMYFUNCTION("""COMPUTED_VALUE"""),"#N/A")</f>
        <v>#N/A</v>
      </c>
      <c r="AG245" t="str">
        <f ca="1">IFERROR(__xludf.DUMMYFUNCTION("""COMPUTED_VALUE"""),"#N/A")</f>
        <v>#N/A</v>
      </c>
      <c r="AH245" t="str">
        <f ca="1">IFERROR(__xludf.DUMMYFUNCTION("""COMPUTED_VALUE"""),"C2037")</f>
        <v>C2037</v>
      </c>
      <c r="AI245" t="str">
        <f ca="1">IFERROR(__xludf.DUMMYFUNCTION("""COMPUTED_VALUE"""),"cognate")</f>
        <v>cognate</v>
      </c>
      <c r="AJ245" t="str">
        <f ca="1">IFERROR(__xludf.DUMMYFUNCTION("""COMPUTED_VALUE"""),"G0022")</f>
        <v>G0022</v>
      </c>
      <c r="AK245" t="str">
        <f ca="1">IFERROR(__xludf.DUMMYFUNCTION("""COMPUTED_VALUE"""),"illi de Boyssono")</f>
        <v>illi de Boyssono</v>
      </c>
      <c r="AM245" t="str">
        <f ca="1">IFERROR(__xludf.DUMMYFUNCTION("""COMPUTED_VALUE"""),"#VALUE!")</f>
        <v>#VALUE!</v>
      </c>
      <c r="AO245" t="str">
        <f ca="1">IFERROR(__xludf.DUMMYFUNCTION("""COMPUTED_VALUE"""),"#VALUE!")</f>
        <v>#VALUE!</v>
      </c>
      <c r="AQ245" t="str">
        <f ca="1">IFERROR(__xludf.DUMMYFUNCTION("""COMPUTED_VALUE"""),"#VALUE!")</f>
        <v>#VALUE!</v>
      </c>
      <c r="AS245" t="str">
        <f ca="1">IFERROR(__xludf.DUMMYFUNCTION("""COMPUTED_VALUE"""),"#VALUE!")</f>
        <v>#VALUE!</v>
      </c>
      <c r="AU245" t="str">
        <f ca="1">IFERROR(__xludf.DUMMYFUNCTION("""COMPUTED_VALUE"""),"#VALUE!")</f>
        <v>#VALUE!</v>
      </c>
      <c r="AW245" t="str">
        <f ca="1">IFERROR(__xludf.DUMMYFUNCTION("""COMPUTED_VALUE"""),"#VALUE!")</f>
        <v>#VALUE!</v>
      </c>
      <c r="AY245" t="str">
        <f ca="1">IFERROR(__xludf.DUMMYFUNCTION("""COMPUTED_VALUE"""),"#VALUE!")</f>
        <v>#VALUE!</v>
      </c>
      <c r="BA245" t="str">
        <f ca="1">IFERROR(__xludf.DUMMYFUNCTION("""COMPUTED_VALUE"""),"#VALUE!")</f>
        <v>#VALUE!</v>
      </c>
      <c r="BC245" t="str">
        <f ca="1">IFERROR(__xludf.DUMMYFUNCTION("""COMPUTED_VALUE"""),"#VALUE!")</f>
        <v>#VALUE!</v>
      </c>
      <c r="BE245" t="str">
        <f ca="1">IFERROR(__xludf.DUMMYFUNCTION("""COMPUTED_VALUE"""),"#VALUE!")</f>
        <v>#VALUE!</v>
      </c>
      <c r="BG245" t="str">
        <f ca="1">IFERROR(__xludf.DUMMYFUNCTION("""COMPUTED_VALUE"""),"#VALUE!")</f>
        <v>#VALUE!</v>
      </c>
      <c r="BI245" t="str">
        <f ca="1">IFERROR(__xludf.DUMMYFUNCTION("""COMPUTED_VALUE"""),"#VALUE!")</f>
        <v>#VALUE!</v>
      </c>
      <c r="BK245" t="str">
        <f ca="1">IFERROR(__xludf.DUMMYFUNCTION("""COMPUTED_VALUE"""),"#VALUE!")</f>
        <v>#VALUE!</v>
      </c>
      <c r="BM245" t="str">
        <f ca="1">IFERROR(__xludf.DUMMYFUNCTION("""COMPUTED_VALUE"""),"#VALUE!")</f>
        <v>#VALUE!</v>
      </c>
      <c r="BO245" t="str">
        <f ca="1">IFERROR(__xludf.DUMMYFUNCTION("""COMPUTED_VALUE"""),"#VALUE!")</f>
        <v>#VALUE!</v>
      </c>
      <c r="BQ245" t="str">
        <f ca="1">IFERROR(__xludf.DUMMYFUNCTION("""COMPUTED_VALUE"""),"#VALUE!")</f>
        <v>#VALUE!</v>
      </c>
      <c r="BS245" t="str">
        <f ca="1">IFERROR(__xludf.DUMMYFUNCTION("""COMPUTED_VALUE"""),"#VALUE!")</f>
        <v>#VALUE!</v>
      </c>
      <c r="BU245" t="str">
        <f ca="1">IFERROR(__xludf.DUMMYFUNCTION("""COMPUTED_VALUE"""),"#VALUE!")</f>
        <v>#VALUE!</v>
      </c>
      <c r="BW245" t="str">
        <f ca="1">IFERROR(__xludf.DUMMYFUNCTION("""COMPUTED_VALUE"""),"#VALUE!")</f>
        <v>#VALUE!</v>
      </c>
      <c r="BY245" t="str">
        <f ca="1">IFERROR(__xludf.DUMMYFUNCTION("""COMPUTED_VALUE"""),"#VALUE!")</f>
        <v>#VALUE!</v>
      </c>
      <c r="CA245" t="str">
        <f ca="1">IFERROR(__xludf.DUMMYFUNCTION("""COMPUTED_VALUE"""),"#VALUE!")</f>
        <v>#VALUE!</v>
      </c>
      <c r="CC245" t="str">
        <f ca="1">IFERROR(__xludf.DUMMYFUNCTION("""COMPUTED_VALUE"""),"#VALUE!")</f>
        <v>#VALUE!</v>
      </c>
      <c r="CD245" t="str">
        <f ca="1">IFERROR(__xludf.DUMMYFUNCTION("""COMPUTED_VALUE"""),"C3598")</f>
        <v>C3598</v>
      </c>
      <c r="CE245" t="str">
        <f ca="1">IFERROR(__xludf.DUMMYFUNCTION("""COMPUTED_VALUE"""),"location of congregation")</f>
        <v>location of congregation</v>
      </c>
      <c r="CF245" t="str">
        <f ca="1">IFERROR(__xludf.DUMMYFUNCTION("""COMPUTED_VALUE"""),"L0076")</f>
        <v>L0076</v>
      </c>
      <c r="CG245" t="str">
        <f ca="1">IFERROR(__xludf.DUMMYFUNCTION("""COMPUTED_VALUE"""),"domus Iohannis Torenchi")</f>
        <v>domus Iohannis Torenchi</v>
      </c>
      <c r="CI245" t="str">
        <f ca="1">IFERROR(__xludf.DUMMYFUNCTION("""COMPUTED_VALUE"""),"#VALUE!")</f>
        <v>#VALUE!</v>
      </c>
      <c r="CK245" t="str">
        <f ca="1">IFERROR(__xludf.DUMMYFUNCTION("""COMPUTED_VALUE"""),"#VALUE!")</f>
        <v>#VALUE!</v>
      </c>
      <c r="CR245" t="str">
        <f ca="1">IFERROR(__xludf.DUMMYFUNCTION("""COMPUTED_VALUE"""),"L0005")</f>
        <v>L0005</v>
      </c>
      <c r="CS245" t="str">
        <f ca="1">IFERROR(__xludf.DUMMYFUNCTION("""COMPUTED_VALUE"""),"Valgioie")</f>
        <v>Valgioie</v>
      </c>
      <c r="CU245" t="str">
        <f ca="1">IFERROR(__xludf.DUMMYFUNCTION("""COMPUTED_VALUE"""),"#VALUE!")</f>
        <v>#VALUE!</v>
      </c>
      <c r="CW245" t="str">
        <f ca="1">IFERROR(__xludf.DUMMYFUNCTION("""COMPUTED_VALUE"""),"#VALUE!")</f>
        <v>#VALUE!</v>
      </c>
      <c r="CY245" t="str">
        <f ca="1">IFERROR(__xludf.DUMMYFUNCTION("""COMPUTED_VALUE"""),"#VALUE!")</f>
        <v>#VALUE!</v>
      </c>
      <c r="DC245" t="str">
        <f ca="1">IFERROR(__xludf.DUMMYFUNCTION("""COMPUTED_VALUE"""),"#VALUE!")</f>
        <v>#VALUE!</v>
      </c>
      <c r="DE245" t="str">
        <f ca="1">IFERROR(__xludf.DUMMYFUNCTION("""COMPUTED_VALUE"""),"#VALUE!")</f>
        <v>#VALUE!</v>
      </c>
      <c r="DH245" t="str">
        <f ca="1">IFERROR(__xludf.DUMMYFUNCTION("""COMPUTED_VALUE"""),"L0076")</f>
        <v>L0076</v>
      </c>
      <c r="DI245" t="str">
        <f ca="1">IFERROR(__xludf.DUMMYFUNCTION("""COMPUTED_VALUE"""),"domus Iohannis Torenchi")</f>
        <v>domus Iohannis Torenchi</v>
      </c>
      <c r="DJ245" t="str">
        <f ca="1">IFERROR(__xludf.DUMMYFUNCTION("""COMPUTED_VALUE"""),"domus")</f>
        <v>domus</v>
      </c>
      <c r="DL245" t="str">
        <f ca="1">IFERROR(__xludf.DUMMYFUNCTION("""COMPUTED_VALUE"""),"Davor Salihović")</f>
        <v>Davor Salihović</v>
      </c>
    </row>
    <row r="246" spans="1:116" ht="13.2" x14ac:dyDescent="0.25">
      <c r="A246" t="str">
        <f ca="1">IFERROR(__xludf.DUMMYFUNCTION("""COMPUTED_VALUE"""),"P0251")</f>
        <v>P0251</v>
      </c>
      <c r="B246" t="str">
        <f ca="1">IFERROR(__xludf.DUMMYFUNCTION("""COMPUTED_VALUE"""),"quidam iuvenis")</f>
        <v>quidam iuvenis</v>
      </c>
      <c r="D246" t="str">
        <f ca="1">IFERROR(__xludf.DUMMYFUNCTION("""COMPUTED_VALUE"""),"#VALUE!")</f>
        <v>#VALUE!</v>
      </c>
      <c r="E246" t="str">
        <f ca="1">IFERROR(__xludf.DUMMYFUNCTION("""COMPUTED_VALUE"""),"quidam iuvenis")</f>
        <v>quidam iuvenis</v>
      </c>
      <c r="S246" t="str">
        <f ca="1">IFERROR(__xludf.DUMMYFUNCTION("""COMPUTED_VALUE"""),"Latin")</f>
        <v>Latin</v>
      </c>
      <c r="T246" t="str">
        <f ca="1">IFERROR(__xludf.DUMMYFUNCTION("""COMPUTED_VALUE"""),"indefinite")</f>
        <v>indefinite</v>
      </c>
      <c r="U246" t="str">
        <f ca="1">IFERROR(__xludf.DUMMYFUNCTION("""COMPUTED_VALUE"""),"C2553")</f>
        <v>C2553</v>
      </c>
      <c r="V246" t="str">
        <f ca="1">IFERROR(__xludf.DUMMYFUNCTION("""COMPUTED_VALUE"""),"male")</f>
        <v>male</v>
      </c>
      <c r="Z246" t="str">
        <f ca="1">IFERROR(__xludf.DUMMYFUNCTION("""COMPUTED_VALUE"""),"184")</f>
        <v>184</v>
      </c>
      <c r="AA246" t="str">
        <f ca="1">IFERROR(__xludf.DUMMYFUNCTION("""COMPUTED_VALUE"""),"d")</f>
        <v>d</v>
      </c>
      <c r="AB246" t="str">
        <f ca="1">IFERROR(__xludf.DUMMYFUNCTION("""COMPUTED_VALUE"""),"suspect")</f>
        <v>suspect</v>
      </c>
      <c r="AE246" t="str">
        <f ca="1">IFERROR(__xludf.DUMMYFUNCTION("""COMPUTED_VALUE"""),"#VALUE!")</f>
        <v>#VALUE!</v>
      </c>
      <c r="AF246" t="str">
        <f ca="1">IFERROR(__xludf.DUMMYFUNCTION("""COMPUTED_VALUE"""),"#N/A")</f>
        <v>#N/A</v>
      </c>
      <c r="AG246" t="str">
        <f ca="1">IFERROR(__xludf.DUMMYFUNCTION("""COMPUTED_VALUE"""),"#N/A")</f>
        <v>#N/A</v>
      </c>
      <c r="AH246" t="str">
        <f ca="1">IFERROR(__xludf.DUMMYFUNCTION("""COMPUTED_VALUE"""),"C1538")</f>
        <v>C1538</v>
      </c>
      <c r="AI246" t="str">
        <f ca="1">IFERROR(__xludf.DUMMYFUNCTION("""COMPUTED_VALUE"""),"housemate")</f>
        <v>housemate</v>
      </c>
      <c r="AJ246" t="str">
        <f ca="1">IFERROR(__xludf.DUMMYFUNCTION("""COMPUTED_VALUE"""),"P0252")</f>
        <v>P0252</v>
      </c>
      <c r="AK246" t="str">
        <f ca="1">IFERROR(__xludf.DUMMYFUNCTION("""COMPUTED_VALUE"""),"Villelmus Trut")</f>
        <v>Villelmus Trut</v>
      </c>
      <c r="AL246" t="str">
        <f ca="1">IFERROR(__xludf.DUMMYFUNCTION("""COMPUTED_VALUE"""),"C2037")</f>
        <v>C2037</v>
      </c>
      <c r="AM246" t="str">
        <f ca="1">IFERROR(__xludf.DUMMYFUNCTION("""COMPUTED_VALUE"""),"cognate")</f>
        <v>cognate</v>
      </c>
      <c r="AN246" t="str">
        <f ca="1">IFERROR(__xludf.DUMMYFUNCTION("""COMPUTED_VALUE"""),"G0022")</f>
        <v>G0022</v>
      </c>
      <c r="AO246" t="str">
        <f ca="1">IFERROR(__xludf.DUMMYFUNCTION("""COMPUTED_VALUE"""),"illi de Boyssono")</f>
        <v>illi de Boyssono</v>
      </c>
      <c r="AQ246" t="str">
        <f ca="1">IFERROR(__xludf.DUMMYFUNCTION("""COMPUTED_VALUE"""),"#VALUE!")</f>
        <v>#VALUE!</v>
      </c>
      <c r="AS246" t="str">
        <f ca="1">IFERROR(__xludf.DUMMYFUNCTION("""COMPUTED_VALUE"""),"#VALUE!")</f>
        <v>#VALUE!</v>
      </c>
      <c r="AU246" t="str">
        <f ca="1">IFERROR(__xludf.DUMMYFUNCTION("""COMPUTED_VALUE"""),"#VALUE!")</f>
        <v>#VALUE!</v>
      </c>
      <c r="AW246" t="str">
        <f ca="1">IFERROR(__xludf.DUMMYFUNCTION("""COMPUTED_VALUE"""),"#VALUE!")</f>
        <v>#VALUE!</v>
      </c>
      <c r="AY246" t="str">
        <f ca="1">IFERROR(__xludf.DUMMYFUNCTION("""COMPUTED_VALUE"""),"#VALUE!")</f>
        <v>#VALUE!</v>
      </c>
      <c r="BA246" t="str">
        <f ca="1">IFERROR(__xludf.DUMMYFUNCTION("""COMPUTED_VALUE"""),"#VALUE!")</f>
        <v>#VALUE!</v>
      </c>
      <c r="BC246" t="str">
        <f ca="1">IFERROR(__xludf.DUMMYFUNCTION("""COMPUTED_VALUE"""),"#VALUE!")</f>
        <v>#VALUE!</v>
      </c>
      <c r="BE246" t="str">
        <f ca="1">IFERROR(__xludf.DUMMYFUNCTION("""COMPUTED_VALUE"""),"#VALUE!")</f>
        <v>#VALUE!</v>
      </c>
      <c r="BG246" t="str">
        <f ca="1">IFERROR(__xludf.DUMMYFUNCTION("""COMPUTED_VALUE"""),"#VALUE!")</f>
        <v>#VALUE!</v>
      </c>
      <c r="BI246" t="str">
        <f ca="1">IFERROR(__xludf.DUMMYFUNCTION("""COMPUTED_VALUE"""),"#VALUE!")</f>
        <v>#VALUE!</v>
      </c>
      <c r="BK246" t="str">
        <f ca="1">IFERROR(__xludf.DUMMYFUNCTION("""COMPUTED_VALUE"""),"#VALUE!")</f>
        <v>#VALUE!</v>
      </c>
      <c r="BM246" t="str">
        <f ca="1">IFERROR(__xludf.DUMMYFUNCTION("""COMPUTED_VALUE"""),"#VALUE!")</f>
        <v>#VALUE!</v>
      </c>
      <c r="BO246" t="str">
        <f ca="1">IFERROR(__xludf.DUMMYFUNCTION("""COMPUTED_VALUE"""),"#VALUE!")</f>
        <v>#VALUE!</v>
      </c>
      <c r="BQ246" t="str">
        <f ca="1">IFERROR(__xludf.DUMMYFUNCTION("""COMPUTED_VALUE"""),"#VALUE!")</f>
        <v>#VALUE!</v>
      </c>
      <c r="BS246" t="str">
        <f ca="1">IFERROR(__xludf.DUMMYFUNCTION("""COMPUTED_VALUE"""),"#VALUE!")</f>
        <v>#VALUE!</v>
      </c>
      <c r="BU246" t="str">
        <f ca="1">IFERROR(__xludf.DUMMYFUNCTION("""COMPUTED_VALUE"""),"#VALUE!")</f>
        <v>#VALUE!</v>
      </c>
      <c r="BW246" t="str">
        <f ca="1">IFERROR(__xludf.DUMMYFUNCTION("""COMPUTED_VALUE"""),"#VALUE!")</f>
        <v>#VALUE!</v>
      </c>
      <c r="BY246" t="str">
        <f ca="1">IFERROR(__xludf.DUMMYFUNCTION("""COMPUTED_VALUE"""),"#VALUE!")</f>
        <v>#VALUE!</v>
      </c>
      <c r="CA246" t="str">
        <f ca="1">IFERROR(__xludf.DUMMYFUNCTION("""COMPUTED_VALUE"""),"#VALUE!")</f>
        <v>#VALUE!</v>
      </c>
      <c r="CC246" t="str">
        <f ca="1">IFERROR(__xludf.DUMMYFUNCTION("""COMPUTED_VALUE"""),"#VALUE!")</f>
        <v>#VALUE!</v>
      </c>
      <c r="CD246" t="str">
        <f ca="1">IFERROR(__xludf.DUMMYFUNCTION("""COMPUTED_VALUE"""),"C3598")</f>
        <v>C3598</v>
      </c>
      <c r="CE246" t="str">
        <f ca="1">IFERROR(__xludf.DUMMYFUNCTION("""COMPUTED_VALUE"""),"location of congregation")</f>
        <v>location of congregation</v>
      </c>
      <c r="CF246" t="str">
        <f ca="1">IFERROR(__xludf.DUMMYFUNCTION("""COMPUTED_VALUE"""),"L0076")</f>
        <v>L0076</v>
      </c>
      <c r="CG246" t="str">
        <f ca="1">IFERROR(__xludf.DUMMYFUNCTION("""COMPUTED_VALUE"""),"domus Iohannis Torenchi")</f>
        <v>domus Iohannis Torenchi</v>
      </c>
      <c r="CI246" t="str">
        <f ca="1">IFERROR(__xludf.DUMMYFUNCTION("""COMPUTED_VALUE"""),"#VALUE!")</f>
        <v>#VALUE!</v>
      </c>
      <c r="CK246" t="str">
        <f ca="1">IFERROR(__xludf.DUMMYFUNCTION("""COMPUTED_VALUE"""),"#VALUE!")</f>
        <v>#VALUE!</v>
      </c>
      <c r="CS246" t="str">
        <f ca="1">IFERROR(__xludf.DUMMYFUNCTION("""COMPUTED_VALUE"""),"#VALUE!")</f>
        <v>#VALUE!</v>
      </c>
      <c r="CU246" t="str">
        <f ca="1">IFERROR(__xludf.DUMMYFUNCTION("""COMPUTED_VALUE"""),"#VALUE!")</f>
        <v>#VALUE!</v>
      </c>
      <c r="CW246" t="str">
        <f ca="1">IFERROR(__xludf.DUMMYFUNCTION("""COMPUTED_VALUE"""),"#VALUE!")</f>
        <v>#VALUE!</v>
      </c>
      <c r="CY246" t="str">
        <f ca="1">IFERROR(__xludf.DUMMYFUNCTION("""COMPUTED_VALUE"""),"#VALUE!")</f>
        <v>#VALUE!</v>
      </c>
      <c r="DC246" t="str">
        <f ca="1">IFERROR(__xludf.DUMMYFUNCTION("""COMPUTED_VALUE"""),"#VALUE!")</f>
        <v>#VALUE!</v>
      </c>
      <c r="DE246" t="str">
        <f ca="1">IFERROR(__xludf.DUMMYFUNCTION("""COMPUTED_VALUE"""),"#VALUE!")</f>
        <v>#VALUE!</v>
      </c>
      <c r="DH246" t="str">
        <f ca="1">IFERROR(__xludf.DUMMYFUNCTION("""COMPUTED_VALUE"""),"L0076")</f>
        <v>L0076</v>
      </c>
      <c r="DI246" t="str">
        <f ca="1">IFERROR(__xludf.DUMMYFUNCTION("""COMPUTED_VALUE"""),"domus Iohannis Torenchi")</f>
        <v>domus Iohannis Torenchi</v>
      </c>
      <c r="DJ246" t="str">
        <f ca="1">IFERROR(__xludf.DUMMYFUNCTION("""COMPUTED_VALUE"""),"domus")</f>
        <v>domus</v>
      </c>
      <c r="DL246" t="str">
        <f ca="1">IFERROR(__xludf.DUMMYFUNCTION("""COMPUTED_VALUE"""),"Davor Salihović")</f>
        <v>Davor Salihović</v>
      </c>
    </row>
    <row r="247" spans="1:116" ht="13.2" x14ac:dyDescent="0.25">
      <c r="A247" t="str">
        <f ca="1">IFERROR(__xludf.DUMMYFUNCTION("""COMPUTED_VALUE"""),"P0252")</f>
        <v>P0252</v>
      </c>
      <c r="B247" t="str">
        <f ca="1">IFERROR(__xludf.DUMMYFUNCTION("""COMPUTED_VALUE"""),"Villelmus Trut")</f>
        <v>Villelmus Trut</v>
      </c>
      <c r="D247" t="str">
        <f ca="1">IFERROR(__xludf.DUMMYFUNCTION("""COMPUTED_VALUE"""),"#VALUE!")</f>
        <v>#VALUE!</v>
      </c>
      <c r="E247" t="str">
        <f ca="1">IFERROR(__xludf.DUMMYFUNCTION("""COMPUTED_VALUE"""),"Villelmus")</f>
        <v>Villelmus</v>
      </c>
      <c r="K247" t="str">
        <f ca="1">IFERROR(__xludf.DUMMYFUNCTION("""COMPUTED_VALUE"""),"Trut")</f>
        <v>Trut</v>
      </c>
      <c r="L247" t="str">
        <f ca="1">IFERROR(__xludf.DUMMYFUNCTION("""COMPUTED_VALUE"""),"Trut")</f>
        <v>Trut</v>
      </c>
      <c r="S247" t="str">
        <f ca="1">IFERROR(__xludf.DUMMYFUNCTION("""COMPUTED_VALUE"""),"Latin")</f>
        <v>Latin</v>
      </c>
      <c r="T247" t="str">
        <f ca="1">IFERROR(__xludf.DUMMYFUNCTION("""COMPUTED_VALUE"""),"definite")</f>
        <v>definite</v>
      </c>
      <c r="U247" t="str">
        <f ca="1">IFERROR(__xludf.DUMMYFUNCTION("""COMPUTED_VALUE"""),"C2553")</f>
        <v>C2553</v>
      </c>
      <c r="V247" t="str">
        <f ca="1">IFERROR(__xludf.DUMMYFUNCTION("""COMPUTED_VALUE"""),"male")</f>
        <v>male</v>
      </c>
      <c r="Z247" t="str">
        <f ca="1">IFERROR(__xludf.DUMMYFUNCTION("""COMPUTED_VALUE"""),"184")</f>
        <v>184</v>
      </c>
      <c r="AA247" t="str">
        <f ca="1">IFERROR(__xludf.DUMMYFUNCTION("""COMPUTED_VALUE"""),"d")</f>
        <v>d</v>
      </c>
      <c r="AB247" t="str">
        <f ca="1">IFERROR(__xludf.DUMMYFUNCTION("""COMPUTED_VALUE"""),"NA")</f>
        <v>NA</v>
      </c>
      <c r="AE247" t="str">
        <f ca="1">IFERROR(__xludf.DUMMYFUNCTION("""COMPUTED_VALUE"""),"#VALUE!")</f>
        <v>#VALUE!</v>
      </c>
      <c r="AF247" t="str">
        <f ca="1">IFERROR(__xludf.DUMMYFUNCTION("""COMPUTED_VALUE"""),"#N/A")</f>
        <v>#N/A</v>
      </c>
      <c r="AG247" t="str">
        <f ca="1">IFERROR(__xludf.DUMMYFUNCTION("""COMPUTED_VALUE"""),"#N/A")</f>
        <v>#N/A</v>
      </c>
      <c r="AI247" t="str">
        <f ca="1">IFERROR(__xludf.DUMMYFUNCTION("""COMPUTED_VALUE"""),"#VALUE!")</f>
        <v>#VALUE!</v>
      </c>
      <c r="AK247" t="str">
        <f ca="1">IFERROR(__xludf.DUMMYFUNCTION("""COMPUTED_VALUE"""),"#VALUE!")</f>
        <v>#VALUE!</v>
      </c>
      <c r="AM247" t="str">
        <f ca="1">IFERROR(__xludf.DUMMYFUNCTION("""COMPUTED_VALUE"""),"#VALUE!")</f>
        <v>#VALUE!</v>
      </c>
      <c r="AO247" t="str">
        <f ca="1">IFERROR(__xludf.DUMMYFUNCTION("""COMPUTED_VALUE"""),"#VALUE!")</f>
        <v>#VALUE!</v>
      </c>
      <c r="AQ247" t="str">
        <f ca="1">IFERROR(__xludf.DUMMYFUNCTION("""COMPUTED_VALUE"""),"#VALUE!")</f>
        <v>#VALUE!</v>
      </c>
      <c r="AS247" t="str">
        <f ca="1">IFERROR(__xludf.DUMMYFUNCTION("""COMPUTED_VALUE"""),"#VALUE!")</f>
        <v>#VALUE!</v>
      </c>
      <c r="AU247" t="str">
        <f ca="1">IFERROR(__xludf.DUMMYFUNCTION("""COMPUTED_VALUE"""),"#VALUE!")</f>
        <v>#VALUE!</v>
      </c>
      <c r="AW247" t="str">
        <f ca="1">IFERROR(__xludf.DUMMYFUNCTION("""COMPUTED_VALUE"""),"#VALUE!")</f>
        <v>#VALUE!</v>
      </c>
      <c r="AY247" t="str">
        <f ca="1">IFERROR(__xludf.DUMMYFUNCTION("""COMPUTED_VALUE"""),"#VALUE!")</f>
        <v>#VALUE!</v>
      </c>
      <c r="BA247" t="str">
        <f ca="1">IFERROR(__xludf.DUMMYFUNCTION("""COMPUTED_VALUE"""),"#VALUE!")</f>
        <v>#VALUE!</v>
      </c>
      <c r="BC247" t="str">
        <f ca="1">IFERROR(__xludf.DUMMYFUNCTION("""COMPUTED_VALUE"""),"#VALUE!")</f>
        <v>#VALUE!</v>
      </c>
      <c r="BE247" t="str">
        <f ca="1">IFERROR(__xludf.DUMMYFUNCTION("""COMPUTED_VALUE"""),"#VALUE!")</f>
        <v>#VALUE!</v>
      </c>
      <c r="BG247" t="str">
        <f ca="1">IFERROR(__xludf.DUMMYFUNCTION("""COMPUTED_VALUE"""),"#VALUE!")</f>
        <v>#VALUE!</v>
      </c>
      <c r="BI247" t="str">
        <f ca="1">IFERROR(__xludf.DUMMYFUNCTION("""COMPUTED_VALUE"""),"#VALUE!")</f>
        <v>#VALUE!</v>
      </c>
      <c r="BK247" t="str">
        <f ca="1">IFERROR(__xludf.DUMMYFUNCTION("""COMPUTED_VALUE"""),"#VALUE!")</f>
        <v>#VALUE!</v>
      </c>
      <c r="BM247" t="str">
        <f ca="1">IFERROR(__xludf.DUMMYFUNCTION("""COMPUTED_VALUE"""),"#VALUE!")</f>
        <v>#VALUE!</v>
      </c>
      <c r="BO247" t="str">
        <f ca="1">IFERROR(__xludf.DUMMYFUNCTION("""COMPUTED_VALUE"""),"#VALUE!")</f>
        <v>#VALUE!</v>
      </c>
      <c r="BQ247" t="str">
        <f ca="1">IFERROR(__xludf.DUMMYFUNCTION("""COMPUTED_VALUE"""),"#VALUE!")</f>
        <v>#VALUE!</v>
      </c>
      <c r="BS247" t="str">
        <f ca="1">IFERROR(__xludf.DUMMYFUNCTION("""COMPUTED_VALUE"""),"#VALUE!")</f>
        <v>#VALUE!</v>
      </c>
      <c r="BU247" t="str">
        <f ca="1">IFERROR(__xludf.DUMMYFUNCTION("""COMPUTED_VALUE"""),"#VALUE!")</f>
        <v>#VALUE!</v>
      </c>
      <c r="BW247" t="str">
        <f ca="1">IFERROR(__xludf.DUMMYFUNCTION("""COMPUTED_VALUE"""),"#VALUE!")</f>
        <v>#VALUE!</v>
      </c>
      <c r="BY247" t="str">
        <f ca="1">IFERROR(__xludf.DUMMYFUNCTION("""COMPUTED_VALUE"""),"#VALUE!")</f>
        <v>#VALUE!</v>
      </c>
      <c r="CA247" t="str">
        <f ca="1">IFERROR(__xludf.DUMMYFUNCTION("""COMPUTED_VALUE"""),"#VALUE!")</f>
        <v>#VALUE!</v>
      </c>
      <c r="CC247" t="str">
        <f ca="1">IFERROR(__xludf.DUMMYFUNCTION("""COMPUTED_VALUE"""),"#VALUE!")</f>
        <v>#VALUE!</v>
      </c>
      <c r="CE247" t="str">
        <f ca="1">IFERROR(__xludf.DUMMYFUNCTION("""COMPUTED_VALUE"""),"#VALUE!")</f>
        <v>#VALUE!</v>
      </c>
      <c r="CG247" t="str">
        <f ca="1">IFERROR(__xludf.DUMMYFUNCTION("""COMPUTED_VALUE"""),"#VALUE!")</f>
        <v>#VALUE!</v>
      </c>
      <c r="CI247" t="str">
        <f ca="1">IFERROR(__xludf.DUMMYFUNCTION("""COMPUTED_VALUE"""),"#VALUE!")</f>
        <v>#VALUE!</v>
      </c>
      <c r="CK247" t="str">
        <f ca="1">IFERROR(__xludf.DUMMYFUNCTION("""COMPUTED_VALUE"""),"#VALUE!")</f>
        <v>#VALUE!</v>
      </c>
      <c r="CR247" t="str">
        <f ca="1">IFERROR(__xludf.DUMMYFUNCTION("""COMPUTED_VALUE"""),"L0001")</f>
        <v>L0001</v>
      </c>
      <c r="CS247" t="str">
        <f ca="1">IFERROR(__xludf.DUMMYFUNCTION("""COMPUTED_VALUE"""),"Giaveno")</f>
        <v>Giaveno</v>
      </c>
      <c r="CU247" t="str">
        <f ca="1">IFERROR(__xludf.DUMMYFUNCTION("""COMPUTED_VALUE"""),"#VALUE!")</f>
        <v>#VALUE!</v>
      </c>
      <c r="CW247" t="str">
        <f ca="1">IFERROR(__xludf.DUMMYFUNCTION("""COMPUTED_VALUE"""),"#VALUE!")</f>
        <v>#VALUE!</v>
      </c>
      <c r="CY247" t="str">
        <f ca="1">IFERROR(__xludf.DUMMYFUNCTION("""COMPUTED_VALUE"""),"#VALUE!")</f>
        <v>#VALUE!</v>
      </c>
      <c r="DC247" t="str">
        <f ca="1">IFERROR(__xludf.DUMMYFUNCTION("""COMPUTED_VALUE"""),"#VALUE!")</f>
        <v>#VALUE!</v>
      </c>
      <c r="DE247" t="str">
        <f ca="1">IFERROR(__xludf.DUMMYFUNCTION("""COMPUTED_VALUE"""),"#VALUE!")</f>
        <v>#VALUE!</v>
      </c>
      <c r="DI247" t="str">
        <f ca="1">IFERROR(__xludf.DUMMYFUNCTION("""COMPUTED_VALUE"""),"#VALUE!")</f>
        <v>#VALUE!</v>
      </c>
      <c r="DJ247" t="str">
        <f ca="1">IFERROR(__xludf.DUMMYFUNCTION("""COMPUTED_VALUE"""),"#VALUE!")</f>
        <v>#VALUE!</v>
      </c>
      <c r="DL247" t="str">
        <f ca="1">IFERROR(__xludf.DUMMYFUNCTION("""COMPUTED_VALUE"""),"Davor Salihović")</f>
        <v>Davor Salihović</v>
      </c>
    </row>
    <row r="248" spans="1:116" ht="13.2" x14ac:dyDescent="0.25">
      <c r="A248" t="str">
        <f ca="1">IFERROR(__xludf.DUMMYFUNCTION("""COMPUTED_VALUE"""),"P0253")</f>
        <v>P0253</v>
      </c>
      <c r="B248" t="str">
        <f ca="1">IFERROR(__xludf.DUMMYFUNCTION("""COMPUTED_VALUE"""),"Franciscus Lorenceti")</f>
        <v>Franciscus Lorenceti</v>
      </c>
      <c r="D248" t="str">
        <f ca="1">IFERROR(__xludf.DUMMYFUNCTION("""COMPUTED_VALUE"""),"#VALUE!")</f>
        <v>#VALUE!</v>
      </c>
      <c r="E248" t="str">
        <f ca="1">IFERROR(__xludf.DUMMYFUNCTION("""COMPUTED_VALUE"""),"Franciscus")</f>
        <v>Franciscus</v>
      </c>
      <c r="K248" t="str">
        <f ca="1">IFERROR(__xludf.DUMMYFUNCTION("""COMPUTED_VALUE"""),"Lorenceti")</f>
        <v>Lorenceti</v>
      </c>
      <c r="L248" t="str">
        <f ca="1">IFERROR(__xludf.DUMMYFUNCTION("""COMPUTED_VALUE"""),"Lorenceti")</f>
        <v>Lorenceti</v>
      </c>
      <c r="S248" t="str">
        <f ca="1">IFERROR(__xludf.DUMMYFUNCTION("""COMPUTED_VALUE"""),"Latin")</f>
        <v>Latin</v>
      </c>
      <c r="T248" t="str">
        <f ca="1">IFERROR(__xludf.DUMMYFUNCTION("""COMPUTED_VALUE"""),"definite")</f>
        <v>definite</v>
      </c>
      <c r="U248" t="str">
        <f ca="1">IFERROR(__xludf.DUMMYFUNCTION("""COMPUTED_VALUE"""),"C2553")</f>
        <v>C2553</v>
      </c>
      <c r="V248" t="str">
        <f ca="1">IFERROR(__xludf.DUMMYFUNCTION("""COMPUTED_VALUE"""),"male")</f>
        <v>male</v>
      </c>
      <c r="Z248" t="str">
        <f ca="1">IFERROR(__xludf.DUMMYFUNCTION("""COMPUTED_VALUE"""),"185")</f>
        <v>185</v>
      </c>
      <c r="AA248" t="str">
        <f ca="1">IFERROR(__xludf.DUMMYFUNCTION("""COMPUTED_VALUE"""),"d")</f>
        <v>d</v>
      </c>
      <c r="AB248" t="str">
        <f ca="1">IFERROR(__xludf.DUMMYFUNCTION("""COMPUTED_VALUE"""),"NA")</f>
        <v>NA</v>
      </c>
      <c r="AD248" t="str">
        <f ca="1">IFERROR(__xludf.DUMMYFUNCTION("""COMPUTED_VALUE"""),"C3287")</f>
        <v>C3287</v>
      </c>
      <c r="AE248" t="str">
        <f ca="1">IFERROR(__xludf.DUMMYFUNCTION("""COMPUTED_VALUE"""),"alive")</f>
        <v>alive</v>
      </c>
      <c r="AF248" t="str">
        <f ca="1">IFERROR(__xludf.DUMMYFUNCTION("""COMPUTED_VALUE"""),"C1753")</f>
        <v>C1753</v>
      </c>
      <c r="AG248" t="str">
        <f ca="1">IFERROR(__xludf.DUMMYFUNCTION("""COMPUTED_VALUE"""),"1335-01-20")</f>
        <v>1335-01-20</v>
      </c>
      <c r="AI248" t="str">
        <f ca="1">IFERROR(__xludf.DUMMYFUNCTION("""COMPUTED_VALUE"""),"#VALUE!")</f>
        <v>#VALUE!</v>
      </c>
      <c r="AK248" t="str">
        <f ca="1">IFERROR(__xludf.DUMMYFUNCTION("""COMPUTED_VALUE"""),"#VALUE!")</f>
        <v>#VALUE!</v>
      </c>
      <c r="AM248" t="str">
        <f ca="1">IFERROR(__xludf.DUMMYFUNCTION("""COMPUTED_VALUE"""),"#VALUE!")</f>
        <v>#VALUE!</v>
      </c>
      <c r="AO248" t="str">
        <f ca="1">IFERROR(__xludf.DUMMYFUNCTION("""COMPUTED_VALUE"""),"#VALUE!")</f>
        <v>#VALUE!</v>
      </c>
      <c r="AQ248" t="str">
        <f ca="1">IFERROR(__xludf.DUMMYFUNCTION("""COMPUTED_VALUE"""),"#VALUE!")</f>
        <v>#VALUE!</v>
      </c>
      <c r="AS248" t="str">
        <f ca="1">IFERROR(__xludf.DUMMYFUNCTION("""COMPUTED_VALUE"""),"#VALUE!")</f>
        <v>#VALUE!</v>
      </c>
      <c r="AU248" t="str">
        <f ca="1">IFERROR(__xludf.DUMMYFUNCTION("""COMPUTED_VALUE"""),"#VALUE!")</f>
        <v>#VALUE!</v>
      </c>
      <c r="AW248" t="str">
        <f ca="1">IFERROR(__xludf.DUMMYFUNCTION("""COMPUTED_VALUE"""),"#VALUE!")</f>
        <v>#VALUE!</v>
      </c>
      <c r="AY248" t="str">
        <f ca="1">IFERROR(__xludf.DUMMYFUNCTION("""COMPUTED_VALUE"""),"#VALUE!")</f>
        <v>#VALUE!</v>
      </c>
      <c r="BA248" t="str">
        <f ca="1">IFERROR(__xludf.DUMMYFUNCTION("""COMPUTED_VALUE"""),"#VALUE!")</f>
        <v>#VALUE!</v>
      </c>
      <c r="BC248" t="str">
        <f ca="1">IFERROR(__xludf.DUMMYFUNCTION("""COMPUTED_VALUE"""),"#VALUE!")</f>
        <v>#VALUE!</v>
      </c>
      <c r="BE248" t="str">
        <f ca="1">IFERROR(__xludf.DUMMYFUNCTION("""COMPUTED_VALUE"""),"#VALUE!")</f>
        <v>#VALUE!</v>
      </c>
      <c r="BG248" t="str">
        <f ca="1">IFERROR(__xludf.DUMMYFUNCTION("""COMPUTED_VALUE"""),"#VALUE!")</f>
        <v>#VALUE!</v>
      </c>
      <c r="BI248" t="str">
        <f ca="1">IFERROR(__xludf.DUMMYFUNCTION("""COMPUTED_VALUE"""),"#VALUE!")</f>
        <v>#VALUE!</v>
      </c>
      <c r="BK248" t="str">
        <f ca="1">IFERROR(__xludf.DUMMYFUNCTION("""COMPUTED_VALUE"""),"#VALUE!")</f>
        <v>#VALUE!</v>
      </c>
      <c r="BM248" t="str">
        <f ca="1">IFERROR(__xludf.DUMMYFUNCTION("""COMPUTED_VALUE"""),"#VALUE!")</f>
        <v>#VALUE!</v>
      </c>
      <c r="BO248" t="str">
        <f ca="1">IFERROR(__xludf.DUMMYFUNCTION("""COMPUTED_VALUE"""),"#VALUE!")</f>
        <v>#VALUE!</v>
      </c>
      <c r="BQ248" t="str">
        <f ca="1">IFERROR(__xludf.DUMMYFUNCTION("""COMPUTED_VALUE"""),"#VALUE!")</f>
        <v>#VALUE!</v>
      </c>
      <c r="BS248" t="str">
        <f ca="1">IFERROR(__xludf.DUMMYFUNCTION("""COMPUTED_VALUE"""),"#VALUE!")</f>
        <v>#VALUE!</v>
      </c>
      <c r="BU248" t="str">
        <f ca="1">IFERROR(__xludf.DUMMYFUNCTION("""COMPUTED_VALUE"""),"#VALUE!")</f>
        <v>#VALUE!</v>
      </c>
      <c r="BW248" t="str">
        <f ca="1">IFERROR(__xludf.DUMMYFUNCTION("""COMPUTED_VALUE"""),"#VALUE!")</f>
        <v>#VALUE!</v>
      </c>
      <c r="BY248" t="str">
        <f ca="1">IFERROR(__xludf.DUMMYFUNCTION("""COMPUTED_VALUE"""),"#VALUE!")</f>
        <v>#VALUE!</v>
      </c>
      <c r="CA248" t="str">
        <f ca="1">IFERROR(__xludf.DUMMYFUNCTION("""COMPUTED_VALUE"""),"#VALUE!")</f>
        <v>#VALUE!</v>
      </c>
      <c r="CC248" t="str">
        <f ca="1">IFERROR(__xludf.DUMMYFUNCTION("""COMPUTED_VALUE"""),"#VALUE!")</f>
        <v>#VALUE!</v>
      </c>
      <c r="CE248" t="str">
        <f ca="1">IFERROR(__xludf.DUMMYFUNCTION("""COMPUTED_VALUE"""),"#VALUE!")</f>
        <v>#VALUE!</v>
      </c>
      <c r="CG248" t="str">
        <f ca="1">IFERROR(__xludf.DUMMYFUNCTION("""COMPUTED_VALUE"""),"#VALUE!")</f>
        <v>#VALUE!</v>
      </c>
      <c r="CI248" t="str">
        <f ca="1">IFERROR(__xludf.DUMMYFUNCTION("""COMPUTED_VALUE"""),"#VALUE!")</f>
        <v>#VALUE!</v>
      </c>
      <c r="CK248" t="str">
        <f ca="1">IFERROR(__xludf.DUMMYFUNCTION("""COMPUTED_VALUE"""),"#VALUE!")</f>
        <v>#VALUE!</v>
      </c>
      <c r="CR248" t="str">
        <f ca="1">IFERROR(__xludf.DUMMYFUNCTION("""COMPUTED_VALUE"""),"L0005")</f>
        <v>L0005</v>
      </c>
      <c r="CS248" t="str">
        <f ca="1">IFERROR(__xludf.DUMMYFUNCTION("""COMPUTED_VALUE"""),"Valgioie")</f>
        <v>Valgioie</v>
      </c>
      <c r="CU248" t="str">
        <f ca="1">IFERROR(__xludf.DUMMYFUNCTION("""COMPUTED_VALUE"""),"#VALUE!")</f>
        <v>#VALUE!</v>
      </c>
      <c r="CW248" t="str">
        <f ca="1">IFERROR(__xludf.DUMMYFUNCTION("""COMPUTED_VALUE"""),"#VALUE!")</f>
        <v>#VALUE!</v>
      </c>
      <c r="CY248" t="str">
        <f ca="1">IFERROR(__xludf.DUMMYFUNCTION("""COMPUTED_VALUE"""),"#VALUE!")</f>
        <v>#VALUE!</v>
      </c>
      <c r="DC248" t="str">
        <f ca="1">IFERROR(__xludf.DUMMYFUNCTION("""COMPUTED_VALUE"""),"#VALUE!")</f>
        <v>#VALUE!</v>
      </c>
      <c r="DE248" t="str">
        <f ca="1">IFERROR(__xludf.DUMMYFUNCTION("""COMPUTED_VALUE"""),"#VALUE!")</f>
        <v>#VALUE!</v>
      </c>
      <c r="DI248" t="str">
        <f ca="1">IFERROR(__xludf.DUMMYFUNCTION("""COMPUTED_VALUE"""),"#VALUE!")</f>
        <v>#VALUE!</v>
      </c>
      <c r="DJ248" t="str">
        <f ca="1">IFERROR(__xludf.DUMMYFUNCTION("""COMPUTED_VALUE"""),"#VALUE!")</f>
        <v>#VALUE!</v>
      </c>
      <c r="DL248" t="str">
        <f ca="1">IFERROR(__xludf.DUMMYFUNCTION("""COMPUTED_VALUE"""),"Davor Salihović")</f>
        <v>Davor Salihović</v>
      </c>
    </row>
    <row r="249" spans="1:116" ht="13.2" x14ac:dyDescent="0.25">
      <c r="A249" t="str">
        <f ca="1">IFERROR(__xludf.DUMMYFUNCTION("""COMPUTED_VALUE"""),"P0254")</f>
        <v>P0254</v>
      </c>
      <c r="B249" t="str">
        <f ca="1">IFERROR(__xludf.DUMMYFUNCTION("""COMPUTED_VALUE"""),"filia Margurite Borssete")</f>
        <v>filia Margurite Borssete</v>
      </c>
      <c r="D249" t="str">
        <f ca="1">IFERROR(__xludf.DUMMYFUNCTION("""COMPUTED_VALUE"""),"#VALUE!")</f>
        <v>#VALUE!</v>
      </c>
      <c r="E249" t="str">
        <f ca="1">IFERROR(__xludf.DUMMYFUNCTION("""COMPUTED_VALUE"""),"filia Marguerite Borssete")</f>
        <v>filia Marguerite Borssete</v>
      </c>
      <c r="Q249" t="str">
        <f ca="1">IFERROR(__xludf.DUMMYFUNCTION("""COMPUTED_VALUE"""),"filia Marguerite Borssete")</f>
        <v>filia Marguerite Borssete</v>
      </c>
      <c r="S249" t="str">
        <f ca="1">IFERROR(__xludf.DUMMYFUNCTION("""COMPUTED_VALUE"""),"Latin")</f>
        <v>Latin</v>
      </c>
      <c r="T249" t="str">
        <f ca="1">IFERROR(__xludf.DUMMYFUNCTION("""COMPUTED_VALUE"""),"indefinite")</f>
        <v>indefinite</v>
      </c>
      <c r="U249" t="str">
        <f ca="1">IFERROR(__xludf.DUMMYFUNCTION("""COMPUTED_VALUE"""),"C2552")</f>
        <v>C2552</v>
      </c>
      <c r="V249" t="str">
        <f ca="1">IFERROR(__xludf.DUMMYFUNCTION("""COMPUTED_VALUE"""),"female")</f>
        <v>female</v>
      </c>
      <c r="Z249" t="str">
        <f ca="1">IFERROR(__xludf.DUMMYFUNCTION("""COMPUTED_VALUE"""),"185")</f>
        <v>185</v>
      </c>
      <c r="AA249" t="str">
        <f ca="1">IFERROR(__xludf.DUMMYFUNCTION("""COMPUTED_VALUE"""),"d")</f>
        <v>d</v>
      </c>
      <c r="AB249" t="str">
        <f ca="1">IFERROR(__xludf.DUMMYFUNCTION("""COMPUTED_VALUE"""),"suspect")</f>
        <v>suspect</v>
      </c>
      <c r="AE249" t="str">
        <f ca="1">IFERROR(__xludf.DUMMYFUNCTION("""COMPUTED_VALUE"""),"#VALUE!")</f>
        <v>#VALUE!</v>
      </c>
      <c r="AF249" t="str">
        <f ca="1">IFERROR(__xludf.DUMMYFUNCTION("""COMPUTED_VALUE"""),"#N/A")</f>
        <v>#N/A</v>
      </c>
      <c r="AG249" t="str">
        <f ca="1">IFERROR(__xludf.DUMMYFUNCTION("""COMPUTED_VALUE"""),"#N/A")</f>
        <v>#N/A</v>
      </c>
      <c r="AI249" t="str">
        <f ca="1">IFERROR(__xludf.DUMMYFUNCTION("""COMPUTED_VALUE"""),"#VALUE!")</f>
        <v>#VALUE!</v>
      </c>
      <c r="AK249" t="str">
        <f ca="1">IFERROR(__xludf.DUMMYFUNCTION("""COMPUTED_VALUE"""),"#VALUE!")</f>
        <v>#VALUE!</v>
      </c>
      <c r="AM249" t="str">
        <f ca="1">IFERROR(__xludf.DUMMYFUNCTION("""COMPUTED_VALUE"""),"#VALUE!")</f>
        <v>#VALUE!</v>
      </c>
      <c r="AO249" t="str">
        <f ca="1">IFERROR(__xludf.DUMMYFUNCTION("""COMPUTED_VALUE"""),"#VALUE!")</f>
        <v>#VALUE!</v>
      </c>
      <c r="AQ249" t="str">
        <f ca="1">IFERROR(__xludf.DUMMYFUNCTION("""COMPUTED_VALUE"""),"#VALUE!")</f>
        <v>#VALUE!</v>
      </c>
      <c r="AS249" t="str">
        <f ca="1">IFERROR(__xludf.DUMMYFUNCTION("""COMPUTED_VALUE"""),"#VALUE!")</f>
        <v>#VALUE!</v>
      </c>
      <c r="AU249" t="str">
        <f ca="1">IFERROR(__xludf.DUMMYFUNCTION("""COMPUTED_VALUE"""),"#VALUE!")</f>
        <v>#VALUE!</v>
      </c>
      <c r="AW249" t="str">
        <f ca="1">IFERROR(__xludf.DUMMYFUNCTION("""COMPUTED_VALUE"""),"#VALUE!")</f>
        <v>#VALUE!</v>
      </c>
      <c r="AY249" t="str">
        <f ca="1">IFERROR(__xludf.DUMMYFUNCTION("""COMPUTED_VALUE"""),"#VALUE!")</f>
        <v>#VALUE!</v>
      </c>
      <c r="BA249" t="str">
        <f ca="1">IFERROR(__xludf.DUMMYFUNCTION("""COMPUTED_VALUE"""),"#VALUE!")</f>
        <v>#VALUE!</v>
      </c>
      <c r="BC249" t="str">
        <f ca="1">IFERROR(__xludf.DUMMYFUNCTION("""COMPUTED_VALUE"""),"#VALUE!")</f>
        <v>#VALUE!</v>
      </c>
      <c r="BE249" t="str">
        <f ca="1">IFERROR(__xludf.DUMMYFUNCTION("""COMPUTED_VALUE"""),"#VALUE!")</f>
        <v>#VALUE!</v>
      </c>
      <c r="BG249" t="str">
        <f ca="1">IFERROR(__xludf.DUMMYFUNCTION("""COMPUTED_VALUE"""),"#VALUE!")</f>
        <v>#VALUE!</v>
      </c>
      <c r="BI249" t="str">
        <f ca="1">IFERROR(__xludf.DUMMYFUNCTION("""COMPUTED_VALUE"""),"#VALUE!")</f>
        <v>#VALUE!</v>
      </c>
      <c r="BK249" t="str">
        <f ca="1">IFERROR(__xludf.DUMMYFUNCTION("""COMPUTED_VALUE"""),"#VALUE!")</f>
        <v>#VALUE!</v>
      </c>
      <c r="BM249" t="str">
        <f ca="1">IFERROR(__xludf.DUMMYFUNCTION("""COMPUTED_VALUE"""),"#VALUE!")</f>
        <v>#VALUE!</v>
      </c>
      <c r="BO249" t="str">
        <f ca="1">IFERROR(__xludf.DUMMYFUNCTION("""COMPUTED_VALUE"""),"#VALUE!")</f>
        <v>#VALUE!</v>
      </c>
      <c r="BQ249" t="str">
        <f ca="1">IFERROR(__xludf.DUMMYFUNCTION("""COMPUTED_VALUE"""),"#VALUE!")</f>
        <v>#VALUE!</v>
      </c>
      <c r="BS249" t="str">
        <f ca="1">IFERROR(__xludf.DUMMYFUNCTION("""COMPUTED_VALUE"""),"#VALUE!")</f>
        <v>#VALUE!</v>
      </c>
      <c r="BU249" t="str">
        <f ca="1">IFERROR(__xludf.DUMMYFUNCTION("""COMPUTED_VALUE"""),"#VALUE!")</f>
        <v>#VALUE!</v>
      </c>
      <c r="BW249" t="str">
        <f ca="1">IFERROR(__xludf.DUMMYFUNCTION("""COMPUTED_VALUE"""),"#VALUE!")</f>
        <v>#VALUE!</v>
      </c>
      <c r="BY249" t="str">
        <f ca="1">IFERROR(__xludf.DUMMYFUNCTION("""COMPUTED_VALUE"""),"#VALUE!")</f>
        <v>#VALUE!</v>
      </c>
      <c r="CA249" t="str">
        <f ca="1">IFERROR(__xludf.DUMMYFUNCTION("""COMPUTED_VALUE"""),"#VALUE!")</f>
        <v>#VALUE!</v>
      </c>
      <c r="CC249" t="str">
        <f ca="1">IFERROR(__xludf.DUMMYFUNCTION("""COMPUTED_VALUE"""),"#VALUE!")</f>
        <v>#VALUE!</v>
      </c>
      <c r="CD249" t="str">
        <f ca="1">IFERROR(__xludf.DUMMYFUNCTION("""COMPUTED_VALUE"""),"C3598")</f>
        <v>C3598</v>
      </c>
      <c r="CE249" t="str">
        <f ca="1">IFERROR(__xludf.DUMMYFUNCTION("""COMPUTED_VALUE"""),"location of congregation")</f>
        <v>location of congregation</v>
      </c>
      <c r="CF249" t="str">
        <f ca="1">IFERROR(__xludf.DUMMYFUNCTION("""COMPUTED_VALUE"""),"L0077")</f>
        <v>L0077</v>
      </c>
      <c r="CG249" t="str">
        <f ca="1">IFERROR(__xludf.DUMMYFUNCTION("""COMPUTED_VALUE"""),"domus Margerite Borssete")</f>
        <v>domus Margerite Borssete</v>
      </c>
      <c r="CI249" t="str">
        <f ca="1">IFERROR(__xludf.DUMMYFUNCTION("""COMPUTED_VALUE"""),"#VALUE!")</f>
        <v>#VALUE!</v>
      </c>
      <c r="CK249" t="str">
        <f ca="1">IFERROR(__xludf.DUMMYFUNCTION("""COMPUTED_VALUE"""),"#VALUE!")</f>
        <v>#VALUE!</v>
      </c>
      <c r="CS249" t="str">
        <f ca="1">IFERROR(__xludf.DUMMYFUNCTION("""COMPUTED_VALUE"""),"#VALUE!")</f>
        <v>#VALUE!</v>
      </c>
      <c r="CU249" t="str">
        <f ca="1">IFERROR(__xludf.DUMMYFUNCTION("""COMPUTED_VALUE"""),"#VALUE!")</f>
        <v>#VALUE!</v>
      </c>
      <c r="CW249" t="str">
        <f ca="1">IFERROR(__xludf.DUMMYFUNCTION("""COMPUTED_VALUE"""),"#VALUE!")</f>
        <v>#VALUE!</v>
      </c>
      <c r="CY249" t="str">
        <f ca="1">IFERROR(__xludf.DUMMYFUNCTION("""COMPUTED_VALUE"""),"#VALUE!")</f>
        <v>#VALUE!</v>
      </c>
      <c r="DC249" t="str">
        <f ca="1">IFERROR(__xludf.DUMMYFUNCTION("""COMPUTED_VALUE"""),"#VALUE!")</f>
        <v>#VALUE!</v>
      </c>
      <c r="DE249" t="str">
        <f ca="1">IFERROR(__xludf.DUMMYFUNCTION("""COMPUTED_VALUE"""),"#VALUE!")</f>
        <v>#VALUE!</v>
      </c>
      <c r="DH249" t="str">
        <f ca="1">IFERROR(__xludf.DUMMYFUNCTION("""COMPUTED_VALUE"""),"L0077")</f>
        <v>L0077</v>
      </c>
      <c r="DI249" t="str">
        <f ca="1">IFERROR(__xludf.DUMMYFUNCTION("""COMPUTED_VALUE"""),"domus Margerite Borssete")</f>
        <v>domus Margerite Borssete</v>
      </c>
      <c r="DJ249" t="str">
        <f ca="1">IFERROR(__xludf.DUMMYFUNCTION("""COMPUTED_VALUE"""),"domus")</f>
        <v>domus</v>
      </c>
      <c r="DL249" t="str">
        <f ca="1">IFERROR(__xludf.DUMMYFUNCTION("""COMPUTED_VALUE"""),"Davor Salihović")</f>
        <v>Davor Salihović</v>
      </c>
    </row>
    <row r="250" spans="1:116" ht="13.2" x14ac:dyDescent="0.25">
      <c r="A250" t="str">
        <f ca="1">IFERROR(__xludf.DUMMYFUNCTION("""COMPUTED_VALUE"""),"P0255")</f>
        <v>P0255</v>
      </c>
      <c r="B250" t="str">
        <f ca="1">IFERROR(__xludf.DUMMYFUNCTION("""COMPUTED_VALUE"""),"filia Margurite Borssete")</f>
        <v>filia Margurite Borssete</v>
      </c>
      <c r="D250" t="str">
        <f ca="1">IFERROR(__xludf.DUMMYFUNCTION("""COMPUTED_VALUE"""),"#VALUE!")</f>
        <v>#VALUE!</v>
      </c>
      <c r="E250" t="str">
        <f ca="1">IFERROR(__xludf.DUMMYFUNCTION("""COMPUTED_VALUE"""),"filia Marguerite Borssete")</f>
        <v>filia Marguerite Borssete</v>
      </c>
      <c r="Q250" t="str">
        <f ca="1">IFERROR(__xludf.DUMMYFUNCTION("""COMPUTED_VALUE"""),"filia Marguerite Borssete")</f>
        <v>filia Marguerite Borssete</v>
      </c>
      <c r="S250" t="str">
        <f ca="1">IFERROR(__xludf.DUMMYFUNCTION("""COMPUTED_VALUE"""),"Latin")</f>
        <v>Latin</v>
      </c>
      <c r="T250" t="str">
        <f ca="1">IFERROR(__xludf.DUMMYFUNCTION("""COMPUTED_VALUE"""),"indefinite")</f>
        <v>indefinite</v>
      </c>
      <c r="U250" t="str">
        <f ca="1">IFERROR(__xludf.DUMMYFUNCTION("""COMPUTED_VALUE"""),"C2552")</f>
        <v>C2552</v>
      </c>
      <c r="V250" t="str">
        <f ca="1">IFERROR(__xludf.DUMMYFUNCTION("""COMPUTED_VALUE"""),"female")</f>
        <v>female</v>
      </c>
      <c r="Z250" t="str">
        <f ca="1">IFERROR(__xludf.DUMMYFUNCTION("""COMPUTED_VALUE"""),"185")</f>
        <v>185</v>
      </c>
      <c r="AA250" t="str">
        <f ca="1">IFERROR(__xludf.DUMMYFUNCTION("""COMPUTED_VALUE"""),"d")</f>
        <v>d</v>
      </c>
      <c r="AB250" t="str">
        <f ca="1">IFERROR(__xludf.DUMMYFUNCTION("""COMPUTED_VALUE"""),"suspect")</f>
        <v>suspect</v>
      </c>
      <c r="AE250" t="str">
        <f ca="1">IFERROR(__xludf.DUMMYFUNCTION("""COMPUTED_VALUE"""),"#VALUE!")</f>
        <v>#VALUE!</v>
      </c>
      <c r="AF250" t="str">
        <f ca="1">IFERROR(__xludf.DUMMYFUNCTION("""COMPUTED_VALUE"""),"#N/A")</f>
        <v>#N/A</v>
      </c>
      <c r="AG250" t="str">
        <f ca="1">IFERROR(__xludf.DUMMYFUNCTION("""COMPUTED_VALUE"""),"#N/A")</f>
        <v>#N/A</v>
      </c>
      <c r="AI250" t="str">
        <f ca="1">IFERROR(__xludf.DUMMYFUNCTION("""COMPUTED_VALUE"""),"#VALUE!")</f>
        <v>#VALUE!</v>
      </c>
      <c r="AK250" t="str">
        <f ca="1">IFERROR(__xludf.DUMMYFUNCTION("""COMPUTED_VALUE"""),"#VALUE!")</f>
        <v>#VALUE!</v>
      </c>
      <c r="AM250" t="str">
        <f ca="1">IFERROR(__xludf.DUMMYFUNCTION("""COMPUTED_VALUE"""),"#VALUE!")</f>
        <v>#VALUE!</v>
      </c>
      <c r="AO250" t="str">
        <f ca="1">IFERROR(__xludf.DUMMYFUNCTION("""COMPUTED_VALUE"""),"#VALUE!")</f>
        <v>#VALUE!</v>
      </c>
      <c r="AQ250" t="str">
        <f ca="1">IFERROR(__xludf.DUMMYFUNCTION("""COMPUTED_VALUE"""),"#VALUE!")</f>
        <v>#VALUE!</v>
      </c>
      <c r="AS250" t="str">
        <f ca="1">IFERROR(__xludf.DUMMYFUNCTION("""COMPUTED_VALUE"""),"#VALUE!")</f>
        <v>#VALUE!</v>
      </c>
      <c r="AU250" t="str">
        <f ca="1">IFERROR(__xludf.DUMMYFUNCTION("""COMPUTED_VALUE"""),"#VALUE!")</f>
        <v>#VALUE!</v>
      </c>
      <c r="AW250" t="str">
        <f ca="1">IFERROR(__xludf.DUMMYFUNCTION("""COMPUTED_VALUE"""),"#VALUE!")</f>
        <v>#VALUE!</v>
      </c>
      <c r="AY250" t="str">
        <f ca="1">IFERROR(__xludf.DUMMYFUNCTION("""COMPUTED_VALUE"""),"#VALUE!")</f>
        <v>#VALUE!</v>
      </c>
      <c r="BA250" t="str">
        <f ca="1">IFERROR(__xludf.DUMMYFUNCTION("""COMPUTED_VALUE"""),"#VALUE!")</f>
        <v>#VALUE!</v>
      </c>
      <c r="BC250" t="str">
        <f ca="1">IFERROR(__xludf.DUMMYFUNCTION("""COMPUTED_VALUE"""),"#VALUE!")</f>
        <v>#VALUE!</v>
      </c>
      <c r="BE250" t="str">
        <f ca="1">IFERROR(__xludf.DUMMYFUNCTION("""COMPUTED_VALUE"""),"#VALUE!")</f>
        <v>#VALUE!</v>
      </c>
      <c r="BG250" t="str">
        <f ca="1">IFERROR(__xludf.DUMMYFUNCTION("""COMPUTED_VALUE"""),"#VALUE!")</f>
        <v>#VALUE!</v>
      </c>
      <c r="BI250" t="str">
        <f ca="1">IFERROR(__xludf.DUMMYFUNCTION("""COMPUTED_VALUE"""),"#VALUE!")</f>
        <v>#VALUE!</v>
      </c>
      <c r="BK250" t="str">
        <f ca="1">IFERROR(__xludf.DUMMYFUNCTION("""COMPUTED_VALUE"""),"#VALUE!")</f>
        <v>#VALUE!</v>
      </c>
      <c r="BM250" t="str">
        <f ca="1">IFERROR(__xludf.DUMMYFUNCTION("""COMPUTED_VALUE"""),"#VALUE!")</f>
        <v>#VALUE!</v>
      </c>
      <c r="BO250" t="str">
        <f ca="1">IFERROR(__xludf.DUMMYFUNCTION("""COMPUTED_VALUE"""),"#VALUE!")</f>
        <v>#VALUE!</v>
      </c>
      <c r="BQ250" t="str">
        <f ca="1">IFERROR(__xludf.DUMMYFUNCTION("""COMPUTED_VALUE"""),"#VALUE!")</f>
        <v>#VALUE!</v>
      </c>
      <c r="BS250" t="str">
        <f ca="1">IFERROR(__xludf.DUMMYFUNCTION("""COMPUTED_VALUE"""),"#VALUE!")</f>
        <v>#VALUE!</v>
      </c>
      <c r="BU250" t="str">
        <f ca="1">IFERROR(__xludf.DUMMYFUNCTION("""COMPUTED_VALUE"""),"#VALUE!")</f>
        <v>#VALUE!</v>
      </c>
      <c r="BW250" t="str">
        <f ca="1">IFERROR(__xludf.DUMMYFUNCTION("""COMPUTED_VALUE"""),"#VALUE!")</f>
        <v>#VALUE!</v>
      </c>
      <c r="BY250" t="str">
        <f ca="1">IFERROR(__xludf.DUMMYFUNCTION("""COMPUTED_VALUE"""),"#VALUE!")</f>
        <v>#VALUE!</v>
      </c>
      <c r="CA250" t="str">
        <f ca="1">IFERROR(__xludf.DUMMYFUNCTION("""COMPUTED_VALUE"""),"#VALUE!")</f>
        <v>#VALUE!</v>
      </c>
      <c r="CC250" t="str">
        <f ca="1">IFERROR(__xludf.DUMMYFUNCTION("""COMPUTED_VALUE"""),"#VALUE!")</f>
        <v>#VALUE!</v>
      </c>
      <c r="CD250" t="str">
        <f ca="1">IFERROR(__xludf.DUMMYFUNCTION("""COMPUTED_VALUE"""),"C3598")</f>
        <v>C3598</v>
      </c>
      <c r="CE250" t="str">
        <f ca="1">IFERROR(__xludf.DUMMYFUNCTION("""COMPUTED_VALUE"""),"location of congregation")</f>
        <v>location of congregation</v>
      </c>
      <c r="CF250" t="str">
        <f ca="1">IFERROR(__xludf.DUMMYFUNCTION("""COMPUTED_VALUE"""),"L0077")</f>
        <v>L0077</v>
      </c>
      <c r="CG250" t="str">
        <f ca="1">IFERROR(__xludf.DUMMYFUNCTION("""COMPUTED_VALUE"""),"domus Margerite Borssete")</f>
        <v>domus Margerite Borssete</v>
      </c>
      <c r="CI250" t="str">
        <f ca="1">IFERROR(__xludf.DUMMYFUNCTION("""COMPUTED_VALUE"""),"#VALUE!")</f>
        <v>#VALUE!</v>
      </c>
      <c r="CK250" t="str">
        <f ca="1">IFERROR(__xludf.DUMMYFUNCTION("""COMPUTED_VALUE"""),"#VALUE!")</f>
        <v>#VALUE!</v>
      </c>
      <c r="CS250" t="str">
        <f ca="1">IFERROR(__xludf.DUMMYFUNCTION("""COMPUTED_VALUE"""),"#VALUE!")</f>
        <v>#VALUE!</v>
      </c>
      <c r="CU250" t="str">
        <f ca="1">IFERROR(__xludf.DUMMYFUNCTION("""COMPUTED_VALUE"""),"#VALUE!")</f>
        <v>#VALUE!</v>
      </c>
      <c r="CW250" t="str">
        <f ca="1">IFERROR(__xludf.DUMMYFUNCTION("""COMPUTED_VALUE"""),"#VALUE!")</f>
        <v>#VALUE!</v>
      </c>
      <c r="CY250" t="str">
        <f ca="1">IFERROR(__xludf.DUMMYFUNCTION("""COMPUTED_VALUE"""),"#VALUE!")</f>
        <v>#VALUE!</v>
      </c>
      <c r="DC250" t="str">
        <f ca="1">IFERROR(__xludf.DUMMYFUNCTION("""COMPUTED_VALUE"""),"#VALUE!")</f>
        <v>#VALUE!</v>
      </c>
      <c r="DE250" t="str">
        <f ca="1">IFERROR(__xludf.DUMMYFUNCTION("""COMPUTED_VALUE"""),"#VALUE!")</f>
        <v>#VALUE!</v>
      </c>
      <c r="DH250" t="str">
        <f ca="1">IFERROR(__xludf.DUMMYFUNCTION("""COMPUTED_VALUE"""),"L0077")</f>
        <v>L0077</v>
      </c>
      <c r="DI250" t="str">
        <f ca="1">IFERROR(__xludf.DUMMYFUNCTION("""COMPUTED_VALUE"""),"domus Margerite Borssete")</f>
        <v>domus Margerite Borssete</v>
      </c>
      <c r="DJ250" t="str">
        <f ca="1">IFERROR(__xludf.DUMMYFUNCTION("""COMPUTED_VALUE"""),"domus")</f>
        <v>domus</v>
      </c>
      <c r="DK250" t="str">
        <f ca="1">IFERROR(__xludf.DUMMYFUNCTION("""COMPUTED_VALUE"""),"One of these two daughters is probably Iohanna (P0247)")</f>
        <v>One of these two daughters is probably Iohanna (P0247)</v>
      </c>
      <c r="DL250" t="str">
        <f ca="1">IFERROR(__xludf.DUMMYFUNCTION("""COMPUTED_VALUE"""),"Davor Salihović")</f>
        <v>Davor Salihović</v>
      </c>
    </row>
    <row r="251" spans="1:116" ht="13.2" x14ac:dyDescent="0.25">
      <c r="A251" t="str">
        <f ca="1">IFERROR(__xludf.DUMMYFUNCTION("""COMPUTED_VALUE"""),"P0256")</f>
        <v>P0256</v>
      </c>
      <c r="B251" t="str">
        <f ca="1">IFERROR(__xludf.DUMMYFUNCTION("""COMPUTED_VALUE"""),"Gaspardus de Villelma")</f>
        <v>Gaspardus de Villelma</v>
      </c>
      <c r="D251" t="str">
        <f ca="1">IFERROR(__xludf.DUMMYFUNCTION("""COMPUTED_VALUE"""),"#VALUE!")</f>
        <v>#VALUE!</v>
      </c>
      <c r="E251" t="str">
        <f ca="1">IFERROR(__xludf.DUMMYFUNCTION("""COMPUTED_VALUE"""),"Gaspardus")</f>
        <v>Gaspardus</v>
      </c>
      <c r="K251" t="str">
        <f ca="1">IFERROR(__xludf.DUMMYFUNCTION("""COMPUTED_VALUE"""),"de Villelma")</f>
        <v>de Villelma</v>
      </c>
      <c r="L251" t="str">
        <f ca="1">IFERROR(__xludf.DUMMYFUNCTION("""COMPUTED_VALUE"""),"de Villelma")</f>
        <v>de Villelma</v>
      </c>
      <c r="S251" t="str">
        <f ca="1">IFERROR(__xludf.DUMMYFUNCTION("""COMPUTED_VALUE"""),"Latin")</f>
        <v>Latin</v>
      </c>
      <c r="T251" t="str">
        <f ca="1">IFERROR(__xludf.DUMMYFUNCTION("""COMPUTED_VALUE"""),"definite")</f>
        <v>definite</v>
      </c>
      <c r="U251" t="str">
        <f ca="1">IFERROR(__xludf.DUMMYFUNCTION("""COMPUTED_VALUE"""),"C2553")</f>
        <v>C2553</v>
      </c>
      <c r="V251" t="str">
        <f ca="1">IFERROR(__xludf.DUMMYFUNCTION("""COMPUTED_VALUE"""),"male")</f>
        <v>male</v>
      </c>
      <c r="Z251" t="str">
        <f ca="1">IFERROR(__xludf.DUMMYFUNCTION("""COMPUTED_VALUE"""),"185")</f>
        <v>185</v>
      </c>
      <c r="AA251" t="str">
        <f ca="1">IFERROR(__xludf.DUMMYFUNCTION("""COMPUTED_VALUE"""),"d")</f>
        <v>d</v>
      </c>
      <c r="AB251" t="str">
        <f ca="1">IFERROR(__xludf.DUMMYFUNCTION("""COMPUTED_VALUE"""),"suspect")</f>
        <v>suspect</v>
      </c>
      <c r="AE251" t="str">
        <f ca="1">IFERROR(__xludf.DUMMYFUNCTION("""COMPUTED_VALUE"""),"#VALUE!")</f>
        <v>#VALUE!</v>
      </c>
      <c r="AF251" t="str">
        <f ca="1">IFERROR(__xludf.DUMMYFUNCTION("""COMPUTED_VALUE"""),"#N/A")</f>
        <v>#N/A</v>
      </c>
      <c r="AG251" t="str">
        <f ca="1">IFERROR(__xludf.DUMMYFUNCTION("""COMPUTED_VALUE"""),"#N/A")</f>
        <v>#N/A</v>
      </c>
      <c r="AH251" t="str">
        <f ca="1">IFERROR(__xludf.DUMMYFUNCTION("""COMPUTED_VALUE"""),"C2337")</f>
        <v>C2337</v>
      </c>
      <c r="AI251" t="str">
        <f ca="1">IFERROR(__xludf.DUMMYFUNCTION("""COMPUTED_VALUE"""),"brother")</f>
        <v>brother</v>
      </c>
      <c r="AJ251" t="str">
        <f ca="1">IFERROR(__xludf.DUMMYFUNCTION("""COMPUTED_VALUE"""),"P0257")</f>
        <v>P0257</v>
      </c>
      <c r="AK251" t="str">
        <f ca="1">IFERROR(__xludf.DUMMYFUNCTION("""COMPUTED_VALUE"""),"Andreas de Villelma")</f>
        <v>Andreas de Villelma</v>
      </c>
      <c r="AM251" t="str">
        <f ca="1">IFERROR(__xludf.DUMMYFUNCTION("""COMPUTED_VALUE"""),"#VALUE!")</f>
        <v>#VALUE!</v>
      </c>
      <c r="AO251" t="str">
        <f ca="1">IFERROR(__xludf.DUMMYFUNCTION("""COMPUTED_VALUE"""),"#VALUE!")</f>
        <v>#VALUE!</v>
      </c>
      <c r="AQ251" t="str">
        <f ca="1">IFERROR(__xludf.DUMMYFUNCTION("""COMPUTED_VALUE"""),"#VALUE!")</f>
        <v>#VALUE!</v>
      </c>
      <c r="AS251" t="str">
        <f ca="1">IFERROR(__xludf.DUMMYFUNCTION("""COMPUTED_VALUE"""),"#VALUE!")</f>
        <v>#VALUE!</v>
      </c>
      <c r="AU251" t="str">
        <f ca="1">IFERROR(__xludf.DUMMYFUNCTION("""COMPUTED_VALUE"""),"#VALUE!")</f>
        <v>#VALUE!</v>
      </c>
      <c r="AW251" t="str">
        <f ca="1">IFERROR(__xludf.DUMMYFUNCTION("""COMPUTED_VALUE"""),"#VALUE!")</f>
        <v>#VALUE!</v>
      </c>
      <c r="AY251" t="str">
        <f ca="1">IFERROR(__xludf.DUMMYFUNCTION("""COMPUTED_VALUE"""),"#VALUE!")</f>
        <v>#VALUE!</v>
      </c>
      <c r="BA251" t="str">
        <f ca="1">IFERROR(__xludf.DUMMYFUNCTION("""COMPUTED_VALUE"""),"#VALUE!")</f>
        <v>#VALUE!</v>
      </c>
      <c r="BC251" t="str">
        <f ca="1">IFERROR(__xludf.DUMMYFUNCTION("""COMPUTED_VALUE"""),"#VALUE!")</f>
        <v>#VALUE!</v>
      </c>
      <c r="BE251" t="str">
        <f ca="1">IFERROR(__xludf.DUMMYFUNCTION("""COMPUTED_VALUE"""),"#VALUE!")</f>
        <v>#VALUE!</v>
      </c>
      <c r="BG251" t="str">
        <f ca="1">IFERROR(__xludf.DUMMYFUNCTION("""COMPUTED_VALUE"""),"#VALUE!")</f>
        <v>#VALUE!</v>
      </c>
      <c r="BI251" t="str">
        <f ca="1">IFERROR(__xludf.DUMMYFUNCTION("""COMPUTED_VALUE"""),"#VALUE!")</f>
        <v>#VALUE!</v>
      </c>
      <c r="BK251" t="str">
        <f ca="1">IFERROR(__xludf.DUMMYFUNCTION("""COMPUTED_VALUE"""),"#VALUE!")</f>
        <v>#VALUE!</v>
      </c>
      <c r="BM251" t="str">
        <f ca="1">IFERROR(__xludf.DUMMYFUNCTION("""COMPUTED_VALUE"""),"#VALUE!")</f>
        <v>#VALUE!</v>
      </c>
      <c r="BO251" t="str">
        <f ca="1">IFERROR(__xludf.DUMMYFUNCTION("""COMPUTED_VALUE"""),"#VALUE!")</f>
        <v>#VALUE!</v>
      </c>
      <c r="BQ251" t="str">
        <f ca="1">IFERROR(__xludf.DUMMYFUNCTION("""COMPUTED_VALUE"""),"#VALUE!")</f>
        <v>#VALUE!</v>
      </c>
      <c r="BS251" t="str">
        <f ca="1">IFERROR(__xludf.DUMMYFUNCTION("""COMPUTED_VALUE"""),"#VALUE!")</f>
        <v>#VALUE!</v>
      </c>
      <c r="BU251" t="str">
        <f ca="1">IFERROR(__xludf.DUMMYFUNCTION("""COMPUTED_VALUE"""),"#VALUE!")</f>
        <v>#VALUE!</v>
      </c>
      <c r="BW251" t="str">
        <f ca="1">IFERROR(__xludf.DUMMYFUNCTION("""COMPUTED_VALUE"""),"#VALUE!")</f>
        <v>#VALUE!</v>
      </c>
      <c r="BY251" t="str">
        <f ca="1">IFERROR(__xludf.DUMMYFUNCTION("""COMPUTED_VALUE"""),"#VALUE!")</f>
        <v>#VALUE!</v>
      </c>
      <c r="CA251" t="str">
        <f ca="1">IFERROR(__xludf.DUMMYFUNCTION("""COMPUTED_VALUE"""),"#VALUE!")</f>
        <v>#VALUE!</v>
      </c>
      <c r="CC251" t="str">
        <f ca="1">IFERROR(__xludf.DUMMYFUNCTION("""COMPUTED_VALUE"""),"#VALUE!")</f>
        <v>#VALUE!</v>
      </c>
      <c r="CD251" t="str">
        <f ca="1">IFERROR(__xludf.DUMMYFUNCTION("""COMPUTED_VALUE"""),"C3598")</f>
        <v>C3598</v>
      </c>
      <c r="CE251" t="str">
        <f ca="1">IFERROR(__xludf.DUMMYFUNCTION("""COMPUTED_VALUE"""),"location of congregation")</f>
        <v>location of congregation</v>
      </c>
      <c r="CF251" t="str">
        <f ca="1">IFERROR(__xludf.DUMMYFUNCTION("""COMPUTED_VALUE"""),"L0077")</f>
        <v>L0077</v>
      </c>
      <c r="CG251" t="str">
        <f ca="1">IFERROR(__xludf.DUMMYFUNCTION("""COMPUTED_VALUE"""),"domus Margerite Borssete")</f>
        <v>domus Margerite Borssete</v>
      </c>
      <c r="CI251" t="str">
        <f ca="1">IFERROR(__xludf.DUMMYFUNCTION("""COMPUTED_VALUE"""),"#VALUE!")</f>
        <v>#VALUE!</v>
      </c>
      <c r="CK251" t="str">
        <f ca="1">IFERROR(__xludf.DUMMYFUNCTION("""COMPUTED_VALUE"""),"#VALUE!")</f>
        <v>#VALUE!</v>
      </c>
      <c r="CR251" t="str">
        <f ca="1">IFERROR(__xludf.DUMMYFUNCTION("""COMPUTED_VALUE"""),"L0002")</f>
        <v>L0002</v>
      </c>
      <c r="CS251" t="str">
        <f ca="1">IFERROR(__xludf.DUMMYFUNCTION("""COMPUTED_VALUE"""),"Coazze")</f>
        <v>Coazze</v>
      </c>
      <c r="CU251" t="str">
        <f ca="1">IFERROR(__xludf.DUMMYFUNCTION("""COMPUTED_VALUE"""),"#VALUE!")</f>
        <v>#VALUE!</v>
      </c>
      <c r="CW251" t="str">
        <f ca="1">IFERROR(__xludf.DUMMYFUNCTION("""COMPUTED_VALUE"""),"#VALUE!")</f>
        <v>#VALUE!</v>
      </c>
      <c r="CY251" t="str">
        <f ca="1">IFERROR(__xludf.DUMMYFUNCTION("""COMPUTED_VALUE"""),"#VALUE!")</f>
        <v>#VALUE!</v>
      </c>
      <c r="DC251" t="str">
        <f ca="1">IFERROR(__xludf.DUMMYFUNCTION("""COMPUTED_VALUE"""),"#VALUE!")</f>
        <v>#VALUE!</v>
      </c>
      <c r="DE251" t="str">
        <f ca="1">IFERROR(__xludf.DUMMYFUNCTION("""COMPUTED_VALUE"""),"#VALUE!")</f>
        <v>#VALUE!</v>
      </c>
      <c r="DH251" t="str">
        <f ca="1">IFERROR(__xludf.DUMMYFUNCTION("""COMPUTED_VALUE"""),"L0077")</f>
        <v>L0077</v>
      </c>
      <c r="DI251" t="str">
        <f ca="1">IFERROR(__xludf.DUMMYFUNCTION("""COMPUTED_VALUE"""),"domus Margerite Borssete")</f>
        <v>domus Margerite Borssete</v>
      </c>
      <c r="DJ251" t="str">
        <f ca="1">IFERROR(__xludf.DUMMYFUNCTION("""COMPUTED_VALUE"""),"domus")</f>
        <v>domus</v>
      </c>
      <c r="DL251" t="str">
        <f ca="1">IFERROR(__xludf.DUMMYFUNCTION("""COMPUTED_VALUE"""),"Davor Salihović")</f>
        <v>Davor Salihović</v>
      </c>
    </row>
    <row r="252" spans="1:116" ht="13.2" x14ac:dyDescent="0.25">
      <c r="A252" t="str">
        <f ca="1">IFERROR(__xludf.DUMMYFUNCTION("""COMPUTED_VALUE"""),"P0257")</f>
        <v>P0257</v>
      </c>
      <c r="B252" t="str">
        <f ca="1">IFERROR(__xludf.DUMMYFUNCTION("""COMPUTED_VALUE"""),"Andreas de Villelma")</f>
        <v>Andreas de Villelma</v>
      </c>
      <c r="D252" t="str">
        <f ca="1">IFERROR(__xludf.DUMMYFUNCTION("""COMPUTED_VALUE"""),"#VALUE!")</f>
        <v>#VALUE!</v>
      </c>
      <c r="E252" t="str">
        <f ca="1">IFERROR(__xludf.DUMMYFUNCTION("""COMPUTED_VALUE"""),"Andreas")</f>
        <v>Andreas</v>
      </c>
      <c r="K252" t="str">
        <f ca="1">IFERROR(__xludf.DUMMYFUNCTION("""COMPUTED_VALUE"""),"de Villelma")</f>
        <v>de Villelma</v>
      </c>
      <c r="L252" t="str">
        <f ca="1">IFERROR(__xludf.DUMMYFUNCTION("""COMPUTED_VALUE"""),"de Villelma")</f>
        <v>de Villelma</v>
      </c>
      <c r="P252" t="str">
        <f ca="1">IFERROR(__xludf.DUMMYFUNCTION("""COMPUTED_VALUE"""),"de Villelmina")</f>
        <v>de Villelmina</v>
      </c>
      <c r="S252" t="str">
        <f ca="1">IFERROR(__xludf.DUMMYFUNCTION("""COMPUTED_VALUE"""),"Latin")</f>
        <v>Latin</v>
      </c>
      <c r="T252" t="str">
        <f ca="1">IFERROR(__xludf.DUMMYFUNCTION("""COMPUTED_VALUE"""),"definite")</f>
        <v>definite</v>
      </c>
      <c r="U252" t="str">
        <f ca="1">IFERROR(__xludf.DUMMYFUNCTION("""COMPUTED_VALUE"""),"C2553")</f>
        <v>C2553</v>
      </c>
      <c r="V252" t="str">
        <f ca="1">IFERROR(__xludf.DUMMYFUNCTION("""COMPUTED_VALUE"""),"male")</f>
        <v>male</v>
      </c>
      <c r="Z252" t="str">
        <f ca="1">IFERROR(__xludf.DUMMYFUNCTION("""COMPUTED_VALUE"""),"185, 187, 195, 201, 215, 219, 230")</f>
        <v>185, 187, 195, 201, 215, 219, 230</v>
      </c>
      <c r="AA252" t="str">
        <f ca="1">IFERROR(__xludf.DUMMYFUNCTION("""COMPUTED_VALUE"""),"d")</f>
        <v>d</v>
      </c>
      <c r="AB252" t="str">
        <f ca="1">IFERROR(__xludf.DUMMYFUNCTION("""COMPUTED_VALUE"""),"suspect")</f>
        <v>suspect</v>
      </c>
      <c r="AE252" t="str">
        <f ca="1">IFERROR(__xludf.DUMMYFUNCTION("""COMPUTED_VALUE"""),"#VALUE!")</f>
        <v>#VALUE!</v>
      </c>
      <c r="AF252" t="str">
        <f ca="1">IFERROR(__xludf.DUMMYFUNCTION("""COMPUTED_VALUE"""),"#N/A")</f>
        <v>#N/A</v>
      </c>
      <c r="AG252" t="str">
        <f ca="1">IFERROR(__xludf.DUMMYFUNCTION("""COMPUTED_VALUE"""),"#N/A")</f>
        <v>#N/A</v>
      </c>
      <c r="AI252" t="str">
        <f ca="1">IFERROR(__xludf.DUMMYFUNCTION("""COMPUTED_VALUE"""),"#VALUE!")</f>
        <v>#VALUE!</v>
      </c>
      <c r="AK252" t="str">
        <f ca="1">IFERROR(__xludf.DUMMYFUNCTION("""COMPUTED_VALUE"""),"#VALUE!")</f>
        <v>#VALUE!</v>
      </c>
      <c r="AM252" t="str">
        <f ca="1">IFERROR(__xludf.DUMMYFUNCTION("""COMPUTED_VALUE"""),"#VALUE!")</f>
        <v>#VALUE!</v>
      </c>
      <c r="AO252" t="str">
        <f ca="1">IFERROR(__xludf.DUMMYFUNCTION("""COMPUTED_VALUE"""),"#VALUE!")</f>
        <v>#VALUE!</v>
      </c>
      <c r="AQ252" t="str">
        <f ca="1">IFERROR(__xludf.DUMMYFUNCTION("""COMPUTED_VALUE"""),"#VALUE!")</f>
        <v>#VALUE!</v>
      </c>
      <c r="AS252" t="str">
        <f ca="1">IFERROR(__xludf.DUMMYFUNCTION("""COMPUTED_VALUE"""),"#VALUE!")</f>
        <v>#VALUE!</v>
      </c>
      <c r="AU252" t="str">
        <f ca="1">IFERROR(__xludf.DUMMYFUNCTION("""COMPUTED_VALUE"""),"#VALUE!")</f>
        <v>#VALUE!</v>
      </c>
      <c r="AW252" t="str">
        <f ca="1">IFERROR(__xludf.DUMMYFUNCTION("""COMPUTED_VALUE"""),"#VALUE!")</f>
        <v>#VALUE!</v>
      </c>
      <c r="AY252" t="str">
        <f ca="1">IFERROR(__xludf.DUMMYFUNCTION("""COMPUTED_VALUE"""),"#VALUE!")</f>
        <v>#VALUE!</v>
      </c>
      <c r="BA252" t="str">
        <f ca="1">IFERROR(__xludf.DUMMYFUNCTION("""COMPUTED_VALUE"""),"#VALUE!")</f>
        <v>#VALUE!</v>
      </c>
      <c r="BC252" t="str">
        <f ca="1">IFERROR(__xludf.DUMMYFUNCTION("""COMPUTED_VALUE"""),"#VALUE!")</f>
        <v>#VALUE!</v>
      </c>
      <c r="BE252" t="str">
        <f ca="1">IFERROR(__xludf.DUMMYFUNCTION("""COMPUTED_VALUE"""),"#VALUE!")</f>
        <v>#VALUE!</v>
      </c>
      <c r="BG252" t="str">
        <f ca="1">IFERROR(__xludf.DUMMYFUNCTION("""COMPUTED_VALUE"""),"#VALUE!")</f>
        <v>#VALUE!</v>
      </c>
      <c r="BI252" t="str">
        <f ca="1">IFERROR(__xludf.DUMMYFUNCTION("""COMPUTED_VALUE"""),"#VALUE!")</f>
        <v>#VALUE!</v>
      </c>
      <c r="BK252" t="str">
        <f ca="1">IFERROR(__xludf.DUMMYFUNCTION("""COMPUTED_VALUE"""),"#VALUE!")</f>
        <v>#VALUE!</v>
      </c>
      <c r="BM252" t="str">
        <f ca="1">IFERROR(__xludf.DUMMYFUNCTION("""COMPUTED_VALUE"""),"#VALUE!")</f>
        <v>#VALUE!</v>
      </c>
      <c r="BO252" t="str">
        <f ca="1">IFERROR(__xludf.DUMMYFUNCTION("""COMPUTED_VALUE"""),"#VALUE!")</f>
        <v>#VALUE!</v>
      </c>
      <c r="BQ252" t="str">
        <f ca="1">IFERROR(__xludf.DUMMYFUNCTION("""COMPUTED_VALUE"""),"#VALUE!")</f>
        <v>#VALUE!</v>
      </c>
      <c r="BS252" t="str">
        <f ca="1">IFERROR(__xludf.DUMMYFUNCTION("""COMPUTED_VALUE"""),"#VALUE!")</f>
        <v>#VALUE!</v>
      </c>
      <c r="BU252" t="str">
        <f ca="1">IFERROR(__xludf.DUMMYFUNCTION("""COMPUTED_VALUE"""),"#VALUE!")</f>
        <v>#VALUE!</v>
      </c>
      <c r="BW252" t="str">
        <f ca="1">IFERROR(__xludf.DUMMYFUNCTION("""COMPUTED_VALUE"""),"#VALUE!")</f>
        <v>#VALUE!</v>
      </c>
      <c r="BY252" t="str">
        <f ca="1">IFERROR(__xludf.DUMMYFUNCTION("""COMPUTED_VALUE"""),"#VALUE!")</f>
        <v>#VALUE!</v>
      </c>
      <c r="CA252" t="str">
        <f ca="1">IFERROR(__xludf.DUMMYFUNCTION("""COMPUTED_VALUE"""),"#VALUE!")</f>
        <v>#VALUE!</v>
      </c>
      <c r="CC252" t="str">
        <f ca="1">IFERROR(__xludf.DUMMYFUNCTION("""COMPUTED_VALUE"""),"#VALUE!")</f>
        <v>#VALUE!</v>
      </c>
      <c r="CD252" t="str">
        <f ca="1">IFERROR(__xludf.DUMMYFUNCTION("""COMPUTED_VALUE"""),"C3598")</f>
        <v>C3598</v>
      </c>
      <c r="CE252" t="str">
        <f ca="1">IFERROR(__xludf.DUMMYFUNCTION("""COMPUTED_VALUE"""),"location of congregation")</f>
        <v>location of congregation</v>
      </c>
      <c r="CF252" t="str">
        <f ca="1">IFERROR(__xludf.DUMMYFUNCTION("""COMPUTED_VALUE"""),"L0077#L0079#L0096#L0032#L0117")</f>
        <v>L0077#L0079#L0096#L0032#L0117</v>
      </c>
      <c r="CG252" t="str">
        <f ca="1">IFERROR(__xludf.DUMMYFUNCTION("""COMPUTED_VALUE"""),"domus Margerite Borssete #domus Martinii Dominici #domus Iohannis de Bonaudo #domus Villelmi de Oddo #domus Michaelis de Fomia")</f>
        <v>domus Margerite Borssete #domus Martinii Dominici #domus Iohannis de Bonaudo #domus Villelmi de Oddo #domus Michaelis de Fomia</v>
      </c>
      <c r="CI252" t="str">
        <f ca="1">IFERROR(__xludf.DUMMYFUNCTION("""COMPUTED_VALUE"""),"#VALUE!")</f>
        <v>#VALUE!</v>
      </c>
      <c r="CK252" t="str">
        <f ca="1">IFERROR(__xludf.DUMMYFUNCTION("""COMPUTED_VALUE"""),"#VALUE!")</f>
        <v>#VALUE!</v>
      </c>
      <c r="CO252" t="str">
        <f ca="1">IFERROR(__xludf.DUMMYFUNCTION("""COMPUTED_VALUE"""),"de Villelmina")</f>
        <v>de Villelmina</v>
      </c>
      <c r="CR252" t="str">
        <f ca="1">IFERROR(__xludf.DUMMYFUNCTION("""COMPUTED_VALUE"""),"L0002")</f>
        <v>L0002</v>
      </c>
      <c r="CS252" t="str">
        <f ca="1">IFERROR(__xludf.DUMMYFUNCTION("""COMPUTED_VALUE"""),"Coazze")</f>
        <v>Coazze</v>
      </c>
      <c r="CU252" t="str">
        <f ca="1">IFERROR(__xludf.DUMMYFUNCTION("""COMPUTED_VALUE"""),"#VALUE!")</f>
        <v>#VALUE!</v>
      </c>
      <c r="CW252" t="str">
        <f ca="1">IFERROR(__xludf.DUMMYFUNCTION("""COMPUTED_VALUE"""),"#VALUE!")</f>
        <v>#VALUE!</v>
      </c>
      <c r="CY252" t="str">
        <f ca="1">IFERROR(__xludf.DUMMYFUNCTION("""COMPUTED_VALUE"""),"#VALUE!")</f>
        <v>#VALUE!</v>
      </c>
      <c r="DC252" t="str">
        <f ca="1">IFERROR(__xludf.DUMMYFUNCTION("""COMPUTED_VALUE"""),"#VALUE!")</f>
        <v>#VALUE!</v>
      </c>
      <c r="DE252" t="str">
        <f ca="1">IFERROR(__xludf.DUMMYFUNCTION("""COMPUTED_VALUE"""),"#VALUE!")</f>
        <v>#VALUE!</v>
      </c>
      <c r="DH252" t="str">
        <f ca="1">IFERROR(__xludf.DUMMYFUNCTION("""COMPUTED_VALUE"""),"L0077#L0079#L0096#L0032#L0117")</f>
        <v>L0077#L0079#L0096#L0032#L0117</v>
      </c>
      <c r="DI252" t="str">
        <f ca="1">IFERROR(__xludf.DUMMYFUNCTION("""COMPUTED_VALUE"""),"domus Margerite Borssete #domus Martinii Dominici #domus Iohannis de Bonaudo #domus Villelmi de Oddo #domus Michaelis de Fomia")</f>
        <v>domus Margerite Borssete #domus Martinii Dominici #domus Iohannis de Bonaudo #domus Villelmi de Oddo #domus Michaelis de Fomia</v>
      </c>
      <c r="DJ252" t="str">
        <f ca="1">IFERROR(__xludf.DUMMYFUNCTION("""COMPUTED_VALUE"""),"domus #domus #domus #domus #domus")</f>
        <v>domus #domus #domus #domus #domus</v>
      </c>
      <c r="DL252" t="str">
        <f ca="1">IFERROR(__xludf.DUMMYFUNCTION("""COMPUTED_VALUE"""),"Davor Salihović")</f>
        <v>Davor Salihović</v>
      </c>
    </row>
    <row r="253" spans="1:116" ht="13.2" x14ac:dyDescent="0.25">
      <c r="A253" t="str">
        <f ca="1">IFERROR(__xludf.DUMMYFUNCTION("""COMPUTED_VALUE"""),"P0258")</f>
        <v>P0258</v>
      </c>
      <c r="B253" t="str">
        <f ca="1">IFERROR(__xludf.DUMMYFUNCTION("""COMPUTED_VALUE"""),"Martinus")</f>
        <v>Martinus</v>
      </c>
      <c r="C253" t="str">
        <f ca="1">IFERROR(__xludf.DUMMYFUNCTION("""COMPUTED_VALUE"""),"C3519")</f>
        <v>C3519</v>
      </c>
      <c r="D253" t="str">
        <f ca="1">IFERROR(__xludf.DUMMYFUNCTION("""COMPUTED_VALUE"""),"seygnor")</f>
        <v>seygnor</v>
      </c>
      <c r="E253" t="str">
        <f ca="1">IFERROR(__xludf.DUMMYFUNCTION("""COMPUTED_VALUE"""),"Martinus")</f>
        <v>Martinus</v>
      </c>
      <c r="Q253" t="str">
        <f ca="1">IFERROR(__xludf.DUMMYFUNCTION("""COMPUTED_VALUE"""),"Valdensis")</f>
        <v>Valdensis</v>
      </c>
      <c r="S253" t="str">
        <f ca="1">IFERROR(__xludf.DUMMYFUNCTION("""COMPUTED_VALUE"""),"Latin")</f>
        <v>Latin</v>
      </c>
      <c r="T253" t="str">
        <f ca="1">IFERROR(__xludf.DUMMYFUNCTION("""COMPUTED_VALUE"""),"indefinite")</f>
        <v>indefinite</v>
      </c>
      <c r="U253" t="str">
        <f ca="1">IFERROR(__xludf.DUMMYFUNCTION("""COMPUTED_VALUE"""),"C2553")</f>
        <v>C2553</v>
      </c>
      <c r="V253" t="str">
        <f ca="1">IFERROR(__xludf.DUMMYFUNCTION("""COMPUTED_VALUE"""),"male")</f>
        <v>male</v>
      </c>
      <c r="Z253" t="str">
        <f ca="1">IFERROR(__xludf.DUMMYFUNCTION("""COMPUTED_VALUE"""),"185, 187")</f>
        <v>185, 187</v>
      </c>
      <c r="AA253" t="str">
        <f ca="1">IFERROR(__xludf.DUMMYFUNCTION("""COMPUTED_VALUE"""),"d")</f>
        <v>d</v>
      </c>
      <c r="AB253" t="str">
        <f ca="1">IFERROR(__xludf.DUMMYFUNCTION("""COMPUTED_VALUE"""),"NA")</f>
        <v>NA</v>
      </c>
      <c r="AE253" t="str">
        <f ca="1">IFERROR(__xludf.DUMMYFUNCTION("""COMPUTED_VALUE"""),"#VALUE!")</f>
        <v>#VALUE!</v>
      </c>
      <c r="AF253" t="str">
        <f ca="1">IFERROR(__xludf.DUMMYFUNCTION("""COMPUTED_VALUE"""),"#N/A")</f>
        <v>#N/A</v>
      </c>
      <c r="AG253" t="str">
        <f ca="1">IFERROR(__xludf.DUMMYFUNCTION("""COMPUTED_VALUE"""),"#N/A")</f>
        <v>#N/A</v>
      </c>
      <c r="AI253" t="str">
        <f ca="1">IFERROR(__xludf.DUMMYFUNCTION("""COMPUTED_VALUE"""),"#VALUE!")</f>
        <v>#VALUE!</v>
      </c>
      <c r="AK253" t="str">
        <f ca="1">IFERROR(__xludf.DUMMYFUNCTION("""COMPUTED_VALUE"""),"#VALUE!")</f>
        <v>#VALUE!</v>
      </c>
      <c r="AM253" t="str">
        <f ca="1">IFERROR(__xludf.DUMMYFUNCTION("""COMPUTED_VALUE"""),"#VALUE!")</f>
        <v>#VALUE!</v>
      </c>
      <c r="AO253" t="str">
        <f ca="1">IFERROR(__xludf.DUMMYFUNCTION("""COMPUTED_VALUE"""),"#VALUE!")</f>
        <v>#VALUE!</v>
      </c>
      <c r="AQ253" t="str">
        <f ca="1">IFERROR(__xludf.DUMMYFUNCTION("""COMPUTED_VALUE"""),"#VALUE!")</f>
        <v>#VALUE!</v>
      </c>
      <c r="AS253" t="str">
        <f ca="1">IFERROR(__xludf.DUMMYFUNCTION("""COMPUTED_VALUE"""),"#VALUE!")</f>
        <v>#VALUE!</v>
      </c>
      <c r="AU253" t="str">
        <f ca="1">IFERROR(__xludf.DUMMYFUNCTION("""COMPUTED_VALUE"""),"#VALUE!")</f>
        <v>#VALUE!</v>
      </c>
      <c r="AW253" t="str">
        <f ca="1">IFERROR(__xludf.DUMMYFUNCTION("""COMPUTED_VALUE"""),"#VALUE!")</f>
        <v>#VALUE!</v>
      </c>
      <c r="AY253" t="str">
        <f ca="1">IFERROR(__xludf.DUMMYFUNCTION("""COMPUTED_VALUE"""),"#VALUE!")</f>
        <v>#VALUE!</v>
      </c>
      <c r="BA253" t="str">
        <f ca="1">IFERROR(__xludf.DUMMYFUNCTION("""COMPUTED_VALUE"""),"#VALUE!")</f>
        <v>#VALUE!</v>
      </c>
      <c r="BC253" t="str">
        <f ca="1">IFERROR(__xludf.DUMMYFUNCTION("""COMPUTED_VALUE"""),"#VALUE!")</f>
        <v>#VALUE!</v>
      </c>
      <c r="BE253" t="str">
        <f ca="1">IFERROR(__xludf.DUMMYFUNCTION("""COMPUTED_VALUE"""),"#VALUE!")</f>
        <v>#VALUE!</v>
      </c>
      <c r="BG253" t="str">
        <f ca="1">IFERROR(__xludf.DUMMYFUNCTION("""COMPUTED_VALUE"""),"#VALUE!")</f>
        <v>#VALUE!</v>
      </c>
      <c r="BI253" t="str">
        <f ca="1">IFERROR(__xludf.DUMMYFUNCTION("""COMPUTED_VALUE"""),"#VALUE!")</f>
        <v>#VALUE!</v>
      </c>
      <c r="BK253" t="str">
        <f ca="1">IFERROR(__xludf.DUMMYFUNCTION("""COMPUTED_VALUE"""),"#VALUE!")</f>
        <v>#VALUE!</v>
      </c>
      <c r="BM253" t="str">
        <f ca="1">IFERROR(__xludf.DUMMYFUNCTION("""COMPUTED_VALUE"""),"#VALUE!")</f>
        <v>#VALUE!</v>
      </c>
      <c r="BO253" t="str">
        <f ca="1">IFERROR(__xludf.DUMMYFUNCTION("""COMPUTED_VALUE"""),"#VALUE!")</f>
        <v>#VALUE!</v>
      </c>
      <c r="BQ253" t="str">
        <f ca="1">IFERROR(__xludf.DUMMYFUNCTION("""COMPUTED_VALUE"""),"#VALUE!")</f>
        <v>#VALUE!</v>
      </c>
      <c r="BS253" t="str">
        <f ca="1">IFERROR(__xludf.DUMMYFUNCTION("""COMPUTED_VALUE"""),"#VALUE!")</f>
        <v>#VALUE!</v>
      </c>
      <c r="BU253" t="str">
        <f ca="1">IFERROR(__xludf.DUMMYFUNCTION("""COMPUTED_VALUE"""),"#VALUE!")</f>
        <v>#VALUE!</v>
      </c>
      <c r="BW253" t="str">
        <f ca="1">IFERROR(__xludf.DUMMYFUNCTION("""COMPUTED_VALUE"""),"#VALUE!")</f>
        <v>#VALUE!</v>
      </c>
      <c r="BY253" t="str">
        <f ca="1">IFERROR(__xludf.DUMMYFUNCTION("""COMPUTED_VALUE"""),"#VALUE!")</f>
        <v>#VALUE!</v>
      </c>
      <c r="CA253" t="str">
        <f ca="1">IFERROR(__xludf.DUMMYFUNCTION("""COMPUTED_VALUE"""),"#VALUE!")</f>
        <v>#VALUE!</v>
      </c>
      <c r="CC253" t="str">
        <f ca="1">IFERROR(__xludf.DUMMYFUNCTION("""COMPUTED_VALUE"""),"#VALUE!")</f>
        <v>#VALUE!</v>
      </c>
      <c r="CD253" t="str">
        <f ca="1">IFERROR(__xludf.DUMMYFUNCTION("""COMPUTED_VALUE"""),"C3598")</f>
        <v>C3598</v>
      </c>
      <c r="CE253" t="str">
        <f ca="1">IFERROR(__xludf.DUMMYFUNCTION("""COMPUTED_VALUE"""),"location of congregation")</f>
        <v>location of congregation</v>
      </c>
      <c r="CF253" t="str">
        <f ca="1">IFERROR(__xludf.DUMMYFUNCTION("""COMPUTED_VALUE"""),"L0066#L0079#L0081#L0078#L0089")</f>
        <v>L0066#L0079#L0081#L0078#L0089</v>
      </c>
      <c r="CG253" t="str">
        <f ca="1">IFERROR(__xludf.DUMMYFUNCTION("""COMPUTED_VALUE"""),"domus Bernardi de Rosseto #domus Martinii Dominici #domus Andree de Malessart #domus Facii de Papono #domus Iohannis de Facio Ferrandi")</f>
        <v>domus Bernardi de Rosseto #domus Martinii Dominici #domus Andree de Malessart #domus Facii de Papono #domus Iohannis de Facio Ferrandi</v>
      </c>
      <c r="CI253" t="str">
        <f ca="1">IFERROR(__xludf.DUMMYFUNCTION("""COMPUTED_VALUE"""),"#VALUE!")</f>
        <v>#VALUE!</v>
      </c>
      <c r="CK253" t="str">
        <f ca="1">IFERROR(__xludf.DUMMYFUNCTION("""COMPUTED_VALUE"""),"#VALUE!")</f>
        <v>#VALUE!</v>
      </c>
      <c r="CS253" t="str">
        <f ca="1">IFERROR(__xludf.DUMMYFUNCTION("""COMPUTED_VALUE"""),"#VALUE!")</f>
        <v>#VALUE!</v>
      </c>
      <c r="CU253" t="str">
        <f ca="1">IFERROR(__xludf.DUMMYFUNCTION("""COMPUTED_VALUE"""),"#VALUE!")</f>
        <v>#VALUE!</v>
      </c>
      <c r="CW253" t="str">
        <f ca="1">IFERROR(__xludf.DUMMYFUNCTION("""COMPUTED_VALUE"""),"#VALUE!")</f>
        <v>#VALUE!</v>
      </c>
      <c r="CX253" t="str">
        <f ca="1">IFERROR(__xludf.DUMMYFUNCTION("""COMPUTED_VALUE"""),"C3197")</f>
        <v>C3197</v>
      </c>
      <c r="CY253" t="str">
        <f ca="1">IFERROR(__xludf.DUMMYFUNCTION("""COMPUTED_VALUE"""),"Valdensis")</f>
        <v>Valdensis</v>
      </c>
      <c r="DA253" t="str">
        <f ca="1">IFERROR(__xludf.DUMMYFUNCTION("""COMPUTED_VALUE"""),"dissident minister")</f>
        <v>dissident minister</v>
      </c>
      <c r="DC253" t="str">
        <f ca="1">IFERROR(__xludf.DUMMYFUNCTION("""COMPUTED_VALUE"""),"#VALUE!")</f>
        <v>#VALUE!</v>
      </c>
      <c r="DD253" t="str">
        <f ca="1">IFERROR(__xludf.DUMMYFUNCTION("""COMPUTED_VALUE"""),"C3197")</f>
        <v>C3197</v>
      </c>
      <c r="DE253" t="str">
        <f ca="1">IFERROR(__xludf.DUMMYFUNCTION("""COMPUTED_VALUE"""),"Valdensis")</f>
        <v>Valdensis</v>
      </c>
      <c r="DH253" t="str">
        <f ca="1">IFERROR(__xludf.DUMMYFUNCTION("""COMPUTED_VALUE"""),"L0066#L0079#L0081#L0078#L0089")</f>
        <v>L0066#L0079#L0081#L0078#L0089</v>
      </c>
      <c r="DI253" t="str">
        <f ca="1">IFERROR(__xludf.DUMMYFUNCTION("""COMPUTED_VALUE"""),"domus Bernardi de Rosseto #domus Martinii Dominici #domus Andree de Malessart #domus Facii de Papono #domus Iohannis de Facio Ferrandi")</f>
        <v>domus Bernardi de Rosseto #domus Martinii Dominici #domus Andree de Malessart #domus Facii de Papono #domus Iohannis de Facio Ferrandi</v>
      </c>
      <c r="DJ253" t="str">
        <f ca="1">IFERROR(__xludf.DUMMYFUNCTION("""COMPUTED_VALUE"""),"domus #domus #domus #domus #domus")</f>
        <v>domus #domus #domus #domus #domus</v>
      </c>
      <c r="DK253" t="str">
        <f ca="1">IFERROR(__xludf.DUMMYFUNCTION("""COMPUTED_VALUE"""),"Probably Martinus Pastre, but could be Martinus de Lacu")</f>
        <v>Probably Martinus Pastre, but could be Martinus de Lacu</v>
      </c>
      <c r="DL253" t="str">
        <f ca="1">IFERROR(__xludf.DUMMYFUNCTION("""COMPUTED_VALUE"""),"Davor Salihović")</f>
        <v>Davor Salihović</v>
      </c>
    </row>
    <row r="254" spans="1:116" ht="13.2" x14ac:dyDescent="0.25">
      <c r="A254" t="str">
        <f ca="1">IFERROR(__xludf.DUMMYFUNCTION("""COMPUTED_VALUE"""),"P0259")</f>
        <v>P0259</v>
      </c>
      <c r="B254" t="str">
        <f ca="1">IFERROR(__xludf.DUMMYFUNCTION("""COMPUTED_VALUE"""),"Petrus Gaspardus")</f>
        <v>Petrus Gaspardus</v>
      </c>
      <c r="D254" t="str">
        <f ca="1">IFERROR(__xludf.DUMMYFUNCTION("""COMPUTED_VALUE"""),"#VALUE!")</f>
        <v>#VALUE!</v>
      </c>
      <c r="E254" t="str">
        <f ca="1">IFERROR(__xludf.DUMMYFUNCTION("""COMPUTED_VALUE"""),"Petrus")</f>
        <v>Petrus</v>
      </c>
      <c r="K254" t="str">
        <f ca="1">IFERROR(__xludf.DUMMYFUNCTION("""COMPUTED_VALUE"""),"Gaspardus")</f>
        <v>Gaspardus</v>
      </c>
      <c r="L254" t="str">
        <f ca="1">IFERROR(__xludf.DUMMYFUNCTION("""COMPUTED_VALUE"""),"Gaspardus")</f>
        <v>Gaspardus</v>
      </c>
      <c r="S254" t="str">
        <f ca="1">IFERROR(__xludf.DUMMYFUNCTION("""COMPUTED_VALUE"""),"Latin")</f>
        <v>Latin</v>
      </c>
      <c r="T254" t="str">
        <f ca="1">IFERROR(__xludf.DUMMYFUNCTION("""COMPUTED_VALUE"""),"definite")</f>
        <v>definite</v>
      </c>
      <c r="U254" t="str">
        <f ca="1">IFERROR(__xludf.DUMMYFUNCTION("""COMPUTED_VALUE"""),"C2553")</f>
        <v>C2553</v>
      </c>
      <c r="V254" t="str">
        <f ca="1">IFERROR(__xludf.DUMMYFUNCTION("""COMPUTED_VALUE"""),"male")</f>
        <v>male</v>
      </c>
      <c r="Z254" t="str">
        <f ca="1">IFERROR(__xludf.DUMMYFUNCTION("""COMPUTED_VALUE"""),"185, 189")</f>
        <v>185, 189</v>
      </c>
      <c r="AA254" t="str">
        <f ca="1">IFERROR(__xludf.DUMMYFUNCTION("""COMPUTED_VALUE"""),"d")</f>
        <v>d</v>
      </c>
      <c r="AB254" t="str">
        <f ca="1">IFERROR(__xludf.DUMMYFUNCTION("""COMPUTED_VALUE"""),"suspect")</f>
        <v>suspect</v>
      </c>
      <c r="AE254" t="str">
        <f ca="1">IFERROR(__xludf.DUMMYFUNCTION("""COMPUTED_VALUE"""),"#VALUE!")</f>
        <v>#VALUE!</v>
      </c>
      <c r="AF254" t="str">
        <f ca="1">IFERROR(__xludf.DUMMYFUNCTION("""COMPUTED_VALUE"""),"#N/A")</f>
        <v>#N/A</v>
      </c>
      <c r="AG254" t="str">
        <f ca="1">IFERROR(__xludf.DUMMYFUNCTION("""COMPUTED_VALUE"""),"#N/A")</f>
        <v>#N/A</v>
      </c>
      <c r="AH254" t="str">
        <f ca="1">IFERROR(__xludf.DUMMYFUNCTION("""COMPUTED_VALUE"""),"C2337")</f>
        <v>C2337</v>
      </c>
      <c r="AI254" t="str">
        <f ca="1">IFERROR(__xludf.DUMMYFUNCTION("""COMPUTED_VALUE"""),"brother")</f>
        <v>brother</v>
      </c>
      <c r="AJ254" t="str">
        <f ca="1">IFERROR(__xludf.DUMMYFUNCTION("""COMPUTED_VALUE"""),"P0260")</f>
        <v>P0260</v>
      </c>
      <c r="AK254" t="str">
        <f ca="1">IFERROR(__xludf.DUMMYFUNCTION("""COMPUTED_VALUE"""),"Gaspardus")</f>
        <v>Gaspardus</v>
      </c>
      <c r="AL254" t="str">
        <f ca="1">IFERROR(__xludf.DUMMYFUNCTION("""COMPUTED_VALUE"""),"C2341")</f>
        <v>C2341</v>
      </c>
      <c r="AM254" t="str">
        <f ca="1">IFERROR(__xludf.DUMMYFUNCTION("""COMPUTED_VALUE"""),"mother")</f>
        <v>mother</v>
      </c>
      <c r="AN254" t="str">
        <f ca="1">IFERROR(__xludf.DUMMYFUNCTION("""COMPUTED_VALUE"""),"P0281")</f>
        <v>P0281</v>
      </c>
      <c r="AO254" t="str">
        <f ca="1">IFERROR(__xludf.DUMMYFUNCTION("""COMPUTED_VALUE"""),"mater Petri Gaspardi")</f>
        <v>mater Petri Gaspardi</v>
      </c>
      <c r="AQ254" t="str">
        <f ca="1">IFERROR(__xludf.DUMMYFUNCTION("""COMPUTED_VALUE"""),"#VALUE!")</f>
        <v>#VALUE!</v>
      </c>
      <c r="AS254" t="str">
        <f ca="1">IFERROR(__xludf.DUMMYFUNCTION("""COMPUTED_VALUE"""),"#VALUE!")</f>
        <v>#VALUE!</v>
      </c>
      <c r="AU254" t="str">
        <f ca="1">IFERROR(__xludf.DUMMYFUNCTION("""COMPUTED_VALUE"""),"#VALUE!")</f>
        <v>#VALUE!</v>
      </c>
      <c r="AW254" t="str">
        <f ca="1">IFERROR(__xludf.DUMMYFUNCTION("""COMPUTED_VALUE"""),"#VALUE!")</f>
        <v>#VALUE!</v>
      </c>
      <c r="AY254" t="str">
        <f ca="1">IFERROR(__xludf.DUMMYFUNCTION("""COMPUTED_VALUE"""),"#VALUE!")</f>
        <v>#VALUE!</v>
      </c>
      <c r="BA254" t="str">
        <f ca="1">IFERROR(__xludf.DUMMYFUNCTION("""COMPUTED_VALUE"""),"#VALUE!")</f>
        <v>#VALUE!</v>
      </c>
      <c r="BC254" t="str">
        <f ca="1">IFERROR(__xludf.DUMMYFUNCTION("""COMPUTED_VALUE"""),"#VALUE!")</f>
        <v>#VALUE!</v>
      </c>
      <c r="BE254" t="str">
        <f ca="1">IFERROR(__xludf.DUMMYFUNCTION("""COMPUTED_VALUE"""),"#VALUE!")</f>
        <v>#VALUE!</v>
      </c>
      <c r="BG254" t="str">
        <f ca="1">IFERROR(__xludf.DUMMYFUNCTION("""COMPUTED_VALUE"""),"#VALUE!")</f>
        <v>#VALUE!</v>
      </c>
      <c r="BI254" t="str">
        <f ca="1">IFERROR(__xludf.DUMMYFUNCTION("""COMPUTED_VALUE"""),"#VALUE!")</f>
        <v>#VALUE!</v>
      </c>
      <c r="BK254" t="str">
        <f ca="1">IFERROR(__xludf.DUMMYFUNCTION("""COMPUTED_VALUE"""),"#VALUE!")</f>
        <v>#VALUE!</v>
      </c>
      <c r="BM254" t="str">
        <f ca="1">IFERROR(__xludf.DUMMYFUNCTION("""COMPUTED_VALUE"""),"#VALUE!")</f>
        <v>#VALUE!</v>
      </c>
      <c r="BO254" t="str">
        <f ca="1">IFERROR(__xludf.DUMMYFUNCTION("""COMPUTED_VALUE"""),"#VALUE!")</f>
        <v>#VALUE!</v>
      </c>
      <c r="BQ254" t="str">
        <f ca="1">IFERROR(__xludf.DUMMYFUNCTION("""COMPUTED_VALUE"""),"#VALUE!")</f>
        <v>#VALUE!</v>
      </c>
      <c r="BS254" t="str">
        <f ca="1">IFERROR(__xludf.DUMMYFUNCTION("""COMPUTED_VALUE"""),"#VALUE!")</f>
        <v>#VALUE!</v>
      </c>
      <c r="BU254" t="str">
        <f ca="1">IFERROR(__xludf.DUMMYFUNCTION("""COMPUTED_VALUE"""),"#VALUE!")</f>
        <v>#VALUE!</v>
      </c>
      <c r="BW254" t="str">
        <f ca="1">IFERROR(__xludf.DUMMYFUNCTION("""COMPUTED_VALUE"""),"#VALUE!")</f>
        <v>#VALUE!</v>
      </c>
      <c r="BY254" t="str">
        <f ca="1">IFERROR(__xludf.DUMMYFUNCTION("""COMPUTED_VALUE"""),"#VALUE!")</f>
        <v>#VALUE!</v>
      </c>
      <c r="CA254" t="str">
        <f ca="1">IFERROR(__xludf.DUMMYFUNCTION("""COMPUTED_VALUE"""),"#VALUE!")</f>
        <v>#VALUE!</v>
      </c>
      <c r="CC254" t="str">
        <f ca="1">IFERROR(__xludf.DUMMYFUNCTION("""COMPUTED_VALUE"""),"#VALUE!")</f>
        <v>#VALUE!</v>
      </c>
      <c r="CD254" t="str">
        <f ca="1">IFERROR(__xludf.DUMMYFUNCTION("""COMPUTED_VALUE"""),"C3598")</f>
        <v>C3598</v>
      </c>
      <c r="CE254" t="str">
        <f ca="1">IFERROR(__xludf.DUMMYFUNCTION("""COMPUTED_VALUE"""),"location of congregation")</f>
        <v>location of congregation</v>
      </c>
      <c r="CF254" t="str">
        <f ca="1">IFERROR(__xludf.DUMMYFUNCTION("""COMPUTED_VALUE"""),"L0066")</f>
        <v>L0066</v>
      </c>
      <c r="CG254" t="str">
        <f ca="1">IFERROR(__xludf.DUMMYFUNCTION("""COMPUTED_VALUE"""),"domus Bernardi de Rosseto")</f>
        <v>domus Bernardi de Rosseto</v>
      </c>
      <c r="CI254" t="str">
        <f ca="1">IFERROR(__xludf.DUMMYFUNCTION("""COMPUTED_VALUE"""),"#VALUE!")</f>
        <v>#VALUE!</v>
      </c>
      <c r="CK254" t="str">
        <f ca="1">IFERROR(__xludf.DUMMYFUNCTION("""COMPUTED_VALUE"""),"#VALUE!")</f>
        <v>#VALUE!</v>
      </c>
      <c r="CR254" t="str">
        <f ca="1">IFERROR(__xludf.DUMMYFUNCTION("""COMPUTED_VALUE"""),"L0002")</f>
        <v>L0002</v>
      </c>
      <c r="CS254" t="str">
        <f ca="1">IFERROR(__xludf.DUMMYFUNCTION("""COMPUTED_VALUE"""),"Coazze")</f>
        <v>Coazze</v>
      </c>
      <c r="CU254" t="str">
        <f ca="1">IFERROR(__xludf.DUMMYFUNCTION("""COMPUTED_VALUE"""),"#VALUE!")</f>
        <v>#VALUE!</v>
      </c>
      <c r="CW254" t="str">
        <f ca="1">IFERROR(__xludf.DUMMYFUNCTION("""COMPUTED_VALUE"""),"#VALUE!")</f>
        <v>#VALUE!</v>
      </c>
      <c r="CY254" t="str">
        <f ca="1">IFERROR(__xludf.DUMMYFUNCTION("""COMPUTED_VALUE"""),"#VALUE!")</f>
        <v>#VALUE!</v>
      </c>
      <c r="DC254" t="str">
        <f ca="1">IFERROR(__xludf.DUMMYFUNCTION("""COMPUTED_VALUE"""),"#VALUE!")</f>
        <v>#VALUE!</v>
      </c>
      <c r="DE254" t="str">
        <f ca="1">IFERROR(__xludf.DUMMYFUNCTION("""COMPUTED_VALUE"""),"#VALUE!")</f>
        <v>#VALUE!</v>
      </c>
      <c r="DH254" t="str">
        <f ca="1">IFERROR(__xludf.DUMMYFUNCTION("""COMPUTED_VALUE"""),"L0066")</f>
        <v>L0066</v>
      </c>
      <c r="DI254" t="str">
        <f ca="1">IFERROR(__xludf.DUMMYFUNCTION("""COMPUTED_VALUE"""),"domus Bernardi de Rosseto")</f>
        <v>domus Bernardi de Rosseto</v>
      </c>
      <c r="DJ254" t="str">
        <f ca="1">IFERROR(__xludf.DUMMYFUNCTION("""COMPUTED_VALUE"""),"domus")</f>
        <v>domus</v>
      </c>
      <c r="DL254" t="str">
        <f ca="1">IFERROR(__xludf.DUMMYFUNCTION("""COMPUTED_VALUE"""),"Davor Salihović")</f>
        <v>Davor Salihović</v>
      </c>
    </row>
    <row r="255" spans="1:116" ht="13.2" x14ac:dyDescent="0.25">
      <c r="A255" t="str">
        <f ca="1">IFERROR(__xludf.DUMMYFUNCTION("""COMPUTED_VALUE"""),"P0260")</f>
        <v>P0260</v>
      </c>
      <c r="B255" t="str">
        <f ca="1">IFERROR(__xludf.DUMMYFUNCTION("""COMPUTED_VALUE"""),"Gaspardus")</f>
        <v>Gaspardus</v>
      </c>
      <c r="D255" t="str">
        <f ca="1">IFERROR(__xludf.DUMMYFUNCTION("""COMPUTED_VALUE"""),"#VALUE!")</f>
        <v>#VALUE!</v>
      </c>
      <c r="E255" t="str">
        <f ca="1">IFERROR(__xludf.DUMMYFUNCTION("""COMPUTED_VALUE"""),"Gaspardus")</f>
        <v>Gaspardus</v>
      </c>
      <c r="S255" t="str">
        <f ca="1">IFERROR(__xludf.DUMMYFUNCTION("""COMPUTED_VALUE"""),"Latin")</f>
        <v>Latin</v>
      </c>
      <c r="T255" t="str">
        <f ca="1">IFERROR(__xludf.DUMMYFUNCTION("""COMPUTED_VALUE"""),"definite")</f>
        <v>definite</v>
      </c>
      <c r="U255" t="str">
        <f ca="1">IFERROR(__xludf.DUMMYFUNCTION("""COMPUTED_VALUE"""),"C2553")</f>
        <v>C2553</v>
      </c>
      <c r="V255" t="str">
        <f ca="1">IFERROR(__xludf.DUMMYFUNCTION("""COMPUTED_VALUE"""),"male")</f>
        <v>male</v>
      </c>
      <c r="Z255" t="str">
        <f ca="1">IFERROR(__xludf.DUMMYFUNCTION("""COMPUTED_VALUE"""),"185")</f>
        <v>185</v>
      </c>
      <c r="AA255" t="str">
        <f ca="1">IFERROR(__xludf.DUMMYFUNCTION("""COMPUTED_VALUE"""),"d")</f>
        <v>d</v>
      </c>
      <c r="AB255" t="str">
        <f ca="1">IFERROR(__xludf.DUMMYFUNCTION("""COMPUTED_VALUE"""),"suspect")</f>
        <v>suspect</v>
      </c>
      <c r="AE255" t="str">
        <f ca="1">IFERROR(__xludf.DUMMYFUNCTION("""COMPUTED_VALUE"""),"#VALUE!")</f>
        <v>#VALUE!</v>
      </c>
      <c r="AF255" t="str">
        <f ca="1">IFERROR(__xludf.DUMMYFUNCTION("""COMPUTED_VALUE"""),"#N/A")</f>
        <v>#N/A</v>
      </c>
      <c r="AG255" t="str">
        <f ca="1">IFERROR(__xludf.DUMMYFUNCTION("""COMPUTED_VALUE"""),"#N/A")</f>
        <v>#N/A</v>
      </c>
      <c r="AI255" t="str">
        <f ca="1">IFERROR(__xludf.DUMMYFUNCTION("""COMPUTED_VALUE"""),"#VALUE!")</f>
        <v>#VALUE!</v>
      </c>
      <c r="AK255" t="str">
        <f ca="1">IFERROR(__xludf.DUMMYFUNCTION("""COMPUTED_VALUE"""),"#VALUE!")</f>
        <v>#VALUE!</v>
      </c>
      <c r="AM255" t="str">
        <f ca="1">IFERROR(__xludf.DUMMYFUNCTION("""COMPUTED_VALUE"""),"#VALUE!")</f>
        <v>#VALUE!</v>
      </c>
      <c r="AO255" t="str">
        <f ca="1">IFERROR(__xludf.DUMMYFUNCTION("""COMPUTED_VALUE"""),"#VALUE!")</f>
        <v>#VALUE!</v>
      </c>
      <c r="AQ255" t="str">
        <f ca="1">IFERROR(__xludf.DUMMYFUNCTION("""COMPUTED_VALUE"""),"#VALUE!")</f>
        <v>#VALUE!</v>
      </c>
      <c r="AS255" t="str">
        <f ca="1">IFERROR(__xludf.DUMMYFUNCTION("""COMPUTED_VALUE"""),"#VALUE!")</f>
        <v>#VALUE!</v>
      </c>
      <c r="AU255" t="str">
        <f ca="1">IFERROR(__xludf.DUMMYFUNCTION("""COMPUTED_VALUE"""),"#VALUE!")</f>
        <v>#VALUE!</v>
      </c>
      <c r="AW255" t="str">
        <f ca="1">IFERROR(__xludf.DUMMYFUNCTION("""COMPUTED_VALUE"""),"#VALUE!")</f>
        <v>#VALUE!</v>
      </c>
      <c r="AY255" t="str">
        <f ca="1">IFERROR(__xludf.DUMMYFUNCTION("""COMPUTED_VALUE"""),"#VALUE!")</f>
        <v>#VALUE!</v>
      </c>
      <c r="BA255" t="str">
        <f ca="1">IFERROR(__xludf.DUMMYFUNCTION("""COMPUTED_VALUE"""),"#VALUE!")</f>
        <v>#VALUE!</v>
      </c>
      <c r="BC255" t="str">
        <f ca="1">IFERROR(__xludf.DUMMYFUNCTION("""COMPUTED_VALUE"""),"#VALUE!")</f>
        <v>#VALUE!</v>
      </c>
      <c r="BE255" t="str">
        <f ca="1">IFERROR(__xludf.DUMMYFUNCTION("""COMPUTED_VALUE"""),"#VALUE!")</f>
        <v>#VALUE!</v>
      </c>
      <c r="BG255" t="str">
        <f ca="1">IFERROR(__xludf.DUMMYFUNCTION("""COMPUTED_VALUE"""),"#VALUE!")</f>
        <v>#VALUE!</v>
      </c>
      <c r="BI255" t="str">
        <f ca="1">IFERROR(__xludf.DUMMYFUNCTION("""COMPUTED_VALUE"""),"#VALUE!")</f>
        <v>#VALUE!</v>
      </c>
      <c r="BK255" t="str">
        <f ca="1">IFERROR(__xludf.DUMMYFUNCTION("""COMPUTED_VALUE"""),"#VALUE!")</f>
        <v>#VALUE!</v>
      </c>
      <c r="BM255" t="str">
        <f ca="1">IFERROR(__xludf.DUMMYFUNCTION("""COMPUTED_VALUE"""),"#VALUE!")</f>
        <v>#VALUE!</v>
      </c>
      <c r="BO255" t="str">
        <f ca="1">IFERROR(__xludf.DUMMYFUNCTION("""COMPUTED_VALUE"""),"#VALUE!")</f>
        <v>#VALUE!</v>
      </c>
      <c r="BQ255" t="str">
        <f ca="1">IFERROR(__xludf.DUMMYFUNCTION("""COMPUTED_VALUE"""),"#VALUE!")</f>
        <v>#VALUE!</v>
      </c>
      <c r="BS255" t="str">
        <f ca="1">IFERROR(__xludf.DUMMYFUNCTION("""COMPUTED_VALUE"""),"#VALUE!")</f>
        <v>#VALUE!</v>
      </c>
      <c r="BU255" t="str">
        <f ca="1">IFERROR(__xludf.DUMMYFUNCTION("""COMPUTED_VALUE"""),"#VALUE!")</f>
        <v>#VALUE!</v>
      </c>
      <c r="BW255" t="str">
        <f ca="1">IFERROR(__xludf.DUMMYFUNCTION("""COMPUTED_VALUE"""),"#VALUE!")</f>
        <v>#VALUE!</v>
      </c>
      <c r="BY255" t="str">
        <f ca="1">IFERROR(__xludf.DUMMYFUNCTION("""COMPUTED_VALUE"""),"#VALUE!")</f>
        <v>#VALUE!</v>
      </c>
      <c r="CA255" t="str">
        <f ca="1">IFERROR(__xludf.DUMMYFUNCTION("""COMPUTED_VALUE"""),"#VALUE!")</f>
        <v>#VALUE!</v>
      </c>
      <c r="CC255" t="str">
        <f ca="1">IFERROR(__xludf.DUMMYFUNCTION("""COMPUTED_VALUE"""),"#VALUE!")</f>
        <v>#VALUE!</v>
      </c>
      <c r="CD255" t="str">
        <f ca="1">IFERROR(__xludf.DUMMYFUNCTION("""COMPUTED_VALUE"""),"C3598")</f>
        <v>C3598</v>
      </c>
      <c r="CE255" t="str">
        <f ca="1">IFERROR(__xludf.DUMMYFUNCTION("""COMPUTED_VALUE"""),"location of congregation")</f>
        <v>location of congregation</v>
      </c>
      <c r="CF255" t="str">
        <f ca="1">IFERROR(__xludf.DUMMYFUNCTION("""COMPUTED_VALUE"""),"L0066")</f>
        <v>L0066</v>
      </c>
      <c r="CG255" t="str">
        <f ca="1">IFERROR(__xludf.DUMMYFUNCTION("""COMPUTED_VALUE"""),"domus Bernardi de Rosseto")</f>
        <v>domus Bernardi de Rosseto</v>
      </c>
      <c r="CI255" t="str">
        <f ca="1">IFERROR(__xludf.DUMMYFUNCTION("""COMPUTED_VALUE"""),"#VALUE!")</f>
        <v>#VALUE!</v>
      </c>
      <c r="CK255" t="str">
        <f ca="1">IFERROR(__xludf.DUMMYFUNCTION("""COMPUTED_VALUE"""),"#VALUE!")</f>
        <v>#VALUE!</v>
      </c>
      <c r="CR255" t="str">
        <f ca="1">IFERROR(__xludf.DUMMYFUNCTION("""COMPUTED_VALUE"""),"L0002")</f>
        <v>L0002</v>
      </c>
      <c r="CS255" t="str">
        <f ca="1">IFERROR(__xludf.DUMMYFUNCTION("""COMPUTED_VALUE"""),"Coazze")</f>
        <v>Coazze</v>
      </c>
      <c r="CU255" t="str">
        <f ca="1">IFERROR(__xludf.DUMMYFUNCTION("""COMPUTED_VALUE"""),"#VALUE!")</f>
        <v>#VALUE!</v>
      </c>
      <c r="CW255" t="str">
        <f ca="1">IFERROR(__xludf.DUMMYFUNCTION("""COMPUTED_VALUE"""),"#VALUE!")</f>
        <v>#VALUE!</v>
      </c>
      <c r="CY255" t="str">
        <f ca="1">IFERROR(__xludf.DUMMYFUNCTION("""COMPUTED_VALUE"""),"#VALUE!")</f>
        <v>#VALUE!</v>
      </c>
      <c r="DC255" t="str">
        <f ca="1">IFERROR(__xludf.DUMMYFUNCTION("""COMPUTED_VALUE"""),"#VALUE!")</f>
        <v>#VALUE!</v>
      </c>
      <c r="DE255" t="str">
        <f ca="1">IFERROR(__xludf.DUMMYFUNCTION("""COMPUTED_VALUE"""),"#VALUE!")</f>
        <v>#VALUE!</v>
      </c>
      <c r="DH255" t="str">
        <f ca="1">IFERROR(__xludf.DUMMYFUNCTION("""COMPUTED_VALUE"""),"L0066")</f>
        <v>L0066</v>
      </c>
      <c r="DI255" t="str">
        <f ca="1">IFERROR(__xludf.DUMMYFUNCTION("""COMPUTED_VALUE"""),"domus Bernardi de Rosseto")</f>
        <v>domus Bernardi de Rosseto</v>
      </c>
      <c r="DJ255" t="str">
        <f ca="1">IFERROR(__xludf.DUMMYFUNCTION("""COMPUTED_VALUE"""),"domus")</f>
        <v>domus</v>
      </c>
      <c r="DL255" t="str">
        <f ca="1">IFERROR(__xludf.DUMMYFUNCTION("""COMPUTED_VALUE"""),"Davor Salihović")</f>
        <v>Davor Salihović</v>
      </c>
    </row>
    <row r="256" spans="1:116" ht="13.2" x14ac:dyDescent="0.25">
      <c r="A256" t="str">
        <f ca="1">IFERROR(__xludf.DUMMYFUNCTION("""COMPUTED_VALUE"""),"P0261")</f>
        <v>P0261</v>
      </c>
      <c r="B256" t="str">
        <f ca="1">IFERROR(__xludf.DUMMYFUNCTION("""COMPUTED_VALUE"""),"Andreeta, uxor Bruneti de Rosseto")</f>
        <v>Andreeta, uxor Bruneti de Rosseto</v>
      </c>
      <c r="D256" t="str">
        <f ca="1">IFERROR(__xludf.DUMMYFUNCTION("""COMPUTED_VALUE"""),"#VALUE!")</f>
        <v>#VALUE!</v>
      </c>
      <c r="E256" t="str">
        <f ca="1">IFERROR(__xludf.DUMMYFUNCTION("""COMPUTED_VALUE"""),"Andreeta")</f>
        <v>Andreeta</v>
      </c>
      <c r="Q256" t="str">
        <f ca="1">IFERROR(__xludf.DUMMYFUNCTION("""COMPUTED_VALUE"""),"uxor Bruneti de Rosseto")</f>
        <v>uxor Bruneti de Rosseto</v>
      </c>
      <c r="S256" t="str">
        <f ca="1">IFERROR(__xludf.DUMMYFUNCTION("""COMPUTED_VALUE"""),"Latin")</f>
        <v>Latin</v>
      </c>
      <c r="T256" t="str">
        <f ca="1">IFERROR(__xludf.DUMMYFUNCTION("""COMPUTED_VALUE"""),"definite")</f>
        <v>definite</v>
      </c>
      <c r="U256" t="str">
        <f ca="1">IFERROR(__xludf.DUMMYFUNCTION("""COMPUTED_VALUE"""),"C2552")</f>
        <v>C2552</v>
      </c>
      <c r="V256" t="str">
        <f ca="1">IFERROR(__xludf.DUMMYFUNCTION("""COMPUTED_VALUE"""),"female")</f>
        <v>female</v>
      </c>
      <c r="Z256" t="str">
        <f ca="1">IFERROR(__xludf.DUMMYFUNCTION("""COMPUTED_VALUE"""),"185, 189, 206, 207, 215")</f>
        <v>185, 189, 206, 207, 215</v>
      </c>
      <c r="AA256" t="str">
        <f ca="1">IFERROR(__xludf.DUMMYFUNCTION("""COMPUTED_VALUE"""),"d")</f>
        <v>d</v>
      </c>
      <c r="AB256" t="str">
        <f ca="1">IFERROR(__xludf.DUMMYFUNCTION("""COMPUTED_VALUE"""),"suspect")</f>
        <v>suspect</v>
      </c>
      <c r="AE256" t="str">
        <f ca="1">IFERROR(__xludf.DUMMYFUNCTION("""COMPUTED_VALUE"""),"#VALUE!")</f>
        <v>#VALUE!</v>
      </c>
      <c r="AF256" t="str">
        <f ca="1">IFERROR(__xludf.DUMMYFUNCTION("""COMPUTED_VALUE"""),"#N/A")</f>
        <v>#N/A</v>
      </c>
      <c r="AG256" t="str">
        <f ca="1">IFERROR(__xludf.DUMMYFUNCTION("""COMPUTED_VALUE"""),"#N/A")</f>
        <v>#N/A</v>
      </c>
      <c r="AI256" t="str">
        <f ca="1">IFERROR(__xludf.DUMMYFUNCTION("""COMPUTED_VALUE"""),"#VALUE!")</f>
        <v>#VALUE!</v>
      </c>
      <c r="AK256" t="str">
        <f ca="1">IFERROR(__xludf.DUMMYFUNCTION("""COMPUTED_VALUE"""),"#VALUE!")</f>
        <v>#VALUE!</v>
      </c>
      <c r="AM256" t="str">
        <f ca="1">IFERROR(__xludf.DUMMYFUNCTION("""COMPUTED_VALUE"""),"#VALUE!")</f>
        <v>#VALUE!</v>
      </c>
      <c r="AO256" t="str">
        <f ca="1">IFERROR(__xludf.DUMMYFUNCTION("""COMPUTED_VALUE"""),"#VALUE!")</f>
        <v>#VALUE!</v>
      </c>
      <c r="AQ256" t="str">
        <f ca="1">IFERROR(__xludf.DUMMYFUNCTION("""COMPUTED_VALUE"""),"#VALUE!")</f>
        <v>#VALUE!</v>
      </c>
      <c r="AS256" t="str">
        <f ca="1">IFERROR(__xludf.DUMMYFUNCTION("""COMPUTED_VALUE"""),"#VALUE!")</f>
        <v>#VALUE!</v>
      </c>
      <c r="AU256" t="str">
        <f ca="1">IFERROR(__xludf.DUMMYFUNCTION("""COMPUTED_VALUE"""),"#VALUE!")</f>
        <v>#VALUE!</v>
      </c>
      <c r="AW256" t="str">
        <f ca="1">IFERROR(__xludf.DUMMYFUNCTION("""COMPUTED_VALUE"""),"#VALUE!")</f>
        <v>#VALUE!</v>
      </c>
      <c r="AY256" t="str">
        <f ca="1">IFERROR(__xludf.DUMMYFUNCTION("""COMPUTED_VALUE"""),"#VALUE!")</f>
        <v>#VALUE!</v>
      </c>
      <c r="BA256" t="str">
        <f ca="1">IFERROR(__xludf.DUMMYFUNCTION("""COMPUTED_VALUE"""),"#VALUE!")</f>
        <v>#VALUE!</v>
      </c>
      <c r="BC256" t="str">
        <f ca="1">IFERROR(__xludf.DUMMYFUNCTION("""COMPUTED_VALUE"""),"#VALUE!")</f>
        <v>#VALUE!</v>
      </c>
      <c r="BE256" t="str">
        <f ca="1">IFERROR(__xludf.DUMMYFUNCTION("""COMPUTED_VALUE"""),"#VALUE!")</f>
        <v>#VALUE!</v>
      </c>
      <c r="BG256" t="str">
        <f ca="1">IFERROR(__xludf.DUMMYFUNCTION("""COMPUTED_VALUE"""),"#VALUE!")</f>
        <v>#VALUE!</v>
      </c>
      <c r="BI256" t="str">
        <f ca="1">IFERROR(__xludf.DUMMYFUNCTION("""COMPUTED_VALUE"""),"#VALUE!")</f>
        <v>#VALUE!</v>
      </c>
      <c r="BK256" t="str">
        <f ca="1">IFERROR(__xludf.DUMMYFUNCTION("""COMPUTED_VALUE"""),"#VALUE!")</f>
        <v>#VALUE!</v>
      </c>
      <c r="BM256" t="str">
        <f ca="1">IFERROR(__xludf.DUMMYFUNCTION("""COMPUTED_VALUE"""),"#VALUE!")</f>
        <v>#VALUE!</v>
      </c>
      <c r="BO256" t="str">
        <f ca="1">IFERROR(__xludf.DUMMYFUNCTION("""COMPUTED_VALUE"""),"#VALUE!")</f>
        <v>#VALUE!</v>
      </c>
      <c r="BQ256" t="str">
        <f ca="1">IFERROR(__xludf.DUMMYFUNCTION("""COMPUTED_VALUE"""),"#VALUE!")</f>
        <v>#VALUE!</v>
      </c>
      <c r="BS256" t="str">
        <f ca="1">IFERROR(__xludf.DUMMYFUNCTION("""COMPUTED_VALUE"""),"#VALUE!")</f>
        <v>#VALUE!</v>
      </c>
      <c r="BU256" t="str">
        <f ca="1">IFERROR(__xludf.DUMMYFUNCTION("""COMPUTED_VALUE"""),"#VALUE!")</f>
        <v>#VALUE!</v>
      </c>
      <c r="BW256" t="str">
        <f ca="1">IFERROR(__xludf.DUMMYFUNCTION("""COMPUTED_VALUE"""),"#VALUE!")</f>
        <v>#VALUE!</v>
      </c>
      <c r="BY256" t="str">
        <f ca="1">IFERROR(__xludf.DUMMYFUNCTION("""COMPUTED_VALUE"""),"#VALUE!")</f>
        <v>#VALUE!</v>
      </c>
      <c r="CA256" t="str">
        <f ca="1">IFERROR(__xludf.DUMMYFUNCTION("""COMPUTED_VALUE"""),"#VALUE!")</f>
        <v>#VALUE!</v>
      </c>
      <c r="CC256" t="str">
        <f ca="1">IFERROR(__xludf.DUMMYFUNCTION("""COMPUTED_VALUE"""),"#VALUE!")</f>
        <v>#VALUE!</v>
      </c>
      <c r="CD256" t="str">
        <f ca="1">IFERROR(__xludf.DUMMYFUNCTION("""COMPUTED_VALUE"""),"C3598")</f>
        <v>C3598</v>
      </c>
      <c r="CE256" t="str">
        <f ca="1">IFERROR(__xludf.DUMMYFUNCTION("""COMPUTED_VALUE"""),"location of congregation")</f>
        <v>location of congregation</v>
      </c>
      <c r="CF256" t="str">
        <f ca="1">IFERROR(__xludf.DUMMYFUNCTION("""COMPUTED_VALUE"""),"L0066#L0087#L0105#L0115")</f>
        <v>L0066#L0087#L0105#L0115</v>
      </c>
      <c r="CG256" t="str">
        <f ca="1">IFERROR(__xludf.DUMMYFUNCTION("""COMPUTED_VALUE"""),"domus Bernardi de Rosseto #domus Petri de Rosseto #domus de Rossetis #domus Agnessone de Rosseto")</f>
        <v>domus Bernardi de Rosseto #domus Petri de Rosseto #domus de Rossetis #domus Agnessone de Rosseto</v>
      </c>
      <c r="CI256" t="str">
        <f ca="1">IFERROR(__xludf.DUMMYFUNCTION("""COMPUTED_VALUE"""),"#VALUE!")</f>
        <v>#VALUE!</v>
      </c>
      <c r="CK256" t="str">
        <f ca="1">IFERROR(__xludf.DUMMYFUNCTION("""COMPUTED_VALUE"""),"#VALUE!")</f>
        <v>#VALUE!</v>
      </c>
      <c r="CS256" t="str">
        <f ca="1">IFERROR(__xludf.DUMMYFUNCTION("""COMPUTED_VALUE"""),"#VALUE!")</f>
        <v>#VALUE!</v>
      </c>
      <c r="CU256" t="str">
        <f ca="1">IFERROR(__xludf.DUMMYFUNCTION("""COMPUTED_VALUE"""),"#VALUE!")</f>
        <v>#VALUE!</v>
      </c>
      <c r="CW256" t="str">
        <f ca="1">IFERROR(__xludf.DUMMYFUNCTION("""COMPUTED_VALUE"""),"#VALUE!")</f>
        <v>#VALUE!</v>
      </c>
      <c r="CY256" t="str">
        <f ca="1">IFERROR(__xludf.DUMMYFUNCTION("""COMPUTED_VALUE"""),"#VALUE!")</f>
        <v>#VALUE!</v>
      </c>
      <c r="DC256" t="str">
        <f ca="1">IFERROR(__xludf.DUMMYFUNCTION("""COMPUTED_VALUE"""),"#VALUE!")</f>
        <v>#VALUE!</v>
      </c>
      <c r="DE256" t="str">
        <f ca="1">IFERROR(__xludf.DUMMYFUNCTION("""COMPUTED_VALUE"""),"#VALUE!")</f>
        <v>#VALUE!</v>
      </c>
      <c r="DH256" t="str">
        <f ca="1">IFERROR(__xludf.DUMMYFUNCTION("""COMPUTED_VALUE"""),"L0066#L0087#L0105#L0115")</f>
        <v>L0066#L0087#L0105#L0115</v>
      </c>
      <c r="DI256" t="str">
        <f ca="1">IFERROR(__xludf.DUMMYFUNCTION("""COMPUTED_VALUE"""),"domus Bernardi de Rosseto #domus Petri de Rosseto #domus de Rossetis #domus Agnessone de Rosseto")</f>
        <v>domus Bernardi de Rosseto #domus Petri de Rosseto #domus de Rossetis #domus Agnessone de Rosseto</v>
      </c>
      <c r="DJ256" t="str">
        <f ca="1">IFERROR(__xludf.DUMMYFUNCTION("""COMPUTED_VALUE"""),"domus #domus #domus #domus")</f>
        <v>domus #domus #domus #domus</v>
      </c>
      <c r="DL256" t="str">
        <f ca="1">IFERROR(__xludf.DUMMYFUNCTION("""COMPUTED_VALUE"""),"Davor Salihović")</f>
        <v>Davor Salihović</v>
      </c>
    </row>
    <row r="257" spans="1:116" ht="13.2" x14ac:dyDescent="0.25">
      <c r="A257" t="str">
        <f ca="1">IFERROR(__xludf.DUMMYFUNCTION("""COMPUTED_VALUE"""),"P0263")</f>
        <v>P0263</v>
      </c>
      <c r="B257" t="str">
        <f ca="1">IFERROR(__xludf.DUMMYFUNCTION("""COMPUTED_VALUE"""),"Iohannes Pellicerii")</f>
        <v>Iohannes Pellicerii</v>
      </c>
      <c r="D257" t="str">
        <f ca="1">IFERROR(__xludf.DUMMYFUNCTION("""COMPUTED_VALUE"""),"#VALUE!")</f>
        <v>#VALUE!</v>
      </c>
      <c r="E257" t="str">
        <f ca="1">IFERROR(__xludf.DUMMYFUNCTION("""COMPUTED_VALUE"""),"Iohannes")</f>
        <v>Iohannes</v>
      </c>
      <c r="K257" t="str">
        <f ca="1">IFERROR(__xludf.DUMMYFUNCTION("""COMPUTED_VALUE"""),"Pellicerii")</f>
        <v>Pellicerii</v>
      </c>
      <c r="L257" t="str">
        <f ca="1">IFERROR(__xludf.DUMMYFUNCTION("""COMPUTED_VALUE"""),"Pellicerii")</f>
        <v>Pellicerii</v>
      </c>
      <c r="S257" t="str">
        <f ca="1">IFERROR(__xludf.DUMMYFUNCTION("""COMPUTED_VALUE"""),"Latin")</f>
        <v>Latin</v>
      </c>
      <c r="T257" t="str">
        <f ca="1">IFERROR(__xludf.DUMMYFUNCTION("""COMPUTED_VALUE"""),"definite")</f>
        <v>definite</v>
      </c>
      <c r="U257" t="str">
        <f ca="1">IFERROR(__xludf.DUMMYFUNCTION("""COMPUTED_VALUE"""),"C2553")</f>
        <v>C2553</v>
      </c>
      <c r="V257" t="str">
        <f ca="1">IFERROR(__xludf.DUMMYFUNCTION("""COMPUTED_VALUE"""),"male")</f>
        <v>male</v>
      </c>
      <c r="Z257" t="str">
        <f ca="1">IFERROR(__xludf.DUMMYFUNCTION("""COMPUTED_VALUE"""),"186")</f>
        <v>186</v>
      </c>
      <c r="AA257" t="str">
        <f ca="1">IFERROR(__xludf.DUMMYFUNCTION("""COMPUTED_VALUE"""),"d")</f>
        <v>d</v>
      </c>
      <c r="AB257" t="str">
        <f ca="1">IFERROR(__xludf.DUMMYFUNCTION("""COMPUTED_VALUE"""),"NA")</f>
        <v>NA</v>
      </c>
      <c r="AD257" t="str">
        <f ca="1">IFERROR(__xludf.DUMMYFUNCTION("""COMPUTED_VALUE"""),"C3287")</f>
        <v>C3287</v>
      </c>
      <c r="AE257" t="str">
        <f ca="1">IFERROR(__xludf.DUMMYFUNCTION("""COMPUTED_VALUE"""),"alive")</f>
        <v>alive</v>
      </c>
      <c r="AF257" t="str">
        <f ca="1">IFERROR(__xludf.DUMMYFUNCTION("""COMPUTED_VALUE"""),"C1753")</f>
        <v>C1753</v>
      </c>
      <c r="AG257" t="str">
        <f ca="1">IFERROR(__xludf.DUMMYFUNCTION("""COMPUTED_VALUE"""),"1335-01-20")</f>
        <v>1335-01-20</v>
      </c>
      <c r="AI257" t="str">
        <f ca="1">IFERROR(__xludf.DUMMYFUNCTION("""COMPUTED_VALUE"""),"#VALUE!")</f>
        <v>#VALUE!</v>
      </c>
      <c r="AK257" t="str">
        <f ca="1">IFERROR(__xludf.DUMMYFUNCTION("""COMPUTED_VALUE"""),"#VALUE!")</f>
        <v>#VALUE!</v>
      </c>
      <c r="AM257" t="str">
        <f ca="1">IFERROR(__xludf.DUMMYFUNCTION("""COMPUTED_VALUE"""),"#VALUE!")</f>
        <v>#VALUE!</v>
      </c>
      <c r="AO257" t="str">
        <f ca="1">IFERROR(__xludf.DUMMYFUNCTION("""COMPUTED_VALUE"""),"#VALUE!")</f>
        <v>#VALUE!</v>
      </c>
      <c r="AQ257" t="str">
        <f ca="1">IFERROR(__xludf.DUMMYFUNCTION("""COMPUTED_VALUE"""),"#VALUE!")</f>
        <v>#VALUE!</v>
      </c>
      <c r="AS257" t="str">
        <f ca="1">IFERROR(__xludf.DUMMYFUNCTION("""COMPUTED_VALUE"""),"#VALUE!")</f>
        <v>#VALUE!</v>
      </c>
      <c r="AU257" t="str">
        <f ca="1">IFERROR(__xludf.DUMMYFUNCTION("""COMPUTED_VALUE"""),"#VALUE!")</f>
        <v>#VALUE!</v>
      </c>
      <c r="AW257" t="str">
        <f ca="1">IFERROR(__xludf.DUMMYFUNCTION("""COMPUTED_VALUE"""),"#VALUE!")</f>
        <v>#VALUE!</v>
      </c>
      <c r="AY257" t="str">
        <f ca="1">IFERROR(__xludf.DUMMYFUNCTION("""COMPUTED_VALUE"""),"#VALUE!")</f>
        <v>#VALUE!</v>
      </c>
      <c r="BA257" t="str">
        <f ca="1">IFERROR(__xludf.DUMMYFUNCTION("""COMPUTED_VALUE"""),"#VALUE!")</f>
        <v>#VALUE!</v>
      </c>
      <c r="BC257" t="str">
        <f ca="1">IFERROR(__xludf.DUMMYFUNCTION("""COMPUTED_VALUE"""),"#VALUE!")</f>
        <v>#VALUE!</v>
      </c>
      <c r="BE257" t="str">
        <f ca="1">IFERROR(__xludf.DUMMYFUNCTION("""COMPUTED_VALUE"""),"#VALUE!")</f>
        <v>#VALUE!</v>
      </c>
      <c r="BG257" t="str">
        <f ca="1">IFERROR(__xludf.DUMMYFUNCTION("""COMPUTED_VALUE"""),"#VALUE!")</f>
        <v>#VALUE!</v>
      </c>
      <c r="BI257" t="str">
        <f ca="1">IFERROR(__xludf.DUMMYFUNCTION("""COMPUTED_VALUE"""),"#VALUE!")</f>
        <v>#VALUE!</v>
      </c>
      <c r="BK257" t="str">
        <f ca="1">IFERROR(__xludf.DUMMYFUNCTION("""COMPUTED_VALUE"""),"#VALUE!")</f>
        <v>#VALUE!</v>
      </c>
      <c r="BM257" t="str">
        <f ca="1">IFERROR(__xludf.DUMMYFUNCTION("""COMPUTED_VALUE"""),"#VALUE!")</f>
        <v>#VALUE!</v>
      </c>
      <c r="BO257" t="str">
        <f ca="1">IFERROR(__xludf.DUMMYFUNCTION("""COMPUTED_VALUE"""),"#VALUE!")</f>
        <v>#VALUE!</v>
      </c>
      <c r="BQ257" t="str">
        <f ca="1">IFERROR(__xludf.DUMMYFUNCTION("""COMPUTED_VALUE"""),"#VALUE!")</f>
        <v>#VALUE!</v>
      </c>
      <c r="BS257" t="str">
        <f ca="1">IFERROR(__xludf.DUMMYFUNCTION("""COMPUTED_VALUE"""),"#VALUE!")</f>
        <v>#VALUE!</v>
      </c>
      <c r="BU257" t="str">
        <f ca="1">IFERROR(__xludf.DUMMYFUNCTION("""COMPUTED_VALUE"""),"#VALUE!")</f>
        <v>#VALUE!</v>
      </c>
      <c r="BW257" t="str">
        <f ca="1">IFERROR(__xludf.DUMMYFUNCTION("""COMPUTED_VALUE"""),"#VALUE!")</f>
        <v>#VALUE!</v>
      </c>
      <c r="BY257" t="str">
        <f ca="1">IFERROR(__xludf.DUMMYFUNCTION("""COMPUTED_VALUE"""),"#VALUE!")</f>
        <v>#VALUE!</v>
      </c>
      <c r="CA257" t="str">
        <f ca="1">IFERROR(__xludf.DUMMYFUNCTION("""COMPUTED_VALUE"""),"#VALUE!")</f>
        <v>#VALUE!</v>
      </c>
      <c r="CC257" t="str">
        <f ca="1">IFERROR(__xludf.DUMMYFUNCTION("""COMPUTED_VALUE"""),"#VALUE!")</f>
        <v>#VALUE!</v>
      </c>
      <c r="CE257" t="str">
        <f ca="1">IFERROR(__xludf.DUMMYFUNCTION("""COMPUTED_VALUE"""),"#VALUE!")</f>
        <v>#VALUE!</v>
      </c>
      <c r="CG257" t="str">
        <f ca="1">IFERROR(__xludf.DUMMYFUNCTION("""COMPUTED_VALUE"""),"#VALUE!")</f>
        <v>#VALUE!</v>
      </c>
      <c r="CI257" t="str">
        <f ca="1">IFERROR(__xludf.DUMMYFUNCTION("""COMPUTED_VALUE"""),"#VALUE!")</f>
        <v>#VALUE!</v>
      </c>
      <c r="CK257" t="str">
        <f ca="1">IFERROR(__xludf.DUMMYFUNCTION("""COMPUTED_VALUE"""),"#VALUE!")</f>
        <v>#VALUE!</v>
      </c>
      <c r="CS257" t="str">
        <f ca="1">IFERROR(__xludf.DUMMYFUNCTION("""COMPUTED_VALUE"""),"#VALUE!")</f>
        <v>#VALUE!</v>
      </c>
      <c r="CU257" t="str">
        <f ca="1">IFERROR(__xludf.DUMMYFUNCTION("""COMPUTED_VALUE"""),"#VALUE!")</f>
        <v>#VALUE!</v>
      </c>
      <c r="CW257" t="str">
        <f ca="1">IFERROR(__xludf.DUMMYFUNCTION("""COMPUTED_VALUE"""),"#VALUE!")</f>
        <v>#VALUE!</v>
      </c>
      <c r="CY257" t="str">
        <f ca="1">IFERROR(__xludf.DUMMYFUNCTION("""COMPUTED_VALUE"""),"#VALUE!")</f>
        <v>#VALUE!</v>
      </c>
      <c r="DC257" t="str">
        <f ca="1">IFERROR(__xludf.DUMMYFUNCTION("""COMPUTED_VALUE"""),"#VALUE!")</f>
        <v>#VALUE!</v>
      </c>
      <c r="DE257" t="str">
        <f ca="1">IFERROR(__xludf.DUMMYFUNCTION("""COMPUTED_VALUE"""),"#VALUE!")</f>
        <v>#VALUE!</v>
      </c>
      <c r="DI257" t="str">
        <f ca="1">IFERROR(__xludf.DUMMYFUNCTION("""COMPUTED_VALUE"""),"#VALUE!")</f>
        <v>#VALUE!</v>
      </c>
      <c r="DJ257" t="str">
        <f ca="1">IFERROR(__xludf.DUMMYFUNCTION("""COMPUTED_VALUE"""),"#VALUE!")</f>
        <v>#VALUE!</v>
      </c>
      <c r="DL257" t="str">
        <f ca="1">IFERROR(__xludf.DUMMYFUNCTION("""COMPUTED_VALUE"""),"Davor Salihović")</f>
        <v>Davor Salihović</v>
      </c>
    </row>
    <row r="258" spans="1:116" ht="13.2" x14ac:dyDescent="0.25">
      <c r="A258" t="str">
        <f ca="1">IFERROR(__xludf.DUMMYFUNCTION("""COMPUTED_VALUE"""),"P0264")</f>
        <v>P0264</v>
      </c>
      <c r="B258" t="str">
        <f ca="1">IFERROR(__xludf.DUMMYFUNCTION("""COMPUTED_VALUE"""),"Hugo, filius Baude de Bruna")</f>
        <v>Hugo, filius Baude de Bruna</v>
      </c>
      <c r="D258" t="str">
        <f ca="1">IFERROR(__xludf.DUMMYFUNCTION("""COMPUTED_VALUE"""),"#VALUE!")</f>
        <v>#VALUE!</v>
      </c>
      <c r="E258" t="str">
        <f ca="1">IFERROR(__xludf.DUMMYFUNCTION("""COMPUTED_VALUE"""),"Hugo")</f>
        <v>Hugo</v>
      </c>
      <c r="Q258" t="str">
        <f ca="1">IFERROR(__xludf.DUMMYFUNCTION("""COMPUTED_VALUE"""),"filius Baude de Bruna de Sala")</f>
        <v>filius Baude de Bruna de Sala</v>
      </c>
      <c r="S258" t="str">
        <f ca="1">IFERROR(__xludf.DUMMYFUNCTION("""COMPUTED_VALUE"""),"Latin")</f>
        <v>Latin</v>
      </c>
      <c r="T258" t="str">
        <f ca="1">IFERROR(__xludf.DUMMYFUNCTION("""COMPUTED_VALUE"""),"definite")</f>
        <v>definite</v>
      </c>
      <c r="U258" t="str">
        <f ca="1">IFERROR(__xludf.DUMMYFUNCTION("""COMPUTED_VALUE"""),"C2553")</f>
        <v>C2553</v>
      </c>
      <c r="V258" t="str">
        <f ca="1">IFERROR(__xludf.DUMMYFUNCTION("""COMPUTED_VALUE"""),"male")</f>
        <v>male</v>
      </c>
      <c r="Z258" t="str">
        <f ca="1">IFERROR(__xludf.DUMMYFUNCTION("""COMPUTED_VALUE"""),"187")</f>
        <v>187</v>
      </c>
      <c r="AA258" t="str">
        <f ca="1">IFERROR(__xludf.DUMMYFUNCTION("""COMPUTED_VALUE"""),"d")</f>
        <v>d</v>
      </c>
      <c r="AB258" t="str">
        <f ca="1">IFERROR(__xludf.DUMMYFUNCTION("""COMPUTED_VALUE"""),"NA")</f>
        <v>NA</v>
      </c>
      <c r="AD258" t="str">
        <f ca="1">IFERROR(__xludf.DUMMYFUNCTION("""COMPUTED_VALUE"""),"C3287")</f>
        <v>C3287</v>
      </c>
      <c r="AE258" t="str">
        <f ca="1">IFERROR(__xludf.DUMMYFUNCTION("""COMPUTED_VALUE"""),"alive")</f>
        <v>alive</v>
      </c>
      <c r="AF258" t="str">
        <f ca="1">IFERROR(__xludf.DUMMYFUNCTION("""COMPUTED_VALUE"""),"C1753")</f>
        <v>C1753</v>
      </c>
      <c r="AG258" t="str">
        <f ca="1">IFERROR(__xludf.DUMMYFUNCTION("""COMPUTED_VALUE"""),"1335-01-20")</f>
        <v>1335-01-20</v>
      </c>
      <c r="AH258" t="str">
        <f ca="1">IFERROR(__xludf.DUMMYFUNCTION("""COMPUTED_VALUE"""),"C2341")</f>
        <v>C2341</v>
      </c>
      <c r="AI258" t="str">
        <f ca="1">IFERROR(__xludf.DUMMYFUNCTION("""COMPUTED_VALUE"""),"mother")</f>
        <v>mother</v>
      </c>
      <c r="AJ258" t="str">
        <f ca="1">IFERROR(__xludf.DUMMYFUNCTION("""COMPUTED_VALUE"""),"P0265")</f>
        <v>P0265</v>
      </c>
      <c r="AK258" t="str">
        <f ca="1">IFERROR(__xludf.DUMMYFUNCTION("""COMPUTED_VALUE"""),"Bauda de Bruna")</f>
        <v>Bauda de Bruna</v>
      </c>
      <c r="AM258" t="str">
        <f ca="1">IFERROR(__xludf.DUMMYFUNCTION("""COMPUTED_VALUE"""),"#VALUE!")</f>
        <v>#VALUE!</v>
      </c>
      <c r="AO258" t="str">
        <f ca="1">IFERROR(__xludf.DUMMYFUNCTION("""COMPUTED_VALUE"""),"#VALUE!")</f>
        <v>#VALUE!</v>
      </c>
      <c r="AQ258" t="str">
        <f ca="1">IFERROR(__xludf.DUMMYFUNCTION("""COMPUTED_VALUE"""),"#VALUE!")</f>
        <v>#VALUE!</v>
      </c>
      <c r="AS258" t="str">
        <f ca="1">IFERROR(__xludf.DUMMYFUNCTION("""COMPUTED_VALUE"""),"#VALUE!")</f>
        <v>#VALUE!</v>
      </c>
      <c r="AU258" t="str">
        <f ca="1">IFERROR(__xludf.DUMMYFUNCTION("""COMPUTED_VALUE"""),"#VALUE!")</f>
        <v>#VALUE!</v>
      </c>
      <c r="AW258" t="str">
        <f ca="1">IFERROR(__xludf.DUMMYFUNCTION("""COMPUTED_VALUE"""),"#VALUE!")</f>
        <v>#VALUE!</v>
      </c>
      <c r="AY258" t="str">
        <f ca="1">IFERROR(__xludf.DUMMYFUNCTION("""COMPUTED_VALUE"""),"#VALUE!")</f>
        <v>#VALUE!</v>
      </c>
      <c r="BA258" t="str">
        <f ca="1">IFERROR(__xludf.DUMMYFUNCTION("""COMPUTED_VALUE"""),"#VALUE!")</f>
        <v>#VALUE!</v>
      </c>
      <c r="BC258" t="str">
        <f ca="1">IFERROR(__xludf.DUMMYFUNCTION("""COMPUTED_VALUE"""),"#VALUE!")</f>
        <v>#VALUE!</v>
      </c>
      <c r="BE258" t="str">
        <f ca="1">IFERROR(__xludf.DUMMYFUNCTION("""COMPUTED_VALUE"""),"#VALUE!")</f>
        <v>#VALUE!</v>
      </c>
      <c r="BG258" t="str">
        <f ca="1">IFERROR(__xludf.DUMMYFUNCTION("""COMPUTED_VALUE"""),"#VALUE!")</f>
        <v>#VALUE!</v>
      </c>
      <c r="BI258" t="str">
        <f ca="1">IFERROR(__xludf.DUMMYFUNCTION("""COMPUTED_VALUE"""),"#VALUE!")</f>
        <v>#VALUE!</v>
      </c>
      <c r="BK258" t="str">
        <f ca="1">IFERROR(__xludf.DUMMYFUNCTION("""COMPUTED_VALUE"""),"#VALUE!")</f>
        <v>#VALUE!</v>
      </c>
      <c r="BM258" t="str">
        <f ca="1">IFERROR(__xludf.DUMMYFUNCTION("""COMPUTED_VALUE"""),"#VALUE!")</f>
        <v>#VALUE!</v>
      </c>
      <c r="BO258" t="str">
        <f ca="1">IFERROR(__xludf.DUMMYFUNCTION("""COMPUTED_VALUE"""),"#VALUE!")</f>
        <v>#VALUE!</v>
      </c>
      <c r="BQ258" t="str">
        <f ca="1">IFERROR(__xludf.DUMMYFUNCTION("""COMPUTED_VALUE"""),"#VALUE!")</f>
        <v>#VALUE!</v>
      </c>
      <c r="BS258" t="str">
        <f ca="1">IFERROR(__xludf.DUMMYFUNCTION("""COMPUTED_VALUE"""),"#VALUE!")</f>
        <v>#VALUE!</v>
      </c>
      <c r="BU258" t="str">
        <f ca="1">IFERROR(__xludf.DUMMYFUNCTION("""COMPUTED_VALUE"""),"#VALUE!")</f>
        <v>#VALUE!</v>
      </c>
      <c r="BW258" t="str">
        <f ca="1">IFERROR(__xludf.DUMMYFUNCTION("""COMPUTED_VALUE"""),"#VALUE!")</f>
        <v>#VALUE!</v>
      </c>
      <c r="BY258" t="str">
        <f ca="1">IFERROR(__xludf.DUMMYFUNCTION("""COMPUTED_VALUE"""),"#VALUE!")</f>
        <v>#VALUE!</v>
      </c>
      <c r="CA258" t="str">
        <f ca="1">IFERROR(__xludf.DUMMYFUNCTION("""COMPUTED_VALUE"""),"#VALUE!")</f>
        <v>#VALUE!</v>
      </c>
      <c r="CC258" t="str">
        <f ca="1">IFERROR(__xludf.DUMMYFUNCTION("""COMPUTED_VALUE"""),"#VALUE!")</f>
        <v>#VALUE!</v>
      </c>
      <c r="CE258" t="str">
        <f ca="1">IFERROR(__xludf.DUMMYFUNCTION("""COMPUTED_VALUE"""),"#VALUE!")</f>
        <v>#VALUE!</v>
      </c>
      <c r="CG258" t="str">
        <f ca="1">IFERROR(__xludf.DUMMYFUNCTION("""COMPUTED_VALUE"""),"#VALUE!")</f>
        <v>#VALUE!</v>
      </c>
      <c r="CI258" t="str">
        <f ca="1">IFERROR(__xludf.DUMMYFUNCTION("""COMPUTED_VALUE"""),"#VALUE!")</f>
        <v>#VALUE!</v>
      </c>
      <c r="CK258" t="str">
        <f ca="1">IFERROR(__xludf.DUMMYFUNCTION("""COMPUTED_VALUE"""),"#VALUE!")</f>
        <v>#VALUE!</v>
      </c>
      <c r="CS258" t="str">
        <f ca="1">IFERROR(__xludf.DUMMYFUNCTION("""COMPUTED_VALUE"""),"#VALUE!")</f>
        <v>#VALUE!</v>
      </c>
      <c r="CU258" t="str">
        <f ca="1">IFERROR(__xludf.DUMMYFUNCTION("""COMPUTED_VALUE"""),"#VALUE!")</f>
        <v>#VALUE!</v>
      </c>
      <c r="CW258" t="str">
        <f ca="1">IFERROR(__xludf.DUMMYFUNCTION("""COMPUTED_VALUE"""),"#VALUE!")</f>
        <v>#VALUE!</v>
      </c>
      <c r="CY258" t="str">
        <f ca="1">IFERROR(__xludf.DUMMYFUNCTION("""COMPUTED_VALUE"""),"#VALUE!")</f>
        <v>#VALUE!</v>
      </c>
      <c r="DC258" t="str">
        <f ca="1">IFERROR(__xludf.DUMMYFUNCTION("""COMPUTED_VALUE"""),"#VALUE!")</f>
        <v>#VALUE!</v>
      </c>
      <c r="DE258" t="str">
        <f ca="1">IFERROR(__xludf.DUMMYFUNCTION("""COMPUTED_VALUE"""),"#VALUE!")</f>
        <v>#VALUE!</v>
      </c>
      <c r="DI258" t="str">
        <f ca="1">IFERROR(__xludf.DUMMYFUNCTION("""COMPUTED_VALUE"""),"#VALUE!")</f>
        <v>#VALUE!</v>
      </c>
      <c r="DJ258" t="str">
        <f ca="1">IFERROR(__xludf.DUMMYFUNCTION("""COMPUTED_VALUE"""),"#VALUE!")</f>
        <v>#VALUE!</v>
      </c>
      <c r="DL258" t="str">
        <f ca="1">IFERROR(__xludf.DUMMYFUNCTION("""COMPUTED_VALUE"""),"Davor Salihović")</f>
        <v>Davor Salihović</v>
      </c>
    </row>
    <row r="259" spans="1:116" ht="13.2" x14ac:dyDescent="0.25">
      <c r="A259" t="str">
        <f ca="1">IFERROR(__xludf.DUMMYFUNCTION("""COMPUTED_VALUE"""),"P0265")</f>
        <v>P0265</v>
      </c>
      <c r="B259" t="str">
        <f ca="1">IFERROR(__xludf.DUMMYFUNCTION("""COMPUTED_VALUE"""),"Bauda de Bruna")</f>
        <v>Bauda de Bruna</v>
      </c>
      <c r="D259" t="str">
        <f ca="1">IFERROR(__xludf.DUMMYFUNCTION("""COMPUTED_VALUE"""),"#VALUE!")</f>
        <v>#VALUE!</v>
      </c>
      <c r="E259" t="str">
        <f ca="1">IFERROR(__xludf.DUMMYFUNCTION("""COMPUTED_VALUE"""),"Bauda")</f>
        <v>Bauda</v>
      </c>
      <c r="J259" t="str">
        <f ca="1">IFERROR(__xludf.DUMMYFUNCTION("""COMPUTED_VALUE"""),"de")</f>
        <v>de</v>
      </c>
      <c r="K259" t="str">
        <f ca="1">IFERROR(__xludf.DUMMYFUNCTION("""COMPUTED_VALUE"""),"Bruna")</f>
        <v>Bruna</v>
      </c>
      <c r="L259" t="str">
        <f ca="1">IFERROR(__xludf.DUMMYFUNCTION("""COMPUTED_VALUE"""),"de Bruna")</f>
        <v>de Bruna</v>
      </c>
      <c r="Q259" t="str">
        <f ca="1">IFERROR(__xludf.DUMMYFUNCTION("""COMPUTED_VALUE"""),"de Sala")</f>
        <v>de Sala</v>
      </c>
      <c r="S259" t="str">
        <f ca="1">IFERROR(__xludf.DUMMYFUNCTION("""COMPUTED_VALUE"""),"Latin")</f>
        <v>Latin</v>
      </c>
      <c r="T259" t="str">
        <f ca="1">IFERROR(__xludf.DUMMYFUNCTION("""COMPUTED_VALUE"""),"definite")</f>
        <v>definite</v>
      </c>
      <c r="U259" t="str">
        <f ca="1">IFERROR(__xludf.DUMMYFUNCTION("""COMPUTED_VALUE"""),"C2553")</f>
        <v>C2553</v>
      </c>
      <c r="V259" t="str">
        <f ca="1">IFERROR(__xludf.DUMMYFUNCTION("""COMPUTED_VALUE"""),"male")</f>
        <v>male</v>
      </c>
      <c r="Z259" t="str">
        <f ca="1">IFERROR(__xludf.DUMMYFUNCTION("""COMPUTED_VALUE"""),"187")</f>
        <v>187</v>
      </c>
      <c r="AA259" t="str">
        <f ca="1">IFERROR(__xludf.DUMMYFUNCTION("""COMPUTED_VALUE"""),"o")</f>
        <v>o</v>
      </c>
      <c r="AB259" t="str">
        <f ca="1">IFERROR(__xludf.DUMMYFUNCTION("""COMPUTED_VALUE"""),"NA")</f>
        <v>NA</v>
      </c>
      <c r="AE259" t="str">
        <f ca="1">IFERROR(__xludf.DUMMYFUNCTION("""COMPUTED_VALUE"""),"#VALUE!")</f>
        <v>#VALUE!</v>
      </c>
      <c r="AF259" t="str">
        <f ca="1">IFERROR(__xludf.DUMMYFUNCTION("""COMPUTED_VALUE"""),"#N/A")</f>
        <v>#N/A</v>
      </c>
      <c r="AG259" t="str">
        <f ca="1">IFERROR(__xludf.DUMMYFUNCTION("""COMPUTED_VALUE"""),"#N/A")</f>
        <v>#N/A</v>
      </c>
      <c r="AI259" t="str">
        <f ca="1">IFERROR(__xludf.DUMMYFUNCTION("""COMPUTED_VALUE"""),"#VALUE!")</f>
        <v>#VALUE!</v>
      </c>
      <c r="AK259" t="str">
        <f ca="1">IFERROR(__xludf.DUMMYFUNCTION("""COMPUTED_VALUE"""),"#VALUE!")</f>
        <v>#VALUE!</v>
      </c>
      <c r="AM259" t="str">
        <f ca="1">IFERROR(__xludf.DUMMYFUNCTION("""COMPUTED_VALUE"""),"#VALUE!")</f>
        <v>#VALUE!</v>
      </c>
      <c r="AO259" t="str">
        <f ca="1">IFERROR(__xludf.DUMMYFUNCTION("""COMPUTED_VALUE"""),"#VALUE!")</f>
        <v>#VALUE!</v>
      </c>
      <c r="AQ259" t="str">
        <f ca="1">IFERROR(__xludf.DUMMYFUNCTION("""COMPUTED_VALUE"""),"#VALUE!")</f>
        <v>#VALUE!</v>
      </c>
      <c r="AS259" t="str">
        <f ca="1">IFERROR(__xludf.DUMMYFUNCTION("""COMPUTED_VALUE"""),"#VALUE!")</f>
        <v>#VALUE!</v>
      </c>
      <c r="AU259" t="str">
        <f ca="1">IFERROR(__xludf.DUMMYFUNCTION("""COMPUTED_VALUE"""),"#VALUE!")</f>
        <v>#VALUE!</v>
      </c>
      <c r="AW259" t="str">
        <f ca="1">IFERROR(__xludf.DUMMYFUNCTION("""COMPUTED_VALUE"""),"#VALUE!")</f>
        <v>#VALUE!</v>
      </c>
      <c r="AY259" t="str">
        <f ca="1">IFERROR(__xludf.DUMMYFUNCTION("""COMPUTED_VALUE"""),"#VALUE!")</f>
        <v>#VALUE!</v>
      </c>
      <c r="BA259" t="str">
        <f ca="1">IFERROR(__xludf.DUMMYFUNCTION("""COMPUTED_VALUE"""),"#VALUE!")</f>
        <v>#VALUE!</v>
      </c>
      <c r="BC259" t="str">
        <f ca="1">IFERROR(__xludf.DUMMYFUNCTION("""COMPUTED_VALUE"""),"#VALUE!")</f>
        <v>#VALUE!</v>
      </c>
      <c r="BE259" t="str">
        <f ca="1">IFERROR(__xludf.DUMMYFUNCTION("""COMPUTED_VALUE"""),"#VALUE!")</f>
        <v>#VALUE!</v>
      </c>
      <c r="BG259" t="str">
        <f ca="1">IFERROR(__xludf.DUMMYFUNCTION("""COMPUTED_VALUE"""),"#VALUE!")</f>
        <v>#VALUE!</v>
      </c>
      <c r="BI259" t="str">
        <f ca="1">IFERROR(__xludf.DUMMYFUNCTION("""COMPUTED_VALUE"""),"#VALUE!")</f>
        <v>#VALUE!</v>
      </c>
      <c r="BK259" t="str">
        <f ca="1">IFERROR(__xludf.DUMMYFUNCTION("""COMPUTED_VALUE"""),"#VALUE!")</f>
        <v>#VALUE!</v>
      </c>
      <c r="BM259" t="str">
        <f ca="1">IFERROR(__xludf.DUMMYFUNCTION("""COMPUTED_VALUE"""),"#VALUE!")</f>
        <v>#VALUE!</v>
      </c>
      <c r="BO259" t="str">
        <f ca="1">IFERROR(__xludf.DUMMYFUNCTION("""COMPUTED_VALUE"""),"#VALUE!")</f>
        <v>#VALUE!</v>
      </c>
      <c r="BQ259" t="str">
        <f ca="1">IFERROR(__xludf.DUMMYFUNCTION("""COMPUTED_VALUE"""),"#VALUE!")</f>
        <v>#VALUE!</v>
      </c>
      <c r="BS259" t="str">
        <f ca="1">IFERROR(__xludf.DUMMYFUNCTION("""COMPUTED_VALUE"""),"#VALUE!")</f>
        <v>#VALUE!</v>
      </c>
      <c r="BU259" t="str">
        <f ca="1">IFERROR(__xludf.DUMMYFUNCTION("""COMPUTED_VALUE"""),"#VALUE!")</f>
        <v>#VALUE!</v>
      </c>
      <c r="BW259" t="str">
        <f ca="1">IFERROR(__xludf.DUMMYFUNCTION("""COMPUTED_VALUE"""),"#VALUE!")</f>
        <v>#VALUE!</v>
      </c>
      <c r="BY259" t="str">
        <f ca="1">IFERROR(__xludf.DUMMYFUNCTION("""COMPUTED_VALUE"""),"#VALUE!")</f>
        <v>#VALUE!</v>
      </c>
      <c r="CA259" t="str">
        <f ca="1">IFERROR(__xludf.DUMMYFUNCTION("""COMPUTED_VALUE"""),"#VALUE!")</f>
        <v>#VALUE!</v>
      </c>
      <c r="CC259" t="str">
        <f ca="1">IFERROR(__xludf.DUMMYFUNCTION("""COMPUTED_VALUE"""),"#VALUE!")</f>
        <v>#VALUE!</v>
      </c>
      <c r="CE259" t="str">
        <f ca="1">IFERROR(__xludf.DUMMYFUNCTION("""COMPUTED_VALUE"""),"#VALUE!")</f>
        <v>#VALUE!</v>
      </c>
      <c r="CG259" t="str">
        <f ca="1">IFERROR(__xludf.DUMMYFUNCTION("""COMPUTED_VALUE"""),"#VALUE!")</f>
        <v>#VALUE!</v>
      </c>
      <c r="CI259" t="str">
        <f ca="1">IFERROR(__xludf.DUMMYFUNCTION("""COMPUTED_VALUE"""),"#VALUE!")</f>
        <v>#VALUE!</v>
      </c>
      <c r="CK259" t="str">
        <f ca="1">IFERROR(__xludf.DUMMYFUNCTION("""COMPUTED_VALUE"""),"#VALUE!")</f>
        <v>#VALUE!</v>
      </c>
      <c r="CR259" t="str">
        <f ca="1">IFERROR(__xludf.DUMMYFUNCTION("""COMPUTED_VALUE"""),"L0047")</f>
        <v>L0047</v>
      </c>
      <c r="CS259" t="str">
        <f ca="1">IFERROR(__xludf.DUMMYFUNCTION("""COMPUTED_VALUE"""),"Sala")</f>
        <v>Sala</v>
      </c>
      <c r="CU259" t="str">
        <f ca="1">IFERROR(__xludf.DUMMYFUNCTION("""COMPUTED_VALUE"""),"#VALUE!")</f>
        <v>#VALUE!</v>
      </c>
      <c r="CW259" t="str">
        <f ca="1">IFERROR(__xludf.DUMMYFUNCTION("""COMPUTED_VALUE"""),"#VALUE!")</f>
        <v>#VALUE!</v>
      </c>
      <c r="CY259" t="str">
        <f ca="1">IFERROR(__xludf.DUMMYFUNCTION("""COMPUTED_VALUE"""),"#VALUE!")</f>
        <v>#VALUE!</v>
      </c>
      <c r="DC259" t="str">
        <f ca="1">IFERROR(__xludf.DUMMYFUNCTION("""COMPUTED_VALUE"""),"#VALUE!")</f>
        <v>#VALUE!</v>
      </c>
      <c r="DE259" t="str">
        <f ca="1">IFERROR(__xludf.DUMMYFUNCTION("""COMPUTED_VALUE"""),"#VALUE!")</f>
        <v>#VALUE!</v>
      </c>
      <c r="DI259" t="str">
        <f ca="1">IFERROR(__xludf.DUMMYFUNCTION("""COMPUTED_VALUE"""),"#VALUE!")</f>
        <v>#VALUE!</v>
      </c>
      <c r="DJ259" t="str">
        <f ca="1">IFERROR(__xludf.DUMMYFUNCTION("""COMPUTED_VALUE"""),"#VALUE!")</f>
        <v>#VALUE!</v>
      </c>
      <c r="DL259" t="str">
        <f ca="1">IFERROR(__xludf.DUMMYFUNCTION("""COMPUTED_VALUE"""),"Davor Salihović")</f>
        <v>Davor Salihović</v>
      </c>
    </row>
    <row r="260" spans="1:116" ht="13.2" x14ac:dyDescent="0.25">
      <c r="A260" t="str">
        <f ca="1">IFERROR(__xludf.DUMMYFUNCTION("""COMPUTED_VALUE"""),"P0266")</f>
        <v>P0266</v>
      </c>
      <c r="B260" t="str">
        <f ca="1">IFERROR(__xludf.DUMMYFUNCTION("""COMPUTED_VALUE"""),"Iohanna, uxor Martini Dominici")</f>
        <v>Iohanna, uxor Martini Dominici</v>
      </c>
      <c r="D260" t="str">
        <f ca="1">IFERROR(__xludf.DUMMYFUNCTION("""COMPUTED_VALUE"""),"#VALUE!")</f>
        <v>#VALUE!</v>
      </c>
      <c r="E260" t="str">
        <f ca="1">IFERROR(__xludf.DUMMYFUNCTION("""COMPUTED_VALUE"""),"Iohanna")</f>
        <v>Iohanna</v>
      </c>
      <c r="Q260" t="str">
        <f ca="1">IFERROR(__xludf.DUMMYFUNCTION("""COMPUTED_VALUE"""),"uxor Martini, filii Villelmeti Dominici")</f>
        <v>uxor Martini, filii Villelmeti Dominici</v>
      </c>
      <c r="S260" t="str">
        <f ca="1">IFERROR(__xludf.DUMMYFUNCTION("""COMPUTED_VALUE"""),"Latin")</f>
        <v>Latin</v>
      </c>
      <c r="T260" t="str">
        <f ca="1">IFERROR(__xludf.DUMMYFUNCTION("""COMPUTED_VALUE"""),"definite")</f>
        <v>definite</v>
      </c>
      <c r="U260" t="str">
        <f ca="1">IFERROR(__xludf.DUMMYFUNCTION("""COMPUTED_VALUE"""),"C2552")</f>
        <v>C2552</v>
      </c>
      <c r="V260" t="str">
        <f ca="1">IFERROR(__xludf.DUMMYFUNCTION("""COMPUTED_VALUE"""),"female")</f>
        <v>female</v>
      </c>
      <c r="Z260" t="str">
        <f ca="1">IFERROR(__xludf.DUMMYFUNCTION("""COMPUTED_VALUE"""),"187, 220")</f>
        <v>187, 220</v>
      </c>
      <c r="AA260" t="str">
        <f ca="1">IFERROR(__xludf.DUMMYFUNCTION("""COMPUTED_VALUE"""),"d")</f>
        <v>d</v>
      </c>
      <c r="AB260" t="str">
        <f ca="1">IFERROR(__xludf.DUMMYFUNCTION("""COMPUTED_VALUE"""),"suspect")</f>
        <v>suspect</v>
      </c>
      <c r="AC260" t="str">
        <f ca="1">IFERROR(__xludf.DUMMYFUNCTION("""COMPUTED_VALUE"""),"y")</f>
        <v>y</v>
      </c>
      <c r="AD260" t="str">
        <f ca="1">IFERROR(__xludf.DUMMYFUNCTION("""COMPUTED_VALUE"""),"C3288")</f>
        <v>C3288</v>
      </c>
      <c r="AE260" t="str">
        <f ca="1">IFERROR(__xludf.DUMMYFUNCTION("""COMPUTED_VALUE"""),"dead")</f>
        <v>dead</v>
      </c>
      <c r="AF260" t="str">
        <f ca="1">IFERROR(__xludf.DUMMYFUNCTION("""COMPUTED_VALUE"""),"C1749")</f>
        <v>C1749</v>
      </c>
      <c r="AG260" t="str">
        <f ca="1">IFERROR(__xludf.DUMMYFUNCTION("""COMPUTED_VALUE"""),"1335-01-20")</f>
        <v>1335-01-20</v>
      </c>
      <c r="AI260" t="str">
        <f ca="1">IFERROR(__xludf.DUMMYFUNCTION("""COMPUTED_VALUE"""),"#VALUE!")</f>
        <v>#VALUE!</v>
      </c>
      <c r="AK260" t="str">
        <f ca="1">IFERROR(__xludf.DUMMYFUNCTION("""COMPUTED_VALUE"""),"#VALUE!")</f>
        <v>#VALUE!</v>
      </c>
      <c r="AM260" t="str">
        <f ca="1">IFERROR(__xludf.DUMMYFUNCTION("""COMPUTED_VALUE"""),"#VALUE!")</f>
        <v>#VALUE!</v>
      </c>
      <c r="AO260" t="str">
        <f ca="1">IFERROR(__xludf.DUMMYFUNCTION("""COMPUTED_VALUE"""),"#VALUE!")</f>
        <v>#VALUE!</v>
      </c>
      <c r="AQ260" t="str">
        <f ca="1">IFERROR(__xludf.DUMMYFUNCTION("""COMPUTED_VALUE"""),"#VALUE!")</f>
        <v>#VALUE!</v>
      </c>
      <c r="AS260" t="str">
        <f ca="1">IFERROR(__xludf.DUMMYFUNCTION("""COMPUTED_VALUE"""),"#VALUE!")</f>
        <v>#VALUE!</v>
      </c>
      <c r="AU260" t="str">
        <f ca="1">IFERROR(__xludf.DUMMYFUNCTION("""COMPUTED_VALUE"""),"#VALUE!")</f>
        <v>#VALUE!</v>
      </c>
      <c r="AW260" t="str">
        <f ca="1">IFERROR(__xludf.DUMMYFUNCTION("""COMPUTED_VALUE"""),"#VALUE!")</f>
        <v>#VALUE!</v>
      </c>
      <c r="AY260" t="str">
        <f ca="1">IFERROR(__xludf.DUMMYFUNCTION("""COMPUTED_VALUE"""),"#VALUE!")</f>
        <v>#VALUE!</v>
      </c>
      <c r="BA260" t="str">
        <f ca="1">IFERROR(__xludf.DUMMYFUNCTION("""COMPUTED_VALUE"""),"#VALUE!")</f>
        <v>#VALUE!</v>
      </c>
      <c r="BC260" t="str">
        <f ca="1">IFERROR(__xludf.DUMMYFUNCTION("""COMPUTED_VALUE"""),"#VALUE!")</f>
        <v>#VALUE!</v>
      </c>
      <c r="BE260" t="str">
        <f ca="1">IFERROR(__xludf.DUMMYFUNCTION("""COMPUTED_VALUE"""),"#VALUE!")</f>
        <v>#VALUE!</v>
      </c>
      <c r="BG260" t="str">
        <f ca="1">IFERROR(__xludf.DUMMYFUNCTION("""COMPUTED_VALUE"""),"#VALUE!")</f>
        <v>#VALUE!</v>
      </c>
      <c r="BI260" t="str">
        <f ca="1">IFERROR(__xludf.DUMMYFUNCTION("""COMPUTED_VALUE"""),"#VALUE!")</f>
        <v>#VALUE!</v>
      </c>
      <c r="BK260" t="str">
        <f ca="1">IFERROR(__xludf.DUMMYFUNCTION("""COMPUTED_VALUE"""),"#VALUE!")</f>
        <v>#VALUE!</v>
      </c>
      <c r="BM260" t="str">
        <f ca="1">IFERROR(__xludf.DUMMYFUNCTION("""COMPUTED_VALUE"""),"#VALUE!")</f>
        <v>#VALUE!</v>
      </c>
      <c r="BO260" t="str">
        <f ca="1">IFERROR(__xludf.DUMMYFUNCTION("""COMPUTED_VALUE"""),"#VALUE!")</f>
        <v>#VALUE!</v>
      </c>
      <c r="BQ260" t="str">
        <f ca="1">IFERROR(__xludf.DUMMYFUNCTION("""COMPUTED_VALUE"""),"#VALUE!")</f>
        <v>#VALUE!</v>
      </c>
      <c r="BS260" t="str">
        <f ca="1">IFERROR(__xludf.DUMMYFUNCTION("""COMPUTED_VALUE"""),"#VALUE!")</f>
        <v>#VALUE!</v>
      </c>
      <c r="BU260" t="str">
        <f ca="1">IFERROR(__xludf.DUMMYFUNCTION("""COMPUTED_VALUE"""),"#VALUE!")</f>
        <v>#VALUE!</v>
      </c>
      <c r="BW260" t="str">
        <f ca="1">IFERROR(__xludf.DUMMYFUNCTION("""COMPUTED_VALUE"""),"#VALUE!")</f>
        <v>#VALUE!</v>
      </c>
      <c r="BY260" t="str">
        <f ca="1">IFERROR(__xludf.DUMMYFUNCTION("""COMPUTED_VALUE"""),"#VALUE!")</f>
        <v>#VALUE!</v>
      </c>
      <c r="CA260" t="str">
        <f ca="1">IFERROR(__xludf.DUMMYFUNCTION("""COMPUTED_VALUE"""),"#VALUE!")</f>
        <v>#VALUE!</v>
      </c>
      <c r="CC260" t="str">
        <f ca="1">IFERROR(__xludf.DUMMYFUNCTION("""COMPUTED_VALUE"""),"#VALUE!")</f>
        <v>#VALUE!</v>
      </c>
      <c r="CD260" t="str">
        <f ca="1">IFERROR(__xludf.DUMMYFUNCTION("""COMPUTED_VALUE"""),"C3598")</f>
        <v>C3598</v>
      </c>
      <c r="CE260" t="str">
        <f ca="1">IFERROR(__xludf.DUMMYFUNCTION("""COMPUTED_VALUE"""),"location of congregation")</f>
        <v>location of congregation</v>
      </c>
      <c r="CF260" t="str">
        <f ca="1">IFERROR(__xludf.DUMMYFUNCTION("""COMPUTED_VALUE"""),"L0079")</f>
        <v>L0079</v>
      </c>
      <c r="CG260" t="str">
        <f ca="1">IFERROR(__xludf.DUMMYFUNCTION("""COMPUTED_VALUE"""),"domus Martinii Dominici")</f>
        <v>domus Martinii Dominici</v>
      </c>
      <c r="CI260" t="str">
        <f ca="1">IFERROR(__xludf.DUMMYFUNCTION("""COMPUTED_VALUE"""),"#VALUE!")</f>
        <v>#VALUE!</v>
      </c>
      <c r="CK260" t="str">
        <f ca="1">IFERROR(__xludf.DUMMYFUNCTION("""COMPUTED_VALUE"""),"#VALUE!")</f>
        <v>#VALUE!</v>
      </c>
      <c r="CS260" t="str">
        <f ca="1">IFERROR(__xludf.DUMMYFUNCTION("""COMPUTED_VALUE"""),"#VALUE!")</f>
        <v>#VALUE!</v>
      </c>
      <c r="CU260" t="str">
        <f ca="1">IFERROR(__xludf.DUMMYFUNCTION("""COMPUTED_VALUE"""),"#VALUE!")</f>
        <v>#VALUE!</v>
      </c>
      <c r="CW260" t="str">
        <f ca="1">IFERROR(__xludf.DUMMYFUNCTION("""COMPUTED_VALUE"""),"#VALUE!")</f>
        <v>#VALUE!</v>
      </c>
      <c r="CY260" t="str">
        <f ca="1">IFERROR(__xludf.DUMMYFUNCTION("""COMPUTED_VALUE"""),"#VALUE!")</f>
        <v>#VALUE!</v>
      </c>
      <c r="DC260" t="str">
        <f ca="1">IFERROR(__xludf.DUMMYFUNCTION("""COMPUTED_VALUE"""),"#VALUE!")</f>
        <v>#VALUE!</v>
      </c>
      <c r="DE260" t="str">
        <f ca="1">IFERROR(__xludf.DUMMYFUNCTION("""COMPUTED_VALUE"""),"#VALUE!")</f>
        <v>#VALUE!</v>
      </c>
      <c r="DH260" t="str">
        <f ca="1">IFERROR(__xludf.DUMMYFUNCTION("""COMPUTED_VALUE"""),"L0079")</f>
        <v>L0079</v>
      </c>
      <c r="DI260" t="str">
        <f ca="1">IFERROR(__xludf.DUMMYFUNCTION("""COMPUTED_VALUE"""),"domus Martinii Dominici")</f>
        <v>domus Martinii Dominici</v>
      </c>
      <c r="DJ260" t="str">
        <f ca="1">IFERROR(__xludf.DUMMYFUNCTION("""COMPUTED_VALUE"""),"domus")</f>
        <v>domus</v>
      </c>
      <c r="DL260" t="str">
        <f ca="1">IFERROR(__xludf.DUMMYFUNCTION("""COMPUTED_VALUE"""),"Davor Salihović")</f>
        <v>Davor Salihović</v>
      </c>
    </row>
    <row r="261" spans="1:116" ht="13.2" x14ac:dyDescent="0.25">
      <c r="A261" t="str">
        <f ca="1">IFERROR(__xludf.DUMMYFUNCTION("""COMPUTED_VALUE"""),"P0267")</f>
        <v>P0267</v>
      </c>
      <c r="B261" t="str">
        <f ca="1">IFERROR(__xludf.DUMMYFUNCTION("""COMPUTED_VALUE"""),"Villelmus Balbi")</f>
        <v>Villelmus Balbi</v>
      </c>
      <c r="D261" t="str">
        <f ca="1">IFERROR(__xludf.DUMMYFUNCTION("""COMPUTED_VALUE"""),"#VALUE!")</f>
        <v>#VALUE!</v>
      </c>
      <c r="E261" t="str">
        <f ca="1">IFERROR(__xludf.DUMMYFUNCTION("""COMPUTED_VALUE"""),"Villelmus")</f>
        <v>Villelmus</v>
      </c>
      <c r="K261" t="str">
        <f ca="1">IFERROR(__xludf.DUMMYFUNCTION("""COMPUTED_VALUE"""),"Balbi")</f>
        <v>Balbi</v>
      </c>
      <c r="L261" t="str">
        <f ca="1">IFERROR(__xludf.DUMMYFUNCTION("""COMPUTED_VALUE"""),"Balbi")</f>
        <v>Balbi</v>
      </c>
      <c r="S261" t="str">
        <f ca="1">IFERROR(__xludf.DUMMYFUNCTION("""COMPUTED_VALUE"""),"Latin")</f>
        <v>Latin</v>
      </c>
      <c r="T261" t="str">
        <f ca="1">IFERROR(__xludf.DUMMYFUNCTION("""COMPUTED_VALUE"""),"definite")</f>
        <v>definite</v>
      </c>
      <c r="U261" t="str">
        <f ca="1">IFERROR(__xludf.DUMMYFUNCTION("""COMPUTED_VALUE"""),"C2553")</f>
        <v>C2553</v>
      </c>
      <c r="V261" t="str">
        <f ca="1">IFERROR(__xludf.DUMMYFUNCTION("""COMPUTED_VALUE"""),"male")</f>
        <v>male</v>
      </c>
      <c r="Z261" t="str">
        <f ca="1">IFERROR(__xludf.DUMMYFUNCTION("""COMPUTED_VALUE"""),"187")</f>
        <v>187</v>
      </c>
      <c r="AA261" t="str">
        <f ca="1">IFERROR(__xludf.DUMMYFUNCTION("""COMPUTED_VALUE"""),"o")</f>
        <v>o</v>
      </c>
      <c r="AB261" t="str">
        <f ca="1">IFERROR(__xludf.DUMMYFUNCTION("""COMPUTED_VALUE"""),"NA")</f>
        <v>NA</v>
      </c>
      <c r="AE261" t="str">
        <f ca="1">IFERROR(__xludf.DUMMYFUNCTION("""COMPUTED_VALUE"""),"#VALUE!")</f>
        <v>#VALUE!</v>
      </c>
      <c r="AF261" t="str">
        <f ca="1">IFERROR(__xludf.DUMMYFUNCTION("""COMPUTED_VALUE"""),"#N/A")</f>
        <v>#N/A</v>
      </c>
      <c r="AG261" t="str">
        <f ca="1">IFERROR(__xludf.DUMMYFUNCTION("""COMPUTED_VALUE"""),"#N/A")</f>
        <v>#N/A</v>
      </c>
      <c r="AH261" t="str">
        <f ca="1">IFERROR(__xludf.DUMMYFUNCTION("""COMPUTED_VALUE"""),"C2335")</f>
        <v>C2335</v>
      </c>
      <c r="AI261" t="str">
        <f ca="1">IFERROR(__xludf.DUMMYFUNCTION("""COMPUTED_VALUE"""),"daughter")</f>
        <v>daughter</v>
      </c>
      <c r="AJ261" t="str">
        <f ca="1">IFERROR(__xludf.DUMMYFUNCTION("""COMPUTED_VALUE"""),"P0266")</f>
        <v>P0266</v>
      </c>
      <c r="AK261" t="str">
        <f ca="1">IFERROR(__xludf.DUMMYFUNCTION("""COMPUTED_VALUE"""),"Iohanna, uxor Martini Dominici")</f>
        <v>Iohanna, uxor Martini Dominici</v>
      </c>
      <c r="AM261" t="str">
        <f ca="1">IFERROR(__xludf.DUMMYFUNCTION("""COMPUTED_VALUE"""),"#VALUE!")</f>
        <v>#VALUE!</v>
      </c>
      <c r="AO261" t="str">
        <f ca="1">IFERROR(__xludf.DUMMYFUNCTION("""COMPUTED_VALUE"""),"#VALUE!")</f>
        <v>#VALUE!</v>
      </c>
      <c r="AQ261" t="str">
        <f ca="1">IFERROR(__xludf.DUMMYFUNCTION("""COMPUTED_VALUE"""),"#VALUE!")</f>
        <v>#VALUE!</v>
      </c>
      <c r="AS261" t="str">
        <f ca="1">IFERROR(__xludf.DUMMYFUNCTION("""COMPUTED_VALUE"""),"#VALUE!")</f>
        <v>#VALUE!</v>
      </c>
      <c r="AU261" t="str">
        <f ca="1">IFERROR(__xludf.DUMMYFUNCTION("""COMPUTED_VALUE"""),"#VALUE!")</f>
        <v>#VALUE!</v>
      </c>
      <c r="AW261" t="str">
        <f ca="1">IFERROR(__xludf.DUMMYFUNCTION("""COMPUTED_VALUE"""),"#VALUE!")</f>
        <v>#VALUE!</v>
      </c>
      <c r="AY261" t="str">
        <f ca="1">IFERROR(__xludf.DUMMYFUNCTION("""COMPUTED_VALUE"""),"#VALUE!")</f>
        <v>#VALUE!</v>
      </c>
      <c r="BA261" t="str">
        <f ca="1">IFERROR(__xludf.DUMMYFUNCTION("""COMPUTED_VALUE"""),"#VALUE!")</f>
        <v>#VALUE!</v>
      </c>
      <c r="BC261" t="str">
        <f ca="1">IFERROR(__xludf.DUMMYFUNCTION("""COMPUTED_VALUE"""),"#VALUE!")</f>
        <v>#VALUE!</v>
      </c>
      <c r="BE261" t="str">
        <f ca="1">IFERROR(__xludf.DUMMYFUNCTION("""COMPUTED_VALUE"""),"#VALUE!")</f>
        <v>#VALUE!</v>
      </c>
      <c r="BG261" t="str">
        <f ca="1">IFERROR(__xludf.DUMMYFUNCTION("""COMPUTED_VALUE"""),"#VALUE!")</f>
        <v>#VALUE!</v>
      </c>
      <c r="BI261" t="str">
        <f ca="1">IFERROR(__xludf.DUMMYFUNCTION("""COMPUTED_VALUE"""),"#VALUE!")</f>
        <v>#VALUE!</v>
      </c>
      <c r="BK261" t="str">
        <f ca="1">IFERROR(__xludf.DUMMYFUNCTION("""COMPUTED_VALUE"""),"#VALUE!")</f>
        <v>#VALUE!</v>
      </c>
      <c r="BM261" t="str">
        <f ca="1">IFERROR(__xludf.DUMMYFUNCTION("""COMPUTED_VALUE"""),"#VALUE!")</f>
        <v>#VALUE!</v>
      </c>
      <c r="BO261" t="str">
        <f ca="1">IFERROR(__xludf.DUMMYFUNCTION("""COMPUTED_VALUE"""),"#VALUE!")</f>
        <v>#VALUE!</v>
      </c>
      <c r="BQ261" t="str">
        <f ca="1">IFERROR(__xludf.DUMMYFUNCTION("""COMPUTED_VALUE"""),"#VALUE!")</f>
        <v>#VALUE!</v>
      </c>
      <c r="BS261" t="str">
        <f ca="1">IFERROR(__xludf.DUMMYFUNCTION("""COMPUTED_VALUE"""),"#VALUE!")</f>
        <v>#VALUE!</v>
      </c>
      <c r="BU261" t="str">
        <f ca="1">IFERROR(__xludf.DUMMYFUNCTION("""COMPUTED_VALUE"""),"#VALUE!")</f>
        <v>#VALUE!</v>
      </c>
      <c r="BW261" t="str">
        <f ca="1">IFERROR(__xludf.DUMMYFUNCTION("""COMPUTED_VALUE"""),"#VALUE!")</f>
        <v>#VALUE!</v>
      </c>
      <c r="BY261" t="str">
        <f ca="1">IFERROR(__xludf.DUMMYFUNCTION("""COMPUTED_VALUE"""),"#VALUE!")</f>
        <v>#VALUE!</v>
      </c>
      <c r="CA261" t="str">
        <f ca="1">IFERROR(__xludf.DUMMYFUNCTION("""COMPUTED_VALUE"""),"#VALUE!")</f>
        <v>#VALUE!</v>
      </c>
      <c r="CC261" t="str">
        <f ca="1">IFERROR(__xludf.DUMMYFUNCTION("""COMPUTED_VALUE"""),"#VALUE!")</f>
        <v>#VALUE!</v>
      </c>
      <c r="CE261" t="str">
        <f ca="1">IFERROR(__xludf.DUMMYFUNCTION("""COMPUTED_VALUE"""),"#VALUE!")</f>
        <v>#VALUE!</v>
      </c>
      <c r="CG261" t="str">
        <f ca="1">IFERROR(__xludf.DUMMYFUNCTION("""COMPUTED_VALUE"""),"#VALUE!")</f>
        <v>#VALUE!</v>
      </c>
      <c r="CI261" t="str">
        <f ca="1">IFERROR(__xludf.DUMMYFUNCTION("""COMPUTED_VALUE"""),"#VALUE!")</f>
        <v>#VALUE!</v>
      </c>
      <c r="CK261" t="str">
        <f ca="1">IFERROR(__xludf.DUMMYFUNCTION("""COMPUTED_VALUE"""),"#VALUE!")</f>
        <v>#VALUE!</v>
      </c>
      <c r="CS261" t="str">
        <f ca="1">IFERROR(__xludf.DUMMYFUNCTION("""COMPUTED_VALUE"""),"#VALUE!")</f>
        <v>#VALUE!</v>
      </c>
      <c r="CU261" t="str">
        <f ca="1">IFERROR(__xludf.DUMMYFUNCTION("""COMPUTED_VALUE"""),"#VALUE!")</f>
        <v>#VALUE!</v>
      </c>
      <c r="CW261" t="str">
        <f ca="1">IFERROR(__xludf.DUMMYFUNCTION("""COMPUTED_VALUE"""),"#VALUE!")</f>
        <v>#VALUE!</v>
      </c>
      <c r="CY261" t="str">
        <f ca="1">IFERROR(__xludf.DUMMYFUNCTION("""COMPUTED_VALUE"""),"#VALUE!")</f>
        <v>#VALUE!</v>
      </c>
      <c r="DC261" t="str">
        <f ca="1">IFERROR(__xludf.DUMMYFUNCTION("""COMPUTED_VALUE"""),"#VALUE!")</f>
        <v>#VALUE!</v>
      </c>
      <c r="DE261" t="str">
        <f ca="1">IFERROR(__xludf.DUMMYFUNCTION("""COMPUTED_VALUE"""),"#VALUE!")</f>
        <v>#VALUE!</v>
      </c>
      <c r="DI261" t="str">
        <f ca="1">IFERROR(__xludf.DUMMYFUNCTION("""COMPUTED_VALUE"""),"#VALUE!")</f>
        <v>#VALUE!</v>
      </c>
      <c r="DJ261" t="str">
        <f ca="1">IFERROR(__xludf.DUMMYFUNCTION("""COMPUTED_VALUE"""),"#VALUE!")</f>
        <v>#VALUE!</v>
      </c>
      <c r="DL261" t="str">
        <f ca="1">IFERROR(__xludf.DUMMYFUNCTION("""COMPUTED_VALUE"""),"Davor Salihović")</f>
        <v>Davor Salihović</v>
      </c>
    </row>
    <row r="262" spans="1:116" ht="13.2" x14ac:dyDescent="0.25">
      <c r="A262" t="str">
        <f ca="1">IFERROR(__xludf.DUMMYFUNCTION("""COMPUTED_VALUE"""),"P0268")</f>
        <v>P0268</v>
      </c>
      <c r="B262" t="str">
        <f ca="1">IFERROR(__xludf.DUMMYFUNCTION("""COMPUTED_VALUE"""),"Marguerita de Furno Covaciarum")</f>
        <v>Marguerita de Furno Covaciarum</v>
      </c>
      <c r="D262" t="str">
        <f ca="1">IFERROR(__xludf.DUMMYFUNCTION("""COMPUTED_VALUE"""),"#VALUE!")</f>
        <v>#VALUE!</v>
      </c>
      <c r="E262" t="str">
        <f ca="1">IFERROR(__xludf.DUMMYFUNCTION("""COMPUTED_VALUE"""),"Marguerita")</f>
        <v>Marguerita</v>
      </c>
      <c r="Q262" t="str">
        <f ca="1">IFERROR(__xludf.DUMMYFUNCTION("""COMPUTED_VALUE"""),"de Furno Covaciarum")</f>
        <v>de Furno Covaciarum</v>
      </c>
      <c r="S262" t="str">
        <f ca="1">IFERROR(__xludf.DUMMYFUNCTION("""COMPUTED_VALUE"""),"Latin")</f>
        <v>Latin</v>
      </c>
      <c r="T262" t="str">
        <f ca="1">IFERROR(__xludf.DUMMYFUNCTION("""COMPUTED_VALUE"""),"indefinite")</f>
        <v>indefinite</v>
      </c>
      <c r="U262" t="str">
        <f ca="1">IFERROR(__xludf.DUMMYFUNCTION("""COMPUTED_VALUE"""),"C2552")</f>
        <v>C2552</v>
      </c>
      <c r="V262" t="str">
        <f ca="1">IFERROR(__xludf.DUMMYFUNCTION("""COMPUTED_VALUE"""),"female")</f>
        <v>female</v>
      </c>
      <c r="Z262" t="str">
        <f ca="1">IFERROR(__xludf.DUMMYFUNCTION("""COMPUTED_VALUE"""),"187")</f>
        <v>187</v>
      </c>
      <c r="AA262" t="str">
        <f ca="1">IFERROR(__xludf.DUMMYFUNCTION("""COMPUTED_VALUE"""),"d")</f>
        <v>d</v>
      </c>
      <c r="AB262" t="str">
        <f ca="1">IFERROR(__xludf.DUMMYFUNCTION("""COMPUTED_VALUE"""),"suspect")</f>
        <v>suspect</v>
      </c>
      <c r="AE262" t="str">
        <f ca="1">IFERROR(__xludf.DUMMYFUNCTION("""COMPUTED_VALUE"""),"#VALUE!")</f>
        <v>#VALUE!</v>
      </c>
      <c r="AF262" t="str">
        <f ca="1">IFERROR(__xludf.DUMMYFUNCTION("""COMPUTED_VALUE"""),"#N/A")</f>
        <v>#N/A</v>
      </c>
      <c r="AG262" t="str">
        <f ca="1">IFERROR(__xludf.DUMMYFUNCTION("""COMPUTED_VALUE"""),"#N/A")</f>
        <v>#N/A</v>
      </c>
      <c r="AI262" t="str">
        <f ca="1">IFERROR(__xludf.DUMMYFUNCTION("""COMPUTED_VALUE"""),"#VALUE!")</f>
        <v>#VALUE!</v>
      </c>
      <c r="AK262" t="str">
        <f ca="1">IFERROR(__xludf.DUMMYFUNCTION("""COMPUTED_VALUE"""),"#VALUE!")</f>
        <v>#VALUE!</v>
      </c>
      <c r="AM262" t="str">
        <f ca="1">IFERROR(__xludf.DUMMYFUNCTION("""COMPUTED_VALUE"""),"#VALUE!")</f>
        <v>#VALUE!</v>
      </c>
      <c r="AO262" t="str">
        <f ca="1">IFERROR(__xludf.DUMMYFUNCTION("""COMPUTED_VALUE"""),"#VALUE!")</f>
        <v>#VALUE!</v>
      </c>
      <c r="AQ262" t="str">
        <f ca="1">IFERROR(__xludf.DUMMYFUNCTION("""COMPUTED_VALUE"""),"#VALUE!")</f>
        <v>#VALUE!</v>
      </c>
      <c r="AS262" t="str">
        <f ca="1">IFERROR(__xludf.DUMMYFUNCTION("""COMPUTED_VALUE"""),"#VALUE!")</f>
        <v>#VALUE!</v>
      </c>
      <c r="AU262" t="str">
        <f ca="1">IFERROR(__xludf.DUMMYFUNCTION("""COMPUTED_VALUE"""),"#VALUE!")</f>
        <v>#VALUE!</v>
      </c>
      <c r="AW262" t="str">
        <f ca="1">IFERROR(__xludf.DUMMYFUNCTION("""COMPUTED_VALUE"""),"#VALUE!")</f>
        <v>#VALUE!</v>
      </c>
      <c r="AY262" t="str">
        <f ca="1">IFERROR(__xludf.DUMMYFUNCTION("""COMPUTED_VALUE"""),"#VALUE!")</f>
        <v>#VALUE!</v>
      </c>
      <c r="BA262" t="str">
        <f ca="1">IFERROR(__xludf.DUMMYFUNCTION("""COMPUTED_VALUE"""),"#VALUE!")</f>
        <v>#VALUE!</v>
      </c>
      <c r="BC262" t="str">
        <f ca="1">IFERROR(__xludf.DUMMYFUNCTION("""COMPUTED_VALUE"""),"#VALUE!")</f>
        <v>#VALUE!</v>
      </c>
      <c r="BE262" t="str">
        <f ca="1">IFERROR(__xludf.DUMMYFUNCTION("""COMPUTED_VALUE"""),"#VALUE!")</f>
        <v>#VALUE!</v>
      </c>
      <c r="BG262" t="str">
        <f ca="1">IFERROR(__xludf.DUMMYFUNCTION("""COMPUTED_VALUE"""),"#VALUE!")</f>
        <v>#VALUE!</v>
      </c>
      <c r="BI262" t="str">
        <f ca="1">IFERROR(__xludf.DUMMYFUNCTION("""COMPUTED_VALUE"""),"#VALUE!")</f>
        <v>#VALUE!</v>
      </c>
      <c r="BK262" t="str">
        <f ca="1">IFERROR(__xludf.DUMMYFUNCTION("""COMPUTED_VALUE"""),"#VALUE!")</f>
        <v>#VALUE!</v>
      </c>
      <c r="BM262" t="str">
        <f ca="1">IFERROR(__xludf.DUMMYFUNCTION("""COMPUTED_VALUE"""),"#VALUE!")</f>
        <v>#VALUE!</v>
      </c>
      <c r="BO262" t="str">
        <f ca="1">IFERROR(__xludf.DUMMYFUNCTION("""COMPUTED_VALUE"""),"#VALUE!")</f>
        <v>#VALUE!</v>
      </c>
      <c r="BQ262" t="str">
        <f ca="1">IFERROR(__xludf.DUMMYFUNCTION("""COMPUTED_VALUE"""),"#VALUE!")</f>
        <v>#VALUE!</v>
      </c>
      <c r="BS262" t="str">
        <f ca="1">IFERROR(__xludf.DUMMYFUNCTION("""COMPUTED_VALUE"""),"#VALUE!")</f>
        <v>#VALUE!</v>
      </c>
      <c r="BU262" t="str">
        <f ca="1">IFERROR(__xludf.DUMMYFUNCTION("""COMPUTED_VALUE"""),"#VALUE!")</f>
        <v>#VALUE!</v>
      </c>
      <c r="BW262" t="str">
        <f ca="1">IFERROR(__xludf.DUMMYFUNCTION("""COMPUTED_VALUE"""),"#VALUE!")</f>
        <v>#VALUE!</v>
      </c>
      <c r="BY262" t="str">
        <f ca="1">IFERROR(__xludf.DUMMYFUNCTION("""COMPUTED_VALUE"""),"#VALUE!")</f>
        <v>#VALUE!</v>
      </c>
      <c r="CA262" t="str">
        <f ca="1">IFERROR(__xludf.DUMMYFUNCTION("""COMPUTED_VALUE"""),"#VALUE!")</f>
        <v>#VALUE!</v>
      </c>
      <c r="CC262" t="str">
        <f ca="1">IFERROR(__xludf.DUMMYFUNCTION("""COMPUTED_VALUE"""),"#VALUE!")</f>
        <v>#VALUE!</v>
      </c>
      <c r="CD262" t="str">
        <f ca="1">IFERROR(__xludf.DUMMYFUNCTION("""COMPUTED_VALUE"""),"C3598")</f>
        <v>C3598</v>
      </c>
      <c r="CE262" t="str">
        <f ca="1">IFERROR(__xludf.DUMMYFUNCTION("""COMPUTED_VALUE"""),"location of congregation")</f>
        <v>location of congregation</v>
      </c>
      <c r="CF262" t="str">
        <f ca="1">IFERROR(__xludf.DUMMYFUNCTION("""COMPUTED_VALUE"""),"L0079")</f>
        <v>L0079</v>
      </c>
      <c r="CG262" t="str">
        <f ca="1">IFERROR(__xludf.DUMMYFUNCTION("""COMPUTED_VALUE"""),"domus Martinii Dominici")</f>
        <v>domus Martinii Dominici</v>
      </c>
      <c r="CI262" t="str">
        <f ca="1">IFERROR(__xludf.DUMMYFUNCTION("""COMPUTED_VALUE"""),"#VALUE!")</f>
        <v>#VALUE!</v>
      </c>
      <c r="CK262" t="str">
        <f ca="1">IFERROR(__xludf.DUMMYFUNCTION("""COMPUTED_VALUE"""),"#VALUE!")</f>
        <v>#VALUE!</v>
      </c>
      <c r="CR262" t="str">
        <f ca="1">IFERROR(__xludf.DUMMYFUNCTION("""COMPUTED_VALUE"""),"L0160")</f>
        <v>L0160</v>
      </c>
      <c r="CS262" t="str">
        <f ca="1">IFERROR(__xludf.DUMMYFUNCTION("""COMPUTED_VALUE"""),"Forno di Coazze")</f>
        <v>Forno di Coazze</v>
      </c>
      <c r="CU262" t="str">
        <f ca="1">IFERROR(__xludf.DUMMYFUNCTION("""COMPUTED_VALUE"""),"#VALUE!")</f>
        <v>#VALUE!</v>
      </c>
      <c r="CW262" t="str">
        <f ca="1">IFERROR(__xludf.DUMMYFUNCTION("""COMPUTED_VALUE"""),"#VALUE!")</f>
        <v>#VALUE!</v>
      </c>
      <c r="CY262" t="str">
        <f ca="1">IFERROR(__xludf.DUMMYFUNCTION("""COMPUTED_VALUE"""),"#VALUE!")</f>
        <v>#VALUE!</v>
      </c>
      <c r="DC262" t="str">
        <f ca="1">IFERROR(__xludf.DUMMYFUNCTION("""COMPUTED_VALUE"""),"#VALUE!")</f>
        <v>#VALUE!</v>
      </c>
      <c r="DE262" t="str">
        <f ca="1">IFERROR(__xludf.DUMMYFUNCTION("""COMPUTED_VALUE"""),"#VALUE!")</f>
        <v>#VALUE!</v>
      </c>
      <c r="DH262" t="str">
        <f ca="1">IFERROR(__xludf.DUMMYFUNCTION("""COMPUTED_VALUE"""),"L0079")</f>
        <v>L0079</v>
      </c>
      <c r="DI262" t="str">
        <f ca="1">IFERROR(__xludf.DUMMYFUNCTION("""COMPUTED_VALUE"""),"domus Martinii Dominici")</f>
        <v>domus Martinii Dominici</v>
      </c>
      <c r="DJ262" t="str">
        <f ca="1">IFERROR(__xludf.DUMMYFUNCTION("""COMPUTED_VALUE"""),"domus")</f>
        <v>domus</v>
      </c>
      <c r="DL262" t="str">
        <f ca="1">IFERROR(__xludf.DUMMYFUNCTION("""COMPUTED_VALUE"""),"Davor Salihović")</f>
        <v>Davor Salihović</v>
      </c>
    </row>
    <row r="263" spans="1:116" ht="13.2" x14ac:dyDescent="0.25">
      <c r="A263" t="str">
        <f ca="1">IFERROR(__xludf.DUMMYFUNCTION("""COMPUTED_VALUE"""),"P0269")</f>
        <v>P0269</v>
      </c>
      <c r="B263" t="str">
        <f ca="1">IFERROR(__xludf.DUMMYFUNCTION("""COMPUTED_VALUE"""),"Galiçona, filia Iohannete de Bruneto")</f>
        <v>Galiçona, filia Iohannete de Bruneto</v>
      </c>
      <c r="D263" t="str">
        <f ca="1">IFERROR(__xludf.DUMMYFUNCTION("""COMPUTED_VALUE"""),"#VALUE!")</f>
        <v>#VALUE!</v>
      </c>
      <c r="E263" t="str">
        <f ca="1">IFERROR(__xludf.DUMMYFUNCTION("""COMPUTED_VALUE"""),"Galiçona")</f>
        <v>Galiçona</v>
      </c>
      <c r="F263" t="str">
        <f ca="1">IFERROR(__xludf.DUMMYFUNCTION("""COMPUTED_VALUE"""),"Gualicia")</f>
        <v>Gualicia</v>
      </c>
      <c r="Q263" t="str">
        <f ca="1">IFERROR(__xludf.DUMMYFUNCTION("""COMPUTED_VALUE"""),"filia Iohannete de Bruneto")</f>
        <v>filia Iohannete de Bruneto</v>
      </c>
      <c r="S263" t="str">
        <f ca="1">IFERROR(__xludf.DUMMYFUNCTION("""COMPUTED_VALUE"""),"Latin")</f>
        <v>Latin</v>
      </c>
      <c r="T263" t="str">
        <f ca="1">IFERROR(__xludf.DUMMYFUNCTION("""COMPUTED_VALUE"""),"definite")</f>
        <v>definite</v>
      </c>
      <c r="U263" t="str">
        <f ca="1">IFERROR(__xludf.DUMMYFUNCTION("""COMPUTED_VALUE"""),"C2552")</f>
        <v>C2552</v>
      </c>
      <c r="V263" t="str">
        <f ca="1">IFERROR(__xludf.DUMMYFUNCTION("""COMPUTED_VALUE"""),"female")</f>
        <v>female</v>
      </c>
      <c r="Z263" t="str">
        <f ca="1">IFERROR(__xludf.DUMMYFUNCTION("""COMPUTED_VALUE"""),"187, 191, 213, 214, 215, 237, 250")</f>
        <v>187, 191, 213, 214, 215, 237, 250</v>
      </c>
      <c r="AA263" t="str">
        <f ca="1">IFERROR(__xludf.DUMMYFUNCTION("""COMPUTED_VALUE"""),"d")</f>
        <v>d</v>
      </c>
      <c r="AB263" t="str">
        <f ca="1">IFERROR(__xludf.DUMMYFUNCTION("""COMPUTED_VALUE"""),"suspect")</f>
        <v>suspect</v>
      </c>
      <c r="AD263" t="str">
        <f ca="1">IFERROR(__xludf.DUMMYFUNCTION("""COMPUTED_VALUE"""),"C3287")</f>
        <v>C3287</v>
      </c>
      <c r="AE263" t="str">
        <f ca="1">IFERROR(__xludf.DUMMYFUNCTION("""COMPUTED_VALUE"""),"alive")</f>
        <v>alive</v>
      </c>
      <c r="AF263" t="str">
        <f ca="1">IFERROR(__xludf.DUMMYFUNCTION("""COMPUTED_VALUE"""),"C1753")</f>
        <v>C1753</v>
      </c>
      <c r="AG263" t="str">
        <f ca="1">IFERROR(__xludf.DUMMYFUNCTION("""COMPUTED_VALUE"""),"1335-01-20")</f>
        <v>1335-01-20</v>
      </c>
      <c r="AI263" t="str">
        <f ca="1">IFERROR(__xludf.DUMMYFUNCTION("""COMPUTED_VALUE"""),"#VALUE!")</f>
        <v>#VALUE!</v>
      </c>
      <c r="AK263" t="str">
        <f ca="1">IFERROR(__xludf.DUMMYFUNCTION("""COMPUTED_VALUE"""),"#VALUE!")</f>
        <v>#VALUE!</v>
      </c>
      <c r="AM263" t="str">
        <f ca="1">IFERROR(__xludf.DUMMYFUNCTION("""COMPUTED_VALUE"""),"#VALUE!")</f>
        <v>#VALUE!</v>
      </c>
      <c r="AO263" t="str">
        <f ca="1">IFERROR(__xludf.DUMMYFUNCTION("""COMPUTED_VALUE"""),"#VALUE!")</f>
        <v>#VALUE!</v>
      </c>
      <c r="AQ263" t="str">
        <f ca="1">IFERROR(__xludf.DUMMYFUNCTION("""COMPUTED_VALUE"""),"#VALUE!")</f>
        <v>#VALUE!</v>
      </c>
      <c r="AS263" t="str">
        <f ca="1">IFERROR(__xludf.DUMMYFUNCTION("""COMPUTED_VALUE"""),"#VALUE!")</f>
        <v>#VALUE!</v>
      </c>
      <c r="AU263" t="str">
        <f ca="1">IFERROR(__xludf.DUMMYFUNCTION("""COMPUTED_VALUE"""),"#VALUE!")</f>
        <v>#VALUE!</v>
      </c>
      <c r="AW263" t="str">
        <f ca="1">IFERROR(__xludf.DUMMYFUNCTION("""COMPUTED_VALUE"""),"#VALUE!")</f>
        <v>#VALUE!</v>
      </c>
      <c r="AY263" t="str">
        <f ca="1">IFERROR(__xludf.DUMMYFUNCTION("""COMPUTED_VALUE"""),"#VALUE!")</f>
        <v>#VALUE!</v>
      </c>
      <c r="BA263" t="str">
        <f ca="1">IFERROR(__xludf.DUMMYFUNCTION("""COMPUTED_VALUE"""),"#VALUE!")</f>
        <v>#VALUE!</v>
      </c>
      <c r="BC263" t="str">
        <f ca="1">IFERROR(__xludf.DUMMYFUNCTION("""COMPUTED_VALUE"""),"#VALUE!")</f>
        <v>#VALUE!</v>
      </c>
      <c r="BE263" t="str">
        <f ca="1">IFERROR(__xludf.DUMMYFUNCTION("""COMPUTED_VALUE"""),"#VALUE!")</f>
        <v>#VALUE!</v>
      </c>
      <c r="BG263" t="str">
        <f ca="1">IFERROR(__xludf.DUMMYFUNCTION("""COMPUTED_VALUE"""),"#VALUE!")</f>
        <v>#VALUE!</v>
      </c>
      <c r="BI263" t="str">
        <f ca="1">IFERROR(__xludf.DUMMYFUNCTION("""COMPUTED_VALUE"""),"#VALUE!")</f>
        <v>#VALUE!</v>
      </c>
      <c r="BK263" t="str">
        <f ca="1">IFERROR(__xludf.DUMMYFUNCTION("""COMPUTED_VALUE"""),"#VALUE!")</f>
        <v>#VALUE!</v>
      </c>
      <c r="BM263" t="str">
        <f ca="1">IFERROR(__xludf.DUMMYFUNCTION("""COMPUTED_VALUE"""),"#VALUE!")</f>
        <v>#VALUE!</v>
      </c>
      <c r="BO263" t="str">
        <f ca="1">IFERROR(__xludf.DUMMYFUNCTION("""COMPUTED_VALUE"""),"#VALUE!")</f>
        <v>#VALUE!</v>
      </c>
      <c r="BQ263" t="str">
        <f ca="1">IFERROR(__xludf.DUMMYFUNCTION("""COMPUTED_VALUE"""),"#VALUE!")</f>
        <v>#VALUE!</v>
      </c>
      <c r="BS263" t="str">
        <f ca="1">IFERROR(__xludf.DUMMYFUNCTION("""COMPUTED_VALUE"""),"#VALUE!")</f>
        <v>#VALUE!</v>
      </c>
      <c r="BU263" t="str">
        <f ca="1">IFERROR(__xludf.DUMMYFUNCTION("""COMPUTED_VALUE"""),"#VALUE!")</f>
        <v>#VALUE!</v>
      </c>
      <c r="BW263" t="str">
        <f ca="1">IFERROR(__xludf.DUMMYFUNCTION("""COMPUTED_VALUE"""),"#VALUE!")</f>
        <v>#VALUE!</v>
      </c>
      <c r="BY263" t="str">
        <f ca="1">IFERROR(__xludf.DUMMYFUNCTION("""COMPUTED_VALUE"""),"#VALUE!")</f>
        <v>#VALUE!</v>
      </c>
      <c r="CA263" t="str">
        <f ca="1">IFERROR(__xludf.DUMMYFUNCTION("""COMPUTED_VALUE"""),"#VALUE!")</f>
        <v>#VALUE!</v>
      </c>
      <c r="CC263" t="str">
        <f ca="1">IFERROR(__xludf.DUMMYFUNCTION("""COMPUTED_VALUE"""),"#VALUE!")</f>
        <v>#VALUE!</v>
      </c>
      <c r="CD263" t="str">
        <f ca="1">IFERROR(__xludf.DUMMYFUNCTION("""COMPUTED_VALUE"""),"C3598")</f>
        <v>C3598</v>
      </c>
      <c r="CE263" t="str">
        <f ca="1">IFERROR(__xludf.DUMMYFUNCTION("""COMPUTED_VALUE"""),"location of congregation")</f>
        <v>location of congregation</v>
      </c>
      <c r="CF263" t="str">
        <f ca="1">IFERROR(__xludf.DUMMYFUNCTION("""COMPUTED_VALUE"""),"L0071#L0078#L0076#L0080#L0082")</f>
        <v>L0071#L0078#L0076#L0080#L0082</v>
      </c>
      <c r="CG263" t="str">
        <f ca="1">IFERROR(__xludf.DUMMYFUNCTION("""COMPUTED_VALUE"""),"domus Iohannis Mulini de Sala #domus Facii de Papono #domus Iohannis Torenchi #domus Petrii Burgi #domus Iacobi Bernardi de Villanova")</f>
        <v>domus Iohannis Mulini de Sala #domus Facii de Papono #domus Iohannis Torenchi #domus Petrii Burgi #domus Iacobi Bernardi de Villanova</v>
      </c>
      <c r="CI263" t="str">
        <f ca="1">IFERROR(__xludf.DUMMYFUNCTION("""COMPUTED_VALUE"""),"#VALUE!")</f>
        <v>#VALUE!</v>
      </c>
      <c r="CK263" t="str">
        <f ca="1">IFERROR(__xludf.DUMMYFUNCTION("""COMPUTED_VALUE"""),"#VALUE!")</f>
        <v>#VALUE!</v>
      </c>
      <c r="CS263" t="str">
        <f ca="1">IFERROR(__xludf.DUMMYFUNCTION("""COMPUTED_VALUE"""),"#VALUE!")</f>
        <v>#VALUE!</v>
      </c>
      <c r="CU263" t="str">
        <f ca="1">IFERROR(__xludf.DUMMYFUNCTION("""COMPUTED_VALUE"""),"#VALUE!")</f>
        <v>#VALUE!</v>
      </c>
      <c r="CW263" t="str">
        <f ca="1">IFERROR(__xludf.DUMMYFUNCTION("""COMPUTED_VALUE"""),"#VALUE!")</f>
        <v>#VALUE!</v>
      </c>
      <c r="CY263" t="str">
        <f ca="1">IFERROR(__xludf.DUMMYFUNCTION("""COMPUTED_VALUE"""),"#VALUE!")</f>
        <v>#VALUE!</v>
      </c>
      <c r="DC263" t="str">
        <f ca="1">IFERROR(__xludf.DUMMYFUNCTION("""COMPUTED_VALUE"""),"#VALUE!")</f>
        <v>#VALUE!</v>
      </c>
      <c r="DE263" t="str">
        <f ca="1">IFERROR(__xludf.DUMMYFUNCTION("""COMPUTED_VALUE"""),"#VALUE!")</f>
        <v>#VALUE!</v>
      </c>
      <c r="DF263" t="str">
        <f ca="1">IFERROR(__xludf.DUMMYFUNCTION("""COMPUTED_VALUE"""),"y")</f>
        <v>y</v>
      </c>
      <c r="DG263" t="str">
        <f ca="1">IFERROR(__xludf.DUMMYFUNCTION("""COMPUTED_VALUE"""),"237")</f>
        <v>237</v>
      </c>
      <c r="DH263" t="str">
        <f ca="1">IFERROR(__xludf.DUMMYFUNCTION("""COMPUTED_VALUE"""),"L0071#L0078#L0076#L0080#L0082")</f>
        <v>L0071#L0078#L0076#L0080#L0082</v>
      </c>
      <c r="DI263" t="str">
        <f ca="1">IFERROR(__xludf.DUMMYFUNCTION("""COMPUTED_VALUE"""),"domus Iohannis Mulini de Sala #domus Facii de Papono #domus Iohannis Torenchi #domus Petrii Burgi #domus Iacobi Bernardi de Villanova")</f>
        <v>domus Iohannis Mulini de Sala #domus Facii de Papono #domus Iohannis Torenchi #domus Petrii Burgi #domus Iacobi Bernardi de Villanova</v>
      </c>
      <c r="DJ263" t="str">
        <f ca="1">IFERROR(__xludf.DUMMYFUNCTION("""COMPUTED_VALUE"""),"domus #domus #domus #domus #domus")</f>
        <v>domus #domus #domus #domus #domus</v>
      </c>
      <c r="DL263" t="str">
        <f ca="1">IFERROR(__xludf.DUMMYFUNCTION("""COMPUTED_VALUE"""),"Davor Salihović")</f>
        <v>Davor Salihović</v>
      </c>
    </row>
    <row r="264" spans="1:116" ht="13.2" x14ac:dyDescent="0.25">
      <c r="A264" t="str">
        <f ca="1">IFERROR(__xludf.DUMMYFUNCTION("""COMPUTED_VALUE"""),"P0270")</f>
        <v>P0270</v>
      </c>
      <c r="B264" t="str">
        <f ca="1">IFERROR(__xludf.DUMMYFUNCTION("""COMPUTED_VALUE"""),"Peyretus de Coazze")</f>
        <v>Peyretus de Coazze</v>
      </c>
      <c r="D264" t="str">
        <f ca="1">IFERROR(__xludf.DUMMYFUNCTION("""COMPUTED_VALUE"""),"#VALUE!")</f>
        <v>#VALUE!</v>
      </c>
      <c r="E264" t="str">
        <f ca="1">IFERROR(__xludf.DUMMYFUNCTION("""COMPUTED_VALUE"""),"Peyretus")</f>
        <v>Peyretus</v>
      </c>
      <c r="J264" t="str">
        <f ca="1">IFERROR(__xludf.DUMMYFUNCTION("""COMPUTED_VALUE"""),"de")</f>
        <v>de</v>
      </c>
      <c r="K264" t="str">
        <f ca="1">IFERROR(__xludf.DUMMYFUNCTION("""COMPUTED_VALUE"""),"Coazze")</f>
        <v>Coazze</v>
      </c>
      <c r="L264" t="str">
        <f ca="1">IFERROR(__xludf.DUMMYFUNCTION("""COMPUTED_VALUE"""),"de Coazze")</f>
        <v>de Coazze</v>
      </c>
      <c r="S264" t="str">
        <f ca="1">IFERROR(__xludf.DUMMYFUNCTION("""COMPUTED_VALUE"""),"Latin")</f>
        <v>Latin</v>
      </c>
      <c r="T264" t="str">
        <f ca="1">IFERROR(__xludf.DUMMYFUNCTION("""COMPUTED_VALUE"""),"definite")</f>
        <v>definite</v>
      </c>
      <c r="U264" t="str">
        <f ca="1">IFERROR(__xludf.DUMMYFUNCTION("""COMPUTED_VALUE"""),"C2553")</f>
        <v>C2553</v>
      </c>
      <c r="V264" t="str">
        <f ca="1">IFERROR(__xludf.DUMMYFUNCTION("""COMPUTED_VALUE"""),"male")</f>
        <v>male</v>
      </c>
      <c r="Z264" t="str">
        <f ca="1">IFERROR(__xludf.DUMMYFUNCTION("""COMPUTED_VALUE"""),"187, 190, 191, 193, 194, 196, 197, 198, 200, 201, 202, 204, 206, 208, 209, 211, 213, 215, 218, 220, 223, 225, 227, 229, 234, 236, 237, 238, 239, 240, 241, 242, 244, 245, 246, 247, 248, 249, 250")</f>
        <v>187, 190, 191, 193, 194, 196, 197, 198, 200, 201, 202, 204, 206, 208, 209, 211, 213, 215, 218, 220, 223, 225, 227, 229, 234, 236, 237, 238, 239, 240, 241, 242, 244, 245, 246, 247, 248, 249, 250</v>
      </c>
      <c r="AA264" t="str">
        <f ca="1">IFERROR(__xludf.DUMMYFUNCTION("""COMPUTED_VALUE"""),"d")</f>
        <v>d</v>
      </c>
      <c r="AB264" t="str">
        <f ca="1">IFERROR(__xludf.DUMMYFUNCTION("""COMPUTED_VALUE"""),"suspect")</f>
        <v>suspect</v>
      </c>
      <c r="AE264" t="str">
        <f ca="1">IFERROR(__xludf.DUMMYFUNCTION("""COMPUTED_VALUE"""),"#VALUE!")</f>
        <v>#VALUE!</v>
      </c>
      <c r="AF264" t="str">
        <f ca="1">IFERROR(__xludf.DUMMYFUNCTION("""COMPUTED_VALUE"""),"#N/A")</f>
        <v>#N/A</v>
      </c>
      <c r="AG264" t="str">
        <f ca="1">IFERROR(__xludf.DUMMYFUNCTION("""COMPUTED_VALUE"""),"#N/A")</f>
        <v>#N/A</v>
      </c>
      <c r="AH264" t="str">
        <f ca="1">IFERROR(__xludf.DUMMYFUNCTION("""COMPUTED_VALUE"""),"C2358")</f>
        <v>C2358</v>
      </c>
      <c r="AI264" t="str">
        <f ca="1">IFERROR(__xludf.DUMMYFUNCTION("""COMPUTED_VALUE"""),"associate")</f>
        <v>associate</v>
      </c>
      <c r="AJ264" t="str">
        <f ca="1">IFERROR(__xludf.DUMMYFUNCTION("""COMPUTED_VALUE"""),"P0206")</f>
        <v>P0206</v>
      </c>
      <c r="AK264" t="str">
        <f ca="1">IFERROR(__xludf.DUMMYFUNCTION("""COMPUTED_VALUE"""),"Franciscus")</f>
        <v>Franciscus</v>
      </c>
      <c r="AL264" t="str">
        <f ca="1">IFERROR(__xludf.DUMMYFUNCTION("""COMPUTED_VALUE"""),"C2358")</f>
        <v>C2358</v>
      </c>
      <c r="AM264" t="str">
        <f ca="1">IFERROR(__xludf.DUMMYFUNCTION("""COMPUTED_VALUE"""),"associate")</f>
        <v>associate</v>
      </c>
      <c r="AN264" t="str">
        <f ca="1">IFERROR(__xludf.DUMMYFUNCTION("""COMPUTED_VALUE"""),"P0336")</f>
        <v>P0336</v>
      </c>
      <c r="AO264" t="str">
        <f ca="1">IFERROR(__xludf.DUMMYFUNCTION("""COMPUTED_VALUE"""),"Michael de Prato Ialato")</f>
        <v>Michael de Prato Ialato</v>
      </c>
      <c r="AQ264" t="str">
        <f ca="1">IFERROR(__xludf.DUMMYFUNCTION("""COMPUTED_VALUE"""),"#VALUE!")</f>
        <v>#VALUE!</v>
      </c>
      <c r="AS264" t="str">
        <f ca="1">IFERROR(__xludf.DUMMYFUNCTION("""COMPUTED_VALUE"""),"#VALUE!")</f>
        <v>#VALUE!</v>
      </c>
      <c r="AU264" t="str">
        <f ca="1">IFERROR(__xludf.DUMMYFUNCTION("""COMPUTED_VALUE"""),"#VALUE!")</f>
        <v>#VALUE!</v>
      </c>
      <c r="AW264" t="str">
        <f ca="1">IFERROR(__xludf.DUMMYFUNCTION("""COMPUTED_VALUE"""),"#VALUE!")</f>
        <v>#VALUE!</v>
      </c>
      <c r="AY264" t="str">
        <f ca="1">IFERROR(__xludf.DUMMYFUNCTION("""COMPUTED_VALUE"""),"#VALUE!")</f>
        <v>#VALUE!</v>
      </c>
      <c r="BA264" t="str">
        <f ca="1">IFERROR(__xludf.DUMMYFUNCTION("""COMPUTED_VALUE"""),"#VALUE!")</f>
        <v>#VALUE!</v>
      </c>
      <c r="BC264" t="str">
        <f ca="1">IFERROR(__xludf.DUMMYFUNCTION("""COMPUTED_VALUE"""),"#VALUE!")</f>
        <v>#VALUE!</v>
      </c>
      <c r="BE264" t="str">
        <f ca="1">IFERROR(__xludf.DUMMYFUNCTION("""COMPUTED_VALUE"""),"#VALUE!")</f>
        <v>#VALUE!</v>
      </c>
      <c r="BG264" t="str">
        <f ca="1">IFERROR(__xludf.DUMMYFUNCTION("""COMPUTED_VALUE"""),"#VALUE!")</f>
        <v>#VALUE!</v>
      </c>
      <c r="BI264" t="str">
        <f ca="1">IFERROR(__xludf.DUMMYFUNCTION("""COMPUTED_VALUE"""),"#VALUE!")</f>
        <v>#VALUE!</v>
      </c>
      <c r="BK264" t="str">
        <f ca="1">IFERROR(__xludf.DUMMYFUNCTION("""COMPUTED_VALUE"""),"#VALUE!")</f>
        <v>#VALUE!</v>
      </c>
      <c r="BM264" t="str">
        <f ca="1">IFERROR(__xludf.DUMMYFUNCTION("""COMPUTED_VALUE"""),"#VALUE!")</f>
        <v>#VALUE!</v>
      </c>
      <c r="BO264" t="str">
        <f ca="1">IFERROR(__xludf.DUMMYFUNCTION("""COMPUTED_VALUE"""),"#VALUE!")</f>
        <v>#VALUE!</v>
      </c>
      <c r="BQ264" t="str">
        <f ca="1">IFERROR(__xludf.DUMMYFUNCTION("""COMPUTED_VALUE"""),"#VALUE!")</f>
        <v>#VALUE!</v>
      </c>
      <c r="BS264" t="str">
        <f ca="1">IFERROR(__xludf.DUMMYFUNCTION("""COMPUTED_VALUE"""),"#VALUE!")</f>
        <v>#VALUE!</v>
      </c>
      <c r="BU264" t="str">
        <f ca="1">IFERROR(__xludf.DUMMYFUNCTION("""COMPUTED_VALUE"""),"#VALUE!")</f>
        <v>#VALUE!</v>
      </c>
      <c r="BW264" t="str">
        <f ca="1">IFERROR(__xludf.DUMMYFUNCTION("""COMPUTED_VALUE"""),"#VALUE!")</f>
        <v>#VALUE!</v>
      </c>
      <c r="BY264" t="str">
        <f ca="1">IFERROR(__xludf.DUMMYFUNCTION("""COMPUTED_VALUE"""),"#VALUE!")</f>
        <v>#VALUE!</v>
      </c>
      <c r="CA264" t="str">
        <f ca="1">IFERROR(__xludf.DUMMYFUNCTION("""COMPUTED_VALUE"""),"#VALUE!")</f>
        <v>#VALUE!</v>
      </c>
      <c r="CC264" t="str">
        <f ca="1">IFERROR(__xludf.DUMMYFUNCTION("""COMPUTED_VALUE"""),"#VALUE!")</f>
        <v>#VALUE!</v>
      </c>
      <c r="CD264" t="str">
        <f ca="1">IFERROR(__xludf.DUMMYFUNCTION("""COMPUTED_VALUE"""),"C3598")</f>
        <v>C3598</v>
      </c>
      <c r="CE264" t="str">
        <f ca="1">IFERROR(__xludf.DUMMYFUNCTION("""COMPUTED_VALUE"""),"location of congregation")</f>
        <v>location of congregation</v>
      </c>
      <c r="CF264" t="str">
        <f ca="1">IFERROR(__xludf.DUMMYFUNCTION("""COMPUTED_VALUE"""),"L0080#L0090#L0071#L0032#L0083#L0079#L0117#L0068#L0096#L0099#L0098#L0100#L0106#L0089#L0076#L0115#L0097#L0118#L0122#L0129#L0108#L0133#L0065#L0069#L0139#L0140#L0082#L0133")</f>
        <v>L0080#L0090#L0071#L0032#L0083#L0079#L0117#L0068#L0096#L0099#L0098#L0100#L0106#L0089#L0076#L0115#L0097#L0118#L0122#L0129#L0108#L0133#L0065#L0069#L0139#L0140#L0082#L0133</v>
      </c>
      <c r="CG264" t="str">
        <f ca="1">IFERROR(__xludf.DUMMYFUNCTION("""COMPUTED_VALUE"""),"domus Petrii Burgi #domus Thome de Iohanne Iordani #domus Iohannis Mulini de Sala #domus Villelmi de Oddo #domus Nicoleti Feliçati de Villanova #domus Martinii Dominici #domus Michaelis de Fomia #domus Vieti de Mondino #domus Iohannis de Bonaudo #domus Ay"&amp;"moneti de Fomia #domus Michaelis Planche #domus de Boysono #domus Petri de Boysono #domus Iohannis de Facio Ferrandi #domus Iohannis Torenchi #domus Agnessone de Rosseto #domus Iohannis Borrellati #domus matris Peronete et Michaelis Planche #domus Margeri"&amp;"te Planche #domus Marchete de Mondino #domus Petri de Oddo #domus Sandrie Torenchi #domus Iohannis de Castagno de Giaveno #domus Iohannis Martini #domus Laurencii de Collo #domus Iacobi Milla #domus Iacobi Bernardi de Villanova #domus Sandrie Torenchi")</f>
        <v>domus Petrii Burgi #domus Thome de Iohanne Iordani #domus Iohannis Mulini de Sala #domus Villelmi de Oddo #domus Nicoleti Feliçati de Villanova #domus Martinii Dominici #domus Michaelis de Fomia #domus Vieti de Mondino #domus Iohannis de Bonaudo #domus Aymoneti de Fomia #domus Michaelis Planche #domus de Boysono #domus Petri de Boysono #domus Iohannis de Facio Ferrandi #domus Iohannis Torenchi #domus Agnessone de Rosseto #domus Iohannis Borrellati #domus matris Peronete et Michaelis Planche #domus Margerite Planche #domus Marchete de Mondino #domus Petri de Oddo #domus Sandrie Torenchi #domus Iohannis de Castagno de Giaveno #domus Iohannis Martini #domus Laurencii de Collo #domus Iacobi Milla #domus Iacobi Bernardi de Villanova #domus Sandrie Torenchi</v>
      </c>
      <c r="CI264" t="str">
        <f ca="1">IFERROR(__xludf.DUMMYFUNCTION("""COMPUTED_VALUE"""),"#VALUE!")</f>
        <v>#VALUE!</v>
      </c>
      <c r="CK264" t="str">
        <f ca="1">IFERROR(__xludf.DUMMYFUNCTION("""COMPUTED_VALUE"""),"#VALUE!")</f>
        <v>#VALUE!</v>
      </c>
      <c r="CR264" t="str">
        <f ca="1">IFERROR(__xludf.DUMMYFUNCTION("""COMPUTED_VALUE"""),"L0002")</f>
        <v>L0002</v>
      </c>
      <c r="CS264" t="str">
        <f ca="1">IFERROR(__xludf.DUMMYFUNCTION("""COMPUTED_VALUE"""),"Coazze")</f>
        <v>Coazze</v>
      </c>
      <c r="CU264" t="str">
        <f ca="1">IFERROR(__xludf.DUMMYFUNCTION("""COMPUTED_VALUE"""),"#VALUE!")</f>
        <v>#VALUE!</v>
      </c>
      <c r="CW264" t="str">
        <f ca="1">IFERROR(__xludf.DUMMYFUNCTION("""COMPUTED_VALUE"""),"#VALUE!")</f>
        <v>#VALUE!</v>
      </c>
      <c r="CX264" t="str">
        <f ca="1">IFERROR(__xludf.DUMMYFUNCTION("""COMPUTED_VALUE"""),"C3198")</f>
        <v>C3198</v>
      </c>
      <c r="CY264" t="str">
        <f ca="1">IFERROR(__xludf.DUMMYFUNCTION("""COMPUTED_VALUE"""),"socius Valdensis")</f>
        <v>socius Valdensis</v>
      </c>
      <c r="DA264" t="str">
        <f ca="1">IFERROR(__xludf.DUMMYFUNCTION("""COMPUTED_VALUE"""),"dissident minister")</f>
        <v>dissident minister</v>
      </c>
      <c r="DC264" t="str">
        <f ca="1">IFERROR(__xludf.DUMMYFUNCTION("""COMPUTED_VALUE"""),"#VALUE!")</f>
        <v>#VALUE!</v>
      </c>
      <c r="DD264" t="str">
        <f ca="1">IFERROR(__xludf.DUMMYFUNCTION("""COMPUTED_VALUE"""),"C3198")</f>
        <v>C3198</v>
      </c>
      <c r="DE264" t="str">
        <f ca="1">IFERROR(__xludf.DUMMYFUNCTION("""COMPUTED_VALUE"""),"socius Valdensis")</f>
        <v>socius Valdensis</v>
      </c>
      <c r="DH264" t="str">
        <f ca="1">IFERROR(__xludf.DUMMYFUNCTION("""COMPUTED_VALUE"""),"L0080#L0090#L0071#L0032#L0083#L0079#L0117#L0068#L0096#L0099#L0098#L0100#L0106#L0089#L0076#L0115#L0097#L0118#L0122#L0129#L0108#L0133#L0065#L0069#L0139#L0140#L0082#L0133")</f>
        <v>L0080#L0090#L0071#L0032#L0083#L0079#L0117#L0068#L0096#L0099#L0098#L0100#L0106#L0089#L0076#L0115#L0097#L0118#L0122#L0129#L0108#L0133#L0065#L0069#L0139#L0140#L0082#L0133</v>
      </c>
      <c r="DI264" t="str">
        <f ca="1">IFERROR(__xludf.DUMMYFUNCTION("""COMPUTED_VALUE"""),"domus Petrii Burgi #domus Thome de Iohanne Iordani #domus Iohannis Mulini de Sala #domus Villelmi de Oddo #domus Nicoleti Feliçati de Villanova #domus Martinii Dominici #domus Michaelis de Fomia #domus Vieti de Mondino #domus Iohannis de Bonaudo #domus Ay"&amp;"moneti de Fomia #domus Michaelis Planche #domus de Boysono #domus Petri de Boysono #domus Iohannis de Facio Ferrandi #domus Iohannis Torenchi #domus Agnessone de Rosseto #domus Iohannis Borrellati #domus matris Peronete et Michaelis Planche #domus Margeri"&amp;"te Planche #domus Marchete de Mondino #domus Petri de Oddo #domus Sandrie Torenchi #domus Iohannis de Castagno de Giaveno #domus Iohannis Martini #domus Laurencii de Collo #domus Iacobi Milla #domus Iacobi Bernardi de Villanova #domus Sandrie Torenchi")</f>
        <v>domus Petrii Burgi #domus Thome de Iohanne Iordani #domus Iohannis Mulini de Sala #domus Villelmi de Oddo #domus Nicoleti Feliçati de Villanova #domus Martinii Dominici #domus Michaelis de Fomia #domus Vieti de Mondino #domus Iohannis de Bonaudo #domus Aymoneti de Fomia #domus Michaelis Planche #domus de Boysono #domus Petri de Boysono #domus Iohannis de Facio Ferrandi #domus Iohannis Torenchi #domus Agnessone de Rosseto #domus Iohannis Borrellati #domus matris Peronete et Michaelis Planche #domus Margerite Planche #domus Marchete de Mondino #domus Petri de Oddo #domus Sandrie Torenchi #domus Iohannis de Castagno de Giaveno #domus Iohannis Martini #domus Laurencii de Collo #domus Iacobi Milla #domus Iacobi Bernardi de Villanova #domus Sandrie Torenchi</v>
      </c>
      <c r="DJ264" t="str">
        <f ca="1">IFERROR(__xludf.DUMMYFUNCTION("""COMPUTED_VALUE"""),"domus #domus #domus #domus #domus #domus #domus #domus #domus #domus #domus #domus #domus #domus #domus #domus #domus #domus #domus #domus #domus #domus #domus #domus #domus #domus #domus #domus")</f>
        <v>domus #domus #domus #domus #domus #domus #domus #domus #domus #domus #domus #domus #domus #domus #domus #domus #domus #domus #domus #domus #domus #domus #domus #domus #domus #domus #domus #domus</v>
      </c>
      <c r="DL264" t="str">
        <f ca="1">IFERROR(__xludf.DUMMYFUNCTION("""COMPUTED_VALUE"""),"Davor Salihović")</f>
        <v>Davor Salihović</v>
      </c>
    </row>
    <row r="265" spans="1:116" ht="13.2" x14ac:dyDescent="0.25">
      <c r="A265" t="str">
        <f ca="1">IFERROR(__xludf.DUMMYFUNCTION("""COMPUTED_VALUE"""),"P0271")</f>
        <v>P0271</v>
      </c>
      <c r="B265" t="str">
        <f ca="1">IFERROR(__xludf.DUMMYFUNCTION("""COMPUTED_VALUE"""),"Bonetus de Boteto")</f>
        <v>Bonetus de Boteto</v>
      </c>
      <c r="D265" t="str">
        <f ca="1">IFERROR(__xludf.DUMMYFUNCTION("""COMPUTED_VALUE"""),"#VALUE!")</f>
        <v>#VALUE!</v>
      </c>
      <c r="E265" t="str">
        <f ca="1">IFERROR(__xludf.DUMMYFUNCTION("""COMPUTED_VALUE"""),"Bonetus")</f>
        <v>Bonetus</v>
      </c>
      <c r="J265" t="str">
        <f ca="1">IFERROR(__xludf.DUMMYFUNCTION("""COMPUTED_VALUE"""),"de")</f>
        <v>de</v>
      </c>
      <c r="K265" t="str">
        <f ca="1">IFERROR(__xludf.DUMMYFUNCTION("""COMPUTED_VALUE"""),"Boteto")</f>
        <v>Boteto</v>
      </c>
      <c r="L265" t="str">
        <f ca="1">IFERROR(__xludf.DUMMYFUNCTION("""COMPUTED_VALUE"""),"de Boteto")</f>
        <v>de Boteto</v>
      </c>
      <c r="S265" t="str">
        <f ca="1">IFERROR(__xludf.DUMMYFUNCTION("""COMPUTED_VALUE"""),"Latin")</f>
        <v>Latin</v>
      </c>
      <c r="T265" t="str">
        <f ca="1">IFERROR(__xludf.DUMMYFUNCTION("""COMPUTED_VALUE"""),"definite")</f>
        <v>definite</v>
      </c>
      <c r="U265" t="str">
        <f ca="1">IFERROR(__xludf.DUMMYFUNCTION("""COMPUTED_VALUE"""),"C2553")</f>
        <v>C2553</v>
      </c>
      <c r="V265" t="str">
        <f ca="1">IFERROR(__xludf.DUMMYFUNCTION("""COMPUTED_VALUE"""),"male")</f>
        <v>male</v>
      </c>
      <c r="Z265" t="str">
        <f ca="1">IFERROR(__xludf.DUMMYFUNCTION("""COMPUTED_VALUE"""),"188, 218, 248")</f>
        <v>188, 218, 248</v>
      </c>
      <c r="AA265" t="str">
        <f ca="1">IFERROR(__xludf.DUMMYFUNCTION("""COMPUTED_VALUE"""),"d")</f>
        <v>d</v>
      </c>
      <c r="AB265" t="str">
        <f ca="1">IFERROR(__xludf.DUMMYFUNCTION("""COMPUTED_VALUE"""),"suspect")</f>
        <v>suspect</v>
      </c>
      <c r="AD265" t="str">
        <f ca="1">IFERROR(__xludf.DUMMYFUNCTION("""COMPUTED_VALUE"""),"C3287")</f>
        <v>C3287</v>
      </c>
      <c r="AE265" t="str">
        <f ca="1">IFERROR(__xludf.DUMMYFUNCTION("""COMPUTED_VALUE"""),"alive")</f>
        <v>alive</v>
      </c>
      <c r="AF265" t="str">
        <f ca="1">IFERROR(__xludf.DUMMYFUNCTION("""COMPUTED_VALUE"""),"C1753")</f>
        <v>C1753</v>
      </c>
      <c r="AG265" t="str">
        <f ca="1">IFERROR(__xludf.DUMMYFUNCTION("""COMPUTED_VALUE"""),"1335-01-20")</f>
        <v>1335-01-20</v>
      </c>
      <c r="AI265" t="str">
        <f ca="1">IFERROR(__xludf.DUMMYFUNCTION("""COMPUTED_VALUE"""),"#VALUE!")</f>
        <v>#VALUE!</v>
      </c>
      <c r="AK265" t="str">
        <f ca="1">IFERROR(__xludf.DUMMYFUNCTION("""COMPUTED_VALUE"""),"#VALUE!")</f>
        <v>#VALUE!</v>
      </c>
      <c r="AM265" t="str">
        <f ca="1">IFERROR(__xludf.DUMMYFUNCTION("""COMPUTED_VALUE"""),"#VALUE!")</f>
        <v>#VALUE!</v>
      </c>
      <c r="AO265" t="str">
        <f ca="1">IFERROR(__xludf.DUMMYFUNCTION("""COMPUTED_VALUE"""),"#VALUE!")</f>
        <v>#VALUE!</v>
      </c>
      <c r="AQ265" t="str">
        <f ca="1">IFERROR(__xludf.DUMMYFUNCTION("""COMPUTED_VALUE"""),"#VALUE!")</f>
        <v>#VALUE!</v>
      </c>
      <c r="AS265" t="str">
        <f ca="1">IFERROR(__xludf.DUMMYFUNCTION("""COMPUTED_VALUE"""),"#VALUE!")</f>
        <v>#VALUE!</v>
      </c>
      <c r="AU265" t="str">
        <f ca="1">IFERROR(__xludf.DUMMYFUNCTION("""COMPUTED_VALUE"""),"#VALUE!")</f>
        <v>#VALUE!</v>
      </c>
      <c r="AW265" t="str">
        <f ca="1">IFERROR(__xludf.DUMMYFUNCTION("""COMPUTED_VALUE"""),"#VALUE!")</f>
        <v>#VALUE!</v>
      </c>
      <c r="AY265" t="str">
        <f ca="1">IFERROR(__xludf.DUMMYFUNCTION("""COMPUTED_VALUE"""),"#VALUE!")</f>
        <v>#VALUE!</v>
      </c>
      <c r="BA265" t="str">
        <f ca="1">IFERROR(__xludf.DUMMYFUNCTION("""COMPUTED_VALUE"""),"#VALUE!")</f>
        <v>#VALUE!</v>
      </c>
      <c r="BC265" t="str">
        <f ca="1">IFERROR(__xludf.DUMMYFUNCTION("""COMPUTED_VALUE"""),"#VALUE!")</f>
        <v>#VALUE!</v>
      </c>
      <c r="BE265" t="str">
        <f ca="1">IFERROR(__xludf.DUMMYFUNCTION("""COMPUTED_VALUE"""),"#VALUE!")</f>
        <v>#VALUE!</v>
      </c>
      <c r="BG265" t="str">
        <f ca="1">IFERROR(__xludf.DUMMYFUNCTION("""COMPUTED_VALUE"""),"#VALUE!")</f>
        <v>#VALUE!</v>
      </c>
      <c r="BI265" t="str">
        <f ca="1">IFERROR(__xludf.DUMMYFUNCTION("""COMPUTED_VALUE"""),"#VALUE!")</f>
        <v>#VALUE!</v>
      </c>
      <c r="BK265" t="str">
        <f ca="1">IFERROR(__xludf.DUMMYFUNCTION("""COMPUTED_VALUE"""),"#VALUE!")</f>
        <v>#VALUE!</v>
      </c>
      <c r="BM265" t="str">
        <f ca="1">IFERROR(__xludf.DUMMYFUNCTION("""COMPUTED_VALUE"""),"#VALUE!")</f>
        <v>#VALUE!</v>
      </c>
      <c r="BO265" t="str">
        <f ca="1">IFERROR(__xludf.DUMMYFUNCTION("""COMPUTED_VALUE"""),"#VALUE!")</f>
        <v>#VALUE!</v>
      </c>
      <c r="BQ265" t="str">
        <f ca="1">IFERROR(__xludf.DUMMYFUNCTION("""COMPUTED_VALUE"""),"#VALUE!")</f>
        <v>#VALUE!</v>
      </c>
      <c r="BS265" t="str">
        <f ca="1">IFERROR(__xludf.DUMMYFUNCTION("""COMPUTED_VALUE"""),"#VALUE!")</f>
        <v>#VALUE!</v>
      </c>
      <c r="BU265" t="str">
        <f ca="1">IFERROR(__xludf.DUMMYFUNCTION("""COMPUTED_VALUE"""),"#VALUE!")</f>
        <v>#VALUE!</v>
      </c>
      <c r="BW265" t="str">
        <f ca="1">IFERROR(__xludf.DUMMYFUNCTION("""COMPUTED_VALUE"""),"#VALUE!")</f>
        <v>#VALUE!</v>
      </c>
      <c r="BY265" t="str">
        <f ca="1">IFERROR(__xludf.DUMMYFUNCTION("""COMPUTED_VALUE"""),"#VALUE!")</f>
        <v>#VALUE!</v>
      </c>
      <c r="CA265" t="str">
        <f ca="1">IFERROR(__xludf.DUMMYFUNCTION("""COMPUTED_VALUE"""),"#VALUE!")</f>
        <v>#VALUE!</v>
      </c>
      <c r="CC265" t="str">
        <f ca="1">IFERROR(__xludf.DUMMYFUNCTION("""COMPUTED_VALUE"""),"#VALUE!")</f>
        <v>#VALUE!</v>
      </c>
      <c r="CD265" t="str">
        <f ca="1">IFERROR(__xludf.DUMMYFUNCTION("""COMPUTED_VALUE"""),"C3598")</f>
        <v>C3598</v>
      </c>
      <c r="CE265" t="str">
        <f ca="1">IFERROR(__xludf.DUMMYFUNCTION("""COMPUTED_VALUE"""),"location of congregation")</f>
        <v>location of congregation</v>
      </c>
      <c r="CF265" t="str">
        <f ca="1">IFERROR(__xludf.DUMMYFUNCTION("""COMPUTED_VALUE"""),"L0080#L0032#L0079#L0066")</f>
        <v>L0080#L0032#L0079#L0066</v>
      </c>
      <c r="CG265" t="str">
        <f ca="1">IFERROR(__xludf.DUMMYFUNCTION("""COMPUTED_VALUE"""),"domus Petrii Burgi #domus Villelmi de Oddo #domus Martinii Dominici #domus Bernardi de Rosseto")</f>
        <v>domus Petrii Burgi #domus Villelmi de Oddo #domus Martinii Dominici #domus Bernardi de Rosseto</v>
      </c>
      <c r="CI265" t="str">
        <f ca="1">IFERROR(__xludf.DUMMYFUNCTION("""COMPUTED_VALUE"""),"#VALUE!")</f>
        <v>#VALUE!</v>
      </c>
      <c r="CK265" t="str">
        <f ca="1">IFERROR(__xludf.DUMMYFUNCTION("""COMPUTED_VALUE"""),"#VALUE!")</f>
        <v>#VALUE!</v>
      </c>
      <c r="CS265" t="str">
        <f ca="1">IFERROR(__xludf.DUMMYFUNCTION("""COMPUTED_VALUE"""),"#VALUE!")</f>
        <v>#VALUE!</v>
      </c>
      <c r="CU265" t="str">
        <f ca="1">IFERROR(__xludf.DUMMYFUNCTION("""COMPUTED_VALUE"""),"#VALUE!")</f>
        <v>#VALUE!</v>
      </c>
      <c r="CW265" t="str">
        <f ca="1">IFERROR(__xludf.DUMMYFUNCTION("""COMPUTED_VALUE"""),"#VALUE!")</f>
        <v>#VALUE!</v>
      </c>
      <c r="CY265" t="str">
        <f ca="1">IFERROR(__xludf.DUMMYFUNCTION("""COMPUTED_VALUE"""),"#VALUE!")</f>
        <v>#VALUE!</v>
      </c>
      <c r="DC265" t="str">
        <f ca="1">IFERROR(__xludf.DUMMYFUNCTION("""COMPUTED_VALUE"""),"#VALUE!")</f>
        <v>#VALUE!</v>
      </c>
      <c r="DE265" t="str">
        <f ca="1">IFERROR(__xludf.DUMMYFUNCTION("""COMPUTED_VALUE"""),"#VALUE!")</f>
        <v>#VALUE!</v>
      </c>
      <c r="DH265" t="str">
        <f ca="1">IFERROR(__xludf.DUMMYFUNCTION("""COMPUTED_VALUE"""),"L0080#L0032#L0079#L0066")</f>
        <v>L0080#L0032#L0079#L0066</v>
      </c>
      <c r="DI265" t="str">
        <f ca="1">IFERROR(__xludf.DUMMYFUNCTION("""COMPUTED_VALUE"""),"domus Petrii Burgi #domus Villelmi de Oddo #domus Martinii Dominici #domus Bernardi de Rosseto")</f>
        <v>domus Petrii Burgi #domus Villelmi de Oddo #domus Martinii Dominici #domus Bernardi de Rosseto</v>
      </c>
      <c r="DJ265" t="str">
        <f ca="1">IFERROR(__xludf.DUMMYFUNCTION("""COMPUTED_VALUE"""),"domus #domus #domus #domus")</f>
        <v>domus #domus #domus #domus</v>
      </c>
      <c r="DL265" t="str">
        <f ca="1">IFERROR(__xludf.DUMMYFUNCTION("""COMPUTED_VALUE"""),"Davor Salihović")</f>
        <v>Davor Salihović</v>
      </c>
    </row>
    <row r="266" spans="1:116" ht="13.2" x14ac:dyDescent="0.25">
      <c r="A266" t="str">
        <f ca="1">IFERROR(__xludf.DUMMYFUNCTION("""COMPUTED_VALUE"""),"P0272")</f>
        <v>P0272</v>
      </c>
      <c r="B266" t="str">
        <f ca="1">IFERROR(__xludf.DUMMYFUNCTION("""COMPUTED_VALUE"""),"Iaymen")</f>
        <v>Iaymen</v>
      </c>
      <c r="C266" t="str">
        <f ca="1">IFERROR(__xludf.DUMMYFUNCTION("""COMPUTED_VALUE"""),"C3519")</f>
        <v>C3519</v>
      </c>
      <c r="D266" t="str">
        <f ca="1">IFERROR(__xludf.DUMMYFUNCTION("""COMPUTED_VALUE"""),"seygnor")</f>
        <v>seygnor</v>
      </c>
      <c r="E266" t="str">
        <f ca="1">IFERROR(__xludf.DUMMYFUNCTION("""COMPUTED_VALUE"""),"Iaymen")</f>
        <v>Iaymen</v>
      </c>
      <c r="S266" t="str">
        <f ca="1">IFERROR(__xludf.DUMMYFUNCTION("""COMPUTED_VALUE"""),"Latin")</f>
        <v>Latin</v>
      </c>
      <c r="T266" t="str">
        <f ca="1">IFERROR(__xludf.DUMMYFUNCTION("""COMPUTED_VALUE"""),"definite")</f>
        <v>definite</v>
      </c>
      <c r="U266" t="str">
        <f ca="1">IFERROR(__xludf.DUMMYFUNCTION("""COMPUTED_VALUE"""),"C2553")</f>
        <v>C2553</v>
      </c>
      <c r="V266" t="str">
        <f ca="1">IFERROR(__xludf.DUMMYFUNCTION("""COMPUTED_VALUE"""),"male")</f>
        <v>male</v>
      </c>
      <c r="Z266" t="str">
        <f ca="1">IFERROR(__xludf.DUMMYFUNCTION("""COMPUTED_VALUE"""),"188, 191, 192, 234, 235, 236, 238, 239, 248, 250")</f>
        <v>188, 191, 192, 234, 235, 236, 238, 239, 248, 250</v>
      </c>
      <c r="AA266" t="str">
        <f ca="1">IFERROR(__xludf.DUMMYFUNCTION("""COMPUTED_VALUE"""),"d")</f>
        <v>d</v>
      </c>
      <c r="AB266" t="str">
        <f ca="1">IFERROR(__xludf.DUMMYFUNCTION("""COMPUTED_VALUE"""),"NA")</f>
        <v>NA</v>
      </c>
      <c r="AE266" t="str">
        <f ca="1">IFERROR(__xludf.DUMMYFUNCTION("""COMPUTED_VALUE"""),"#VALUE!")</f>
        <v>#VALUE!</v>
      </c>
      <c r="AF266" t="str">
        <f ca="1">IFERROR(__xludf.DUMMYFUNCTION("""COMPUTED_VALUE"""),"#N/A")</f>
        <v>#N/A</v>
      </c>
      <c r="AG266" t="str">
        <f ca="1">IFERROR(__xludf.DUMMYFUNCTION("""COMPUTED_VALUE"""),"#N/A")</f>
        <v>#N/A</v>
      </c>
      <c r="AI266" t="str">
        <f ca="1">IFERROR(__xludf.DUMMYFUNCTION("""COMPUTED_VALUE"""),"#VALUE!")</f>
        <v>#VALUE!</v>
      </c>
      <c r="AK266" t="str">
        <f ca="1">IFERROR(__xludf.DUMMYFUNCTION("""COMPUTED_VALUE"""),"#VALUE!")</f>
        <v>#VALUE!</v>
      </c>
      <c r="AM266" t="str">
        <f ca="1">IFERROR(__xludf.DUMMYFUNCTION("""COMPUTED_VALUE"""),"#VALUE!")</f>
        <v>#VALUE!</v>
      </c>
      <c r="AO266" t="str">
        <f ca="1">IFERROR(__xludf.DUMMYFUNCTION("""COMPUTED_VALUE"""),"#VALUE!")</f>
        <v>#VALUE!</v>
      </c>
      <c r="AQ266" t="str">
        <f ca="1">IFERROR(__xludf.DUMMYFUNCTION("""COMPUTED_VALUE"""),"#VALUE!")</f>
        <v>#VALUE!</v>
      </c>
      <c r="AS266" t="str">
        <f ca="1">IFERROR(__xludf.DUMMYFUNCTION("""COMPUTED_VALUE"""),"#VALUE!")</f>
        <v>#VALUE!</v>
      </c>
      <c r="AU266" t="str">
        <f ca="1">IFERROR(__xludf.DUMMYFUNCTION("""COMPUTED_VALUE"""),"#VALUE!")</f>
        <v>#VALUE!</v>
      </c>
      <c r="AW266" t="str">
        <f ca="1">IFERROR(__xludf.DUMMYFUNCTION("""COMPUTED_VALUE"""),"#VALUE!")</f>
        <v>#VALUE!</v>
      </c>
      <c r="AY266" t="str">
        <f ca="1">IFERROR(__xludf.DUMMYFUNCTION("""COMPUTED_VALUE"""),"#VALUE!")</f>
        <v>#VALUE!</v>
      </c>
      <c r="BA266" t="str">
        <f ca="1">IFERROR(__xludf.DUMMYFUNCTION("""COMPUTED_VALUE"""),"#VALUE!")</f>
        <v>#VALUE!</v>
      </c>
      <c r="BC266" t="str">
        <f ca="1">IFERROR(__xludf.DUMMYFUNCTION("""COMPUTED_VALUE"""),"#VALUE!")</f>
        <v>#VALUE!</v>
      </c>
      <c r="BE266" t="str">
        <f ca="1">IFERROR(__xludf.DUMMYFUNCTION("""COMPUTED_VALUE"""),"#VALUE!")</f>
        <v>#VALUE!</v>
      </c>
      <c r="BG266" t="str">
        <f ca="1">IFERROR(__xludf.DUMMYFUNCTION("""COMPUTED_VALUE"""),"#VALUE!")</f>
        <v>#VALUE!</v>
      </c>
      <c r="BI266" t="str">
        <f ca="1">IFERROR(__xludf.DUMMYFUNCTION("""COMPUTED_VALUE"""),"#VALUE!")</f>
        <v>#VALUE!</v>
      </c>
      <c r="BK266" t="str">
        <f ca="1">IFERROR(__xludf.DUMMYFUNCTION("""COMPUTED_VALUE"""),"#VALUE!")</f>
        <v>#VALUE!</v>
      </c>
      <c r="BM266" t="str">
        <f ca="1">IFERROR(__xludf.DUMMYFUNCTION("""COMPUTED_VALUE"""),"#VALUE!")</f>
        <v>#VALUE!</v>
      </c>
      <c r="BO266" t="str">
        <f ca="1">IFERROR(__xludf.DUMMYFUNCTION("""COMPUTED_VALUE"""),"#VALUE!")</f>
        <v>#VALUE!</v>
      </c>
      <c r="BQ266" t="str">
        <f ca="1">IFERROR(__xludf.DUMMYFUNCTION("""COMPUTED_VALUE"""),"#VALUE!")</f>
        <v>#VALUE!</v>
      </c>
      <c r="BS266" t="str">
        <f ca="1">IFERROR(__xludf.DUMMYFUNCTION("""COMPUTED_VALUE"""),"#VALUE!")</f>
        <v>#VALUE!</v>
      </c>
      <c r="BU266" t="str">
        <f ca="1">IFERROR(__xludf.DUMMYFUNCTION("""COMPUTED_VALUE"""),"#VALUE!")</f>
        <v>#VALUE!</v>
      </c>
      <c r="BW266" t="str">
        <f ca="1">IFERROR(__xludf.DUMMYFUNCTION("""COMPUTED_VALUE"""),"#VALUE!")</f>
        <v>#VALUE!</v>
      </c>
      <c r="BY266" t="str">
        <f ca="1">IFERROR(__xludf.DUMMYFUNCTION("""COMPUTED_VALUE"""),"#VALUE!")</f>
        <v>#VALUE!</v>
      </c>
      <c r="CA266" t="str">
        <f ca="1">IFERROR(__xludf.DUMMYFUNCTION("""COMPUTED_VALUE"""),"#VALUE!")</f>
        <v>#VALUE!</v>
      </c>
      <c r="CC266" t="str">
        <f ca="1">IFERROR(__xludf.DUMMYFUNCTION("""COMPUTED_VALUE"""),"#VALUE!")</f>
        <v>#VALUE!</v>
      </c>
      <c r="CD266" t="str">
        <f ca="1">IFERROR(__xludf.DUMMYFUNCTION("""COMPUTED_VALUE"""),"C3598")</f>
        <v>C3598</v>
      </c>
      <c r="CE266" t="str">
        <f ca="1">IFERROR(__xludf.DUMMYFUNCTION("""COMPUTED_VALUE"""),"location of congregation")</f>
        <v>location of congregation</v>
      </c>
      <c r="CF266" t="str">
        <f ca="1">IFERROR(__xludf.DUMMYFUNCTION("""COMPUTED_VALUE"""),"L0081#L0089#L0065#L0136")</f>
        <v>L0081#L0089#L0065#L0136</v>
      </c>
      <c r="CG266" t="str">
        <f ca="1">IFERROR(__xludf.DUMMYFUNCTION("""COMPUTED_VALUE"""),"domus Andree de Malessart #domus Iohannis de Facio Ferrandi #domus Iohannis de Castagno de Giaveno #domus Petri David")</f>
        <v>domus Andree de Malessart #domus Iohannis de Facio Ferrandi #domus Iohannis de Castagno de Giaveno #domus Petri David</v>
      </c>
      <c r="CI266" t="str">
        <f ca="1">IFERROR(__xludf.DUMMYFUNCTION("""COMPUTED_VALUE"""),"#VALUE!")</f>
        <v>#VALUE!</v>
      </c>
      <c r="CK266" t="str">
        <f ca="1">IFERROR(__xludf.DUMMYFUNCTION("""COMPUTED_VALUE"""),"#VALUE!")</f>
        <v>#VALUE!</v>
      </c>
      <c r="CS266" t="str">
        <f ca="1">IFERROR(__xludf.DUMMYFUNCTION("""COMPUTED_VALUE"""),"#VALUE!")</f>
        <v>#VALUE!</v>
      </c>
      <c r="CU266" t="str">
        <f ca="1">IFERROR(__xludf.DUMMYFUNCTION("""COMPUTED_VALUE"""),"#VALUE!")</f>
        <v>#VALUE!</v>
      </c>
      <c r="CW266" t="str">
        <f ca="1">IFERROR(__xludf.DUMMYFUNCTION("""COMPUTED_VALUE"""),"#VALUE!")</f>
        <v>#VALUE!</v>
      </c>
      <c r="CX266" t="str">
        <f ca="1">IFERROR(__xludf.DUMMYFUNCTION("""COMPUTED_VALUE"""),"C3197")</f>
        <v>C3197</v>
      </c>
      <c r="CY266" t="str">
        <f ca="1">IFERROR(__xludf.DUMMYFUNCTION("""COMPUTED_VALUE"""),"Valdensis")</f>
        <v>Valdensis</v>
      </c>
      <c r="DA266" t="str">
        <f ca="1">IFERROR(__xludf.DUMMYFUNCTION("""COMPUTED_VALUE"""),"dissident minister")</f>
        <v>dissident minister</v>
      </c>
      <c r="DC266" t="str">
        <f ca="1">IFERROR(__xludf.DUMMYFUNCTION("""COMPUTED_VALUE"""),"#VALUE!")</f>
        <v>#VALUE!</v>
      </c>
      <c r="DD266" t="str">
        <f ca="1">IFERROR(__xludf.DUMMYFUNCTION("""COMPUTED_VALUE"""),"C3197")</f>
        <v>C3197</v>
      </c>
      <c r="DE266" t="str">
        <f ca="1">IFERROR(__xludf.DUMMYFUNCTION("""COMPUTED_VALUE"""),"Valdensis")</f>
        <v>Valdensis</v>
      </c>
      <c r="DH266" t="str">
        <f ca="1">IFERROR(__xludf.DUMMYFUNCTION("""COMPUTED_VALUE"""),"L0081#L0089#L0065#L0136")</f>
        <v>L0081#L0089#L0065#L0136</v>
      </c>
      <c r="DI266" t="str">
        <f ca="1">IFERROR(__xludf.DUMMYFUNCTION("""COMPUTED_VALUE"""),"domus Andree de Malessart #domus Iohannis de Facio Ferrandi #domus Iohannis de Castagno de Giaveno #domus Petri David")</f>
        <v>domus Andree de Malessart #domus Iohannis de Facio Ferrandi #domus Iohannis de Castagno de Giaveno #domus Petri David</v>
      </c>
      <c r="DJ266" t="str">
        <f ca="1">IFERROR(__xludf.DUMMYFUNCTION("""COMPUTED_VALUE"""),"domus #domus #domus #domus")</f>
        <v>domus #domus #domus #domus</v>
      </c>
      <c r="DL266" t="str">
        <f ca="1">IFERROR(__xludf.DUMMYFUNCTION("""COMPUTED_VALUE"""),"Davor Salihović")</f>
        <v>Davor Salihović</v>
      </c>
    </row>
    <row r="267" spans="1:116" ht="13.2" x14ac:dyDescent="0.25">
      <c r="A267" t="str">
        <f ca="1">IFERROR(__xludf.DUMMYFUNCTION("""COMPUTED_VALUE"""),"P0273")</f>
        <v>P0273</v>
      </c>
      <c r="B267" t="str">
        <f ca="1">IFERROR(__xludf.DUMMYFUNCTION("""COMPUTED_VALUE"""),"Broxia, uxor Iacobini Bernardi")</f>
        <v>Broxia, uxor Iacobini Bernardi</v>
      </c>
      <c r="D267" t="str">
        <f ca="1">IFERROR(__xludf.DUMMYFUNCTION("""COMPUTED_VALUE"""),"#VALUE!")</f>
        <v>#VALUE!</v>
      </c>
      <c r="E267" t="str">
        <f ca="1">IFERROR(__xludf.DUMMYFUNCTION("""COMPUTED_VALUE"""),"Broxia")</f>
        <v>Broxia</v>
      </c>
      <c r="F267" t="str">
        <f ca="1">IFERROR(__xludf.DUMMYFUNCTION("""COMPUTED_VALUE"""),"Brosia")</f>
        <v>Brosia</v>
      </c>
      <c r="Q267" t="str">
        <f ca="1">IFERROR(__xludf.DUMMYFUNCTION("""COMPUTED_VALUE"""),"uxor Iacobini Bernardi")</f>
        <v>uxor Iacobini Bernardi</v>
      </c>
      <c r="S267" t="str">
        <f ca="1">IFERROR(__xludf.DUMMYFUNCTION("""COMPUTED_VALUE"""),"Latin")</f>
        <v>Latin</v>
      </c>
      <c r="T267" t="str">
        <f ca="1">IFERROR(__xludf.DUMMYFUNCTION("""COMPUTED_VALUE"""),"definite")</f>
        <v>definite</v>
      </c>
      <c r="U267" t="str">
        <f ca="1">IFERROR(__xludf.DUMMYFUNCTION("""COMPUTED_VALUE"""),"C2552")</f>
        <v>C2552</v>
      </c>
      <c r="V267" t="str">
        <f ca="1">IFERROR(__xludf.DUMMYFUNCTION("""COMPUTED_VALUE"""),"female")</f>
        <v>female</v>
      </c>
      <c r="Z267" t="str">
        <f ca="1">IFERROR(__xludf.DUMMYFUNCTION("""COMPUTED_VALUE"""),"188, 194, 196, 222, 228, 255")</f>
        <v>188, 194, 196, 222, 228, 255</v>
      </c>
      <c r="AA267" t="str">
        <f ca="1">IFERROR(__xludf.DUMMYFUNCTION("""COMPUTED_VALUE"""),"d")</f>
        <v>d</v>
      </c>
      <c r="AB267" t="str">
        <f ca="1">IFERROR(__xludf.DUMMYFUNCTION("""COMPUTED_VALUE"""),"suspect")</f>
        <v>suspect</v>
      </c>
      <c r="AD267" t="str">
        <f ca="1">IFERROR(__xludf.DUMMYFUNCTION("""COMPUTED_VALUE"""),"C3287")</f>
        <v>C3287</v>
      </c>
      <c r="AE267" t="str">
        <f ca="1">IFERROR(__xludf.DUMMYFUNCTION("""COMPUTED_VALUE"""),"alive")</f>
        <v>alive</v>
      </c>
      <c r="AF267" t="str">
        <f ca="1">IFERROR(__xludf.DUMMYFUNCTION("""COMPUTED_VALUE"""),"C1753")</f>
        <v>C1753</v>
      </c>
      <c r="AG267" t="str">
        <f ca="1">IFERROR(__xludf.DUMMYFUNCTION("""COMPUTED_VALUE"""),"1335-01-20")</f>
        <v>1335-01-20</v>
      </c>
      <c r="AH267" t="str">
        <f ca="1">IFERROR(__xludf.DUMMYFUNCTION("""COMPUTED_VALUE"""),"C0147")</f>
        <v>C0147</v>
      </c>
      <c r="AI267" t="str">
        <f ca="1">IFERROR(__xludf.DUMMYFUNCTION("""COMPUTED_VALUE"""),"warrantor")</f>
        <v>warrantor</v>
      </c>
      <c r="AJ267" t="str">
        <f ca="1">IFERROR(__xludf.DUMMYFUNCTION("""COMPUTED_VALUE"""),"P0130")</f>
        <v>P0130</v>
      </c>
      <c r="AK267" t="str">
        <f ca="1">IFERROR(__xludf.DUMMYFUNCTION("""COMPUTED_VALUE"""),"Iacobinus Bernardi")</f>
        <v>Iacobinus Bernardi</v>
      </c>
      <c r="AM267" t="str">
        <f ca="1">IFERROR(__xludf.DUMMYFUNCTION("""COMPUTED_VALUE"""),"#VALUE!")</f>
        <v>#VALUE!</v>
      </c>
      <c r="AO267" t="str">
        <f ca="1">IFERROR(__xludf.DUMMYFUNCTION("""COMPUTED_VALUE"""),"#VALUE!")</f>
        <v>#VALUE!</v>
      </c>
      <c r="AQ267" t="str">
        <f ca="1">IFERROR(__xludf.DUMMYFUNCTION("""COMPUTED_VALUE"""),"#VALUE!")</f>
        <v>#VALUE!</v>
      </c>
      <c r="AS267" t="str">
        <f ca="1">IFERROR(__xludf.DUMMYFUNCTION("""COMPUTED_VALUE"""),"#VALUE!")</f>
        <v>#VALUE!</v>
      </c>
      <c r="AU267" t="str">
        <f ca="1">IFERROR(__xludf.DUMMYFUNCTION("""COMPUTED_VALUE"""),"#VALUE!")</f>
        <v>#VALUE!</v>
      </c>
      <c r="AW267" t="str">
        <f ca="1">IFERROR(__xludf.DUMMYFUNCTION("""COMPUTED_VALUE"""),"#VALUE!")</f>
        <v>#VALUE!</v>
      </c>
      <c r="AY267" t="str">
        <f ca="1">IFERROR(__xludf.DUMMYFUNCTION("""COMPUTED_VALUE"""),"#VALUE!")</f>
        <v>#VALUE!</v>
      </c>
      <c r="BA267" t="str">
        <f ca="1">IFERROR(__xludf.DUMMYFUNCTION("""COMPUTED_VALUE"""),"#VALUE!")</f>
        <v>#VALUE!</v>
      </c>
      <c r="BC267" t="str">
        <f ca="1">IFERROR(__xludf.DUMMYFUNCTION("""COMPUTED_VALUE"""),"#VALUE!")</f>
        <v>#VALUE!</v>
      </c>
      <c r="BE267" t="str">
        <f ca="1">IFERROR(__xludf.DUMMYFUNCTION("""COMPUTED_VALUE"""),"#VALUE!")</f>
        <v>#VALUE!</v>
      </c>
      <c r="BG267" t="str">
        <f ca="1">IFERROR(__xludf.DUMMYFUNCTION("""COMPUTED_VALUE"""),"#VALUE!")</f>
        <v>#VALUE!</v>
      </c>
      <c r="BI267" t="str">
        <f ca="1">IFERROR(__xludf.DUMMYFUNCTION("""COMPUTED_VALUE"""),"#VALUE!")</f>
        <v>#VALUE!</v>
      </c>
      <c r="BK267" t="str">
        <f ca="1">IFERROR(__xludf.DUMMYFUNCTION("""COMPUTED_VALUE"""),"#VALUE!")</f>
        <v>#VALUE!</v>
      </c>
      <c r="BM267" t="str">
        <f ca="1">IFERROR(__xludf.DUMMYFUNCTION("""COMPUTED_VALUE"""),"#VALUE!")</f>
        <v>#VALUE!</v>
      </c>
      <c r="BO267" t="str">
        <f ca="1">IFERROR(__xludf.DUMMYFUNCTION("""COMPUTED_VALUE"""),"#VALUE!")</f>
        <v>#VALUE!</v>
      </c>
      <c r="BQ267" t="str">
        <f ca="1">IFERROR(__xludf.DUMMYFUNCTION("""COMPUTED_VALUE"""),"#VALUE!")</f>
        <v>#VALUE!</v>
      </c>
      <c r="BS267" t="str">
        <f ca="1">IFERROR(__xludf.DUMMYFUNCTION("""COMPUTED_VALUE"""),"#VALUE!")</f>
        <v>#VALUE!</v>
      </c>
      <c r="BU267" t="str">
        <f ca="1">IFERROR(__xludf.DUMMYFUNCTION("""COMPUTED_VALUE"""),"#VALUE!")</f>
        <v>#VALUE!</v>
      </c>
      <c r="BW267" t="str">
        <f ca="1">IFERROR(__xludf.DUMMYFUNCTION("""COMPUTED_VALUE"""),"#VALUE!")</f>
        <v>#VALUE!</v>
      </c>
      <c r="BY267" t="str">
        <f ca="1">IFERROR(__xludf.DUMMYFUNCTION("""COMPUTED_VALUE"""),"#VALUE!")</f>
        <v>#VALUE!</v>
      </c>
      <c r="CA267" t="str">
        <f ca="1">IFERROR(__xludf.DUMMYFUNCTION("""COMPUTED_VALUE"""),"#VALUE!")</f>
        <v>#VALUE!</v>
      </c>
      <c r="CC267" t="str">
        <f ca="1">IFERROR(__xludf.DUMMYFUNCTION("""COMPUTED_VALUE"""),"#VALUE!")</f>
        <v>#VALUE!</v>
      </c>
      <c r="CD267" t="str">
        <f ca="1">IFERROR(__xludf.DUMMYFUNCTION("""COMPUTED_VALUE"""),"C3598")</f>
        <v>C3598</v>
      </c>
      <c r="CE267" t="str">
        <f ca="1">IFERROR(__xludf.DUMMYFUNCTION("""COMPUTED_VALUE"""),"location of congregation")</f>
        <v>location of congregation</v>
      </c>
      <c r="CF267" t="str">
        <f ca="1">IFERROR(__xludf.DUMMYFUNCTION("""COMPUTED_VALUE"""),"L0082#L0079#L0121")</f>
        <v>L0082#L0079#L0121</v>
      </c>
      <c r="CG267" t="str">
        <f ca="1">IFERROR(__xludf.DUMMYFUNCTION("""COMPUTED_VALUE"""),"domus Iacobi Bernardi de Villanova #domus Martinii Dominici #domus Broxie, uxoris Iacobi Bernardi")</f>
        <v>domus Iacobi Bernardi de Villanova #domus Martinii Dominici #domus Broxie, uxoris Iacobi Bernardi</v>
      </c>
      <c r="CH267" t="str">
        <f ca="1">IFERROR(__xludf.DUMMYFUNCTION("""COMPUTED_VALUE"""),"P0130")</f>
        <v>P0130</v>
      </c>
      <c r="CI267" t="str">
        <f ca="1">IFERROR(__xludf.DUMMYFUNCTION("""COMPUTED_VALUE"""),"Iacobinus Bernardi")</f>
        <v>Iacobinus Bernardi</v>
      </c>
      <c r="CJ267" t="str">
        <f ca="1">IFERROR(__xludf.DUMMYFUNCTION("""COMPUTED_VALUE"""),"P0208")</f>
        <v>P0208</v>
      </c>
      <c r="CK267" t="str">
        <f ca="1">IFERROR(__xludf.DUMMYFUNCTION("""COMPUTED_VALUE"""),"Martinus Dominici")</f>
        <v>Martinus Dominici</v>
      </c>
      <c r="CS267" t="str">
        <f ca="1">IFERROR(__xludf.DUMMYFUNCTION("""COMPUTED_VALUE"""),"#VALUE!")</f>
        <v>#VALUE!</v>
      </c>
      <c r="CU267" t="str">
        <f ca="1">IFERROR(__xludf.DUMMYFUNCTION("""COMPUTED_VALUE"""),"#VALUE!")</f>
        <v>#VALUE!</v>
      </c>
      <c r="CW267" t="str">
        <f ca="1">IFERROR(__xludf.DUMMYFUNCTION("""COMPUTED_VALUE"""),"#VALUE!")</f>
        <v>#VALUE!</v>
      </c>
      <c r="CY267" t="str">
        <f ca="1">IFERROR(__xludf.DUMMYFUNCTION("""COMPUTED_VALUE"""),"#VALUE!")</f>
        <v>#VALUE!</v>
      </c>
      <c r="DC267" t="str">
        <f ca="1">IFERROR(__xludf.DUMMYFUNCTION("""COMPUTED_VALUE"""),"#VALUE!")</f>
        <v>#VALUE!</v>
      </c>
      <c r="DE267" t="str">
        <f ca="1">IFERROR(__xludf.DUMMYFUNCTION("""COMPUTED_VALUE"""),"#VALUE!")</f>
        <v>#VALUE!</v>
      </c>
      <c r="DF267" t="str">
        <f ca="1">IFERROR(__xludf.DUMMYFUNCTION("""COMPUTED_VALUE"""),"y")</f>
        <v>y</v>
      </c>
      <c r="DG267" t="str">
        <f ca="1">IFERROR(__xludf.DUMMYFUNCTION("""COMPUTED_VALUE"""),"222")</f>
        <v>222</v>
      </c>
      <c r="DH267" t="str">
        <f ca="1">IFERROR(__xludf.DUMMYFUNCTION("""COMPUTED_VALUE"""),"L0082#L0079#L0121")</f>
        <v>L0082#L0079#L0121</v>
      </c>
      <c r="DI267" t="str">
        <f ca="1">IFERROR(__xludf.DUMMYFUNCTION("""COMPUTED_VALUE"""),"domus Iacobi Bernardi de Villanova #domus Martinii Dominici #domus Broxie, uxoris Iacobi Bernardi")</f>
        <v>domus Iacobi Bernardi de Villanova #domus Martinii Dominici #domus Broxie, uxoris Iacobi Bernardi</v>
      </c>
      <c r="DJ267" t="str">
        <f ca="1">IFERROR(__xludf.DUMMYFUNCTION("""COMPUTED_VALUE"""),"domus #domus #domus")</f>
        <v>domus #domus #domus</v>
      </c>
      <c r="DL267" t="str">
        <f ca="1">IFERROR(__xludf.DUMMYFUNCTION("""COMPUTED_VALUE"""),"Davor Salihović")</f>
        <v>Davor Salihović</v>
      </c>
    </row>
    <row r="268" spans="1:116" ht="13.2" x14ac:dyDescent="0.25">
      <c r="A268" t="str">
        <f ca="1">IFERROR(__xludf.DUMMYFUNCTION("""COMPUTED_VALUE"""),"P0274")</f>
        <v>P0274</v>
      </c>
      <c r="B268" t="str">
        <f ca="1">IFERROR(__xludf.DUMMYFUNCTION("""COMPUTED_VALUE"""),"Nicoletus Feliçati")</f>
        <v>Nicoletus Feliçati</v>
      </c>
      <c r="D268" t="str">
        <f ca="1">IFERROR(__xludf.DUMMYFUNCTION("""COMPUTED_VALUE"""),"#VALUE!")</f>
        <v>#VALUE!</v>
      </c>
      <c r="E268" t="str">
        <f ca="1">IFERROR(__xludf.DUMMYFUNCTION("""COMPUTED_VALUE"""),"Nicoletus ")</f>
        <v xml:space="preserve">Nicoletus </v>
      </c>
      <c r="K268" t="str">
        <f ca="1">IFERROR(__xludf.DUMMYFUNCTION("""COMPUTED_VALUE"""),"Feliçati")</f>
        <v>Feliçati</v>
      </c>
      <c r="L268" t="str">
        <f ca="1">IFERROR(__xludf.DUMMYFUNCTION("""COMPUTED_VALUE"""),"Feliçati")</f>
        <v>Feliçati</v>
      </c>
      <c r="P268" t="str">
        <f ca="1">IFERROR(__xludf.DUMMYFUNCTION("""COMPUTED_VALUE"""),"Feliçatus")</f>
        <v>Feliçatus</v>
      </c>
      <c r="S268" t="str">
        <f ca="1">IFERROR(__xludf.DUMMYFUNCTION("""COMPUTED_VALUE"""),"Latin")</f>
        <v>Latin</v>
      </c>
      <c r="T268" t="str">
        <f ca="1">IFERROR(__xludf.DUMMYFUNCTION("""COMPUTED_VALUE"""),"definite")</f>
        <v>definite</v>
      </c>
      <c r="U268" t="str">
        <f ca="1">IFERROR(__xludf.DUMMYFUNCTION("""COMPUTED_VALUE"""),"C2553")</f>
        <v>C2553</v>
      </c>
      <c r="V268" t="str">
        <f ca="1">IFERROR(__xludf.DUMMYFUNCTION("""COMPUTED_VALUE"""),"male")</f>
        <v>male</v>
      </c>
      <c r="Z268" t="str">
        <f ca="1">IFERROR(__xludf.DUMMYFUNCTION("""COMPUTED_VALUE"""),"188, 194, 195, 222, 226, 250")</f>
        <v>188, 194, 195, 222, 226, 250</v>
      </c>
      <c r="AA268" t="str">
        <f ca="1">IFERROR(__xludf.DUMMYFUNCTION("""COMPUTED_VALUE"""),"d")</f>
        <v>d</v>
      </c>
      <c r="AB268" t="str">
        <f ca="1">IFERROR(__xludf.DUMMYFUNCTION("""COMPUTED_VALUE"""),"suspect")</f>
        <v>suspect</v>
      </c>
      <c r="AD268" t="str">
        <f ca="1">IFERROR(__xludf.DUMMYFUNCTION("""COMPUTED_VALUE"""),"C3287")</f>
        <v>C3287</v>
      </c>
      <c r="AE268" t="str">
        <f ca="1">IFERROR(__xludf.DUMMYFUNCTION("""COMPUTED_VALUE"""),"alive")</f>
        <v>alive</v>
      </c>
      <c r="AF268" t="str">
        <f ca="1">IFERROR(__xludf.DUMMYFUNCTION("""COMPUTED_VALUE"""),"C1753")</f>
        <v>C1753</v>
      </c>
      <c r="AG268" t="str">
        <f ca="1">IFERROR(__xludf.DUMMYFUNCTION("""COMPUTED_VALUE"""),"1335-01-20")</f>
        <v>1335-01-20</v>
      </c>
      <c r="AH268" t="str">
        <f ca="1">IFERROR(__xludf.DUMMYFUNCTION("""COMPUTED_VALUE"""),"C2348")</f>
        <v>C2348</v>
      </c>
      <c r="AI268" t="str">
        <f ca="1">IFERROR(__xludf.DUMMYFUNCTION("""COMPUTED_VALUE"""),"wife")</f>
        <v>wife</v>
      </c>
      <c r="AJ268" t="str">
        <f ca="1">IFERROR(__xludf.DUMMYFUNCTION("""COMPUTED_VALUE"""),"P0275")</f>
        <v>P0275</v>
      </c>
      <c r="AK268" t="str">
        <f ca="1">IFERROR(__xludf.DUMMYFUNCTION("""COMPUTED_VALUE"""),"Ronda, uxor Nicoleti Feliçati")</f>
        <v>Ronda, uxor Nicoleti Feliçati</v>
      </c>
      <c r="AL268" t="str">
        <f ca="1">IFERROR(__xludf.DUMMYFUNCTION("""COMPUTED_VALUE"""),"C0147")</f>
        <v>C0147</v>
      </c>
      <c r="AM268" t="str">
        <f ca="1">IFERROR(__xludf.DUMMYFUNCTION("""COMPUTED_VALUE"""),"warrantor")</f>
        <v>warrantor</v>
      </c>
      <c r="AN268" t="str">
        <f ca="1">IFERROR(__xludf.DUMMYFUNCTION("""COMPUTED_VALUE"""),"P0313")</f>
        <v>P0313</v>
      </c>
      <c r="AO268" t="str">
        <f ca="1">IFERROR(__xludf.DUMMYFUNCTION("""COMPUTED_VALUE"""),"Micheletus Capitani")</f>
        <v>Micheletus Capitani</v>
      </c>
      <c r="AQ268" t="str">
        <f ca="1">IFERROR(__xludf.DUMMYFUNCTION("""COMPUTED_VALUE"""),"#VALUE!")</f>
        <v>#VALUE!</v>
      </c>
      <c r="AS268" t="str">
        <f ca="1">IFERROR(__xludf.DUMMYFUNCTION("""COMPUTED_VALUE"""),"#VALUE!")</f>
        <v>#VALUE!</v>
      </c>
      <c r="AU268" t="str">
        <f ca="1">IFERROR(__xludf.DUMMYFUNCTION("""COMPUTED_VALUE"""),"#VALUE!")</f>
        <v>#VALUE!</v>
      </c>
      <c r="AW268" t="str">
        <f ca="1">IFERROR(__xludf.DUMMYFUNCTION("""COMPUTED_VALUE"""),"#VALUE!")</f>
        <v>#VALUE!</v>
      </c>
      <c r="AY268" t="str">
        <f ca="1">IFERROR(__xludf.DUMMYFUNCTION("""COMPUTED_VALUE"""),"#VALUE!")</f>
        <v>#VALUE!</v>
      </c>
      <c r="BA268" t="str">
        <f ca="1">IFERROR(__xludf.DUMMYFUNCTION("""COMPUTED_VALUE"""),"#VALUE!")</f>
        <v>#VALUE!</v>
      </c>
      <c r="BC268" t="str">
        <f ca="1">IFERROR(__xludf.DUMMYFUNCTION("""COMPUTED_VALUE"""),"#VALUE!")</f>
        <v>#VALUE!</v>
      </c>
      <c r="BE268" t="str">
        <f ca="1">IFERROR(__xludf.DUMMYFUNCTION("""COMPUTED_VALUE"""),"#VALUE!")</f>
        <v>#VALUE!</v>
      </c>
      <c r="BG268" t="str">
        <f ca="1">IFERROR(__xludf.DUMMYFUNCTION("""COMPUTED_VALUE"""),"#VALUE!")</f>
        <v>#VALUE!</v>
      </c>
      <c r="BI268" t="str">
        <f ca="1">IFERROR(__xludf.DUMMYFUNCTION("""COMPUTED_VALUE"""),"#VALUE!")</f>
        <v>#VALUE!</v>
      </c>
      <c r="BK268" t="str">
        <f ca="1">IFERROR(__xludf.DUMMYFUNCTION("""COMPUTED_VALUE"""),"#VALUE!")</f>
        <v>#VALUE!</v>
      </c>
      <c r="BM268" t="str">
        <f ca="1">IFERROR(__xludf.DUMMYFUNCTION("""COMPUTED_VALUE"""),"#VALUE!")</f>
        <v>#VALUE!</v>
      </c>
      <c r="BO268" t="str">
        <f ca="1">IFERROR(__xludf.DUMMYFUNCTION("""COMPUTED_VALUE"""),"#VALUE!")</f>
        <v>#VALUE!</v>
      </c>
      <c r="BQ268" t="str">
        <f ca="1">IFERROR(__xludf.DUMMYFUNCTION("""COMPUTED_VALUE"""),"#VALUE!")</f>
        <v>#VALUE!</v>
      </c>
      <c r="BS268" t="str">
        <f ca="1">IFERROR(__xludf.DUMMYFUNCTION("""COMPUTED_VALUE"""),"#VALUE!")</f>
        <v>#VALUE!</v>
      </c>
      <c r="BU268" t="str">
        <f ca="1">IFERROR(__xludf.DUMMYFUNCTION("""COMPUTED_VALUE"""),"#VALUE!")</f>
        <v>#VALUE!</v>
      </c>
      <c r="BW268" t="str">
        <f ca="1">IFERROR(__xludf.DUMMYFUNCTION("""COMPUTED_VALUE"""),"#VALUE!")</f>
        <v>#VALUE!</v>
      </c>
      <c r="BY268" t="str">
        <f ca="1">IFERROR(__xludf.DUMMYFUNCTION("""COMPUTED_VALUE"""),"#VALUE!")</f>
        <v>#VALUE!</v>
      </c>
      <c r="CA268" t="str">
        <f ca="1">IFERROR(__xludf.DUMMYFUNCTION("""COMPUTED_VALUE"""),"#VALUE!")</f>
        <v>#VALUE!</v>
      </c>
      <c r="CC268" t="str">
        <f ca="1">IFERROR(__xludf.DUMMYFUNCTION("""COMPUTED_VALUE"""),"#VALUE!")</f>
        <v>#VALUE!</v>
      </c>
      <c r="CD268" t="str">
        <f ca="1">IFERROR(__xludf.DUMMYFUNCTION("""COMPUTED_VALUE"""),"C3598")</f>
        <v>C3598</v>
      </c>
      <c r="CE268" t="str">
        <f ca="1">IFERROR(__xludf.DUMMYFUNCTION("""COMPUTED_VALUE"""),"location of congregation")</f>
        <v>location of congregation</v>
      </c>
      <c r="CF268" t="str">
        <f ca="1">IFERROR(__xludf.DUMMYFUNCTION("""COMPUTED_VALUE"""),"L0083#L0082#L0079#L0121#L0131")</f>
        <v>L0083#L0082#L0079#L0121#L0131</v>
      </c>
      <c r="CG268" t="str">
        <f ca="1">IFERROR(__xludf.DUMMYFUNCTION("""COMPUTED_VALUE"""),"domus Nicoleti Feliçati de Villanova #domus Iacobi Bernardi de Villanova #domus Martinii Dominici #domus Broxie, uxoris Iacobi Bernardi #domus Ronde Feliçati")</f>
        <v>domus Nicoleti Feliçati de Villanova #domus Iacobi Bernardi de Villanova #domus Martinii Dominici #domus Broxie, uxoris Iacobi Bernardi #domus Ronde Feliçati</v>
      </c>
      <c r="CH268" t="str">
        <f ca="1">IFERROR(__xludf.DUMMYFUNCTION("""COMPUTED_VALUE"""),"P0313")</f>
        <v>P0313</v>
      </c>
      <c r="CI268" t="str">
        <f ca="1">IFERROR(__xludf.DUMMYFUNCTION("""COMPUTED_VALUE"""),"Micheletus Capitani")</f>
        <v>Micheletus Capitani</v>
      </c>
      <c r="CJ268" t="str">
        <f ca="1">IFERROR(__xludf.DUMMYFUNCTION("""COMPUTED_VALUE"""),"P0311#P0208")</f>
        <v>P0311#P0208</v>
      </c>
      <c r="CK268" t="str">
        <f ca="1">IFERROR(__xludf.DUMMYFUNCTION("""COMPUTED_VALUE"""),"Coletus, filius Villelmeti Dominici #Martinus Dominici")</f>
        <v>Coletus, filius Villelmeti Dominici #Martinus Dominici</v>
      </c>
      <c r="CO268" t="str">
        <f ca="1">IFERROR(__xludf.DUMMYFUNCTION("""COMPUTED_VALUE"""),"Feliçatus")</f>
        <v>Feliçatus</v>
      </c>
      <c r="CR268" t="str">
        <f ca="1">IFERROR(__xludf.DUMMYFUNCTION("""COMPUTED_VALUE"""),"L0024")</f>
        <v>L0024</v>
      </c>
      <c r="CS268" t="str">
        <f ca="1">IFERROR(__xludf.DUMMYFUNCTION("""COMPUTED_VALUE"""),"Villanova")</f>
        <v>Villanova</v>
      </c>
      <c r="CU268" t="str">
        <f ca="1">IFERROR(__xludf.DUMMYFUNCTION("""COMPUTED_VALUE"""),"#VALUE!")</f>
        <v>#VALUE!</v>
      </c>
      <c r="CW268" t="str">
        <f ca="1">IFERROR(__xludf.DUMMYFUNCTION("""COMPUTED_VALUE"""),"#VALUE!")</f>
        <v>#VALUE!</v>
      </c>
      <c r="CY268" t="str">
        <f ca="1">IFERROR(__xludf.DUMMYFUNCTION("""COMPUTED_VALUE"""),"#VALUE!")</f>
        <v>#VALUE!</v>
      </c>
      <c r="DC268" t="str">
        <f ca="1">IFERROR(__xludf.DUMMYFUNCTION("""COMPUTED_VALUE"""),"#VALUE!")</f>
        <v>#VALUE!</v>
      </c>
      <c r="DE268" t="str">
        <f ca="1">IFERROR(__xludf.DUMMYFUNCTION("""COMPUTED_VALUE"""),"#VALUE!")</f>
        <v>#VALUE!</v>
      </c>
      <c r="DF268" t="str">
        <f ca="1">IFERROR(__xludf.DUMMYFUNCTION("""COMPUTED_VALUE"""),"y")</f>
        <v>y</v>
      </c>
      <c r="DG268" t="str">
        <f ca="1">IFERROR(__xludf.DUMMYFUNCTION("""COMPUTED_VALUE"""),"194-195")</f>
        <v>194-195</v>
      </c>
      <c r="DH268" t="str">
        <f ca="1">IFERROR(__xludf.DUMMYFUNCTION("""COMPUTED_VALUE"""),"L0083#L0082#L0079#L0121#L0131")</f>
        <v>L0083#L0082#L0079#L0121#L0131</v>
      </c>
      <c r="DI268" t="str">
        <f ca="1">IFERROR(__xludf.DUMMYFUNCTION("""COMPUTED_VALUE"""),"domus Nicoleti Feliçati de Villanova #domus Iacobi Bernardi de Villanova #domus Martinii Dominici #domus Broxie, uxoris Iacobi Bernardi #domus Ronde Feliçati")</f>
        <v>domus Nicoleti Feliçati de Villanova #domus Iacobi Bernardi de Villanova #domus Martinii Dominici #domus Broxie, uxoris Iacobi Bernardi #domus Ronde Feliçati</v>
      </c>
      <c r="DJ268" t="str">
        <f ca="1">IFERROR(__xludf.DUMMYFUNCTION("""COMPUTED_VALUE"""),"domus #domus #domus #domus #domus")</f>
        <v>domus #domus #domus #domus #domus</v>
      </c>
      <c r="DL268" t="str">
        <f ca="1">IFERROR(__xludf.DUMMYFUNCTION("""COMPUTED_VALUE"""),"Davor Salihović")</f>
        <v>Davor Salihović</v>
      </c>
    </row>
    <row r="269" spans="1:116" ht="13.2" x14ac:dyDescent="0.25">
      <c r="A269" t="str">
        <f ca="1">IFERROR(__xludf.DUMMYFUNCTION("""COMPUTED_VALUE"""),"P0275")</f>
        <v>P0275</v>
      </c>
      <c r="B269" t="str">
        <f ca="1">IFERROR(__xludf.DUMMYFUNCTION("""COMPUTED_VALUE"""),"Ronda, uxor Nicoleti Feliçati")</f>
        <v>Ronda, uxor Nicoleti Feliçati</v>
      </c>
      <c r="D269" t="str">
        <f ca="1">IFERROR(__xludf.DUMMYFUNCTION("""COMPUTED_VALUE"""),"#VALUE!")</f>
        <v>#VALUE!</v>
      </c>
      <c r="E269" t="str">
        <f ca="1">IFERROR(__xludf.DUMMYFUNCTION("""COMPUTED_VALUE"""),"Ronda")</f>
        <v>Ronda</v>
      </c>
      <c r="F269" t="str">
        <f ca="1">IFERROR(__xludf.DUMMYFUNCTION("""COMPUTED_VALUE"""),"Rionda")</f>
        <v>Rionda</v>
      </c>
      <c r="Q269" t="str">
        <f ca="1">IFERROR(__xludf.DUMMYFUNCTION("""COMPUTED_VALUE"""),"uxor Nicoleti Feliçati")</f>
        <v>uxor Nicoleti Feliçati</v>
      </c>
      <c r="S269" t="str">
        <f ca="1">IFERROR(__xludf.DUMMYFUNCTION("""COMPUTED_VALUE"""),"Latin")</f>
        <v>Latin</v>
      </c>
      <c r="T269" t="str">
        <f ca="1">IFERROR(__xludf.DUMMYFUNCTION("""COMPUTED_VALUE"""),"definite")</f>
        <v>definite</v>
      </c>
      <c r="U269" t="str">
        <f ca="1">IFERROR(__xludf.DUMMYFUNCTION("""COMPUTED_VALUE"""),"C2552")</f>
        <v>C2552</v>
      </c>
      <c r="V269" t="str">
        <f ca="1">IFERROR(__xludf.DUMMYFUNCTION("""COMPUTED_VALUE"""),"female")</f>
        <v>female</v>
      </c>
      <c r="Z269" t="str">
        <f ca="1">IFERROR(__xludf.DUMMYFUNCTION("""COMPUTED_VALUE"""),"188, 194, 226, 250")</f>
        <v>188, 194, 226, 250</v>
      </c>
      <c r="AA269" t="str">
        <f ca="1">IFERROR(__xludf.DUMMYFUNCTION("""COMPUTED_VALUE"""),"d")</f>
        <v>d</v>
      </c>
      <c r="AB269" t="str">
        <f ca="1">IFERROR(__xludf.DUMMYFUNCTION("""COMPUTED_VALUE"""),"suspect")</f>
        <v>suspect</v>
      </c>
      <c r="AD269" t="str">
        <f ca="1">IFERROR(__xludf.DUMMYFUNCTION("""COMPUTED_VALUE"""),"C3287")</f>
        <v>C3287</v>
      </c>
      <c r="AE269" t="str">
        <f ca="1">IFERROR(__xludf.DUMMYFUNCTION("""COMPUTED_VALUE"""),"alive")</f>
        <v>alive</v>
      </c>
      <c r="AF269" t="str">
        <f ca="1">IFERROR(__xludf.DUMMYFUNCTION("""COMPUTED_VALUE"""),"C1753")</f>
        <v>C1753</v>
      </c>
      <c r="AG269" t="str">
        <f ca="1">IFERROR(__xludf.DUMMYFUNCTION("""COMPUTED_VALUE"""),"1335-01-20")</f>
        <v>1335-01-20</v>
      </c>
      <c r="AI269" t="str">
        <f ca="1">IFERROR(__xludf.DUMMYFUNCTION("""COMPUTED_VALUE"""),"#VALUE!")</f>
        <v>#VALUE!</v>
      </c>
      <c r="AK269" t="str">
        <f ca="1">IFERROR(__xludf.DUMMYFUNCTION("""COMPUTED_VALUE"""),"#VALUE!")</f>
        <v>#VALUE!</v>
      </c>
      <c r="AM269" t="str">
        <f ca="1">IFERROR(__xludf.DUMMYFUNCTION("""COMPUTED_VALUE"""),"#VALUE!")</f>
        <v>#VALUE!</v>
      </c>
      <c r="AO269" t="str">
        <f ca="1">IFERROR(__xludf.DUMMYFUNCTION("""COMPUTED_VALUE"""),"#VALUE!")</f>
        <v>#VALUE!</v>
      </c>
      <c r="AQ269" t="str">
        <f ca="1">IFERROR(__xludf.DUMMYFUNCTION("""COMPUTED_VALUE"""),"#VALUE!")</f>
        <v>#VALUE!</v>
      </c>
      <c r="AS269" t="str">
        <f ca="1">IFERROR(__xludf.DUMMYFUNCTION("""COMPUTED_VALUE"""),"#VALUE!")</f>
        <v>#VALUE!</v>
      </c>
      <c r="AU269" t="str">
        <f ca="1">IFERROR(__xludf.DUMMYFUNCTION("""COMPUTED_VALUE"""),"#VALUE!")</f>
        <v>#VALUE!</v>
      </c>
      <c r="AW269" t="str">
        <f ca="1">IFERROR(__xludf.DUMMYFUNCTION("""COMPUTED_VALUE"""),"#VALUE!")</f>
        <v>#VALUE!</v>
      </c>
      <c r="AY269" t="str">
        <f ca="1">IFERROR(__xludf.DUMMYFUNCTION("""COMPUTED_VALUE"""),"#VALUE!")</f>
        <v>#VALUE!</v>
      </c>
      <c r="BA269" t="str">
        <f ca="1">IFERROR(__xludf.DUMMYFUNCTION("""COMPUTED_VALUE"""),"#VALUE!")</f>
        <v>#VALUE!</v>
      </c>
      <c r="BC269" t="str">
        <f ca="1">IFERROR(__xludf.DUMMYFUNCTION("""COMPUTED_VALUE"""),"#VALUE!")</f>
        <v>#VALUE!</v>
      </c>
      <c r="BE269" t="str">
        <f ca="1">IFERROR(__xludf.DUMMYFUNCTION("""COMPUTED_VALUE"""),"#VALUE!")</f>
        <v>#VALUE!</v>
      </c>
      <c r="BG269" t="str">
        <f ca="1">IFERROR(__xludf.DUMMYFUNCTION("""COMPUTED_VALUE"""),"#VALUE!")</f>
        <v>#VALUE!</v>
      </c>
      <c r="BI269" t="str">
        <f ca="1">IFERROR(__xludf.DUMMYFUNCTION("""COMPUTED_VALUE"""),"#VALUE!")</f>
        <v>#VALUE!</v>
      </c>
      <c r="BK269" t="str">
        <f ca="1">IFERROR(__xludf.DUMMYFUNCTION("""COMPUTED_VALUE"""),"#VALUE!")</f>
        <v>#VALUE!</v>
      </c>
      <c r="BM269" t="str">
        <f ca="1">IFERROR(__xludf.DUMMYFUNCTION("""COMPUTED_VALUE"""),"#VALUE!")</f>
        <v>#VALUE!</v>
      </c>
      <c r="BO269" t="str">
        <f ca="1">IFERROR(__xludf.DUMMYFUNCTION("""COMPUTED_VALUE"""),"#VALUE!")</f>
        <v>#VALUE!</v>
      </c>
      <c r="BQ269" t="str">
        <f ca="1">IFERROR(__xludf.DUMMYFUNCTION("""COMPUTED_VALUE"""),"#VALUE!")</f>
        <v>#VALUE!</v>
      </c>
      <c r="BS269" t="str">
        <f ca="1">IFERROR(__xludf.DUMMYFUNCTION("""COMPUTED_VALUE"""),"#VALUE!")</f>
        <v>#VALUE!</v>
      </c>
      <c r="BU269" t="str">
        <f ca="1">IFERROR(__xludf.DUMMYFUNCTION("""COMPUTED_VALUE"""),"#VALUE!")</f>
        <v>#VALUE!</v>
      </c>
      <c r="BW269" t="str">
        <f ca="1">IFERROR(__xludf.DUMMYFUNCTION("""COMPUTED_VALUE"""),"#VALUE!")</f>
        <v>#VALUE!</v>
      </c>
      <c r="BY269" t="str">
        <f ca="1">IFERROR(__xludf.DUMMYFUNCTION("""COMPUTED_VALUE"""),"#VALUE!")</f>
        <v>#VALUE!</v>
      </c>
      <c r="CA269" t="str">
        <f ca="1">IFERROR(__xludf.DUMMYFUNCTION("""COMPUTED_VALUE"""),"#VALUE!")</f>
        <v>#VALUE!</v>
      </c>
      <c r="CC269" t="str">
        <f ca="1">IFERROR(__xludf.DUMMYFUNCTION("""COMPUTED_VALUE"""),"#VALUE!")</f>
        <v>#VALUE!</v>
      </c>
      <c r="CD269" t="str">
        <f ca="1">IFERROR(__xludf.DUMMYFUNCTION("""COMPUTED_VALUE"""),"C3598")</f>
        <v>C3598</v>
      </c>
      <c r="CE269" t="str">
        <f ca="1">IFERROR(__xludf.DUMMYFUNCTION("""COMPUTED_VALUE"""),"location of congregation")</f>
        <v>location of congregation</v>
      </c>
      <c r="CF269" t="str">
        <f ca="1">IFERROR(__xludf.DUMMYFUNCTION("""COMPUTED_VALUE"""),"L0083")</f>
        <v>L0083</v>
      </c>
      <c r="CG269" t="str">
        <f ca="1">IFERROR(__xludf.DUMMYFUNCTION("""COMPUTED_VALUE"""),"domus Nicoleti Feliçati de Villanova")</f>
        <v>domus Nicoleti Feliçati de Villanova</v>
      </c>
      <c r="CI269" t="str">
        <f ca="1">IFERROR(__xludf.DUMMYFUNCTION("""COMPUTED_VALUE"""),"#VALUE!")</f>
        <v>#VALUE!</v>
      </c>
      <c r="CK269" t="str">
        <f ca="1">IFERROR(__xludf.DUMMYFUNCTION("""COMPUTED_VALUE"""),"#VALUE!")</f>
        <v>#VALUE!</v>
      </c>
      <c r="CS269" t="str">
        <f ca="1">IFERROR(__xludf.DUMMYFUNCTION("""COMPUTED_VALUE"""),"#VALUE!")</f>
        <v>#VALUE!</v>
      </c>
      <c r="CU269" t="str">
        <f ca="1">IFERROR(__xludf.DUMMYFUNCTION("""COMPUTED_VALUE"""),"#VALUE!")</f>
        <v>#VALUE!</v>
      </c>
      <c r="CW269" t="str">
        <f ca="1">IFERROR(__xludf.DUMMYFUNCTION("""COMPUTED_VALUE"""),"#VALUE!")</f>
        <v>#VALUE!</v>
      </c>
      <c r="CY269" t="str">
        <f ca="1">IFERROR(__xludf.DUMMYFUNCTION("""COMPUTED_VALUE"""),"#VALUE!")</f>
        <v>#VALUE!</v>
      </c>
      <c r="DC269" t="str">
        <f ca="1">IFERROR(__xludf.DUMMYFUNCTION("""COMPUTED_VALUE"""),"#VALUE!")</f>
        <v>#VALUE!</v>
      </c>
      <c r="DE269" t="str">
        <f ca="1">IFERROR(__xludf.DUMMYFUNCTION("""COMPUTED_VALUE"""),"#VALUE!")</f>
        <v>#VALUE!</v>
      </c>
      <c r="DF269" t="str">
        <f ca="1">IFERROR(__xludf.DUMMYFUNCTION("""COMPUTED_VALUE"""),"y")</f>
        <v>y</v>
      </c>
      <c r="DG269" t="str">
        <f ca="1">IFERROR(__xludf.DUMMYFUNCTION("""COMPUTED_VALUE"""),"226")</f>
        <v>226</v>
      </c>
      <c r="DH269" t="str">
        <f ca="1">IFERROR(__xludf.DUMMYFUNCTION("""COMPUTED_VALUE"""),"L0083")</f>
        <v>L0083</v>
      </c>
      <c r="DI269" t="str">
        <f ca="1">IFERROR(__xludf.DUMMYFUNCTION("""COMPUTED_VALUE"""),"domus Nicoleti Feliçati de Villanova")</f>
        <v>domus Nicoleti Feliçati de Villanova</v>
      </c>
      <c r="DJ269" t="str">
        <f ca="1">IFERROR(__xludf.DUMMYFUNCTION("""COMPUTED_VALUE"""),"domus")</f>
        <v>domus</v>
      </c>
      <c r="DL269" t="str">
        <f ca="1">IFERROR(__xludf.DUMMYFUNCTION("""COMPUTED_VALUE"""),"Davor Salihović")</f>
        <v>Davor Salihović</v>
      </c>
    </row>
    <row r="270" spans="1:116" ht="13.2" x14ac:dyDescent="0.25">
      <c r="A270" t="str">
        <f ca="1">IFERROR(__xludf.DUMMYFUNCTION("""COMPUTED_VALUE"""),"P0276")</f>
        <v>P0276</v>
      </c>
      <c r="B270" t="str">
        <f ca="1">IFERROR(__xludf.DUMMYFUNCTION("""COMPUTED_VALUE"""),"Bonetus de Girardo")</f>
        <v>Bonetus de Girardo</v>
      </c>
      <c r="D270" t="str">
        <f ca="1">IFERROR(__xludf.DUMMYFUNCTION("""COMPUTED_VALUE"""),"#VALUE!")</f>
        <v>#VALUE!</v>
      </c>
      <c r="E270" t="str">
        <f ca="1">IFERROR(__xludf.DUMMYFUNCTION("""COMPUTED_VALUE"""),"Bonetus")</f>
        <v>Bonetus</v>
      </c>
      <c r="J270" t="str">
        <f ca="1">IFERROR(__xludf.DUMMYFUNCTION("""COMPUTED_VALUE"""),"de")</f>
        <v>de</v>
      </c>
      <c r="K270" t="str">
        <f ca="1">IFERROR(__xludf.DUMMYFUNCTION("""COMPUTED_VALUE"""),"Girardo")</f>
        <v>Girardo</v>
      </c>
      <c r="L270" t="str">
        <f ca="1">IFERROR(__xludf.DUMMYFUNCTION("""COMPUTED_VALUE"""),"de Girardo")</f>
        <v>de Girardo</v>
      </c>
      <c r="S270" t="str">
        <f ca="1">IFERROR(__xludf.DUMMYFUNCTION("""COMPUTED_VALUE"""),"Latin")</f>
        <v>Latin</v>
      </c>
      <c r="T270" t="str">
        <f ca="1">IFERROR(__xludf.DUMMYFUNCTION("""COMPUTED_VALUE"""),"definite")</f>
        <v>definite</v>
      </c>
      <c r="U270" t="str">
        <f ca="1">IFERROR(__xludf.DUMMYFUNCTION("""COMPUTED_VALUE"""),"C2553")</f>
        <v>C2553</v>
      </c>
      <c r="V270" t="str">
        <f ca="1">IFERROR(__xludf.DUMMYFUNCTION("""COMPUTED_VALUE"""),"male")</f>
        <v>male</v>
      </c>
      <c r="Z270" t="str">
        <f ca="1">IFERROR(__xludf.DUMMYFUNCTION("""COMPUTED_VALUE"""),"188, 192")</f>
        <v>188, 192</v>
      </c>
      <c r="AA270" t="str">
        <f ca="1">IFERROR(__xludf.DUMMYFUNCTION("""COMPUTED_VALUE"""),"d")</f>
        <v>d</v>
      </c>
      <c r="AB270" t="str">
        <f ca="1">IFERROR(__xludf.DUMMYFUNCTION("""COMPUTED_VALUE"""),"suspect")</f>
        <v>suspect</v>
      </c>
      <c r="AC270" t="str">
        <f ca="1">IFERROR(__xludf.DUMMYFUNCTION("""COMPUTED_VALUE"""),"y")</f>
        <v>y</v>
      </c>
      <c r="AD270" t="str">
        <f ca="1">IFERROR(__xludf.DUMMYFUNCTION("""COMPUTED_VALUE"""),"C3288")</f>
        <v>C3288</v>
      </c>
      <c r="AE270" t="str">
        <f ca="1">IFERROR(__xludf.DUMMYFUNCTION("""COMPUTED_VALUE"""),"dead")</f>
        <v>dead</v>
      </c>
      <c r="AF270" t="str">
        <f ca="1">IFERROR(__xludf.DUMMYFUNCTION("""COMPUTED_VALUE"""),"C1749")</f>
        <v>C1749</v>
      </c>
      <c r="AG270" t="str">
        <f ca="1">IFERROR(__xludf.DUMMYFUNCTION("""COMPUTED_VALUE"""),"1335-01-20")</f>
        <v>1335-01-20</v>
      </c>
      <c r="AH270" t="str">
        <f ca="1">IFERROR(__xludf.DUMMYFUNCTION("""COMPUTED_VALUE"""),"C2348")</f>
        <v>C2348</v>
      </c>
      <c r="AI270" t="str">
        <f ca="1">IFERROR(__xludf.DUMMYFUNCTION("""COMPUTED_VALUE"""),"wife")</f>
        <v>wife</v>
      </c>
      <c r="AJ270" t="str">
        <f ca="1">IFERROR(__xludf.DUMMYFUNCTION("""COMPUTED_VALUE"""),"P0277")</f>
        <v>P0277</v>
      </c>
      <c r="AK270" t="str">
        <f ca="1">IFERROR(__xludf.DUMMYFUNCTION("""COMPUTED_VALUE"""),"uxor Boneti de Girardo")</f>
        <v>uxor Boneti de Girardo</v>
      </c>
      <c r="AM270" t="str">
        <f ca="1">IFERROR(__xludf.DUMMYFUNCTION("""COMPUTED_VALUE"""),"#VALUE!")</f>
        <v>#VALUE!</v>
      </c>
      <c r="AO270" t="str">
        <f ca="1">IFERROR(__xludf.DUMMYFUNCTION("""COMPUTED_VALUE"""),"#VALUE!")</f>
        <v>#VALUE!</v>
      </c>
      <c r="AQ270" t="str">
        <f ca="1">IFERROR(__xludf.DUMMYFUNCTION("""COMPUTED_VALUE"""),"#VALUE!")</f>
        <v>#VALUE!</v>
      </c>
      <c r="AS270" t="str">
        <f ca="1">IFERROR(__xludf.DUMMYFUNCTION("""COMPUTED_VALUE"""),"#VALUE!")</f>
        <v>#VALUE!</v>
      </c>
      <c r="AU270" t="str">
        <f ca="1">IFERROR(__xludf.DUMMYFUNCTION("""COMPUTED_VALUE"""),"#VALUE!")</f>
        <v>#VALUE!</v>
      </c>
      <c r="AW270" t="str">
        <f ca="1">IFERROR(__xludf.DUMMYFUNCTION("""COMPUTED_VALUE"""),"#VALUE!")</f>
        <v>#VALUE!</v>
      </c>
      <c r="AY270" t="str">
        <f ca="1">IFERROR(__xludf.DUMMYFUNCTION("""COMPUTED_VALUE"""),"#VALUE!")</f>
        <v>#VALUE!</v>
      </c>
      <c r="BA270" t="str">
        <f ca="1">IFERROR(__xludf.DUMMYFUNCTION("""COMPUTED_VALUE"""),"#VALUE!")</f>
        <v>#VALUE!</v>
      </c>
      <c r="BC270" t="str">
        <f ca="1">IFERROR(__xludf.DUMMYFUNCTION("""COMPUTED_VALUE"""),"#VALUE!")</f>
        <v>#VALUE!</v>
      </c>
      <c r="BE270" t="str">
        <f ca="1">IFERROR(__xludf.DUMMYFUNCTION("""COMPUTED_VALUE"""),"#VALUE!")</f>
        <v>#VALUE!</v>
      </c>
      <c r="BG270" t="str">
        <f ca="1">IFERROR(__xludf.DUMMYFUNCTION("""COMPUTED_VALUE"""),"#VALUE!")</f>
        <v>#VALUE!</v>
      </c>
      <c r="BI270" t="str">
        <f ca="1">IFERROR(__xludf.DUMMYFUNCTION("""COMPUTED_VALUE"""),"#VALUE!")</f>
        <v>#VALUE!</v>
      </c>
      <c r="BK270" t="str">
        <f ca="1">IFERROR(__xludf.DUMMYFUNCTION("""COMPUTED_VALUE"""),"#VALUE!")</f>
        <v>#VALUE!</v>
      </c>
      <c r="BM270" t="str">
        <f ca="1">IFERROR(__xludf.DUMMYFUNCTION("""COMPUTED_VALUE"""),"#VALUE!")</f>
        <v>#VALUE!</v>
      </c>
      <c r="BO270" t="str">
        <f ca="1">IFERROR(__xludf.DUMMYFUNCTION("""COMPUTED_VALUE"""),"#VALUE!")</f>
        <v>#VALUE!</v>
      </c>
      <c r="BQ270" t="str">
        <f ca="1">IFERROR(__xludf.DUMMYFUNCTION("""COMPUTED_VALUE"""),"#VALUE!")</f>
        <v>#VALUE!</v>
      </c>
      <c r="BS270" t="str">
        <f ca="1">IFERROR(__xludf.DUMMYFUNCTION("""COMPUTED_VALUE"""),"#VALUE!")</f>
        <v>#VALUE!</v>
      </c>
      <c r="BU270" t="str">
        <f ca="1">IFERROR(__xludf.DUMMYFUNCTION("""COMPUTED_VALUE"""),"#VALUE!")</f>
        <v>#VALUE!</v>
      </c>
      <c r="BW270" t="str">
        <f ca="1">IFERROR(__xludf.DUMMYFUNCTION("""COMPUTED_VALUE"""),"#VALUE!")</f>
        <v>#VALUE!</v>
      </c>
      <c r="BY270" t="str">
        <f ca="1">IFERROR(__xludf.DUMMYFUNCTION("""COMPUTED_VALUE"""),"#VALUE!")</f>
        <v>#VALUE!</v>
      </c>
      <c r="CA270" t="str">
        <f ca="1">IFERROR(__xludf.DUMMYFUNCTION("""COMPUTED_VALUE"""),"#VALUE!")</f>
        <v>#VALUE!</v>
      </c>
      <c r="CC270" t="str">
        <f ca="1">IFERROR(__xludf.DUMMYFUNCTION("""COMPUTED_VALUE"""),"#VALUE!")</f>
        <v>#VALUE!</v>
      </c>
      <c r="CD270" t="str">
        <f ca="1">IFERROR(__xludf.DUMMYFUNCTION("""COMPUTED_VALUE"""),"C3598")</f>
        <v>C3598</v>
      </c>
      <c r="CE270" t="str">
        <f ca="1">IFERROR(__xludf.DUMMYFUNCTION("""COMPUTED_VALUE"""),"location of congregation")</f>
        <v>location of congregation</v>
      </c>
      <c r="CF270" t="str">
        <f ca="1">IFERROR(__xludf.DUMMYFUNCTION("""COMPUTED_VALUE"""),"L0084")</f>
        <v>L0084</v>
      </c>
      <c r="CG270" t="str">
        <f ca="1">IFERROR(__xludf.DUMMYFUNCTION("""COMPUTED_VALUE"""),"domus Boneti de Girardo")</f>
        <v>domus Boneti de Girardo</v>
      </c>
      <c r="CI270" t="str">
        <f ca="1">IFERROR(__xludf.DUMMYFUNCTION("""COMPUTED_VALUE"""),"#VALUE!")</f>
        <v>#VALUE!</v>
      </c>
      <c r="CK270" t="str">
        <f ca="1">IFERROR(__xludf.DUMMYFUNCTION("""COMPUTED_VALUE"""),"#VALUE!")</f>
        <v>#VALUE!</v>
      </c>
      <c r="CS270" t="str">
        <f ca="1">IFERROR(__xludf.DUMMYFUNCTION("""COMPUTED_VALUE"""),"#VALUE!")</f>
        <v>#VALUE!</v>
      </c>
      <c r="CU270" t="str">
        <f ca="1">IFERROR(__xludf.DUMMYFUNCTION("""COMPUTED_VALUE"""),"#VALUE!")</f>
        <v>#VALUE!</v>
      </c>
      <c r="CV270" t="str">
        <f ca="1">IFERROR(__xludf.DUMMYFUNCTION("""COMPUTED_VALUE"""),"L0005")</f>
        <v>L0005</v>
      </c>
      <c r="CW270" t="str">
        <f ca="1">IFERROR(__xludf.DUMMYFUNCTION("""COMPUTED_VALUE"""),"Valgioie")</f>
        <v>Valgioie</v>
      </c>
      <c r="CY270" t="str">
        <f ca="1">IFERROR(__xludf.DUMMYFUNCTION("""COMPUTED_VALUE"""),"#VALUE!")</f>
        <v>#VALUE!</v>
      </c>
      <c r="DC270" t="str">
        <f ca="1">IFERROR(__xludf.DUMMYFUNCTION("""COMPUTED_VALUE"""),"#VALUE!")</f>
        <v>#VALUE!</v>
      </c>
      <c r="DE270" t="str">
        <f ca="1">IFERROR(__xludf.DUMMYFUNCTION("""COMPUTED_VALUE"""),"#VALUE!")</f>
        <v>#VALUE!</v>
      </c>
      <c r="DH270" t="str">
        <f ca="1">IFERROR(__xludf.DUMMYFUNCTION("""COMPUTED_VALUE"""),"L0084")</f>
        <v>L0084</v>
      </c>
      <c r="DI270" t="str">
        <f ca="1">IFERROR(__xludf.DUMMYFUNCTION("""COMPUTED_VALUE"""),"domus Boneti de Girardo")</f>
        <v>domus Boneti de Girardo</v>
      </c>
      <c r="DJ270" t="str">
        <f ca="1">IFERROR(__xludf.DUMMYFUNCTION("""COMPUTED_VALUE"""),"domus")</f>
        <v>domus</v>
      </c>
      <c r="DL270" t="str">
        <f ca="1">IFERROR(__xludf.DUMMYFUNCTION("""COMPUTED_VALUE"""),"Davor Salihović")</f>
        <v>Davor Salihović</v>
      </c>
    </row>
    <row r="271" spans="1:116" ht="13.2" x14ac:dyDescent="0.25">
      <c r="A271" t="str">
        <f ca="1">IFERROR(__xludf.DUMMYFUNCTION("""COMPUTED_VALUE"""),"P0277")</f>
        <v>P0277</v>
      </c>
      <c r="B271" t="str">
        <f ca="1">IFERROR(__xludf.DUMMYFUNCTION("""COMPUTED_VALUE"""),"uxor Boneti de Girardo")</f>
        <v>uxor Boneti de Girardo</v>
      </c>
      <c r="D271" t="str">
        <f ca="1">IFERROR(__xludf.DUMMYFUNCTION("""COMPUTED_VALUE"""),"#VALUE!")</f>
        <v>#VALUE!</v>
      </c>
      <c r="E271" t="str">
        <f ca="1">IFERROR(__xludf.DUMMYFUNCTION("""COMPUTED_VALUE"""),"uxor Boneti de Girardo")</f>
        <v>uxor Boneti de Girardo</v>
      </c>
      <c r="Q271" t="str">
        <f ca="1">IFERROR(__xludf.DUMMYFUNCTION("""COMPUTED_VALUE"""),"uxor Boneti de Girardo")</f>
        <v>uxor Boneti de Girardo</v>
      </c>
      <c r="S271" t="str">
        <f ca="1">IFERROR(__xludf.DUMMYFUNCTION("""COMPUTED_VALUE"""),"Latin")</f>
        <v>Latin</v>
      </c>
      <c r="T271" t="str">
        <f ca="1">IFERROR(__xludf.DUMMYFUNCTION("""COMPUTED_VALUE"""),"definite")</f>
        <v>definite</v>
      </c>
      <c r="U271" t="str">
        <f ca="1">IFERROR(__xludf.DUMMYFUNCTION("""COMPUTED_VALUE"""),"C2552")</f>
        <v>C2552</v>
      </c>
      <c r="V271" t="str">
        <f ca="1">IFERROR(__xludf.DUMMYFUNCTION("""COMPUTED_VALUE"""),"female")</f>
        <v>female</v>
      </c>
      <c r="Z271" t="str">
        <f ca="1">IFERROR(__xludf.DUMMYFUNCTION("""COMPUTED_VALUE"""),"188")</f>
        <v>188</v>
      </c>
      <c r="AA271" t="str">
        <f ca="1">IFERROR(__xludf.DUMMYFUNCTION("""COMPUTED_VALUE"""),"d")</f>
        <v>d</v>
      </c>
      <c r="AB271" t="str">
        <f ca="1">IFERROR(__xludf.DUMMYFUNCTION("""COMPUTED_VALUE"""),"suspect")</f>
        <v>suspect</v>
      </c>
      <c r="AE271" t="str">
        <f ca="1">IFERROR(__xludf.DUMMYFUNCTION("""COMPUTED_VALUE"""),"#VALUE!")</f>
        <v>#VALUE!</v>
      </c>
      <c r="AF271" t="str">
        <f ca="1">IFERROR(__xludf.DUMMYFUNCTION("""COMPUTED_VALUE"""),"#N/A")</f>
        <v>#N/A</v>
      </c>
      <c r="AG271" t="str">
        <f ca="1">IFERROR(__xludf.DUMMYFUNCTION("""COMPUTED_VALUE"""),"#N/A")</f>
        <v>#N/A</v>
      </c>
      <c r="AI271" t="str">
        <f ca="1">IFERROR(__xludf.DUMMYFUNCTION("""COMPUTED_VALUE"""),"#VALUE!")</f>
        <v>#VALUE!</v>
      </c>
      <c r="AK271" t="str">
        <f ca="1">IFERROR(__xludf.DUMMYFUNCTION("""COMPUTED_VALUE"""),"#VALUE!")</f>
        <v>#VALUE!</v>
      </c>
      <c r="AM271" t="str">
        <f ca="1">IFERROR(__xludf.DUMMYFUNCTION("""COMPUTED_VALUE"""),"#VALUE!")</f>
        <v>#VALUE!</v>
      </c>
      <c r="AO271" t="str">
        <f ca="1">IFERROR(__xludf.DUMMYFUNCTION("""COMPUTED_VALUE"""),"#VALUE!")</f>
        <v>#VALUE!</v>
      </c>
      <c r="AQ271" t="str">
        <f ca="1">IFERROR(__xludf.DUMMYFUNCTION("""COMPUTED_VALUE"""),"#VALUE!")</f>
        <v>#VALUE!</v>
      </c>
      <c r="AS271" t="str">
        <f ca="1">IFERROR(__xludf.DUMMYFUNCTION("""COMPUTED_VALUE"""),"#VALUE!")</f>
        <v>#VALUE!</v>
      </c>
      <c r="AU271" t="str">
        <f ca="1">IFERROR(__xludf.DUMMYFUNCTION("""COMPUTED_VALUE"""),"#VALUE!")</f>
        <v>#VALUE!</v>
      </c>
      <c r="AW271" t="str">
        <f ca="1">IFERROR(__xludf.DUMMYFUNCTION("""COMPUTED_VALUE"""),"#VALUE!")</f>
        <v>#VALUE!</v>
      </c>
      <c r="AY271" t="str">
        <f ca="1">IFERROR(__xludf.DUMMYFUNCTION("""COMPUTED_VALUE"""),"#VALUE!")</f>
        <v>#VALUE!</v>
      </c>
      <c r="BA271" t="str">
        <f ca="1">IFERROR(__xludf.DUMMYFUNCTION("""COMPUTED_VALUE"""),"#VALUE!")</f>
        <v>#VALUE!</v>
      </c>
      <c r="BC271" t="str">
        <f ca="1">IFERROR(__xludf.DUMMYFUNCTION("""COMPUTED_VALUE"""),"#VALUE!")</f>
        <v>#VALUE!</v>
      </c>
      <c r="BE271" t="str">
        <f ca="1">IFERROR(__xludf.DUMMYFUNCTION("""COMPUTED_VALUE"""),"#VALUE!")</f>
        <v>#VALUE!</v>
      </c>
      <c r="BG271" t="str">
        <f ca="1">IFERROR(__xludf.DUMMYFUNCTION("""COMPUTED_VALUE"""),"#VALUE!")</f>
        <v>#VALUE!</v>
      </c>
      <c r="BI271" t="str">
        <f ca="1">IFERROR(__xludf.DUMMYFUNCTION("""COMPUTED_VALUE"""),"#VALUE!")</f>
        <v>#VALUE!</v>
      </c>
      <c r="BK271" t="str">
        <f ca="1">IFERROR(__xludf.DUMMYFUNCTION("""COMPUTED_VALUE"""),"#VALUE!")</f>
        <v>#VALUE!</v>
      </c>
      <c r="BM271" t="str">
        <f ca="1">IFERROR(__xludf.DUMMYFUNCTION("""COMPUTED_VALUE"""),"#VALUE!")</f>
        <v>#VALUE!</v>
      </c>
      <c r="BO271" t="str">
        <f ca="1">IFERROR(__xludf.DUMMYFUNCTION("""COMPUTED_VALUE"""),"#VALUE!")</f>
        <v>#VALUE!</v>
      </c>
      <c r="BQ271" t="str">
        <f ca="1">IFERROR(__xludf.DUMMYFUNCTION("""COMPUTED_VALUE"""),"#VALUE!")</f>
        <v>#VALUE!</v>
      </c>
      <c r="BS271" t="str">
        <f ca="1">IFERROR(__xludf.DUMMYFUNCTION("""COMPUTED_VALUE"""),"#VALUE!")</f>
        <v>#VALUE!</v>
      </c>
      <c r="BU271" t="str">
        <f ca="1">IFERROR(__xludf.DUMMYFUNCTION("""COMPUTED_VALUE"""),"#VALUE!")</f>
        <v>#VALUE!</v>
      </c>
      <c r="BW271" t="str">
        <f ca="1">IFERROR(__xludf.DUMMYFUNCTION("""COMPUTED_VALUE"""),"#VALUE!")</f>
        <v>#VALUE!</v>
      </c>
      <c r="BY271" t="str">
        <f ca="1">IFERROR(__xludf.DUMMYFUNCTION("""COMPUTED_VALUE"""),"#VALUE!")</f>
        <v>#VALUE!</v>
      </c>
      <c r="CA271" t="str">
        <f ca="1">IFERROR(__xludf.DUMMYFUNCTION("""COMPUTED_VALUE"""),"#VALUE!")</f>
        <v>#VALUE!</v>
      </c>
      <c r="CC271" t="str">
        <f ca="1">IFERROR(__xludf.DUMMYFUNCTION("""COMPUTED_VALUE"""),"#VALUE!")</f>
        <v>#VALUE!</v>
      </c>
      <c r="CD271" t="str">
        <f ca="1">IFERROR(__xludf.DUMMYFUNCTION("""COMPUTED_VALUE"""),"C3598")</f>
        <v>C3598</v>
      </c>
      <c r="CE271" t="str">
        <f ca="1">IFERROR(__xludf.DUMMYFUNCTION("""COMPUTED_VALUE"""),"location of congregation")</f>
        <v>location of congregation</v>
      </c>
      <c r="CF271" t="str">
        <f ca="1">IFERROR(__xludf.DUMMYFUNCTION("""COMPUTED_VALUE"""),"L0084")</f>
        <v>L0084</v>
      </c>
      <c r="CG271" t="str">
        <f ca="1">IFERROR(__xludf.DUMMYFUNCTION("""COMPUTED_VALUE"""),"domus Boneti de Girardo")</f>
        <v>domus Boneti de Girardo</v>
      </c>
      <c r="CI271" t="str">
        <f ca="1">IFERROR(__xludf.DUMMYFUNCTION("""COMPUTED_VALUE"""),"#VALUE!")</f>
        <v>#VALUE!</v>
      </c>
      <c r="CK271" t="str">
        <f ca="1">IFERROR(__xludf.DUMMYFUNCTION("""COMPUTED_VALUE"""),"#VALUE!")</f>
        <v>#VALUE!</v>
      </c>
      <c r="CS271" t="str">
        <f ca="1">IFERROR(__xludf.DUMMYFUNCTION("""COMPUTED_VALUE"""),"#VALUE!")</f>
        <v>#VALUE!</v>
      </c>
      <c r="CU271" t="str">
        <f ca="1">IFERROR(__xludf.DUMMYFUNCTION("""COMPUTED_VALUE"""),"#VALUE!")</f>
        <v>#VALUE!</v>
      </c>
      <c r="CW271" t="str">
        <f ca="1">IFERROR(__xludf.DUMMYFUNCTION("""COMPUTED_VALUE"""),"#VALUE!")</f>
        <v>#VALUE!</v>
      </c>
      <c r="CY271" t="str">
        <f ca="1">IFERROR(__xludf.DUMMYFUNCTION("""COMPUTED_VALUE"""),"#VALUE!")</f>
        <v>#VALUE!</v>
      </c>
      <c r="DC271" t="str">
        <f ca="1">IFERROR(__xludf.DUMMYFUNCTION("""COMPUTED_VALUE"""),"#VALUE!")</f>
        <v>#VALUE!</v>
      </c>
      <c r="DE271" t="str">
        <f ca="1">IFERROR(__xludf.DUMMYFUNCTION("""COMPUTED_VALUE"""),"#VALUE!")</f>
        <v>#VALUE!</v>
      </c>
      <c r="DH271" t="str">
        <f ca="1">IFERROR(__xludf.DUMMYFUNCTION("""COMPUTED_VALUE"""),"L0084")</f>
        <v>L0084</v>
      </c>
      <c r="DI271" t="str">
        <f ca="1">IFERROR(__xludf.DUMMYFUNCTION("""COMPUTED_VALUE"""),"domus Boneti de Girardo")</f>
        <v>domus Boneti de Girardo</v>
      </c>
      <c r="DJ271" t="str">
        <f ca="1">IFERROR(__xludf.DUMMYFUNCTION("""COMPUTED_VALUE"""),"domus")</f>
        <v>domus</v>
      </c>
      <c r="DL271" t="str">
        <f ca="1">IFERROR(__xludf.DUMMYFUNCTION("""COMPUTED_VALUE"""),"Davor Salihović")</f>
        <v>Davor Salihović</v>
      </c>
    </row>
    <row r="272" spans="1:116" ht="13.2" x14ac:dyDescent="0.25">
      <c r="A272" t="str">
        <f ca="1">IFERROR(__xludf.DUMMYFUNCTION("""COMPUTED_VALUE"""),"P0278")</f>
        <v>P0278</v>
      </c>
      <c r="B272" t="str">
        <f ca="1">IFERROR(__xludf.DUMMYFUNCTION("""COMPUTED_VALUE"""),"Petrus Guerssus")</f>
        <v>Petrus Guerssus</v>
      </c>
      <c r="D272" t="str">
        <f ca="1">IFERROR(__xludf.DUMMYFUNCTION("""COMPUTED_VALUE"""),"#VALUE!")</f>
        <v>#VALUE!</v>
      </c>
      <c r="E272" t="str">
        <f ca="1">IFERROR(__xludf.DUMMYFUNCTION("""COMPUTED_VALUE"""),"Petrus")</f>
        <v>Petrus</v>
      </c>
      <c r="K272" t="str">
        <f ca="1">IFERROR(__xludf.DUMMYFUNCTION("""COMPUTED_VALUE"""),"Guerssus")</f>
        <v>Guerssus</v>
      </c>
      <c r="L272" t="str">
        <f ca="1">IFERROR(__xludf.DUMMYFUNCTION("""COMPUTED_VALUE"""),"Guerssus")</f>
        <v>Guerssus</v>
      </c>
      <c r="S272" t="str">
        <f ca="1">IFERROR(__xludf.DUMMYFUNCTION("""COMPUTED_VALUE"""),"Latin")</f>
        <v>Latin</v>
      </c>
      <c r="T272" t="str">
        <f ca="1">IFERROR(__xludf.DUMMYFUNCTION("""COMPUTED_VALUE"""),"definite")</f>
        <v>definite</v>
      </c>
      <c r="U272" t="str">
        <f ca="1">IFERROR(__xludf.DUMMYFUNCTION("""COMPUTED_VALUE"""),"C2553")</f>
        <v>C2553</v>
      </c>
      <c r="V272" t="str">
        <f ca="1">IFERROR(__xludf.DUMMYFUNCTION("""COMPUTED_VALUE"""),"male")</f>
        <v>male</v>
      </c>
      <c r="Z272" t="str">
        <f ca="1">IFERROR(__xludf.DUMMYFUNCTION("""COMPUTED_VALUE"""),"188, 222")</f>
        <v>188, 222</v>
      </c>
      <c r="AA272" t="str">
        <f ca="1">IFERROR(__xludf.DUMMYFUNCTION("""COMPUTED_VALUE"""),"o")</f>
        <v>o</v>
      </c>
      <c r="AB272" t="str">
        <f ca="1">IFERROR(__xludf.DUMMYFUNCTION("""COMPUTED_VALUE"""),"NA")</f>
        <v>NA</v>
      </c>
      <c r="AD272" t="str">
        <f ca="1">IFERROR(__xludf.DUMMYFUNCTION("""COMPUTED_VALUE"""),"C3287")</f>
        <v>C3287</v>
      </c>
      <c r="AE272" t="str">
        <f ca="1">IFERROR(__xludf.DUMMYFUNCTION("""COMPUTED_VALUE"""),"alive")</f>
        <v>alive</v>
      </c>
      <c r="AF272" t="str">
        <f ca="1">IFERROR(__xludf.DUMMYFUNCTION("""COMPUTED_VALUE"""),"C1753")</f>
        <v>C1753</v>
      </c>
      <c r="AG272" t="str">
        <f ca="1">IFERROR(__xludf.DUMMYFUNCTION("""COMPUTED_VALUE"""),"1335-01-20")</f>
        <v>1335-01-20</v>
      </c>
      <c r="AH272" t="str">
        <f ca="1">IFERROR(__xludf.DUMMYFUNCTION("""COMPUTED_VALUE"""),"C2336")</f>
        <v>C2336</v>
      </c>
      <c r="AI272" t="str">
        <f ca="1">IFERROR(__xludf.DUMMYFUNCTION("""COMPUTED_VALUE"""),"son")</f>
        <v>son</v>
      </c>
      <c r="AJ272" t="str">
        <f ca="1">IFERROR(__xludf.DUMMYFUNCTION("""COMPUTED_VALUE"""),"P0279")</f>
        <v>P0279</v>
      </c>
      <c r="AK272" t="str">
        <f ca="1">IFERROR(__xludf.DUMMYFUNCTION("""COMPUTED_VALUE"""),"Iacobus, filius Petri Guerssi")</f>
        <v>Iacobus, filius Petri Guerssi</v>
      </c>
      <c r="AM272" t="str">
        <f ca="1">IFERROR(__xludf.DUMMYFUNCTION("""COMPUTED_VALUE"""),"#VALUE!")</f>
        <v>#VALUE!</v>
      </c>
      <c r="AO272" t="str">
        <f ca="1">IFERROR(__xludf.DUMMYFUNCTION("""COMPUTED_VALUE"""),"#VALUE!")</f>
        <v>#VALUE!</v>
      </c>
      <c r="AQ272" t="str">
        <f ca="1">IFERROR(__xludf.DUMMYFUNCTION("""COMPUTED_VALUE"""),"#VALUE!")</f>
        <v>#VALUE!</v>
      </c>
      <c r="AS272" t="str">
        <f ca="1">IFERROR(__xludf.DUMMYFUNCTION("""COMPUTED_VALUE"""),"#VALUE!")</f>
        <v>#VALUE!</v>
      </c>
      <c r="AU272" t="str">
        <f ca="1">IFERROR(__xludf.DUMMYFUNCTION("""COMPUTED_VALUE"""),"#VALUE!")</f>
        <v>#VALUE!</v>
      </c>
      <c r="AW272" t="str">
        <f ca="1">IFERROR(__xludf.DUMMYFUNCTION("""COMPUTED_VALUE"""),"#VALUE!")</f>
        <v>#VALUE!</v>
      </c>
      <c r="AY272" t="str">
        <f ca="1">IFERROR(__xludf.DUMMYFUNCTION("""COMPUTED_VALUE"""),"#VALUE!")</f>
        <v>#VALUE!</v>
      </c>
      <c r="BA272" t="str">
        <f ca="1">IFERROR(__xludf.DUMMYFUNCTION("""COMPUTED_VALUE"""),"#VALUE!")</f>
        <v>#VALUE!</v>
      </c>
      <c r="BC272" t="str">
        <f ca="1">IFERROR(__xludf.DUMMYFUNCTION("""COMPUTED_VALUE"""),"#VALUE!")</f>
        <v>#VALUE!</v>
      </c>
      <c r="BE272" t="str">
        <f ca="1">IFERROR(__xludf.DUMMYFUNCTION("""COMPUTED_VALUE"""),"#VALUE!")</f>
        <v>#VALUE!</v>
      </c>
      <c r="BG272" t="str">
        <f ca="1">IFERROR(__xludf.DUMMYFUNCTION("""COMPUTED_VALUE"""),"#VALUE!")</f>
        <v>#VALUE!</v>
      </c>
      <c r="BI272" t="str">
        <f ca="1">IFERROR(__xludf.DUMMYFUNCTION("""COMPUTED_VALUE"""),"#VALUE!")</f>
        <v>#VALUE!</v>
      </c>
      <c r="BK272" t="str">
        <f ca="1">IFERROR(__xludf.DUMMYFUNCTION("""COMPUTED_VALUE"""),"#VALUE!")</f>
        <v>#VALUE!</v>
      </c>
      <c r="BM272" t="str">
        <f ca="1">IFERROR(__xludf.DUMMYFUNCTION("""COMPUTED_VALUE"""),"#VALUE!")</f>
        <v>#VALUE!</v>
      </c>
      <c r="BO272" t="str">
        <f ca="1">IFERROR(__xludf.DUMMYFUNCTION("""COMPUTED_VALUE"""),"#VALUE!")</f>
        <v>#VALUE!</v>
      </c>
      <c r="BQ272" t="str">
        <f ca="1">IFERROR(__xludf.DUMMYFUNCTION("""COMPUTED_VALUE"""),"#VALUE!")</f>
        <v>#VALUE!</v>
      </c>
      <c r="BS272" t="str">
        <f ca="1">IFERROR(__xludf.DUMMYFUNCTION("""COMPUTED_VALUE"""),"#VALUE!")</f>
        <v>#VALUE!</v>
      </c>
      <c r="BU272" t="str">
        <f ca="1">IFERROR(__xludf.DUMMYFUNCTION("""COMPUTED_VALUE"""),"#VALUE!")</f>
        <v>#VALUE!</v>
      </c>
      <c r="BW272" t="str">
        <f ca="1">IFERROR(__xludf.DUMMYFUNCTION("""COMPUTED_VALUE"""),"#VALUE!")</f>
        <v>#VALUE!</v>
      </c>
      <c r="BY272" t="str">
        <f ca="1">IFERROR(__xludf.DUMMYFUNCTION("""COMPUTED_VALUE"""),"#VALUE!")</f>
        <v>#VALUE!</v>
      </c>
      <c r="CA272" t="str">
        <f ca="1">IFERROR(__xludf.DUMMYFUNCTION("""COMPUTED_VALUE"""),"#VALUE!")</f>
        <v>#VALUE!</v>
      </c>
      <c r="CC272" t="str">
        <f ca="1">IFERROR(__xludf.DUMMYFUNCTION("""COMPUTED_VALUE"""),"#VALUE!")</f>
        <v>#VALUE!</v>
      </c>
      <c r="CD272" t="str">
        <f ca="1">IFERROR(__xludf.DUMMYFUNCTION("""COMPUTED_VALUE"""),"C3598")</f>
        <v>C3598</v>
      </c>
      <c r="CE272" t="str">
        <f ca="1">IFERROR(__xludf.DUMMYFUNCTION("""COMPUTED_VALUE"""),"location of congregation")</f>
        <v>location of congregation</v>
      </c>
      <c r="CF272" t="str">
        <f ca="1">IFERROR(__xludf.DUMMYFUNCTION("""COMPUTED_VALUE"""),"L0120")</f>
        <v>L0120</v>
      </c>
      <c r="CG272" t="str">
        <f ca="1">IFERROR(__xludf.DUMMYFUNCTION("""COMPUTED_VALUE"""),"domus Petri Guerssi")</f>
        <v>domus Petri Guerssi</v>
      </c>
      <c r="CI272" t="str">
        <f ca="1">IFERROR(__xludf.DUMMYFUNCTION("""COMPUTED_VALUE"""),"#VALUE!")</f>
        <v>#VALUE!</v>
      </c>
      <c r="CK272" t="str">
        <f ca="1">IFERROR(__xludf.DUMMYFUNCTION("""COMPUTED_VALUE"""),"#VALUE!")</f>
        <v>#VALUE!</v>
      </c>
      <c r="CS272" t="str">
        <f ca="1">IFERROR(__xludf.DUMMYFUNCTION("""COMPUTED_VALUE"""),"#VALUE!")</f>
        <v>#VALUE!</v>
      </c>
      <c r="CU272" t="str">
        <f ca="1">IFERROR(__xludf.DUMMYFUNCTION("""COMPUTED_VALUE"""),"#VALUE!")</f>
        <v>#VALUE!</v>
      </c>
      <c r="CW272" t="str">
        <f ca="1">IFERROR(__xludf.DUMMYFUNCTION("""COMPUTED_VALUE"""),"#VALUE!")</f>
        <v>#VALUE!</v>
      </c>
      <c r="CY272" t="str">
        <f ca="1">IFERROR(__xludf.DUMMYFUNCTION("""COMPUTED_VALUE"""),"#VALUE!")</f>
        <v>#VALUE!</v>
      </c>
      <c r="DC272" t="str">
        <f ca="1">IFERROR(__xludf.DUMMYFUNCTION("""COMPUTED_VALUE"""),"#VALUE!")</f>
        <v>#VALUE!</v>
      </c>
      <c r="DE272" t="str">
        <f ca="1">IFERROR(__xludf.DUMMYFUNCTION("""COMPUTED_VALUE"""),"#VALUE!")</f>
        <v>#VALUE!</v>
      </c>
      <c r="DF272" t="str">
        <f ca="1">IFERROR(__xludf.DUMMYFUNCTION("""COMPUTED_VALUE"""),"y")</f>
        <v>y</v>
      </c>
      <c r="DG272" t="str">
        <f ca="1">IFERROR(__xludf.DUMMYFUNCTION("""COMPUTED_VALUE"""),"222")</f>
        <v>222</v>
      </c>
      <c r="DH272" t="str">
        <f ca="1">IFERROR(__xludf.DUMMYFUNCTION("""COMPUTED_VALUE"""),"L0120")</f>
        <v>L0120</v>
      </c>
      <c r="DI272" t="str">
        <f ca="1">IFERROR(__xludf.DUMMYFUNCTION("""COMPUTED_VALUE"""),"domus Petri Guerssi")</f>
        <v>domus Petri Guerssi</v>
      </c>
      <c r="DJ272" t="str">
        <f ca="1">IFERROR(__xludf.DUMMYFUNCTION("""COMPUTED_VALUE"""),"domus")</f>
        <v>domus</v>
      </c>
      <c r="DL272" t="str">
        <f ca="1">IFERROR(__xludf.DUMMYFUNCTION("""COMPUTED_VALUE"""),"Davor Salihović")</f>
        <v>Davor Salihović</v>
      </c>
    </row>
    <row r="273" spans="1:116" ht="13.2" x14ac:dyDescent="0.25">
      <c r="A273" t="str">
        <f ca="1">IFERROR(__xludf.DUMMYFUNCTION("""COMPUTED_VALUE"""),"P0279")</f>
        <v>P0279</v>
      </c>
      <c r="B273" t="str">
        <f ca="1">IFERROR(__xludf.DUMMYFUNCTION("""COMPUTED_VALUE"""),"Iacobus, filius Petri Guerssi")</f>
        <v>Iacobus, filius Petri Guerssi</v>
      </c>
      <c r="D273" t="str">
        <f ca="1">IFERROR(__xludf.DUMMYFUNCTION("""COMPUTED_VALUE"""),"#VALUE!")</f>
        <v>#VALUE!</v>
      </c>
      <c r="E273" t="str">
        <f ca="1">IFERROR(__xludf.DUMMYFUNCTION("""COMPUTED_VALUE"""),"Iacobus")</f>
        <v>Iacobus</v>
      </c>
      <c r="Q273" t="str">
        <f ca="1">IFERROR(__xludf.DUMMYFUNCTION("""COMPUTED_VALUE"""),"iunior filius Petri Guerssi")</f>
        <v>iunior filius Petri Guerssi</v>
      </c>
      <c r="S273" t="str">
        <f ca="1">IFERROR(__xludf.DUMMYFUNCTION("""COMPUTED_VALUE"""),"Latin")</f>
        <v>Latin</v>
      </c>
      <c r="T273" t="str">
        <f ca="1">IFERROR(__xludf.DUMMYFUNCTION("""COMPUTED_VALUE"""),"definite")</f>
        <v>definite</v>
      </c>
      <c r="U273" t="str">
        <f ca="1">IFERROR(__xludf.DUMMYFUNCTION("""COMPUTED_VALUE"""),"C2553")</f>
        <v>C2553</v>
      </c>
      <c r="V273" t="str">
        <f ca="1">IFERROR(__xludf.DUMMYFUNCTION("""COMPUTED_VALUE"""),"male")</f>
        <v>male</v>
      </c>
      <c r="Z273" t="str">
        <f ca="1">IFERROR(__xludf.DUMMYFUNCTION("""COMPUTED_VALUE"""),"188, 222")</f>
        <v>188, 222</v>
      </c>
      <c r="AA273" t="str">
        <f ca="1">IFERROR(__xludf.DUMMYFUNCTION("""COMPUTED_VALUE"""),"d")</f>
        <v>d</v>
      </c>
      <c r="AB273" t="str">
        <f ca="1">IFERROR(__xludf.DUMMYFUNCTION("""COMPUTED_VALUE"""),"suspect")</f>
        <v>suspect</v>
      </c>
      <c r="AD273" t="str">
        <f ca="1">IFERROR(__xludf.DUMMYFUNCTION("""COMPUTED_VALUE"""),"C3287")</f>
        <v>C3287</v>
      </c>
      <c r="AE273" t="str">
        <f ca="1">IFERROR(__xludf.DUMMYFUNCTION("""COMPUTED_VALUE"""),"alive")</f>
        <v>alive</v>
      </c>
      <c r="AF273" t="str">
        <f ca="1">IFERROR(__xludf.DUMMYFUNCTION("""COMPUTED_VALUE"""),"C1753")</f>
        <v>C1753</v>
      </c>
      <c r="AG273" t="str">
        <f ca="1">IFERROR(__xludf.DUMMYFUNCTION("""COMPUTED_VALUE"""),"1335-01-20")</f>
        <v>1335-01-20</v>
      </c>
      <c r="AI273" t="str">
        <f ca="1">IFERROR(__xludf.DUMMYFUNCTION("""COMPUTED_VALUE"""),"#VALUE!")</f>
        <v>#VALUE!</v>
      </c>
      <c r="AK273" t="str">
        <f ca="1">IFERROR(__xludf.DUMMYFUNCTION("""COMPUTED_VALUE"""),"#VALUE!")</f>
        <v>#VALUE!</v>
      </c>
      <c r="AM273" t="str">
        <f ca="1">IFERROR(__xludf.DUMMYFUNCTION("""COMPUTED_VALUE"""),"#VALUE!")</f>
        <v>#VALUE!</v>
      </c>
      <c r="AO273" t="str">
        <f ca="1">IFERROR(__xludf.DUMMYFUNCTION("""COMPUTED_VALUE"""),"#VALUE!")</f>
        <v>#VALUE!</v>
      </c>
      <c r="AQ273" t="str">
        <f ca="1">IFERROR(__xludf.DUMMYFUNCTION("""COMPUTED_VALUE"""),"#VALUE!")</f>
        <v>#VALUE!</v>
      </c>
      <c r="AS273" t="str">
        <f ca="1">IFERROR(__xludf.DUMMYFUNCTION("""COMPUTED_VALUE"""),"#VALUE!")</f>
        <v>#VALUE!</v>
      </c>
      <c r="AU273" t="str">
        <f ca="1">IFERROR(__xludf.DUMMYFUNCTION("""COMPUTED_VALUE"""),"#VALUE!")</f>
        <v>#VALUE!</v>
      </c>
      <c r="AW273" t="str">
        <f ca="1">IFERROR(__xludf.DUMMYFUNCTION("""COMPUTED_VALUE"""),"#VALUE!")</f>
        <v>#VALUE!</v>
      </c>
      <c r="AY273" t="str">
        <f ca="1">IFERROR(__xludf.DUMMYFUNCTION("""COMPUTED_VALUE"""),"#VALUE!")</f>
        <v>#VALUE!</v>
      </c>
      <c r="BA273" t="str">
        <f ca="1">IFERROR(__xludf.DUMMYFUNCTION("""COMPUTED_VALUE"""),"#VALUE!")</f>
        <v>#VALUE!</v>
      </c>
      <c r="BC273" t="str">
        <f ca="1">IFERROR(__xludf.DUMMYFUNCTION("""COMPUTED_VALUE"""),"#VALUE!")</f>
        <v>#VALUE!</v>
      </c>
      <c r="BE273" t="str">
        <f ca="1">IFERROR(__xludf.DUMMYFUNCTION("""COMPUTED_VALUE"""),"#VALUE!")</f>
        <v>#VALUE!</v>
      </c>
      <c r="BG273" t="str">
        <f ca="1">IFERROR(__xludf.DUMMYFUNCTION("""COMPUTED_VALUE"""),"#VALUE!")</f>
        <v>#VALUE!</v>
      </c>
      <c r="BI273" t="str">
        <f ca="1">IFERROR(__xludf.DUMMYFUNCTION("""COMPUTED_VALUE"""),"#VALUE!")</f>
        <v>#VALUE!</v>
      </c>
      <c r="BK273" t="str">
        <f ca="1">IFERROR(__xludf.DUMMYFUNCTION("""COMPUTED_VALUE"""),"#VALUE!")</f>
        <v>#VALUE!</v>
      </c>
      <c r="BM273" t="str">
        <f ca="1">IFERROR(__xludf.DUMMYFUNCTION("""COMPUTED_VALUE"""),"#VALUE!")</f>
        <v>#VALUE!</v>
      </c>
      <c r="BO273" t="str">
        <f ca="1">IFERROR(__xludf.DUMMYFUNCTION("""COMPUTED_VALUE"""),"#VALUE!")</f>
        <v>#VALUE!</v>
      </c>
      <c r="BQ273" t="str">
        <f ca="1">IFERROR(__xludf.DUMMYFUNCTION("""COMPUTED_VALUE"""),"#VALUE!")</f>
        <v>#VALUE!</v>
      </c>
      <c r="BS273" t="str">
        <f ca="1">IFERROR(__xludf.DUMMYFUNCTION("""COMPUTED_VALUE"""),"#VALUE!")</f>
        <v>#VALUE!</v>
      </c>
      <c r="BU273" t="str">
        <f ca="1">IFERROR(__xludf.DUMMYFUNCTION("""COMPUTED_VALUE"""),"#VALUE!")</f>
        <v>#VALUE!</v>
      </c>
      <c r="BW273" t="str">
        <f ca="1">IFERROR(__xludf.DUMMYFUNCTION("""COMPUTED_VALUE"""),"#VALUE!")</f>
        <v>#VALUE!</v>
      </c>
      <c r="BY273" t="str">
        <f ca="1">IFERROR(__xludf.DUMMYFUNCTION("""COMPUTED_VALUE"""),"#VALUE!")</f>
        <v>#VALUE!</v>
      </c>
      <c r="CA273" t="str">
        <f ca="1">IFERROR(__xludf.DUMMYFUNCTION("""COMPUTED_VALUE"""),"#VALUE!")</f>
        <v>#VALUE!</v>
      </c>
      <c r="CC273" t="str">
        <f ca="1">IFERROR(__xludf.DUMMYFUNCTION("""COMPUTED_VALUE"""),"#VALUE!")</f>
        <v>#VALUE!</v>
      </c>
      <c r="CD273" t="str">
        <f ca="1">IFERROR(__xludf.DUMMYFUNCTION("""COMPUTED_VALUE"""),"C3598")</f>
        <v>C3598</v>
      </c>
      <c r="CE273" t="str">
        <f ca="1">IFERROR(__xludf.DUMMYFUNCTION("""COMPUTED_VALUE"""),"location of congregation")</f>
        <v>location of congregation</v>
      </c>
      <c r="CF273" t="str">
        <f ca="1">IFERROR(__xludf.DUMMYFUNCTION("""COMPUTED_VALUE"""),"L0120")</f>
        <v>L0120</v>
      </c>
      <c r="CG273" t="str">
        <f ca="1">IFERROR(__xludf.DUMMYFUNCTION("""COMPUTED_VALUE"""),"domus Petri Guerssi")</f>
        <v>domus Petri Guerssi</v>
      </c>
      <c r="CI273" t="str">
        <f ca="1">IFERROR(__xludf.DUMMYFUNCTION("""COMPUTED_VALUE"""),"#VALUE!")</f>
        <v>#VALUE!</v>
      </c>
      <c r="CK273" t="str">
        <f ca="1">IFERROR(__xludf.DUMMYFUNCTION("""COMPUTED_VALUE"""),"#VALUE!")</f>
        <v>#VALUE!</v>
      </c>
      <c r="CS273" t="str">
        <f ca="1">IFERROR(__xludf.DUMMYFUNCTION("""COMPUTED_VALUE"""),"#VALUE!")</f>
        <v>#VALUE!</v>
      </c>
      <c r="CU273" t="str">
        <f ca="1">IFERROR(__xludf.DUMMYFUNCTION("""COMPUTED_VALUE"""),"#VALUE!")</f>
        <v>#VALUE!</v>
      </c>
      <c r="CW273" t="str">
        <f ca="1">IFERROR(__xludf.DUMMYFUNCTION("""COMPUTED_VALUE"""),"#VALUE!")</f>
        <v>#VALUE!</v>
      </c>
      <c r="CY273" t="str">
        <f ca="1">IFERROR(__xludf.DUMMYFUNCTION("""COMPUTED_VALUE"""),"#VALUE!")</f>
        <v>#VALUE!</v>
      </c>
      <c r="DC273" t="str">
        <f ca="1">IFERROR(__xludf.DUMMYFUNCTION("""COMPUTED_VALUE"""),"#VALUE!")</f>
        <v>#VALUE!</v>
      </c>
      <c r="DE273" t="str">
        <f ca="1">IFERROR(__xludf.DUMMYFUNCTION("""COMPUTED_VALUE"""),"#VALUE!")</f>
        <v>#VALUE!</v>
      </c>
      <c r="DF273" t="str">
        <f ca="1">IFERROR(__xludf.DUMMYFUNCTION("""COMPUTED_VALUE"""),"y")</f>
        <v>y</v>
      </c>
      <c r="DG273" t="str">
        <f ca="1">IFERROR(__xludf.DUMMYFUNCTION("""COMPUTED_VALUE"""),"222")</f>
        <v>222</v>
      </c>
      <c r="DH273" t="str">
        <f ca="1">IFERROR(__xludf.DUMMYFUNCTION("""COMPUTED_VALUE"""),"L0120")</f>
        <v>L0120</v>
      </c>
      <c r="DI273" t="str">
        <f ca="1">IFERROR(__xludf.DUMMYFUNCTION("""COMPUTED_VALUE"""),"domus Petri Guerssi")</f>
        <v>domus Petri Guerssi</v>
      </c>
      <c r="DJ273" t="str">
        <f ca="1">IFERROR(__xludf.DUMMYFUNCTION("""COMPUTED_VALUE"""),"domus")</f>
        <v>domus</v>
      </c>
      <c r="DL273" t="str">
        <f ca="1">IFERROR(__xludf.DUMMYFUNCTION("""COMPUTED_VALUE"""),"Davor Salihović")</f>
        <v>Davor Salihović</v>
      </c>
    </row>
    <row r="274" spans="1:116" ht="13.2" x14ac:dyDescent="0.25">
      <c r="A274" t="str">
        <f ca="1">IFERROR(__xludf.DUMMYFUNCTION("""COMPUTED_VALUE"""),"P0280")</f>
        <v>P0280</v>
      </c>
      <c r="B274" t="str">
        <f ca="1">IFERROR(__xludf.DUMMYFUNCTION("""COMPUTED_VALUE"""),"Villelmina, uxor Iohannis, filii Marguerite Borssete")</f>
        <v>Villelmina, uxor Iohannis, filii Marguerite Borssete</v>
      </c>
      <c r="D274" t="str">
        <f ca="1">IFERROR(__xludf.DUMMYFUNCTION("""COMPUTED_VALUE"""),"#VALUE!")</f>
        <v>#VALUE!</v>
      </c>
      <c r="E274" t="str">
        <f ca="1">IFERROR(__xludf.DUMMYFUNCTION("""COMPUTED_VALUE"""),"Villelmina")</f>
        <v>Villelmina</v>
      </c>
      <c r="Q274" t="str">
        <f ca="1">IFERROR(__xludf.DUMMYFUNCTION("""COMPUTED_VALUE"""),"uxor Iohannis, filii Marguerite Borssete")</f>
        <v>uxor Iohannis, filii Marguerite Borssete</v>
      </c>
      <c r="S274" t="str">
        <f ca="1">IFERROR(__xludf.DUMMYFUNCTION("""COMPUTED_VALUE"""),"Latin")</f>
        <v>Latin</v>
      </c>
      <c r="T274" t="str">
        <f ca="1">IFERROR(__xludf.DUMMYFUNCTION("""COMPUTED_VALUE"""),"definite")</f>
        <v>definite</v>
      </c>
      <c r="U274" t="str">
        <f ca="1">IFERROR(__xludf.DUMMYFUNCTION("""COMPUTED_VALUE"""),"C2552")</f>
        <v>C2552</v>
      </c>
      <c r="V274" t="str">
        <f ca="1">IFERROR(__xludf.DUMMYFUNCTION("""COMPUTED_VALUE"""),"female")</f>
        <v>female</v>
      </c>
      <c r="Z274" t="str">
        <f ca="1">IFERROR(__xludf.DUMMYFUNCTION("""COMPUTED_VALUE"""),"189")</f>
        <v>189</v>
      </c>
      <c r="AA274" t="str">
        <f ca="1">IFERROR(__xludf.DUMMYFUNCTION("""COMPUTED_VALUE"""),"d")</f>
        <v>d</v>
      </c>
      <c r="AB274" t="str">
        <f ca="1">IFERROR(__xludf.DUMMYFUNCTION("""COMPUTED_VALUE"""),"suspect")</f>
        <v>suspect</v>
      </c>
      <c r="AD274" t="str">
        <f ca="1">IFERROR(__xludf.DUMMYFUNCTION("""COMPUTED_VALUE"""),"C3287")</f>
        <v>C3287</v>
      </c>
      <c r="AE274" t="str">
        <f ca="1">IFERROR(__xludf.DUMMYFUNCTION("""COMPUTED_VALUE"""),"alive")</f>
        <v>alive</v>
      </c>
      <c r="AF274" t="str">
        <f ca="1">IFERROR(__xludf.DUMMYFUNCTION("""COMPUTED_VALUE"""),"C1753")</f>
        <v>C1753</v>
      </c>
      <c r="AG274" t="str">
        <f ca="1">IFERROR(__xludf.DUMMYFUNCTION("""COMPUTED_VALUE"""),"1335-01-20")</f>
        <v>1335-01-20</v>
      </c>
      <c r="AI274" t="str">
        <f ca="1">IFERROR(__xludf.DUMMYFUNCTION("""COMPUTED_VALUE"""),"#VALUE!")</f>
        <v>#VALUE!</v>
      </c>
      <c r="AK274" t="str">
        <f ca="1">IFERROR(__xludf.DUMMYFUNCTION("""COMPUTED_VALUE"""),"#VALUE!")</f>
        <v>#VALUE!</v>
      </c>
      <c r="AM274" t="str">
        <f ca="1">IFERROR(__xludf.DUMMYFUNCTION("""COMPUTED_VALUE"""),"#VALUE!")</f>
        <v>#VALUE!</v>
      </c>
      <c r="AO274" t="str">
        <f ca="1">IFERROR(__xludf.DUMMYFUNCTION("""COMPUTED_VALUE"""),"#VALUE!")</f>
        <v>#VALUE!</v>
      </c>
      <c r="AQ274" t="str">
        <f ca="1">IFERROR(__xludf.DUMMYFUNCTION("""COMPUTED_VALUE"""),"#VALUE!")</f>
        <v>#VALUE!</v>
      </c>
      <c r="AS274" t="str">
        <f ca="1">IFERROR(__xludf.DUMMYFUNCTION("""COMPUTED_VALUE"""),"#VALUE!")</f>
        <v>#VALUE!</v>
      </c>
      <c r="AU274" t="str">
        <f ca="1">IFERROR(__xludf.DUMMYFUNCTION("""COMPUTED_VALUE"""),"#VALUE!")</f>
        <v>#VALUE!</v>
      </c>
      <c r="AW274" t="str">
        <f ca="1">IFERROR(__xludf.DUMMYFUNCTION("""COMPUTED_VALUE"""),"#VALUE!")</f>
        <v>#VALUE!</v>
      </c>
      <c r="AY274" t="str">
        <f ca="1">IFERROR(__xludf.DUMMYFUNCTION("""COMPUTED_VALUE"""),"#VALUE!")</f>
        <v>#VALUE!</v>
      </c>
      <c r="BA274" t="str">
        <f ca="1">IFERROR(__xludf.DUMMYFUNCTION("""COMPUTED_VALUE"""),"#VALUE!")</f>
        <v>#VALUE!</v>
      </c>
      <c r="BC274" t="str">
        <f ca="1">IFERROR(__xludf.DUMMYFUNCTION("""COMPUTED_VALUE"""),"#VALUE!")</f>
        <v>#VALUE!</v>
      </c>
      <c r="BE274" t="str">
        <f ca="1">IFERROR(__xludf.DUMMYFUNCTION("""COMPUTED_VALUE"""),"#VALUE!")</f>
        <v>#VALUE!</v>
      </c>
      <c r="BG274" t="str">
        <f ca="1">IFERROR(__xludf.DUMMYFUNCTION("""COMPUTED_VALUE"""),"#VALUE!")</f>
        <v>#VALUE!</v>
      </c>
      <c r="BI274" t="str">
        <f ca="1">IFERROR(__xludf.DUMMYFUNCTION("""COMPUTED_VALUE"""),"#VALUE!")</f>
        <v>#VALUE!</v>
      </c>
      <c r="BK274" t="str">
        <f ca="1">IFERROR(__xludf.DUMMYFUNCTION("""COMPUTED_VALUE"""),"#VALUE!")</f>
        <v>#VALUE!</v>
      </c>
      <c r="BM274" t="str">
        <f ca="1">IFERROR(__xludf.DUMMYFUNCTION("""COMPUTED_VALUE"""),"#VALUE!")</f>
        <v>#VALUE!</v>
      </c>
      <c r="BO274" t="str">
        <f ca="1">IFERROR(__xludf.DUMMYFUNCTION("""COMPUTED_VALUE"""),"#VALUE!")</f>
        <v>#VALUE!</v>
      </c>
      <c r="BQ274" t="str">
        <f ca="1">IFERROR(__xludf.DUMMYFUNCTION("""COMPUTED_VALUE"""),"#VALUE!")</f>
        <v>#VALUE!</v>
      </c>
      <c r="BS274" t="str">
        <f ca="1">IFERROR(__xludf.DUMMYFUNCTION("""COMPUTED_VALUE"""),"#VALUE!")</f>
        <v>#VALUE!</v>
      </c>
      <c r="BU274" t="str">
        <f ca="1">IFERROR(__xludf.DUMMYFUNCTION("""COMPUTED_VALUE"""),"#VALUE!")</f>
        <v>#VALUE!</v>
      </c>
      <c r="BW274" t="str">
        <f ca="1">IFERROR(__xludf.DUMMYFUNCTION("""COMPUTED_VALUE"""),"#VALUE!")</f>
        <v>#VALUE!</v>
      </c>
      <c r="BY274" t="str">
        <f ca="1">IFERROR(__xludf.DUMMYFUNCTION("""COMPUTED_VALUE"""),"#VALUE!")</f>
        <v>#VALUE!</v>
      </c>
      <c r="CA274" t="str">
        <f ca="1">IFERROR(__xludf.DUMMYFUNCTION("""COMPUTED_VALUE"""),"#VALUE!")</f>
        <v>#VALUE!</v>
      </c>
      <c r="CC274" t="str">
        <f ca="1">IFERROR(__xludf.DUMMYFUNCTION("""COMPUTED_VALUE"""),"#VALUE!")</f>
        <v>#VALUE!</v>
      </c>
      <c r="CE274" t="str">
        <f ca="1">IFERROR(__xludf.DUMMYFUNCTION("""COMPUTED_VALUE"""),"#VALUE!")</f>
        <v>#VALUE!</v>
      </c>
      <c r="CG274" t="str">
        <f ca="1">IFERROR(__xludf.DUMMYFUNCTION("""COMPUTED_VALUE"""),"#VALUE!")</f>
        <v>#VALUE!</v>
      </c>
      <c r="CI274" t="str">
        <f ca="1">IFERROR(__xludf.DUMMYFUNCTION("""COMPUTED_VALUE"""),"#VALUE!")</f>
        <v>#VALUE!</v>
      </c>
      <c r="CK274" t="str">
        <f ca="1">IFERROR(__xludf.DUMMYFUNCTION("""COMPUTED_VALUE"""),"#VALUE!")</f>
        <v>#VALUE!</v>
      </c>
      <c r="CS274" t="str">
        <f ca="1">IFERROR(__xludf.DUMMYFUNCTION("""COMPUTED_VALUE"""),"#VALUE!")</f>
        <v>#VALUE!</v>
      </c>
      <c r="CU274" t="str">
        <f ca="1">IFERROR(__xludf.DUMMYFUNCTION("""COMPUTED_VALUE"""),"#VALUE!")</f>
        <v>#VALUE!</v>
      </c>
      <c r="CW274" t="str">
        <f ca="1">IFERROR(__xludf.DUMMYFUNCTION("""COMPUTED_VALUE"""),"#VALUE!")</f>
        <v>#VALUE!</v>
      </c>
      <c r="CY274" t="str">
        <f ca="1">IFERROR(__xludf.DUMMYFUNCTION("""COMPUTED_VALUE"""),"#VALUE!")</f>
        <v>#VALUE!</v>
      </c>
      <c r="DC274" t="str">
        <f ca="1">IFERROR(__xludf.DUMMYFUNCTION("""COMPUTED_VALUE"""),"#VALUE!")</f>
        <v>#VALUE!</v>
      </c>
      <c r="DE274" t="str">
        <f ca="1">IFERROR(__xludf.DUMMYFUNCTION("""COMPUTED_VALUE"""),"#VALUE!")</f>
        <v>#VALUE!</v>
      </c>
      <c r="DF274" t="str">
        <f ca="1">IFERROR(__xludf.DUMMYFUNCTION("""COMPUTED_VALUE"""),"y")</f>
        <v>y</v>
      </c>
      <c r="DG274" t="str">
        <f ca="1">IFERROR(__xludf.DUMMYFUNCTION("""COMPUTED_VALUE"""),"189")</f>
        <v>189</v>
      </c>
      <c r="DI274" t="str">
        <f ca="1">IFERROR(__xludf.DUMMYFUNCTION("""COMPUTED_VALUE"""),"#VALUE!")</f>
        <v>#VALUE!</v>
      </c>
      <c r="DJ274" t="str">
        <f ca="1">IFERROR(__xludf.DUMMYFUNCTION("""COMPUTED_VALUE"""),"#VALUE!")</f>
        <v>#VALUE!</v>
      </c>
      <c r="DL274" t="str">
        <f ca="1">IFERROR(__xludf.DUMMYFUNCTION("""COMPUTED_VALUE"""),"Davor Salihović")</f>
        <v>Davor Salihović</v>
      </c>
    </row>
    <row r="275" spans="1:116" ht="13.2" x14ac:dyDescent="0.25">
      <c r="A275" t="str">
        <f ca="1">IFERROR(__xludf.DUMMYFUNCTION("""COMPUTED_VALUE"""),"P0281")</f>
        <v>P0281</v>
      </c>
      <c r="B275" t="str">
        <f ca="1">IFERROR(__xludf.DUMMYFUNCTION("""COMPUTED_VALUE"""),"mater Petri Gaspardi")</f>
        <v>mater Petri Gaspardi</v>
      </c>
      <c r="D275" t="str">
        <f ca="1">IFERROR(__xludf.DUMMYFUNCTION("""COMPUTED_VALUE"""),"#VALUE!")</f>
        <v>#VALUE!</v>
      </c>
      <c r="E275" t="str">
        <f ca="1">IFERROR(__xludf.DUMMYFUNCTION("""COMPUTED_VALUE"""),"mater Petri Gaspardi")</f>
        <v>mater Petri Gaspardi</v>
      </c>
      <c r="Q275" t="str">
        <f ca="1">IFERROR(__xludf.DUMMYFUNCTION("""COMPUTED_VALUE"""),"mater Petri Gaspardi")</f>
        <v>mater Petri Gaspardi</v>
      </c>
      <c r="S275" t="str">
        <f ca="1">IFERROR(__xludf.DUMMYFUNCTION("""COMPUTED_VALUE"""),"Latin")</f>
        <v>Latin</v>
      </c>
      <c r="T275" t="str">
        <f ca="1">IFERROR(__xludf.DUMMYFUNCTION("""COMPUTED_VALUE"""),"definite")</f>
        <v>definite</v>
      </c>
      <c r="U275" t="str">
        <f ca="1">IFERROR(__xludf.DUMMYFUNCTION("""COMPUTED_VALUE"""),"C2552")</f>
        <v>C2552</v>
      </c>
      <c r="V275" t="str">
        <f ca="1">IFERROR(__xludf.DUMMYFUNCTION("""COMPUTED_VALUE"""),"female")</f>
        <v>female</v>
      </c>
      <c r="Z275" t="str">
        <f ca="1">IFERROR(__xludf.DUMMYFUNCTION("""COMPUTED_VALUE"""),"189")</f>
        <v>189</v>
      </c>
      <c r="AA275" t="str">
        <f ca="1">IFERROR(__xludf.DUMMYFUNCTION("""COMPUTED_VALUE"""),"d")</f>
        <v>d</v>
      </c>
      <c r="AB275" t="str">
        <f ca="1">IFERROR(__xludf.DUMMYFUNCTION("""COMPUTED_VALUE"""),"suspect")</f>
        <v>suspect</v>
      </c>
      <c r="AE275" t="str">
        <f ca="1">IFERROR(__xludf.DUMMYFUNCTION("""COMPUTED_VALUE"""),"#VALUE!")</f>
        <v>#VALUE!</v>
      </c>
      <c r="AF275" t="str">
        <f ca="1">IFERROR(__xludf.DUMMYFUNCTION("""COMPUTED_VALUE"""),"#N/A")</f>
        <v>#N/A</v>
      </c>
      <c r="AG275" t="str">
        <f ca="1">IFERROR(__xludf.DUMMYFUNCTION("""COMPUTED_VALUE"""),"#N/A")</f>
        <v>#N/A</v>
      </c>
      <c r="AI275" t="str">
        <f ca="1">IFERROR(__xludf.DUMMYFUNCTION("""COMPUTED_VALUE"""),"#VALUE!")</f>
        <v>#VALUE!</v>
      </c>
      <c r="AK275" t="str">
        <f ca="1">IFERROR(__xludf.DUMMYFUNCTION("""COMPUTED_VALUE"""),"#VALUE!")</f>
        <v>#VALUE!</v>
      </c>
      <c r="AM275" t="str">
        <f ca="1">IFERROR(__xludf.DUMMYFUNCTION("""COMPUTED_VALUE"""),"#VALUE!")</f>
        <v>#VALUE!</v>
      </c>
      <c r="AO275" t="str">
        <f ca="1">IFERROR(__xludf.DUMMYFUNCTION("""COMPUTED_VALUE"""),"#VALUE!")</f>
        <v>#VALUE!</v>
      </c>
      <c r="AQ275" t="str">
        <f ca="1">IFERROR(__xludf.DUMMYFUNCTION("""COMPUTED_VALUE"""),"#VALUE!")</f>
        <v>#VALUE!</v>
      </c>
      <c r="AS275" t="str">
        <f ca="1">IFERROR(__xludf.DUMMYFUNCTION("""COMPUTED_VALUE"""),"#VALUE!")</f>
        <v>#VALUE!</v>
      </c>
      <c r="AU275" t="str">
        <f ca="1">IFERROR(__xludf.DUMMYFUNCTION("""COMPUTED_VALUE"""),"#VALUE!")</f>
        <v>#VALUE!</v>
      </c>
      <c r="AW275" t="str">
        <f ca="1">IFERROR(__xludf.DUMMYFUNCTION("""COMPUTED_VALUE"""),"#VALUE!")</f>
        <v>#VALUE!</v>
      </c>
      <c r="AY275" t="str">
        <f ca="1">IFERROR(__xludf.DUMMYFUNCTION("""COMPUTED_VALUE"""),"#VALUE!")</f>
        <v>#VALUE!</v>
      </c>
      <c r="BA275" t="str">
        <f ca="1">IFERROR(__xludf.DUMMYFUNCTION("""COMPUTED_VALUE"""),"#VALUE!")</f>
        <v>#VALUE!</v>
      </c>
      <c r="BC275" t="str">
        <f ca="1">IFERROR(__xludf.DUMMYFUNCTION("""COMPUTED_VALUE"""),"#VALUE!")</f>
        <v>#VALUE!</v>
      </c>
      <c r="BE275" t="str">
        <f ca="1">IFERROR(__xludf.DUMMYFUNCTION("""COMPUTED_VALUE"""),"#VALUE!")</f>
        <v>#VALUE!</v>
      </c>
      <c r="BG275" t="str">
        <f ca="1">IFERROR(__xludf.DUMMYFUNCTION("""COMPUTED_VALUE"""),"#VALUE!")</f>
        <v>#VALUE!</v>
      </c>
      <c r="BI275" t="str">
        <f ca="1">IFERROR(__xludf.DUMMYFUNCTION("""COMPUTED_VALUE"""),"#VALUE!")</f>
        <v>#VALUE!</v>
      </c>
      <c r="BK275" t="str">
        <f ca="1">IFERROR(__xludf.DUMMYFUNCTION("""COMPUTED_VALUE"""),"#VALUE!")</f>
        <v>#VALUE!</v>
      </c>
      <c r="BM275" t="str">
        <f ca="1">IFERROR(__xludf.DUMMYFUNCTION("""COMPUTED_VALUE"""),"#VALUE!")</f>
        <v>#VALUE!</v>
      </c>
      <c r="BO275" t="str">
        <f ca="1">IFERROR(__xludf.DUMMYFUNCTION("""COMPUTED_VALUE"""),"#VALUE!")</f>
        <v>#VALUE!</v>
      </c>
      <c r="BQ275" t="str">
        <f ca="1">IFERROR(__xludf.DUMMYFUNCTION("""COMPUTED_VALUE"""),"#VALUE!")</f>
        <v>#VALUE!</v>
      </c>
      <c r="BS275" t="str">
        <f ca="1">IFERROR(__xludf.DUMMYFUNCTION("""COMPUTED_VALUE"""),"#VALUE!")</f>
        <v>#VALUE!</v>
      </c>
      <c r="BU275" t="str">
        <f ca="1">IFERROR(__xludf.DUMMYFUNCTION("""COMPUTED_VALUE"""),"#VALUE!")</f>
        <v>#VALUE!</v>
      </c>
      <c r="BW275" t="str">
        <f ca="1">IFERROR(__xludf.DUMMYFUNCTION("""COMPUTED_VALUE"""),"#VALUE!")</f>
        <v>#VALUE!</v>
      </c>
      <c r="BY275" t="str">
        <f ca="1">IFERROR(__xludf.DUMMYFUNCTION("""COMPUTED_VALUE"""),"#VALUE!")</f>
        <v>#VALUE!</v>
      </c>
      <c r="CA275" t="str">
        <f ca="1">IFERROR(__xludf.DUMMYFUNCTION("""COMPUTED_VALUE"""),"#VALUE!")</f>
        <v>#VALUE!</v>
      </c>
      <c r="CC275" t="str">
        <f ca="1">IFERROR(__xludf.DUMMYFUNCTION("""COMPUTED_VALUE"""),"#VALUE!")</f>
        <v>#VALUE!</v>
      </c>
      <c r="CE275" t="str">
        <f ca="1">IFERROR(__xludf.DUMMYFUNCTION("""COMPUTED_VALUE"""),"#VALUE!")</f>
        <v>#VALUE!</v>
      </c>
      <c r="CG275" t="str">
        <f ca="1">IFERROR(__xludf.DUMMYFUNCTION("""COMPUTED_VALUE"""),"#VALUE!")</f>
        <v>#VALUE!</v>
      </c>
      <c r="CI275" t="str">
        <f ca="1">IFERROR(__xludf.DUMMYFUNCTION("""COMPUTED_VALUE"""),"#VALUE!")</f>
        <v>#VALUE!</v>
      </c>
      <c r="CK275" t="str">
        <f ca="1">IFERROR(__xludf.DUMMYFUNCTION("""COMPUTED_VALUE"""),"#VALUE!")</f>
        <v>#VALUE!</v>
      </c>
      <c r="CS275" t="str">
        <f ca="1">IFERROR(__xludf.DUMMYFUNCTION("""COMPUTED_VALUE"""),"#VALUE!")</f>
        <v>#VALUE!</v>
      </c>
      <c r="CU275" t="str">
        <f ca="1">IFERROR(__xludf.DUMMYFUNCTION("""COMPUTED_VALUE"""),"#VALUE!")</f>
        <v>#VALUE!</v>
      </c>
      <c r="CW275" t="str">
        <f ca="1">IFERROR(__xludf.DUMMYFUNCTION("""COMPUTED_VALUE"""),"#VALUE!")</f>
        <v>#VALUE!</v>
      </c>
      <c r="CY275" t="str">
        <f ca="1">IFERROR(__xludf.DUMMYFUNCTION("""COMPUTED_VALUE"""),"#VALUE!")</f>
        <v>#VALUE!</v>
      </c>
      <c r="DC275" t="str">
        <f ca="1">IFERROR(__xludf.DUMMYFUNCTION("""COMPUTED_VALUE"""),"#VALUE!")</f>
        <v>#VALUE!</v>
      </c>
      <c r="DE275" t="str">
        <f ca="1">IFERROR(__xludf.DUMMYFUNCTION("""COMPUTED_VALUE"""),"#VALUE!")</f>
        <v>#VALUE!</v>
      </c>
      <c r="DI275" t="str">
        <f ca="1">IFERROR(__xludf.DUMMYFUNCTION("""COMPUTED_VALUE"""),"#VALUE!")</f>
        <v>#VALUE!</v>
      </c>
      <c r="DJ275" t="str">
        <f ca="1">IFERROR(__xludf.DUMMYFUNCTION("""COMPUTED_VALUE"""),"#VALUE!")</f>
        <v>#VALUE!</v>
      </c>
      <c r="DL275" t="str">
        <f ca="1">IFERROR(__xludf.DUMMYFUNCTION("""COMPUTED_VALUE"""),"Davor Salihović")</f>
        <v>Davor Salihović</v>
      </c>
    </row>
    <row r="276" spans="1:116" ht="13.2" x14ac:dyDescent="0.25">
      <c r="A276" t="str">
        <f ca="1">IFERROR(__xludf.DUMMYFUNCTION("""COMPUTED_VALUE"""),"P0282")</f>
        <v>P0282</v>
      </c>
      <c r="B276" t="str">
        <f ca="1">IFERROR(__xludf.DUMMYFUNCTION("""COMPUTED_VALUE"""),"frater Thome de Iohanne Iordani")</f>
        <v>frater Thome de Iohanne Iordani</v>
      </c>
      <c r="D276" t="str">
        <f ca="1">IFERROR(__xludf.DUMMYFUNCTION("""COMPUTED_VALUE"""),"#VALUE!")</f>
        <v>#VALUE!</v>
      </c>
      <c r="E276" t="str">
        <f ca="1">IFERROR(__xludf.DUMMYFUNCTION("""COMPUTED_VALUE"""),"frater Thome de Iohanne Iordani")</f>
        <v>frater Thome de Iohanne Iordani</v>
      </c>
      <c r="Q276" t="str">
        <f ca="1">IFERROR(__xludf.DUMMYFUNCTION("""COMPUTED_VALUE"""),"frater Thome de Iohanne Iordani)")</f>
        <v>frater Thome de Iohanne Iordani)</v>
      </c>
      <c r="S276" t="str">
        <f ca="1">IFERROR(__xludf.DUMMYFUNCTION("""COMPUTED_VALUE"""),"Latin")</f>
        <v>Latin</v>
      </c>
      <c r="T276" t="str">
        <f ca="1">IFERROR(__xludf.DUMMYFUNCTION("""COMPUTED_VALUE"""),"definite")</f>
        <v>definite</v>
      </c>
      <c r="U276" t="str">
        <f ca="1">IFERROR(__xludf.DUMMYFUNCTION("""COMPUTED_VALUE"""),"C2553")</f>
        <v>C2553</v>
      </c>
      <c r="V276" t="str">
        <f ca="1">IFERROR(__xludf.DUMMYFUNCTION("""COMPUTED_VALUE"""),"male")</f>
        <v>male</v>
      </c>
      <c r="Z276" t="str">
        <f ca="1">IFERROR(__xludf.DUMMYFUNCTION("""COMPUTED_VALUE"""),"190")</f>
        <v>190</v>
      </c>
      <c r="AA276" t="str">
        <f ca="1">IFERROR(__xludf.DUMMYFUNCTION("""COMPUTED_VALUE"""),"d")</f>
        <v>d</v>
      </c>
      <c r="AB276" t="str">
        <f ca="1">IFERROR(__xludf.DUMMYFUNCTION("""COMPUTED_VALUE"""),"suspect")</f>
        <v>suspect</v>
      </c>
      <c r="AE276" t="str">
        <f ca="1">IFERROR(__xludf.DUMMYFUNCTION("""COMPUTED_VALUE"""),"#VALUE!")</f>
        <v>#VALUE!</v>
      </c>
      <c r="AF276" t="str">
        <f ca="1">IFERROR(__xludf.DUMMYFUNCTION("""COMPUTED_VALUE"""),"#N/A")</f>
        <v>#N/A</v>
      </c>
      <c r="AG276" t="str">
        <f ca="1">IFERROR(__xludf.DUMMYFUNCTION("""COMPUTED_VALUE"""),"#N/A")</f>
        <v>#N/A</v>
      </c>
      <c r="AI276" t="str">
        <f ca="1">IFERROR(__xludf.DUMMYFUNCTION("""COMPUTED_VALUE"""),"#VALUE!")</f>
        <v>#VALUE!</v>
      </c>
      <c r="AK276" t="str">
        <f ca="1">IFERROR(__xludf.DUMMYFUNCTION("""COMPUTED_VALUE"""),"#VALUE!")</f>
        <v>#VALUE!</v>
      </c>
      <c r="AM276" t="str">
        <f ca="1">IFERROR(__xludf.DUMMYFUNCTION("""COMPUTED_VALUE"""),"#VALUE!")</f>
        <v>#VALUE!</v>
      </c>
      <c r="AO276" t="str">
        <f ca="1">IFERROR(__xludf.DUMMYFUNCTION("""COMPUTED_VALUE"""),"#VALUE!")</f>
        <v>#VALUE!</v>
      </c>
      <c r="AQ276" t="str">
        <f ca="1">IFERROR(__xludf.DUMMYFUNCTION("""COMPUTED_VALUE"""),"#VALUE!")</f>
        <v>#VALUE!</v>
      </c>
      <c r="AS276" t="str">
        <f ca="1">IFERROR(__xludf.DUMMYFUNCTION("""COMPUTED_VALUE"""),"#VALUE!")</f>
        <v>#VALUE!</v>
      </c>
      <c r="AU276" t="str">
        <f ca="1">IFERROR(__xludf.DUMMYFUNCTION("""COMPUTED_VALUE"""),"#VALUE!")</f>
        <v>#VALUE!</v>
      </c>
      <c r="AW276" t="str">
        <f ca="1">IFERROR(__xludf.DUMMYFUNCTION("""COMPUTED_VALUE"""),"#VALUE!")</f>
        <v>#VALUE!</v>
      </c>
      <c r="AY276" t="str">
        <f ca="1">IFERROR(__xludf.DUMMYFUNCTION("""COMPUTED_VALUE"""),"#VALUE!")</f>
        <v>#VALUE!</v>
      </c>
      <c r="BA276" t="str">
        <f ca="1">IFERROR(__xludf.DUMMYFUNCTION("""COMPUTED_VALUE"""),"#VALUE!")</f>
        <v>#VALUE!</v>
      </c>
      <c r="BC276" t="str">
        <f ca="1">IFERROR(__xludf.DUMMYFUNCTION("""COMPUTED_VALUE"""),"#VALUE!")</f>
        <v>#VALUE!</v>
      </c>
      <c r="BE276" t="str">
        <f ca="1">IFERROR(__xludf.DUMMYFUNCTION("""COMPUTED_VALUE"""),"#VALUE!")</f>
        <v>#VALUE!</v>
      </c>
      <c r="BG276" t="str">
        <f ca="1">IFERROR(__xludf.DUMMYFUNCTION("""COMPUTED_VALUE"""),"#VALUE!")</f>
        <v>#VALUE!</v>
      </c>
      <c r="BI276" t="str">
        <f ca="1">IFERROR(__xludf.DUMMYFUNCTION("""COMPUTED_VALUE"""),"#VALUE!")</f>
        <v>#VALUE!</v>
      </c>
      <c r="BK276" t="str">
        <f ca="1">IFERROR(__xludf.DUMMYFUNCTION("""COMPUTED_VALUE"""),"#VALUE!")</f>
        <v>#VALUE!</v>
      </c>
      <c r="BM276" t="str">
        <f ca="1">IFERROR(__xludf.DUMMYFUNCTION("""COMPUTED_VALUE"""),"#VALUE!")</f>
        <v>#VALUE!</v>
      </c>
      <c r="BO276" t="str">
        <f ca="1">IFERROR(__xludf.DUMMYFUNCTION("""COMPUTED_VALUE"""),"#VALUE!")</f>
        <v>#VALUE!</v>
      </c>
      <c r="BQ276" t="str">
        <f ca="1">IFERROR(__xludf.DUMMYFUNCTION("""COMPUTED_VALUE"""),"#VALUE!")</f>
        <v>#VALUE!</v>
      </c>
      <c r="BS276" t="str">
        <f ca="1">IFERROR(__xludf.DUMMYFUNCTION("""COMPUTED_VALUE"""),"#VALUE!")</f>
        <v>#VALUE!</v>
      </c>
      <c r="BU276" t="str">
        <f ca="1">IFERROR(__xludf.DUMMYFUNCTION("""COMPUTED_VALUE"""),"#VALUE!")</f>
        <v>#VALUE!</v>
      </c>
      <c r="BW276" t="str">
        <f ca="1">IFERROR(__xludf.DUMMYFUNCTION("""COMPUTED_VALUE"""),"#VALUE!")</f>
        <v>#VALUE!</v>
      </c>
      <c r="BY276" t="str">
        <f ca="1">IFERROR(__xludf.DUMMYFUNCTION("""COMPUTED_VALUE"""),"#VALUE!")</f>
        <v>#VALUE!</v>
      </c>
      <c r="CA276" t="str">
        <f ca="1">IFERROR(__xludf.DUMMYFUNCTION("""COMPUTED_VALUE"""),"#VALUE!")</f>
        <v>#VALUE!</v>
      </c>
      <c r="CC276" t="str">
        <f ca="1">IFERROR(__xludf.DUMMYFUNCTION("""COMPUTED_VALUE"""),"#VALUE!")</f>
        <v>#VALUE!</v>
      </c>
      <c r="CD276" t="str">
        <f ca="1">IFERROR(__xludf.DUMMYFUNCTION("""COMPUTED_VALUE"""),"C3598")</f>
        <v>C3598</v>
      </c>
      <c r="CE276" t="str">
        <f ca="1">IFERROR(__xludf.DUMMYFUNCTION("""COMPUTED_VALUE"""),"location of congregation")</f>
        <v>location of congregation</v>
      </c>
      <c r="CF276" t="str">
        <f ca="1">IFERROR(__xludf.DUMMYFUNCTION("""COMPUTED_VALUE"""),"L0090")</f>
        <v>L0090</v>
      </c>
      <c r="CG276" t="str">
        <f ca="1">IFERROR(__xludf.DUMMYFUNCTION("""COMPUTED_VALUE"""),"domus Thome de Iohanne Iordani")</f>
        <v>domus Thome de Iohanne Iordani</v>
      </c>
      <c r="CI276" t="str">
        <f ca="1">IFERROR(__xludf.DUMMYFUNCTION("""COMPUTED_VALUE"""),"#VALUE!")</f>
        <v>#VALUE!</v>
      </c>
      <c r="CK276" t="str">
        <f ca="1">IFERROR(__xludf.DUMMYFUNCTION("""COMPUTED_VALUE"""),"#VALUE!")</f>
        <v>#VALUE!</v>
      </c>
      <c r="CS276" t="str">
        <f ca="1">IFERROR(__xludf.DUMMYFUNCTION("""COMPUTED_VALUE"""),"#VALUE!")</f>
        <v>#VALUE!</v>
      </c>
      <c r="CU276" t="str">
        <f ca="1">IFERROR(__xludf.DUMMYFUNCTION("""COMPUTED_VALUE"""),"#VALUE!")</f>
        <v>#VALUE!</v>
      </c>
      <c r="CW276" t="str">
        <f ca="1">IFERROR(__xludf.DUMMYFUNCTION("""COMPUTED_VALUE"""),"#VALUE!")</f>
        <v>#VALUE!</v>
      </c>
      <c r="CY276" t="str">
        <f ca="1">IFERROR(__xludf.DUMMYFUNCTION("""COMPUTED_VALUE"""),"#VALUE!")</f>
        <v>#VALUE!</v>
      </c>
      <c r="DC276" t="str">
        <f ca="1">IFERROR(__xludf.DUMMYFUNCTION("""COMPUTED_VALUE"""),"#VALUE!")</f>
        <v>#VALUE!</v>
      </c>
      <c r="DE276" t="str">
        <f ca="1">IFERROR(__xludf.DUMMYFUNCTION("""COMPUTED_VALUE"""),"#VALUE!")</f>
        <v>#VALUE!</v>
      </c>
      <c r="DH276" t="str">
        <f ca="1">IFERROR(__xludf.DUMMYFUNCTION("""COMPUTED_VALUE"""),"L0090")</f>
        <v>L0090</v>
      </c>
      <c r="DI276" t="str">
        <f ca="1">IFERROR(__xludf.DUMMYFUNCTION("""COMPUTED_VALUE"""),"domus Thome de Iohanne Iordani")</f>
        <v>domus Thome de Iohanne Iordani</v>
      </c>
      <c r="DJ276" t="str">
        <f ca="1">IFERROR(__xludf.DUMMYFUNCTION("""COMPUTED_VALUE"""),"domus")</f>
        <v>domus</v>
      </c>
      <c r="DL276" t="str">
        <f ca="1">IFERROR(__xludf.DUMMYFUNCTION("""COMPUTED_VALUE"""),"Davor Salihović")</f>
        <v>Davor Salihović</v>
      </c>
    </row>
    <row r="277" spans="1:116" ht="13.2" x14ac:dyDescent="0.25">
      <c r="A277" t="str">
        <f ca="1">IFERROR(__xludf.DUMMYFUNCTION("""COMPUTED_VALUE"""),"P0283")</f>
        <v>P0283</v>
      </c>
      <c r="B277" t="str">
        <f ca="1">IFERROR(__xludf.DUMMYFUNCTION("""COMPUTED_VALUE"""),"Bertandolo de Coazze")</f>
        <v>Bertandolo de Coazze</v>
      </c>
      <c r="D277" t="str">
        <f ca="1">IFERROR(__xludf.DUMMYFUNCTION("""COMPUTED_VALUE"""),"#VALUE!")</f>
        <v>#VALUE!</v>
      </c>
      <c r="E277" t="str">
        <f ca="1">IFERROR(__xludf.DUMMYFUNCTION("""COMPUTED_VALUE"""),"Bertandolo")</f>
        <v>Bertandolo</v>
      </c>
      <c r="J277" t="str">
        <f ca="1">IFERROR(__xludf.DUMMYFUNCTION("""COMPUTED_VALUE"""),"de")</f>
        <v>de</v>
      </c>
      <c r="K277" t="str">
        <f ca="1">IFERROR(__xludf.DUMMYFUNCTION("""COMPUTED_VALUE"""),"Coazze")</f>
        <v>Coazze</v>
      </c>
      <c r="L277" t="str">
        <f ca="1">IFERROR(__xludf.DUMMYFUNCTION("""COMPUTED_VALUE"""),"de Coazze")</f>
        <v>de Coazze</v>
      </c>
      <c r="S277" t="str">
        <f ca="1">IFERROR(__xludf.DUMMYFUNCTION("""COMPUTED_VALUE"""),"Latin")</f>
        <v>Latin</v>
      </c>
      <c r="T277" t="str">
        <f ca="1">IFERROR(__xludf.DUMMYFUNCTION("""COMPUTED_VALUE"""),"definite")</f>
        <v>definite</v>
      </c>
      <c r="U277" t="str">
        <f ca="1">IFERROR(__xludf.DUMMYFUNCTION("""COMPUTED_VALUE"""),"C2553")</f>
        <v>C2553</v>
      </c>
      <c r="V277" t="str">
        <f ca="1">IFERROR(__xludf.DUMMYFUNCTION("""COMPUTED_VALUE"""),"male")</f>
        <v>male</v>
      </c>
      <c r="Z277" t="str">
        <f ca="1">IFERROR(__xludf.DUMMYFUNCTION("""COMPUTED_VALUE"""),"190")</f>
        <v>190</v>
      </c>
      <c r="AA277" t="str">
        <f ca="1">IFERROR(__xludf.DUMMYFUNCTION("""COMPUTED_VALUE"""),"d")</f>
        <v>d</v>
      </c>
      <c r="AB277" t="str">
        <f ca="1">IFERROR(__xludf.DUMMYFUNCTION("""COMPUTED_VALUE"""),"suspect")</f>
        <v>suspect</v>
      </c>
      <c r="AE277" t="str">
        <f ca="1">IFERROR(__xludf.DUMMYFUNCTION("""COMPUTED_VALUE"""),"#VALUE!")</f>
        <v>#VALUE!</v>
      </c>
      <c r="AF277" t="str">
        <f ca="1">IFERROR(__xludf.DUMMYFUNCTION("""COMPUTED_VALUE"""),"#N/A")</f>
        <v>#N/A</v>
      </c>
      <c r="AG277" t="str">
        <f ca="1">IFERROR(__xludf.DUMMYFUNCTION("""COMPUTED_VALUE"""),"#N/A")</f>
        <v>#N/A</v>
      </c>
      <c r="AI277" t="str">
        <f ca="1">IFERROR(__xludf.DUMMYFUNCTION("""COMPUTED_VALUE"""),"#VALUE!")</f>
        <v>#VALUE!</v>
      </c>
      <c r="AK277" t="str">
        <f ca="1">IFERROR(__xludf.DUMMYFUNCTION("""COMPUTED_VALUE"""),"#VALUE!")</f>
        <v>#VALUE!</v>
      </c>
      <c r="AM277" t="str">
        <f ca="1">IFERROR(__xludf.DUMMYFUNCTION("""COMPUTED_VALUE"""),"#VALUE!")</f>
        <v>#VALUE!</v>
      </c>
      <c r="AO277" t="str">
        <f ca="1">IFERROR(__xludf.DUMMYFUNCTION("""COMPUTED_VALUE"""),"#VALUE!")</f>
        <v>#VALUE!</v>
      </c>
      <c r="AQ277" t="str">
        <f ca="1">IFERROR(__xludf.DUMMYFUNCTION("""COMPUTED_VALUE"""),"#VALUE!")</f>
        <v>#VALUE!</v>
      </c>
      <c r="AS277" t="str">
        <f ca="1">IFERROR(__xludf.DUMMYFUNCTION("""COMPUTED_VALUE"""),"#VALUE!")</f>
        <v>#VALUE!</v>
      </c>
      <c r="AU277" t="str">
        <f ca="1">IFERROR(__xludf.DUMMYFUNCTION("""COMPUTED_VALUE"""),"#VALUE!")</f>
        <v>#VALUE!</v>
      </c>
      <c r="AW277" t="str">
        <f ca="1">IFERROR(__xludf.DUMMYFUNCTION("""COMPUTED_VALUE"""),"#VALUE!")</f>
        <v>#VALUE!</v>
      </c>
      <c r="AY277" t="str">
        <f ca="1">IFERROR(__xludf.DUMMYFUNCTION("""COMPUTED_VALUE"""),"#VALUE!")</f>
        <v>#VALUE!</v>
      </c>
      <c r="BA277" t="str">
        <f ca="1">IFERROR(__xludf.DUMMYFUNCTION("""COMPUTED_VALUE"""),"#VALUE!")</f>
        <v>#VALUE!</v>
      </c>
      <c r="BC277" t="str">
        <f ca="1">IFERROR(__xludf.DUMMYFUNCTION("""COMPUTED_VALUE"""),"#VALUE!")</f>
        <v>#VALUE!</v>
      </c>
      <c r="BE277" t="str">
        <f ca="1">IFERROR(__xludf.DUMMYFUNCTION("""COMPUTED_VALUE"""),"#VALUE!")</f>
        <v>#VALUE!</v>
      </c>
      <c r="BG277" t="str">
        <f ca="1">IFERROR(__xludf.DUMMYFUNCTION("""COMPUTED_VALUE"""),"#VALUE!")</f>
        <v>#VALUE!</v>
      </c>
      <c r="BI277" t="str">
        <f ca="1">IFERROR(__xludf.DUMMYFUNCTION("""COMPUTED_VALUE"""),"#VALUE!")</f>
        <v>#VALUE!</v>
      </c>
      <c r="BK277" t="str">
        <f ca="1">IFERROR(__xludf.DUMMYFUNCTION("""COMPUTED_VALUE"""),"#VALUE!")</f>
        <v>#VALUE!</v>
      </c>
      <c r="BM277" t="str">
        <f ca="1">IFERROR(__xludf.DUMMYFUNCTION("""COMPUTED_VALUE"""),"#VALUE!")</f>
        <v>#VALUE!</v>
      </c>
      <c r="BO277" t="str">
        <f ca="1">IFERROR(__xludf.DUMMYFUNCTION("""COMPUTED_VALUE"""),"#VALUE!")</f>
        <v>#VALUE!</v>
      </c>
      <c r="BQ277" t="str">
        <f ca="1">IFERROR(__xludf.DUMMYFUNCTION("""COMPUTED_VALUE"""),"#VALUE!")</f>
        <v>#VALUE!</v>
      </c>
      <c r="BS277" t="str">
        <f ca="1">IFERROR(__xludf.DUMMYFUNCTION("""COMPUTED_VALUE"""),"#VALUE!")</f>
        <v>#VALUE!</v>
      </c>
      <c r="BU277" t="str">
        <f ca="1">IFERROR(__xludf.DUMMYFUNCTION("""COMPUTED_VALUE"""),"#VALUE!")</f>
        <v>#VALUE!</v>
      </c>
      <c r="BW277" t="str">
        <f ca="1">IFERROR(__xludf.DUMMYFUNCTION("""COMPUTED_VALUE"""),"#VALUE!")</f>
        <v>#VALUE!</v>
      </c>
      <c r="BY277" t="str">
        <f ca="1">IFERROR(__xludf.DUMMYFUNCTION("""COMPUTED_VALUE"""),"#VALUE!")</f>
        <v>#VALUE!</v>
      </c>
      <c r="CA277" t="str">
        <f ca="1">IFERROR(__xludf.DUMMYFUNCTION("""COMPUTED_VALUE"""),"#VALUE!")</f>
        <v>#VALUE!</v>
      </c>
      <c r="CC277" t="str">
        <f ca="1">IFERROR(__xludf.DUMMYFUNCTION("""COMPUTED_VALUE"""),"#VALUE!")</f>
        <v>#VALUE!</v>
      </c>
      <c r="CE277" t="str">
        <f ca="1">IFERROR(__xludf.DUMMYFUNCTION("""COMPUTED_VALUE"""),"#VALUE!")</f>
        <v>#VALUE!</v>
      </c>
      <c r="CG277" t="str">
        <f ca="1">IFERROR(__xludf.DUMMYFUNCTION("""COMPUTED_VALUE"""),"#VALUE!")</f>
        <v>#VALUE!</v>
      </c>
      <c r="CI277" t="str">
        <f ca="1">IFERROR(__xludf.DUMMYFUNCTION("""COMPUTED_VALUE"""),"#VALUE!")</f>
        <v>#VALUE!</v>
      </c>
      <c r="CK277" t="str">
        <f ca="1">IFERROR(__xludf.DUMMYFUNCTION("""COMPUTED_VALUE"""),"#VALUE!")</f>
        <v>#VALUE!</v>
      </c>
      <c r="CS277" t="str">
        <f ca="1">IFERROR(__xludf.DUMMYFUNCTION("""COMPUTED_VALUE"""),"#VALUE!")</f>
        <v>#VALUE!</v>
      </c>
      <c r="CT277" t="str">
        <f ca="1">IFERROR(__xludf.DUMMYFUNCTION("""COMPUTED_VALUE"""),"L0002")</f>
        <v>L0002</v>
      </c>
      <c r="CU277" t="str">
        <f ca="1">IFERROR(__xludf.DUMMYFUNCTION("""COMPUTED_VALUE"""),"Coazze")</f>
        <v>Coazze</v>
      </c>
      <c r="CV277" t="str">
        <f ca="1">IFERROR(__xludf.DUMMYFUNCTION("""COMPUTED_VALUE"""),"L0003")</f>
        <v>L0003</v>
      </c>
      <c r="CW277" t="str">
        <f ca="1">IFERROR(__xludf.DUMMYFUNCTION("""COMPUTED_VALUE"""),"Brandolum")</f>
        <v>Brandolum</v>
      </c>
      <c r="CY277" t="str">
        <f ca="1">IFERROR(__xludf.DUMMYFUNCTION("""COMPUTED_VALUE"""),"#VALUE!")</f>
        <v>#VALUE!</v>
      </c>
      <c r="DC277" t="str">
        <f ca="1">IFERROR(__xludf.DUMMYFUNCTION("""COMPUTED_VALUE"""),"#VALUE!")</f>
        <v>#VALUE!</v>
      </c>
      <c r="DE277" t="str">
        <f ca="1">IFERROR(__xludf.DUMMYFUNCTION("""COMPUTED_VALUE"""),"#VALUE!")</f>
        <v>#VALUE!</v>
      </c>
      <c r="DI277" t="str">
        <f ca="1">IFERROR(__xludf.DUMMYFUNCTION("""COMPUTED_VALUE"""),"#VALUE!")</f>
        <v>#VALUE!</v>
      </c>
      <c r="DJ277" t="str">
        <f ca="1">IFERROR(__xludf.DUMMYFUNCTION("""COMPUTED_VALUE"""),"#VALUE!")</f>
        <v>#VALUE!</v>
      </c>
      <c r="DL277" t="str">
        <f ca="1">IFERROR(__xludf.DUMMYFUNCTION("""COMPUTED_VALUE"""),"Davor Salihović")</f>
        <v>Davor Salihović</v>
      </c>
    </row>
    <row r="278" spans="1:116" ht="13.2" x14ac:dyDescent="0.25">
      <c r="A278" t="str">
        <f ca="1">IFERROR(__xludf.DUMMYFUNCTION("""COMPUTED_VALUE"""),"P0284")</f>
        <v>P0284</v>
      </c>
      <c r="B278" t="str">
        <f ca="1">IFERROR(__xludf.DUMMYFUNCTION("""COMPUTED_VALUE"""),"Petrus Iarsseti")</f>
        <v>Petrus Iarsseti</v>
      </c>
      <c r="D278" t="str">
        <f ca="1">IFERROR(__xludf.DUMMYFUNCTION("""COMPUTED_VALUE"""),"#VALUE!")</f>
        <v>#VALUE!</v>
      </c>
      <c r="E278" t="str">
        <f ca="1">IFERROR(__xludf.DUMMYFUNCTION("""COMPUTED_VALUE"""),"Petrus")</f>
        <v>Petrus</v>
      </c>
      <c r="K278" t="str">
        <f ca="1">IFERROR(__xludf.DUMMYFUNCTION("""COMPUTED_VALUE"""),"Iarsseti")</f>
        <v>Iarsseti</v>
      </c>
      <c r="L278" t="str">
        <f ca="1">IFERROR(__xludf.DUMMYFUNCTION("""COMPUTED_VALUE"""),"Iarsseti")</f>
        <v>Iarsseti</v>
      </c>
      <c r="S278" t="str">
        <f ca="1">IFERROR(__xludf.DUMMYFUNCTION("""COMPUTED_VALUE"""),"Latin")</f>
        <v>Latin</v>
      </c>
      <c r="T278" t="str">
        <f ca="1">IFERROR(__xludf.DUMMYFUNCTION("""COMPUTED_VALUE"""),"definite")</f>
        <v>definite</v>
      </c>
      <c r="U278" t="str">
        <f ca="1">IFERROR(__xludf.DUMMYFUNCTION("""COMPUTED_VALUE"""),"C2553")</f>
        <v>C2553</v>
      </c>
      <c r="V278" t="str">
        <f ca="1">IFERROR(__xludf.DUMMYFUNCTION("""COMPUTED_VALUE"""),"male")</f>
        <v>male</v>
      </c>
      <c r="Z278" t="str">
        <f ca="1">IFERROR(__xludf.DUMMYFUNCTION("""COMPUTED_VALUE"""),"191")</f>
        <v>191</v>
      </c>
      <c r="AA278" t="str">
        <f ca="1">IFERROR(__xludf.DUMMYFUNCTION("""COMPUTED_VALUE"""),"d")</f>
        <v>d</v>
      </c>
      <c r="AB278" t="str">
        <f ca="1">IFERROR(__xludf.DUMMYFUNCTION("""COMPUTED_VALUE"""),"NA")</f>
        <v>NA</v>
      </c>
      <c r="AD278" t="str">
        <f ca="1">IFERROR(__xludf.DUMMYFUNCTION("""COMPUTED_VALUE"""),"C3287")</f>
        <v>C3287</v>
      </c>
      <c r="AE278" t="str">
        <f ca="1">IFERROR(__xludf.DUMMYFUNCTION("""COMPUTED_VALUE"""),"alive")</f>
        <v>alive</v>
      </c>
      <c r="AF278" t="str">
        <f ca="1">IFERROR(__xludf.DUMMYFUNCTION("""COMPUTED_VALUE"""),"C1753")</f>
        <v>C1753</v>
      </c>
      <c r="AG278" t="str">
        <f ca="1">IFERROR(__xludf.DUMMYFUNCTION("""COMPUTED_VALUE"""),"1335-01-20")</f>
        <v>1335-01-20</v>
      </c>
      <c r="AI278" t="str">
        <f ca="1">IFERROR(__xludf.DUMMYFUNCTION("""COMPUTED_VALUE"""),"#VALUE!")</f>
        <v>#VALUE!</v>
      </c>
      <c r="AK278" t="str">
        <f ca="1">IFERROR(__xludf.DUMMYFUNCTION("""COMPUTED_VALUE"""),"#VALUE!")</f>
        <v>#VALUE!</v>
      </c>
      <c r="AM278" t="str">
        <f ca="1">IFERROR(__xludf.DUMMYFUNCTION("""COMPUTED_VALUE"""),"#VALUE!")</f>
        <v>#VALUE!</v>
      </c>
      <c r="AO278" t="str">
        <f ca="1">IFERROR(__xludf.DUMMYFUNCTION("""COMPUTED_VALUE"""),"#VALUE!")</f>
        <v>#VALUE!</v>
      </c>
      <c r="AQ278" t="str">
        <f ca="1">IFERROR(__xludf.DUMMYFUNCTION("""COMPUTED_VALUE"""),"#VALUE!")</f>
        <v>#VALUE!</v>
      </c>
      <c r="AS278" t="str">
        <f ca="1">IFERROR(__xludf.DUMMYFUNCTION("""COMPUTED_VALUE"""),"#VALUE!")</f>
        <v>#VALUE!</v>
      </c>
      <c r="AU278" t="str">
        <f ca="1">IFERROR(__xludf.DUMMYFUNCTION("""COMPUTED_VALUE"""),"#VALUE!")</f>
        <v>#VALUE!</v>
      </c>
      <c r="AW278" t="str">
        <f ca="1">IFERROR(__xludf.DUMMYFUNCTION("""COMPUTED_VALUE"""),"#VALUE!")</f>
        <v>#VALUE!</v>
      </c>
      <c r="AY278" t="str">
        <f ca="1">IFERROR(__xludf.DUMMYFUNCTION("""COMPUTED_VALUE"""),"#VALUE!")</f>
        <v>#VALUE!</v>
      </c>
      <c r="BA278" t="str">
        <f ca="1">IFERROR(__xludf.DUMMYFUNCTION("""COMPUTED_VALUE"""),"#VALUE!")</f>
        <v>#VALUE!</v>
      </c>
      <c r="BC278" t="str">
        <f ca="1">IFERROR(__xludf.DUMMYFUNCTION("""COMPUTED_VALUE"""),"#VALUE!")</f>
        <v>#VALUE!</v>
      </c>
      <c r="BE278" t="str">
        <f ca="1">IFERROR(__xludf.DUMMYFUNCTION("""COMPUTED_VALUE"""),"#VALUE!")</f>
        <v>#VALUE!</v>
      </c>
      <c r="BG278" t="str">
        <f ca="1">IFERROR(__xludf.DUMMYFUNCTION("""COMPUTED_VALUE"""),"#VALUE!")</f>
        <v>#VALUE!</v>
      </c>
      <c r="BI278" t="str">
        <f ca="1">IFERROR(__xludf.DUMMYFUNCTION("""COMPUTED_VALUE"""),"#VALUE!")</f>
        <v>#VALUE!</v>
      </c>
      <c r="BK278" t="str">
        <f ca="1">IFERROR(__xludf.DUMMYFUNCTION("""COMPUTED_VALUE"""),"#VALUE!")</f>
        <v>#VALUE!</v>
      </c>
      <c r="BM278" t="str">
        <f ca="1">IFERROR(__xludf.DUMMYFUNCTION("""COMPUTED_VALUE"""),"#VALUE!")</f>
        <v>#VALUE!</v>
      </c>
      <c r="BO278" t="str">
        <f ca="1">IFERROR(__xludf.DUMMYFUNCTION("""COMPUTED_VALUE"""),"#VALUE!")</f>
        <v>#VALUE!</v>
      </c>
      <c r="BQ278" t="str">
        <f ca="1">IFERROR(__xludf.DUMMYFUNCTION("""COMPUTED_VALUE"""),"#VALUE!")</f>
        <v>#VALUE!</v>
      </c>
      <c r="BS278" t="str">
        <f ca="1">IFERROR(__xludf.DUMMYFUNCTION("""COMPUTED_VALUE"""),"#VALUE!")</f>
        <v>#VALUE!</v>
      </c>
      <c r="BU278" t="str">
        <f ca="1">IFERROR(__xludf.DUMMYFUNCTION("""COMPUTED_VALUE"""),"#VALUE!")</f>
        <v>#VALUE!</v>
      </c>
      <c r="BW278" t="str">
        <f ca="1">IFERROR(__xludf.DUMMYFUNCTION("""COMPUTED_VALUE"""),"#VALUE!")</f>
        <v>#VALUE!</v>
      </c>
      <c r="BY278" t="str">
        <f ca="1">IFERROR(__xludf.DUMMYFUNCTION("""COMPUTED_VALUE"""),"#VALUE!")</f>
        <v>#VALUE!</v>
      </c>
      <c r="CA278" t="str">
        <f ca="1">IFERROR(__xludf.DUMMYFUNCTION("""COMPUTED_VALUE"""),"#VALUE!")</f>
        <v>#VALUE!</v>
      </c>
      <c r="CC278" t="str">
        <f ca="1">IFERROR(__xludf.DUMMYFUNCTION("""COMPUTED_VALUE"""),"#VALUE!")</f>
        <v>#VALUE!</v>
      </c>
      <c r="CE278" t="str">
        <f ca="1">IFERROR(__xludf.DUMMYFUNCTION("""COMPUTED_VALUE"""),"#VALUE!")</f>
        <v>#VALUE!</v>
      </c>
      <c r="CG278" t="str">
        <f ca="1">IFERROR(__xludf.DUMMYFUNCTION("""COMPUTED_VALUE"""),"#VALUE!")</f>
        <v>#VALUE!</v>
      </c>
      <c r="CI278" t="str">
        <f ca="1">IFERROR(__xludf.DUMMYFUNCTION("""COMPUTED_VALUE"""),"#VALUE!")</f>
        <v>#VALUE!</v>
      </c>
      <c r="CK278" t="str">
        <f ca="1">IFERROR(__xludf.DUMMYFUNCTION("""COMPUTED_VALUE"""),"#VALUE!")</f>
        <v>#VALUE!</v>
      </c>
      <c r="CS278" t="str">
        <f ca="1">IFERROR(__xludf.DUMMYFUNCTION("""COMPUTED_VALUE"""),"#VALUE!")</f>
        <v>#VALUE!</v>
      </c>
      <c r="CU278" t="str">
        <f ca="1">IFERROR(__xludf.DUMMYFUNCTION("""COMPUTED_VALUE"""),"#VALUE!")</f>
        <v>#VALUE!</v>
      </c>
      <c r="CW278" t="str">
        <f ca="1">IFERROR(__xludf.DUMMYFUNCTION("""COMPUTED_VALUE"""),"#VALUE!")</f>
        <v>#VALUE!</v>
      </c>
      <c r="CY278" t="str">
        <f ca="1">IFERROR(__xludf.DUMMYFUNCTION("""COMPUTED_VALUE"""),"#VALUE!")</f>
        <v>#VALUE!</v>
      </c>
      <c r="DC278" t="str">
        <f ca="1">IFERROR(__xludf.DUMMYFUNCTION("""COMPUTED_VALUE"""),"#VALUE!")</f>
        <v>#VALUE!</v>
      </c>
      <c r="DE278" t="str">
        <f ca="1">IFERROR(__xludf.DUMMYFUNCTION("""COMPUTED_VALUE"""),"#VALUE!")</f>
        <v>#VALUE!</v>
      </c>
      <c r="DI278" t="str">
        <f ca="1">IFERROR(__xludf.DUMMYFUNCTION("""COMPUTED_VALUE"""),"#VALUE!")</f>
        <v>#VALUE!</v>
      </c>
      <c r="DJ278" t="str">
        <f ca="1">IFERROR(__xludf.DUMMYFUNCTION("""COMPUTED_VALUE"""),"#VALUE!")</f>
        <v>#VALUE!</v>
      </c>
      <c r="DL278" t="str">
        <f ca="1">IFERROR(__xludf.DUMMYFUNCTION("""COMPUTED_VALUE"""),"Davor Salihović")</f>
        <v>Davor Salihović</v>
      </c>
    </row>
    <row r="279" spans="1:116" ht="13.2" x14ac:dyDescent="0.25">
      <c r="A279" t="str">
        <f ca="1">IFERROR(__xludf.DUMMYFUNCTION("""COMPUTED_VALUE"""),"P0285")</f>
        <v>P0285</v>
      </c>
      <c r="B279" t="str">
        <f ca="1">IFERROR(__xludf.DUMMYFUNCTION("""COMPUTED_VALUE"""),"Mursa, uxor Humberti Baroni")</f>
        <v>Mursa, uxor Humberti Baroni</v>
      </c>
      <c r="D279" t="str">
        <f ca="1">IFERROR(__xludf.DUMMYFUNCTION("""COMPUTED_VALUE"""),"#VALUE!")</f>
        <v>#VALUE!</v>
      </c>
      <c r="E279" t="str">
        <f ca="1">IFERROR(__xludf.DUMMYFUNCTION("""COMPUTED_VALUE"""),"Mursa")</f>
        <v>Mursa</v>
      </c>
      <c r="Q279" t="str">
        <f ca="1">IFERROR(__xludf.DUMMYFUNCTION("""COMPUTED_VALUE"""),"uxor condam Humberti Baroni")</f>
        <v>uxor condam Humberti Baroni</v>
      </c>
      <c r="S279" t="str">
        <f ca="1">IFERROR(__xludf.DUMMYFUNCTION("""COMPUTED_VALUE"""),"Latin")</f>
        <v>Latin</v>
      </c>
      <c r="T279" t="str">
        <f ca="1">IFERROR(__xludf.DUMMYFUNCTION("""COMPUTED_VALUE"""),"definite")</f>
        <v>definite</v>
      </c>
      <c r="U279" t="str">
        <f ca="1">IFERROR(__xludf.DUMMYFUNCTION("""COMPUTED_VALUE"""),"C2552")</f>
        <v>C2552</v>
      </c>
      <c r="V279" t="str">
        <f ca="1">IFERROR(__xludf.DUMMYFUNCTION("""COMPUTED_VALUE"""),"female")</f>
        <v>female</v>
      </c>
      <c r="Z279" t="str">
        <f ca="1">IFERROR(__xludf.DUMMYFUNCTION("""COMPUTED_VALUE"""),"191")</f>
        <v>191</v>
      </c>
      <c r="AA279" t="str">
        <f ca="1">IFERROR(__xludf.DUMMYFUNCTION("""COMPUTED_VALUE"""),"d")</f>
        <v>d</v>
      </c>
      <c r="AB279" t="str">
        <f ca="1">IFERROR(__xludf.DUMMYFUNCTION("""COMPUTED_VALUE"""),"suspect")</f>
        <v>suspect</v>
      </c>
      <c r="AE279" t="str">
        <f ca="1">IFERROR(__xludf.DUMMYFUNCTION("""COMPUTED_VALUE"""),"#VALUE!")</f>
        <v>#VALUE!</v>
      </c>
      <c r="AF279" t="str">
        <f ca="1">IFERROR(__xludf.DUMMYFUNCTION("""COMPUTED_VALUE"""),"#N/A")</f>
        <v>#N/A</v>
      </c>
      <c r="AG279" t="str">
        <f ca="1">IFERROR(__xludf.DUMMYFUNCTION("""COMPUTED_VALUE"""),"#N/A")</f>
        <v>#N/A</v>
      </c>
      <c r="AI279" t="str">
        <f ca="1">IFERROR(__xludf.DUMMYFUNCTION("""COMPUTED_VALUE"""),"#VALUE!")</f>
        <v>#VALUE!</v>
      </c>
      <c r="AK279" t="str">
        <f ca="1">IFERROR(__xludf.DUMMYFUNCTION("""COMPUTED_VALUE"""),"#VALUE!")</f>
        <v>#VALUE!</v>
      </c>
      <c r="AM279" t="str">
        <f ca="1">IFERROR(__xludf.DUMMYFUNCTION("""COMPUTED_VALUE"""),"#VALUE!")</f>
        <v>#VALUE!</v>
      </c>
      <c r="AO279" t="str">
        <f ca="1">IFERROR(__xludf.DUMMYFUNCTION("""COMPUTED_VALUE"""),"#VALUE!")</f>
        <v>#VALUE!</v>
      </c>
      <c r="AQ279" t="str">
        <f ca="1">IFERROR(__xludf.DUMMYFUNCTION("""COMPUTED_VALUE"""),"#VALUE!")</f>
        <v>#VALUE!</v>
      </c>
      <c r="AS279" t="str">
        <f ca="1">IFERROR(__xludf.DUMMYFUNCTION("""COMPUTED_VALUE"""),"#VALUE!")</f>
        <v>#VALUE!</v>
      </c>
      <c r="AU279" t="str">
        <f ca="1">IFERROR(__xludf.DUMMYFUNCTION("""COMPUTED_VALUE"""),"#VALUE!")</f>
        <v>#VALUE!</v>
      </c>
      <c r="AW279" t="str">
        <f ca="1">IFERROR(__xludf.DUMMYFUNCTION("""COMPUTED_VALUE"""),"#VALUE!")</f>
        <v>#VALUE!</v>
      </c>
      <c r="AY279" t="str">
        <f ca="1">IFERROR(__xludf.DUMMYFUNCTION("""COMPUTED_VALUE"""),"#VALUE!")</f>
        <v>#VALUE!</v>
      </c>
      <c r="BA279" t="str">
        <f ca="1">IFERROR(__xludf.DUMMYFUNCTION("""COMPUTED_VALUE"""),"#VALUE!")</f>
        <v>#VALUE!</v>
      </c>
      <c r="BC279" t="str">
        <f ca="1">IFERROR(__xludf.DUMMYFUNCTION("""COMPUTED_VALUE"""),"#VALUE!")</f>
        <v>#VALUE!</v>
      </c>
      <c r="BE279" t="str">
        <f ca="1">IFERROR(__xludf.DUMMYFUNCTION("""COMPUTED_VALUE"""),"#VALUE!")</f>
        <v>#VALUE!</v>
      </c>
      <c r="BG279" t="str">
        <f ca="1">IFERROR(__xludf.DUMMYFUNCTION("""COMPUTED_VALUE"""),"#VALUE!")</f>
        <v>#VALUE!</v>
      </c>
      <c r="BI279" t="str">
        <f ca="1">IFERROR(__xludf.DUMMYFUNCTION("""COMPUTED_VALUE"""),"#VALUE!")</f>
        <v>#VALUE!</v>
      </c>
      <c r="BK279" t="str">
        <f ca="1">IFERROR(__xludf.DUMMYFUNCTION("""COMPUTED_VALUE"""),"#VALUE!")</f>
        <v>#VALUE!</v>
      </c>
      <c r="BM279" t="str">
        <f ca="1">IFERROR(__xludf.DUMMYFUNCTION("""COMPUTED_VALUE"""),"#VALUE!")</f>
        <v>#VALUE!</v>
      </c>
      <c r="BO279" t="str">
        <f ca="1">IFERROR(__xludf.DUMMYFUNCTION("""COMPUTED_VALUE"""),"#VALUE!")</f>
        <v>#VALUE!</v>
      </c>
      <c r="BQ279" t="str">
        <f ca="1">IFERROR(__xludf.DUMMYFUNCTION("""COMPUTED_VALUE"""),"#VALUE!")</f>
        <v>#VALUE!</v>
      </c>
      <c r="BS279" t="str">
        <f ca="1">IFERROR(__xludf.DUMMYFUNCTION("""COMPUTED_VALUE"""),"#VALUE!")</f>
        <v>#VALUE!</v>
      </c>
      <c r="BU279" t="str">
        <f ca="1">IFERROR(__xludf.DUMMYFUNCTION("""COMPUTED_VALUE"""),"#VALUE!")</f>
        <v>#VALUE!</v>
      </c>
      <c r="BW279" t="str">
        <f ca="1">IFERROR(__xludf.DUMMYFUNCTION("""COMPUTED_VALUE"""),"#VALUE!")</f>
        <v>#VALUE!</v>
      </c>
      <c r="BY279" t="str">
        <f ca="1">IFERROR(__xludf.DUMMYFUNCTION("""COMPUTED_VALUE"""),"#VALUE!")</f>
        <v>#VALUE!</v>
      </c>
      <c r="CA279" t="str">
        <f ca="1">IFERROR(__xludf.DUMMYFUNCTION("""COMPUTED_VALUE"""),"#VALUE!")</f>
        <v>#VALUE!</v>
      </c>
      <c r="CC279" t="str">
        <f ca="1">IFERROR(__xludf.DUMMYFUNCTION("""COMPUTED_VALUE"""),"#VALUE!")</f>
        <v>#VALUE!</v>
      </c>
      <c r="CD279" t="str">
        <f ca="1">IFERROR(__xludf.DUMMYFUNCTION("""COMPUTED_VALUE"""),"C3598")</f>
        <v>C3598</v>
      </c>
      <c r="CE279" t="str">
        <f ca="1">IFERROR(__xludf.DUMMYFUNCTION("""COMPUTED_VALUE"""),"location of congregation")</f>
        <v>location of congregation</v>
      </c>
      <c r="CF279" t="str">
        <f ca="1">IFERROR(__xludf.DUMMYFUNCTION("""COMPUTED_VALUE"""),"L0092")</f>
        <v>L0092</v>
      </c>
      <c r="CG279" t="str">
        <f ca="1">IFERROR(__xludf.DUMMYFUNCTION("""COMPUTED_VALUE"""),"domus Humberti Baroni de Coazze")</f>
        <v>domus Humberti Baroni de Coazze</v>
      </c>
      <c r="CI279" t="str">
        <f ca="1">IFERROR(__xludf.DUMMYFUNCTION("""COMPUTED_VALUE"""),"#VALUE!")</f>
        <v>#VALUE!</v>
      </c>
      <c r="CK279" t="str">
        <f ca="1">IFERROR(__xludf.DUMMYFUNCTION("""COMPUTED_VALUE"""),"#VALUE!")</f>
        <v>#VALUE!</v>
      </c>
      <c r="CS279" t="str">
        <f ca="1">IFERROR(__xludf.DUMMYFUNCTION("""COMPUTED_VALUE"""),"#VALUE!")</f>
        <v>#VALUE!</v>
      </c>
      <c r="CU279" t="str">
        <f ca="1">IFERROR(__xludf.DUMMYFUNCTION("""COMPUTED_VALUE"""),"#VALUE!")</f>
        <v>#VALUE!</v>
      </c>
      <c r="CW279" t="str">
        <f ca="1">IFERROR(__xludf.DUMMYFUNCTION("""COMPUTED_VALUE"""),"#VALUE!")</f>
        <v>#VALUE!</v>
      </c>
      <c r="CY279" t="str">
        <f ca="1">IFERROR(__xludf.DUMMYFUNCTION("""COMPUTED_VALUE"""),"#VALUE!")</f>
        <v>#VALUE!</v>
      </c>
      <c r="DC279" t="str">
        <f ca="1">IFERROR(__xludf.DUMMYFUNCTION("""COMPUTED_VALUE"""),"#VALUE!")</f>
        <v>#VALUE!</v>
      </c>
      <c r="DE279" t="str">
        <f ca="1">IFERROR(__xludf.DUMMYFUNCTION("""COMPUTED_VALUE"""),"#VALUE!")</f>
        <v>#VALUE!</v>
      </c>
      <c r="DH279" t="str">
        <f ca="1">IFERROR(__xludf.DUMMYFUNCTION("""COMPUTED_VALUE"""),"L0092")</f>
        <v>L0092</v>
      </c>
      <c r="DI279" t="str">
        <f ca="1">IFERROR(__xludf.DUMMYFUNCTION("""COMPUTED_VALUE"""),"domus Humberti Baroni de Coazze")</f>
        <v>domus Humberti Baroni de Coazze</v>
      </c>
      <c r="DJ279" t="str">
        <f ca="1">IFERROR(__xludf.DUMMYFUNCTION("""COMPUTED_VALUE"""),"domus")</f>
        <v>domus</v>
      </c>
      <c r="DL279" t="str">
        <f ca="1">IFERROR(__xludf.DUMMYFUNCTION("""COMPUTED_VALUE"""),"Davor Salihović")</f>
        <v>Davor Salihović</v>
      </c>
    </row>
    <row r="280" spans="1:116" ht="13.2" x14ac:dyDescent="0.25">
      <c r="A280" t="str">
        <f ca="1">IFERROR(__xludf.DUMMYFUNCTION("""COMPUTED_VALUE"""),"P0286")</f>
        <v>P0286</v>
      </c>
      <c r="B280" t="str">
        <f ca="1">IFERROR(__xludf.DUMMYFUNCTION("""COMPUTED_VALUE"""),"Humbertus Baronus")</f>
        <v>Humbertus Baronus</v>
      </c>
      <c r="D280" t="str">
        <f ca="1">IFERROR(__xludf.DUMMYFUNCTION("""COMPUTED_VALUE"""),"#VALUE!")</f>
        <v>#VALUE!</v>
      </c>
      <c r="E280" t="str">
        <f ca="1">IFERROR(__xludf.DUMMYFUNCTION("""COMPUTED_VALUE"""),"Humbertus")</f>
        <v>Humbertus</v>
      </c>
      <c r="K280" t="str">
        <f ca="1">IFERROR(__xludf.DUMMYFUNCTION("""COMPUTED_VALUE"""),"Baronus")</f>
        <v>Baronus</v>
      </c>
      <c r="L280" t="str">
        <f ca="1">IFERROR(__xludf.DUMMYFUNCTION("""COMPUTED_VALUE"""),"Baronus")</f>
        <v>Baronus</v>
      </c>
      <c r="S280" t="str">
        <f ca="1">IFERROR(__xludf.DUMMYFUNCTION("""COMPUTED_VALUE"""),"Latin")</f>
        <v>Latin</v>
      </c>
      <c r="T280" t="str">
        <f ca="1">IFERROR(__xludf.DUMMYFUNCTION("""COMPUTED_VALUE"""),"definite")</f>
        <v>definite</v>
      </c>
      <c r="U280" t="str">
        <f ca="1">IFERROR(__xludf.DUMMYFUNCTION("""COMPUTED_VALUE"""),"C2553")</f>
        <v>C2553</v>
      </c>
      <c r="V280" t="str">
        <f ca="1">IFERROR(__xludf.DUMMYFUNCTION("""COMPUTED_VALUE"""),"male")</f>
        <v>male</v>
      </c>
      <c r="Z280" t="str">
        <f ca="1">IFERROR(__xludf.DUMMYFUNCTION("""COMPUTED_VALUE"""),"191")</f>
        <v>191</v>
      </c>
      <c r="AA280" t="str">
        <f ca="1">IFERROR(__xludf.DUMMYFUNCTION("""COMPUTED_VALUE"""),"d")</f>
        <v>d</v>
      </c>
      <c r="AB280" t="str">
        <f ca="1">IFERROR(__xludf.DUMMYFUNCTION("""COMPUTED_VALUE"""),"NA")</f>
        <v>NA</v>
      </c>
      <c r="AD280" t="str">
        <f ca="1">IFERROR(__xludf.DUMMYFUNCTION("""COMPUTED_VALUE"""),"C3288")</f>
        <v>C3288</v>
      </c>
      <c r="AE280" t="str">
        <f ca="1">IFERROR(__xludf.DUMMYFUNCTION("""COMPUTED_VALUE"""),"dead")</f>
        <v>dead</v>
      </c>
      <c r="AF280" t="str">
        <f ca="1">IFERROR(__xludf.DUMMYFUNCTION("""COMPUTED_VALUE"""),"C1749")</f>
        <v>C1749</v>
      </c>
      <c r="AG280" t="str">
        <f ca="1">IFERROR(__xludf.DUMMYFUNCTION("""COMPUTED_VALUE"""),"1335-01-20")</f>
        <v>1335-01-20</v>
      </c>
      <c r="AH280" t="str">
        <f ca="1">IFERROR(__xludf.DUMMYFUNCTION("""COMPUTED_VALUE"""),"C2348")</f>
        <v>C2348</v>
      </c>
      <c r="AI280" t="str">
        <f ca="1">IFERROR(__xludf.DUMMYFUNCTION("""COMPUTED_VALUE"""),"wife")</f>
        <v>wife</v>
      </c>
      <c r="AJ280" t="str">
        <f ca="1">IFERROR(__xludf.DUMMYFUNCTION("""COMPUTED_VALUE"""),"P0285")</f>
        <v>P0285</v>
      </c>
      <c r="AK280" t="str">
        <f ca="1">IFERROR(__xludf.DUMMYFUNCTION("""COMPUTED_VALUE"""),"Mursa, uxor Humberti Baroni")</f>
        <v>Mursa, uxor Humberti Baroni</v>
      </c>
      <c r="AM280" t="str">
        <f ca="1">IFERROR(__xludf.DUMMYFUNCTION("""COMPUTED_VALUE"""),"#VALUE!")</f>
        <v>#VALUE!</v>
      </c>
      <c r="AO280" t="str">
        <f ca="1">IFERROR(__xludf.DUMMYFUNCTION("""COMPUTED_VALUE"""),"#VALUE!")</f>
        <v>#VALUE!</v>
      </c>
      <c r="AQ280" t="str">
        <f ca="1">IFERROR(__xludf.DUMMYFUNCTION("""COMPUTED_VALUE"""),"#VALUE!")</f>
        <v>#VALUE!</v>
      </c>
      <c r="AS280" t="str">
        <f ca="1">IFERROR(__xludf.DUMMYFUNCTION("""COMPUTED_VALUE"""),"#VALUE!")</f>
        <v>#VALUE!</v>
      </c>
      <c r="AU280" t="str">
        <f ca="1">IFERROR(__xludf.DUMMYFUNCTION("""COMPUTED_VALUE"""),"#VALUE!")</f>
        <v>#VALUE!</v>
      </c>
      <c r="AW280" t="str">
        <f ca="1">IFERROR(__xludf.DUMMYFUNCTION("""COMPUTED_VALUE"""),"#VALUE!")</f>
        <v>#VALUE!</v>
      </c>
      <c r="AY280" t="str">
        <f ca="1">IFERROR(__xludf.DUMMYFUNCTION("""COMPUTED_VALUE"""),"#VALUE!")</f>
        <v>#VALUE!</v>
      </c>
      <c r="BA280" t="str">
        <f ca="1">IFERROR(__xludf.DUMMYFUNCTION("""COMPUTED_VALUE"""),"#VALUE!")</f>
        <v>#VALUE!</v>
      </c>
      <c r="BC280" t="str">
        <f ca="1">IFERROR(__xludf.DUMMYFUNCTION("""COMPUTED_VALUE"""),"#VALUE!")</f>
        <v>#VALUE!</v>
      </c>
      <c r="BE280" t="str">
        <f ca="1">IFERROR(__xludf.DUMMYFUNCTION("""COMPUTED_VALUE"""),"#VALUE!")</f>
        <v>#VALUE!</v>
      </c>
      <c r="BG280" t="str">
        <f ca="1">IFERROR(__xludf.DUMMYFUNCTION("""COMPUTED_VALUE"""),"#VALUE!")</f>
        <v>#VALUE!</v>
      </c>
      <c r="BI280" t="str">
        <f ca="1">IFERROR(__xludf.DUMMYFUNCTION("""COMPUTED_VALUE"""),"#VALUE!")</f>
        <v>#VALUE!</v>
      </c>
      <c r="BK280" t="str">
        <f ca="1">IFERROR(__xludf.DUMMYFUNCTION("""COMPUTED_VALUE"""),"#VALUE!")</f>
        <v>#VALUE!</v>
      </c>
      <c r="BM280" t="str">
        <f ca="1">IFERROR(__xludf.DUMMYFUNCTION("""COMPUTED_VALUE"""),"#VALUE!")</f>
        <v>#VALUE!</v>
      </c>
      <c r="BO280" t="str">
        <f ca="1">IFERROR(__xludf.DUMMYFUNCTION("""COMPUTED_VALUE"""),"#VALUE!")</f>
        <v>#VALUE!</v>
      </c>
      <c r="BQ280" t="str">
        <f ca="1">IFERROR(__xludf.DUMMYFUNCTION("""COMPUTED_VALUE"""),"#VALUE!")</f>
        <v>#VALUE!</v>
      </c>
      <c r="BS280" t="str">
        <f ca="1">IFERROR(__xludf.DUMMYFUNCTION("""COMPUTED_VALUE"""),"#VALUE!")</f>
        <v>#VALUE!</v>
      </c>
      <c r="BU280" t="str">
        <f ca="1">IFERROR(__xludf.DUMMYFUNCTION("""COMPUTED_VALUE"""),"#VALUE!")</f>
        <v>#VALUE!</v>
      </c>
      <c r="BW280" t="str">
        <f ca="1">IFERROR(__xludf.DUMMYFUNCTION("""COMPUTED_VALUE"""),"#VALUE!")</f>
        <v>#VALUE!</v>
      </c>
      <c r="BY280" t="str">
        <f ca="1">IFERROR(__xludf.DUMMYFUNCTION("""COMPUTED_VALUE"""),"#VALUE!")</f>
        <v>#VALUE!</v>
      </c>
      <c r="CA280" t="str">
        <f ca="1">IFERROR(__xludf.DUMMYFUNCTION("""COMPUTED_VALUE"""),"#VALUE!")</f>
        <v>#VALUE!</v>
      </c>
      <c r="CC280" t="str">
        <f ca="1">IFERROR(__xludf.DUMMYFUNCTION("""COMPUTED_VALUE"""),"#VALUE!")</f>
        <v>#VALUE!</v>
      </c>
      <c r="CE280" t="str">
        <f ca="1">IFERROR(__xludf.DUMMYFUNCTION("""COMPUTED_VALUE"""),"#VALUE!")</f>
        <v>#VALUE!</v>
      </c>
      <c r="CG280" t="str">
        <f ca="1">IFERROR(__xludf.DUMMYFUNCTION("""COMPUTED_VALUE"""),"#VALUE!")</f>
        <v>#VALUE!</v>
      </c>
      <c r="CI280" t="str">
        <f ca="1">IFERROR(__xludf.DUMMYFUNCTION("""COMPUTED_VALUE"""),"#VALUE!")</f>
        <v>#VALUE!</v>
      </c>
      <c r="CK280" t="str">
        <f ca="1">IFERROR(__xludf.DUMMYFUNCTION("""COMPUTED_VALUE"""),"#VALUE!")</f>
        <v>#VALUE!</v>
      </c>
      <c r="CR280" t="str">
        <f ca="1">IFERROR(__xludf.DUMMYFUNCTION("""COMPUTED_VALUE"""),"L0002")</f>
        <v>L0002</v>
      </c>
      <c r="CS280" t="str">
        <f ca="1">IFERROR(__xludf.DUMMYFUNCTION("""COMPUTED_VALUE"""),"Coazze")</f>
        <v>Coazze</v>
      </c>
      <c r="CU280" t="str">
        <f ca="1">IFERROR(__xludf.DUMMYFUNCTION("""COMPUTED_VALUE"""),"#VALUE!")</f>
        <v>#VALUE!</v>
      </c>
      <c r="CW280" t="str">
        <f ca="1">IFERROR(__xludf.DUMMYFUNCTION("""COMPUTED_VALUE"""),"#VALUE!")</f>
        <v>#VALUE!</v>
      </c>
      <c r="CY280" t="str">
        <f ca="1">IFERROR(__xludf.DUMMYFUNCTION("""COMPUTED_VALUE"""),"#VALUE!")</f>
        <v>#VALUE!</v>
      </c>
      <c r="DC280" t="str">
        <f ca="1">IFERROR(__xludf.DUMMYFUNCTION("""COMPUTED_VALUE"""),"#VALUE!")</f>
        <v>#VALUE!</v>
      </c>
      <c r="DE280" t="str">
        <f ca="1">IFERROR(__xludf.DUMMYFUNCTION("""COMPUTED_VALUE"""),"#VALUE!")</f>
        <v>#VALUE!</v>
      </c>
      <c r="DI280" t="str">
        <f ca="1">IFERROR(__xludf.DUMMYFUNCTION("""COMPUTED_VALUE"""),"#VALUE!")</f>
        <v>#VALUE!</v>
      </c>
      <c r="DJ280" t="str">
        <f ca="1">IFERROR(__xludf.DUMMYFUNCTION("""COMPUTED_VALUE"""),"#VALUE!")</f>
        <v>#VALUE!</v>
      </c>
      <c r="DL280" t="str">
        <f ca="1">IFERROR(__xludf.DUMMYFUNCTION("""COMPUTED_VALUE"""),"Davor Salihović")</f>
        <v>Davor Salihović</v>
      </c>
    </row>
    <row r="281" spans="1:116" ht="13.2" x14ac:dyDescent="0.25">
      <c r="A281" t="str">
        <f ca="1">IFERROR(__xludf.DUMMYFUNCTION("""COMPUTED_VALUE"""),"P0287")</f>
        <v>P0287</v>
      </c>
      <c r="B281" t="str">
        <f ca="1">IFERROR(__xludf.DUMMYFUNCTION("""COMPUTED_VALUE"""),"Petrus, frater Iohannis de Facio Ferrandi")</f>
        <v>Petrus, frater Iohannis de Facio Ferrandi</v>
      </c>
      <c r="D281" t="str">
        <f ca="1">IFERROR(__xludf.DUMMYFUNCTION("""COMPUTED_VALUE"""),"#VALUE!")</f>
        <v>#VALUE!</v>
      </c>
      <c r="E281" t="str">
        <f ca="1">IFERROR(__xludf.DUMMYFUNCTION("""COMPUTED_VALUE"""),"Petrus")</f>
        <v>Petrus</v>
      </c>
      <c r="Q281" t="str">
        <f ca="1">IFERROR(__xludf.DUMMYFUNCTION("""COMPUTED_VALUE"""),"frater Iohannis de Facio Ferrandi")</f>
        <v>frater Iohannis de Facio Ferrandi</v>
      </c>
      <c r="S281" t="str">
        <f ca="1">IFERROR(__xludf.DUMMYFUNCTION("""COMPUTED_VALUE"""),"Latin")</f>
        <v>Latin</v>
      </c>
      <c r="T281" t="str">
        <f ca="1">IFERROR(__xludf.DUMMYFUNCTION("""COMPUTED_VALUE"""),"definite")</f>
        <v>definite</v>
      </c>
      <c r="U281" t="str">
        <f ca="1">IFERROR(__xludf.DUMMYFUNCTION("""COMPUTED_VALUE"""),"C2553")</f>
        <v>C2553</v>
      </c>
      <c r="V281" t="str">
        <f ca="1">IFERROR(__xludf.DUMMYFUNCTION("""COMPUTED_VALUE"""),"male")</f>
        <v>male</v>
      </c>
      <c r="Z281" t="str">
        <f ca="1">IFERROR(__xludf.DUMMYFUNCTION("""COMPUTED_VALUE"""),"191, 209, 235")</f>
        <v>191, 209, 235</v>
      </c>
      <c r="AA281" t="str">
        <f ca="1">IFERROR(__xludf.DUMMYFUNCTION("""COMPUTED_VALUE"""),"d")</f>
        <v>d</v>
      </c>
      <c r="AB281" t="str">
        <f ca="1">IFERROR(__xludf.DUMMYFUNCTION("""COMPUTED_VALUE"""),"suspect")</f>
        <v>suspect</v>
      </c>
      <c r="AD281" t="str">
        <f ca="1">IFERROR(__xludf.DUMMYFUNCTION("""COMPUTED_VALUE"""),"C3287")</f>
        <v>C3287</v>
      </c>
      <c r="AE281" t="str">
        <f ca="1">IFERROR(__xludf.DUMMYFUNCTION("""COMPUTED_VALUE"""),"alive")</f>
        <v>alive</v>
      </c>
      <c r="AF281" t="str">
        <f ca="1">IFERROR(__xludf.DUMMYFUNCTION("""COMPUTED_VALUE"""),"C1753")</f>
        <v>C1753</v>
      </c>
      <c r="AG281" t="str">
        <f ca="1">IFERROR(__xludf.DUMMYFUNCTION("""COMPUTED_VALUE"""),"1335-01-20")</f>
        <v>1335-01-20</v>
      </c>
      <c r="AH281" t="str">
        <f ca="1">IFERROR(__xludf.DUMMYFUNCTION("""COMPUTED_VALUE"""),"C3041")</f>
        <v>C3041</v>
      </c>
      <c r="AI281" t="str">
        <f ca="1">IFERROR(__xludf.DUMMYFUNCTION("""COMPUTED_VALUE"""),"household")</f>
        <v>household</v>
      </c>
      <c r="AJ281" t="str">
        <f ca="1">IFERROR(__xludf.DUMMYFUNCTION("""COMPUTED_VALUE"""),"G0062")</f>
        <v>G0062</v>
      </c>
      <c r="AK281" t="str">
        <f ca="1">IFERROR(__xludf.DUMMYFUNCTION("""COMPUTED_VALUE"""),"illi de domo Petri, fratris Iohannis de Facio Ferrandi")</f>
        <v>illi de domo Petri, fratris Iohannis de Facio Ferrandi</v>
      </c>
      <c r="AM281" t="str">
        <f ca="1">IFERROR(__xludf.DUMMYFUNCTION("""COMPUTED_VALUE"""),"#VALUE!")</f>
        <v>#VALUE!</v>
      </c>
      <c r="AO281" t="str">
        <f ca="1">IFERROR(__xludf.DUMMYFUNCTION("""COMPUTED_VALUE"""),"#VALUE!")</f>
        <v>#VALUE!</v>
      </c>
      <c r="AQ281" t="str">
        <f ca="1">IFERROR(__xludf.DUMMYFUNCTION("""COMPUTED_VALUE"""),"#VALUE!")</f>
        <v>#VALUE!</v>
      </c>
      <c r="AS281" t="str">
        <f ca="1">IFERROR(__xludf.DUMMYFUNCTION("""COMPUTED_VALUE"""),"#VALUE!")</f>
        <v>#VALUE!</v>
      </c>
      <c r="AU281" t="str">
        <f ca="1">IFERROR(__xludf.DUMMYFUNCTION("""COMPUTED_VALUE"""),"#VALUE!")</f>
        <v>#VALUE!</v>
      </c>
      <c r="AW281" t="str">
        <f ca="1">IFERROR(__xludf.DUMMYFUNCTION("""COMPUTED_VALUE"""),"#VALUE!")</f>
        <v>#VALUE!</v>
      </c>
      <c r="AY281" t="str">
        <f ca="1">IFERROR(__xludf.DUMMYFUNCTION("""COMPUTED_VALUE"""),"#VALUE!")</f>
        <v>#VALUE!</v>
      </c>
      <c r="BA281" t="str">
        <f ca="1">IFERROR(__xludf.DUMMYFUNCTION("""COMPUTED_VALUE"""),"#VALUE!")</f>
        <v>#VALUE!</v>
      </c>
      <c r="BC281" t="str">
        <f ca="1">IFERROR(__xludf.DUMMYFUNCTION("""COMPUTED_VALUE"""),"#VALUE!")</f>
        <v>#VALUE!</v>
      </c>
      <c r="BE281" t="str">
        <f ca="1">IFERROR(__xludf.DUMMYFUNCTION("""COMPUTED_VALUE"""),"#VALUE!")</f>
        <v>#VALUE!</v>
      </c>
      <c r="BG281" t="str">
        <f ca="1">IFERROR(__xludf.DUMMYFUNCTION("""COMPUTED_VALUE"""),"#VALUE!")</f>
        <v>#VALUE!</v>
      </c>
      <c r="BI281" t="str">
        <f ca="1">IFERROR(__xludf.DUMMYFUNCTION("""COMPUTED_VALUE"""),"#VALUE!")</f>
        <v>#VALUE!</v>
      </c>
      <c r="BK281" t="str">
        <f ca="1">IFERROR(__xludf.DUMMYFUNCTION("""COMPUTED_VALUE"""),"#VALUE!")</f>
        <v>#VALUE!</v>
      </c>
      <c r="BM281" t="str">
        <f ca="1">IFERROR(__xludf.DUMMYFUNCTION("""COMPUTED_VALUE"""),"#VALUE!")</f>
        <v>#VALUE!</v>
      </c>
      <c r="BO281" t="str">
        <f ca="1">IFERROR(__xludf.DUMMYFUNCTION("""COMPUTED_VALUE"""),"#VALUE!")</f>
        <v>#VALUE!</v>
      </c>
      <c r="BQ281" t="str">
        <f ca="1">IFERROR(__xludf.DUMMYFUNCTION("""COMPUTED_VALUE"""),"#VALUE!")</f>
        <v>#VALUE!</v>
      </c>
      <c r="BS281" t="str">
        <f ca="1">IFERROR(__xludf.DUMMYFUNCTION("""COMPUTED_VALUE"""),"#VALUE!")</f>
        <v>#VALUE!</v>
      </c>
      <c r="BU281" t="str">
        <f ca="1">IFERROR(__xludf.DUMMYFUNCTION("""COMPUTED_VALUE"""),"#VALUE!")</f>
        <v>#VALUE!</v>
      </c>
      <c r="BW281" t="str">
        <f ca="1">IFERROR(__xludf.DUMMYFUNCTION("""COMPUTED_VALUE"""),"#VALUE!")</f>
        <v>#VALUE!</v>
      </c>
      <c r="BY281" t="str">
        <f ca="1">IFERROR(__xludf.DUMMYFUNCTION("""COMPUTED_VALUE"""),"#VALUE!")</f>
        <v>#VALUE!</v>
      </c>
      <c r="CA281" t="str">
        <f ca="1">IFERROR(__xludf.DUMMYFUNCTION("""COMPUTED_VALUE"""),"#VALUE!")</f>
        <v>#VALUE!</v>
      </c>
      <c r="CC281" t="str">
        <f ca="1">IFERROR(__xludf.DUMMYFUNCTION("""COMPUTED_VALUE"""),"#VALUE!")</f>
        <v>#VALUE!</v>
      </c>
      <c r="CD281" t="str">
        <f ca="1">IFERROR(__xludf.DUMMYFUNCTION("""COMPUTED_VALUE"""),"C3598")</f>
        <v>C3598</v>
      </c>
      <c r="CE281" t="str">
        <f ca="1">IFERROR(__xludf.DUMMYFUNCTION("""COMPUTED_VALUE"""),"location of congregation")</f>
        <v>location of congregation</v>
      </c>
      <c r="CF281" t="str">
        <f ca="1">IFERROR(__xludf.DUMMYFUNCTION("""COMPUTED_VALUE"""),"L0089#L0137")</f>
        <v>L0089#L0137</v>
      </c>
      <c r="CG281" t="str">
        <f ca="1">IFERROR(__xludf.DUMMYFUNCTION("""COMPUTED_VALUE"""),"domus Iohannis de Facio Ferrandi #domus Petri de Facio")</f>
        <v>domus Iohannis de Facio Ferrandi #domus Petri de Facio</v>
      </c>
      <c r="CI281" t="str">
        <f ca="1">IFERROR(__xludf.DUMMYFUNCTION("""COMPUTED_VALUE"""),"#VALUE!")</f>
        <v>#VALUE!</v>
      </c>
      <c r="CK281" t="str">
        <f ca="1">IFERROR(__xludf.DUMMYFUNCTION("""COMPUTED_VALUE"""),"#VALUE!")</f>
        <v>#VALUE!</v>
      </c>
      <c r="CS281" t="str">
        <f ca="1">IFERROR(__xludf.DUMMYFUNCTION("""COMPUTED_VALUE"""),"#VALUE!")</f>
        <v>#VALUE!</v>
      </c>
      <c r="CU281" t="str">
        <f ca="1">IFERROR(__xludf.DUMMYFUNCTION("""COMPUTED_VALUE"""),"#VALUE!")</f>
        <v>#VALUE!</v>
      </c>
      <c r="CW281" t="str">
        <f ca="1">IFERROR(__xludf.DUMMYFUNCTION("""COMPUTED_VALUE"""),"#VALUE!")</f>
        <v>#VALUE!</v>
      </c>
      <c r="CY281" t="str">
        <f ca="1">IFERROR(__xludf.DUMMYFUNCTION("""COMPUTED_VALUE"""),"#VALUE!")</f>
        <v>#VALUE!</v>
      </c>
      <c r="DC281" t="str">
        <f ca="1">IFERROR(__xludf.DUMMYFUNCTION("""COMPUTED_VALUE"""),"#VALUE!")</f>
        <v>#VALUE!</v>
      </c>
      <c r="DE281" t="str">
        <f ca="1">IFERROR(__xludf.DUMMYFUNCTION("""COMPUTED_VALUE"""),"#VALUE!")</f>
        <v>#VALUE!</v>
      </c>
      <c r="DF281" t="str">
        <f ca="1">IFERROR(__xludf.DUMMYFUNCTION("""COMPUTED_VALUE"""),"y")</f>
        <v>y</v>
      </c>
      <c r="DG281" t="str">
        <f ca="1">IFERROR(__xludf.DUMMYFUNCTION("""COMPUTED_VALUE"""),"235")</f>
        <v>235</v>
      </c>
      <c r="DH281" t="str">
        <f ca="1">IFERROR(__xludf.DUMMYFUNCTION("""COMPUTED_VALUE"""),"L0089#L0137")</f>
        <v>L0089#L0137</v>
      </c>
      <c r="DI281" t="str">
        <f ca="1">IFERROR(__xludf.DUMMYFUNCTION("""COMPUTED_VALUE"""),"domus Iohannis de Facio Ferrandi #domus Petri de Facio")</f>
        <v>domus Iohannis de Facio Ferrandi #domus Petri de Facio</v>
      </c>
      <c r="DJ281" t="str">
        <f ca="1">IFERROR(__xludf.DUMMYFUNCTION("""COMPUTED_VALUE"""),"domus #domus")</f>
        <v>domus #domus</v>
      </c>
      <c r="DL281" t="str">
        <f ca="1">IFERROR(__xludf.DUMMYFUNCTION("""COMPUTED_VALUE"""),"Davor Salihović")</f>
        <v>Davor Salihović</v>
      </c>
    </row>
    <row r="282" spans="1:116" ht="13.2" x14ac:dyDescent="0.25">
      <c r="A282" t="str">
        <f ca="1">IFERROR(__xludf.DUMMYFUNCTION("""COMPUTED_VALUE"""),"P0288")</f>
        <v>P0288</v>
      </c>
      <c r="B282" t="str">
        <f ca="1">IFERROR(__xludf.DUMMYFUNCTION("""COMPUTED_VALUE"""),"Michael Torenchi")</f>
        <v>Michael Torenchi</v>
      </c>
      <c r="D282" t="str">
        <f ca="1">IFERROR(__xludf.DUMMYFUNCTION("""COMPUTED_VALUE"""),"#VALUE!")</f>
        <v>#VALUE!</v>
      </c>
      <c r="E282" t="str">
        <f ca="1">IFERROR(__xludf.DUMMYFUNCTION("""COMPUTED_VALUE"""),"Michael")</f>
        <v>Michael</v>
      </c>
      <c r="F282" t="str">
        <f ca="1">IFERROR(__xludf.DUMMYFUNCTION("""COMPUTED_VALUE"""),"Michele")</f>
        <v>Michele</v>
      </c>
      <c r="K282" t="str">
        <f ca="1">IFERROR(__xludf.DUMMYFUNCTION("""COMPUTED_VALUE"""),"Torenchi")</f>
        <v>Torenchi</v>
      </c>
      <c r="L282" t="str">
        <f ca="1">IFERROR(__xludf.DUMMYFUNCTION("""COMPUTED_VALUE"""),"Torenchi")</f>
        <v>Torenchi</v>
      </c>
      <c r="S282" t="str">
        <f ca="1">IFERROR(__xludf.DUMMYFUNCTION("""COMPUTED_VALUE"""),"Latin")</f>
        <v>Latin</v>
      </c>
      <c r="T282" t="str">
        <f ca="1">IFERROR(__xludf.DUMMYFUNCTION("""COMPUTED_VALUE"""),"definite")</f>
        <v>definite</v>
      </c>
      <c r="U282" t="str">
        <f ca="1">IFERROR(__xludf.DUMMYFUNCTION("""COMPUTED_VALUE"""),"C2553")</f>
        <v>C2553</v>
      </c>
      <c r="V282" t="str">
        <f ca="1">IFERROR(__xludf.DUMMYFUNCTION("""COMPUTED_VALUE"""),"male")</f>
        <v>male</v>
      </c>
      <c r="Z282" t="str">
        <f ca="1">IFERROR(__xludf.DUMMYFUNCTION("""COMPUTED_VALUE"""),"192")</f>
        <v>192</v>
      </c>
      <c r="AA282" t="str">
        <f ca="1">IFERROR(__xludf.DUMMYFUNCTION("""COMPUTED_VALUE"""),"d")</f>
        <v>d</v>
      </c>
      <c r="AB282" t="str">
        <f ca="1">IFERROR(__xludf.DUMMYFUNCTION("""COMPUTED_VALUE"""),"suspect")</f>
        <v>suspect</v>
      </c>
      <c r="AE282" t="str">
        <f ca="1">IFERROR(__xludf.DUMMYFUNCTION("""COMPUTED_VALUE"""),"#VALUE!")</f>
        <v>#VALUE!</v>
      </c>
      <c r="AF282" t="str">
        <f ca="1">IFERROR(__xludf.DUMMYFUNCTION("""COMPUTED_VALUE"""),"#N/A")</f>
        <v>#N/A</v>
      </c>
      <c r="AG282" t="str">
        <f ca="1">IFERROR(__xludf.DUMMYFUNCTION("""COMPUTED_VALUE"""),"#N/A")</f>
        <v>#N/A</v>
      </c>
      <c r="AI282" t="str">
        <f ca="1">IFERROR(__xludf.DUMMYFUNCTION("""COMPUTED_VALUE"""),"#VALUE!")</f>
        <v>#VALUE!</v>
      </c>
      <c r="AK282" t="str">
        <f ca="1">IFERROR(__xludf.DUMMYFUNCTION("""COMPUTED_VALUE"""),"#VALUE!")</f>
        <v>#VALUE!</v>
      </c>
      <c r="AM282" t="str">
        <f ca="1">IFERROR(__xludf.DUMMYFUNCTION("""COMPUTED_VALUE"""),"#VALUE!")</f>
        <v>#VALUE!</v>
      </c>
      <c r="AO282" t="str">
        <f ca="1">IFERROR(__xludf.DUMMYFUNCTION("""COMPUTED_VALUE"""),"#VALUE!")</f>
        <v>#VALUE!</v>
      </c>
      <c r="AQ282" t="str">
        <f ca="1">IFERROR(__xludf.DUMMYFUNCTION("""COMPUTED_VALUE"""),"#VALUE!")</f>
        <v>#VALUE!</v>
      </c>
      <c r="AS282" t="str">
        <f ca="1">IFERROR(__xludf.DUMMYFUNCTION("""COMPUTED_VALUE"""),"#VALUE!")</f>
        <v>#VALUE!</v>
      </c>
      <c r="AU282" t="str">
        <f ca="1">IFERROR(__xludf.DUMMYFUNCTION("""COMPUTED_VALUE"""),"#VALUE!")</f>
        <v>#VALUE!</v>
      </c>
      <c r="AW282" t="str">
        <f ca="1">IFERROR(__xludf.DUMMYFUNCTION("""COMPUTED_VALUE"""),"#VALUE!")</f>
        <v>#VALUE!</v>
      </c>
      <c r="AY282" t="str">
        <f ca="1">IFERROR(__xludf.DUMMYFUNCTION("""COMPUTED_VALUE"""),"#VALUE!")</f>
        <v>#VALUE!</v>
      </c>
      <c r="BA282" t="str">
        <f ca="1">IFERROR(__xludf.DUMMYFUNCTION("""COMPUTED_VALUE"""),"#VALUE!")</f>
        <v>#VALUE!</v>
      </c>
      <c r="BC282" t="str">
        <f ca="1">IFERROR(__xludf.DUMMYFUNCTION("""COMPUTED_VALUE"""),"#VALUE!")</f>
        <v>#VALUE!</v>
      </c>
      <c r="BE282" t="str">
        <f ca="1">IFERROR(__xludf.DUMMYFUNCTION("""COMPUTED_VALUE"""),"#VALUE!")</f>
        <v>#VALUE!</v>
      </c>
      <c r="BG282" t="str">
        <f ca="1">IFERROR(__xludf.DUMMYFUNCTION("""COMPUTED_VALUE"""),"#VALUE!")</f>
        <v>#VALUE!</v>
      </c>
      <c r="BI282" t="str">
        <f ca="1">IFERROR(__xludf.DUMMYFUNCTION("""COMPUTED_VALUE"""),"#VALUE!")</f>
        <v>#VALUE!</v>
      </c>
      <c r="BK282" t="str">
        <f ca="1">IFERROR(__xludf.DUMMYFUNCTION("""COMPUTED_VALUE"""),"#VALUE!")</f>
        <v>#VALUE!</v>
      </c>
      <c r="BM282" t="str">
        <f ca="1">IFERROR(__xludf.DUMMYFUNCTION("""COMPUTED_VALUE"""),"#VALUE!")</f>
        <v>#VALUE!</v>
      </c>
      <c r="BO282" t="str">
        <f ca="1">IFERROR(__xludf.DUMMYFUNCTION("""COMPUTED_VALUE"""),"#VALUE!")</f>
        <v>#VALUE!</v>
      </c>
      <c r="BQ282" t="str">
        <f ca="1">IFERROR(__xludf.DUMMYFUNCTION("""COMPUTED_VALUE"""),"#VALUE!")</f>
        <v>#VALUE!</v>
      </c>
      <c r="BS282" t="str">
        <f ca="1">IFERROR(__xludf.DUMMYFUNCTION("""COMPUTED_VALUE"""),"#VALUE!")</f>
        <v>#VALUE!</v>
      </c>
      <c r="BU282" t="str">
        <f ca="1">IFERROR(__xludf.DUMMYFUNCTION("""COMPUTED_VALUE"""),"#VALUE!")</f>
        <v>#VALUE!</v>
      </c>
      <c r="BW282" t="str">
        <f ca="1">IFERROR(__xludf.DUMMYFUNCTION("""COMPUTED_VALUE"""),"#VALUE!")</f>
        <v>#VALUE!</v>
      </c>
      <c r="BY282" t="str">
        <f ca="1">IFERROR(__xludf.DUMMYFUNCTION("""COMPUTED_VALUE"""),"#VALUE!")</f>
        <v>#VALUE!</v>
      </c>
      <c r="CA282" t="str">
        <f ca="1">IFERROR(__xludf.DUMMYFUNCTION("""COMPUTED_VALUE"""),"#VALUE!")</f>
        <v>#VALUE!</v>
      </c>
      <c r="CC282" t="str">
        <f ca="1">IFERROR(__xludf.DUMMYFUNCTION("""COMPUTED_VALUE"""),"#VALUE!")</f>
        <v>#VALUE!</v>
      </c>
      <c r="CE282" t="str">
        <f ca="1">IFERROR(__xludf.DUMMYFUNCTION("""COMPUTED_VALUE"""),"#VALUE!")</f>
        <v>#VALUE!</v>
      </c>
      <c r="CG282" t="str">
        <f ca="1">IFERROR(__xludf.DUMMYFUNCTION("""COMPUTED_VALUE"""),"#VALUE!")</f>
        <v>#VALUE!</v>
      </c>
      <c r="CI282" t="str">
        <f ca="1">IFERROR(__xludf.DUMMYFUNCTION("""COMPUTED_VALUE"""),"#VALUE!")</f>
        <v>#VALUE!</v>
      </c>
      <c r="CK282" t="str">
        <f ca="1">IFERROR(__xludf.DUMMYFUNCTION("""COMPUTED_VALUE"""),"#VALUE!")</f>
        <v>#VALUE!</v>
      </c>
      <c r="CS282" t="str">
        <f ca="1">IFERROR(__xludf.DUMMYFUNCTION("""COMPUTED_VALUE"""),"#VALUE!")</f>
        <v>#VALUE!</v>
      </c>
      <c r="CU282" t="str">
        <f ca="1">IFERROR(__xludf.DUMMYFUNCTION("""COMPUTED_VALUE"""),"#VALUE!")</f>
        <v>#VALUE!</v>
      </c>
      <c r="CW282" t="str">
        <f ca="1">IFERROR(__xludf.DUMMYFUNCTION("""COMPUTED_VALUE"""),"#VALUE!")</f>
        <v>#VALUE!</v>
      </c>
      <c r="CY282" t="str">
        <f ca="1">IFERROR(__xludf.DUMMYFUNCTION("""COMPUTED_VALUE"""),"#VALUE!")</f>
        <v>#VALUE!</v>
      </c>
      <c r="DC282" t="str">
        <f ca="1">IFERROR(__xludf.DUMMYFUNCTION("""COMPUTED_VALUE"""),"#VALUE!")</f>
        <v>#VALUE!</v>
      </c>
      <c r="DE282" t="str">
        <f ca="1">IFERROR(__xludf.DUMMYFUNCTION("""COMPUTED_VALUE"""),"#VALUE!")</f>
        <v>#VALUE!</v>
      </c>
      <c r="DI282" t="str">
        <f ca="1">IFERROR(__xludf.DUMMYFUNCTION("""COMPUTED_VALUE"""),"#VALUE!")</f>
        <v>#VALUE!</v>
      </c>
      <c r="DJ282" t="str">
        <f ca="1">IFERROR(__xludf.DUMMYFUNCTION("""COMPUTED_VALUE"""),"#VALUE!")</f>
        <v>#VALUE!</v>
      </c>
      <c r="DL282" t="str">
        <f ca="1">IFERROR(__xludf.DUMMYFUNCTION("""COMPUTED_VALUE"""),"Davor Salihović")</f>
        <v>Davor Salihović</v>
      </c>
    </row>
    <row r="283" spans="1:116" ht="13.2" x14ac:dyDescent="0.25">
      <c r="A283" t="str">
        <f ca="1">IFERROR(__xludf.DUMMYFUNCTION("""COMPUTED_VALUE"""),"P0289")</f>
        <v>P0289</v>
      </c>
      <c r="B283" t="str">
        <f ca="1">IFERROR(__xludf.DUMMYFUNCTION("""COMPUTED_VALUE"""),"Iohannes de Ancesio")</f>
        <v>Iohannes de Ancesio</v>
      </c>
      <c r="D283" t="str">
        <f ca="1">IFERROR(__xludf.DUMMYFUNCTION("""COMPUTED_VALUE"""),"#VALUE!")</f>
        <v>#VALUE!</v>
      </c>
      <c r="E283" t="str">
        <f ca="1">IFERROR(__xludf.DUMMYFUNCTION("""COMPUTED_VALUE"""),"Iohannes")</f>
        <v>Iohannes</v>
      </c>
      <c r="J283" t="str">
        <f ca="1">IFERROR(__xludf.DUMMYFUNCTION("""COMPUTED_VALUE"""),"de")</f>
        <v>de</v>
      </c>
      <c r="K283" t="str">
        <f ca="1">IFERROR(__xludf.DUMMYFUNCTION("""COMPUTED_VALUE"""),"Ancesio")</f>
        <v>Ancesio</v>
      </c>
      <c r="L283" t="str">
        <f ca="1">IFERROR(__xludf.DUMMYFUNCTION("""COMPUTED_VALUE"""),"de Ancesio")</f>
        <v>de Ancesio</v>
      </c>
      <c r="S283" t="str">
        <f ca="1">IFERROR(__xludf.DUMMYFUNCTION("""COMPUTED_VALUE"""),"Latin")</f>
        <v>Latin</v>
      </c>
      <c r="T283" t="str">
        <f ca="1">IFERROR(__xludf.DUMMYFUNCTION("""COMPUTED_VALUE"""),"definite")</f>
        <v>definite</v>
      </c>
      <c r="U283" t="str">
        <f ca="1">IFERROR(__xludf.DUMMYFUNCTION("""COMPUTED_VALUE"""),"C2553")</f>
        <v>C2553</v>
      </c>
      <c r="V283" t="str">
        <f ca="1">IFERROR(__xludf.DUMMYFUNCTION("""COMPUTED_VALUE"""),"male")</f>
        <v>male</v>
      </c>
      <c r="Z283" t="str">
        <f ca="1">IFERROR(__xludf.DUMMYFUNCTION("""COMPUTED_VALUE"""),"192")</f>
        <v>192</v>
      </c>
      <c r="AA283" t="str">
        <f ca="1">IFERROR(__xludf.DUMMYFUNCTION("""COMPUTED_VALUE"""),"d")</f>
        <v>d</v>
      </c>
      <c r="AB283" t="str">
        <f ca="1">IFERROR(__xludf.DUMMYFUNCTION("""COMPUTED_VALUE"""),"NA")</f>
        <v>NA</v>
      </c>
      <c r="AD283" t="str">
        <f ca="1">IFERROR(__xludf.DUMMYFUNCTION("""COMPUTED_VALUE"""),"C3287")</f>
        <v>C3287</v>
      </c>
      <c r="AE283" t="str">
        <f ca="1">IFERROR(__xludf.DUMMYFUNCTION("""COMPUTED_VALUE"""),"alive")</f>
        <v>alive</v>
      </c>
      <c r="AF283" t="str">
        <f ca="1">IFERROR(__xludf.DUMMYFUNCTION("""COMPUTED_VALUE"""),"C1753")</f>
        <v>C1753</v>
      </c>
      <c r="AG283" t="str">
        <f ca="1">IFERROR(__xludf.DUMMYFUNCTION("""COMPUTED_VALUE"""),"1335-01-20")</f>
        <v>1335-01-20</v>
      </c>
      <c r="AI283" t="str">
        <f ca="1">IFERROR(__xludf.DUMMYFUNCTION("""COMPUTED_VALUE"""),"#VALUE!")</f>
        <v>#VALUE!</v>
      </c>
      <c r="AK283" t="str">
        <f ca="1">IFERROR(__xludf.DUMMYFUNCTION("""COMPUTED_VALUE"""),"#VALUE!")</f>
        <v>#VALUE!</v>
      </c>
      <c r="AM283" t="str">
        <f ca="1">IFERROR(__xludf.DUMMYFUNCTION("""COMPUTED_VALUE"""),"#VALUE!")</f>
        <v>#VALUE!</v>
      </c>
      <c r="AO283" t="str">
        <f ca="1">IFERROR(__xludf.DUMMYFUNCTION("""COMPUTED_VALUE"""),"#VALUE!")</f>
        <v>#VALUE!</v>
      </c>
      <c r="AQ283" t="str">
        <f ca="1">IFERROR(__xludf.DUMMYFUNCTION("""COMPUTED_VALUE"""),"#VALUE!")</f>
        <v>#VALUE!</v>
      </c>
      <c r="AS283" t="str">
        <f ca="1">IFERROR(__xludf.DUMMYFUNCTION("""COMPUTED_VALUE"""),"#VALUE!")</f>
        <v>#VALUE!</v>
      </c>
      <c r="AU283" t="str">
        <f ca="1">IFERROR(__xludf.DUMMYFUNCTION("""COMPUTED_VALUE"""),"#VALUE!")</f>
        <v>#VALUE!</v>
      </c>
      <c r="AW283" t="str">
        <f ca="1">IFERROR(__xludf.DUMMYFUNCTION("""COMPUTED_VALUE"""),"#VALUE!")</f>
        <v>#VALUE!</v>
      </c>
      <c r="AY283" t="str">
        <f ca="1">IFERROR(__xludf.DUMMYFUNCTION("""COMPUTED_VALUE"""),"#VALUE!")</f>
        <v>#VALUE!</v>
      </c>
      <c r="BA283" t="str">
        <f ca="1">IFERROR(__xludf.DUMMYFUNCTION("""COMPUTED_VALUE"""),"#VALUE!")</f>
        <v>#VALUE!</v>
      </c>
      <c r="BC283" t="str">
        <f ca="1">IFERROR(__xludf.DUMMYFUNCTION("""COMPUTED_VALUE"""),"#VALUE!")</f>
        <v>#VALUE!</v>
      </c>
      <c r="BE283" t="str">
        <f ca="1">IFERROR(__xludf.DUMMYFUNCTION("""COMPUTED_VALUE"""),"#VALUE!")</f>
        <v>#VALUE!</v>
      </c>
      <c r="BG283" t="str">
        <f ca="1">IFERROR(__xludf.DUMMYFUNCTION("""COMPUTED_VALUE"""),"#VALUE!")</f>
        <v>#VALUE!</v>
      </c>
      <c r="BI283" t="str">
        <f ca="1">IFERROR(__xludf.DUMMYFUNCTION("""COMPUTED_VALUE"""),"#VALUE!")</f>
        <v>#VALUE!</v>
      </c>
      <c r="BK283" t="str">
        <f ca="1">IFERROR(__xludf.DUMMYFUNCTION("""COMPUTED_VALUE"""),"#VALUE!")</f>
        <v>#VALUE!</v>
      </c>
      <c r="BM283" t="str">
        <f ca="1">IFERROR(__xludf.DUMMYFUNCTION("""COMPUTED_VALUE"""),"#VALUE!")</f>
        <v>#VALUE!</v>
      </c>
      <c r="BO283" t="str">
        <f ca="1">IFERROR(__xludf.DUMMYFUNCTION("""COMPUTED_VALUE"""),"#VALUE!")</f>
        <v>#VALUE!</v>
      </c>
      <c r="BQ283" t="str">
        <f ca="1">IFERROR(__xludf.DUMMYFUNCTION("""COMPUTED_VALUE"""),"#VALUE!")</f>
        <v>#VALUE!</v>
      </c>
      <c r="BS283" t="str">
        <f ca="1">IFERROR(__xludf.DUMMYFUNCTION("""COMPUTED_VALUE"""),"#VALUE!")</f>
        <v>#VALUE!</v>
      </c>
      <c r="BU283" t="str">
        <f ca="1">IFERROR(__xludf.DUMMYFUNCTION("""COMPUTED_VALUE"""),"#VALUE!")</f>
        <v>#VALUE!</v>
      </c>
      <c r="BW283" t="str">
        <f ca="1">IFERROR(__xludf.DUMMYFUNCTION("""COMPUTED_VALUE"""),"#VALUE!")</f>
        <v>#VALUE!</v>
      </c>
      <c r="BY283" t="str">
        <f ca="1">IFERROR(__xludf.DUMMYFUNCTION("""COMPUTED_VALUE"""),"#VALUE!")</f>
        <v>#VALUE!</v>
      </c>
      <c r="CA283" t="str">
        <f ca="1">IFERROR(__xludf.DUMMYFUNCTION("""COMPUTED_VALUE"""),"#VALUE!")</f>
        <v>#VALUE!</v>
      </c>
      <c r="CC283" t="str">
        <f ca="1">IFERROR(__xludf.DUMMYFUNCTION("""COMPUTED_VALUE"""),"#VALUE!")</f>
        <v>#VALUE!</v>
      </c>
      <c r="CE283" t="str">
        <f ca="1">IFERROR(__xludf.DUMMYFUNCTION("""COMPUTED_VALUE"""),"#VALUE!")</f>
        <v>#VALUE!</v>
      </c>
      <c r="CG283" t="str">
        <f ca="1">IFERROR(__xludf.DUMMYFUNCTION("""COMPUTED_VALUE"""),"#VALUE!")</f>
        <v>#VALUE!</v>
      </c>
      <c r="CI283" t="str">
        <f ca="1">IFERROR(__xludf.DUMMYFUNCTION("""COMPUTED_VALUE"""),"#VALUE!")</f>
        <v>#VALUE!</v>
      </c>
      <c r="CK283" t="str">
        <f ca="1">IFERROR(__xludf.DUMMYFUNCTION("""COMPUTED_VALUE"""),"#VALUE!")</f>
        <v>#VALUE!</v>
      </c>
      <c r="CS283" t="str">
        <f ca="1">IFERROR(__xludf.DUMMYFUNCTION("""COMPUTED_VALUE"""),"#VALUE!")</f>
        <v>#VALUE!</v>
      </c>
      <c r="CU283" t="str">
        <f ca="1">IFERROR(__xludf.DUMMYFUNCTION("""COMPUTED_VALUE"""),"#VALUE!")</f>
        <v>#VALUE!</v>
      </c>
      <c r="CW283" t="str">
        <f ca="1">IFERROR(__xludf.DUMMYFUNCTION("""COMPUTED_VALUE"""),"#VALUE!")</f>
        <v>#VALUE!</v>
      </c>
      <c r="CY283" t="str">
        <f ca="1">IFERROR(__xludf.DUMMYFUNCTION("""COMPUTED_VALUE"""),"#VALUE!")</f>
        <v>#VALUE!</v>
      </c>
      <c r="DC283" t="str">
        <f ca="1">IFERROR(__xludf.DUMMYFUNCTION("""COMPUTED_VALUE"""),"#VALUE!")</f>
        <v>#VALUE!</v>
      </c>
      <c r="DE283" t="str">
        <f ca="1">IFERROR(__xludf.DUMMYFUNCTION("""COMPUTED_VALUE"""),"#VALUE!")</f>
        <v>#VALUE!</v>
      </c>
      <c r="DI283" t="str">
        <f ca="1">IFERROR(__xludf.DUMMYFUNCTION("""COMPUTED_VALUE"""),"#VALUE!")</f>
        <v>#VALUE!</v>
      </c>
      <c r="DJ283" t="str">
        <f ca="1">IFERROR(__xludf.DUMMYFUNCTION("""COMPUTED_VALUE"""),"#VALUE!")</f>
        <v>#VALUE!</v>
      </c>
      <c r="DL283" t="str">
        <f ca="1">IFERROR(__xludf.DUMMYFUNCTION("""COMPUTED_VALUE"""),"Davor Salihović")</f>
        <v>Davor Salihović</v>
      </c>
    </row>
    <row r="284" spans="1:116" ht="13.2" x14ac:dyDescent="0.25">
      <c r="A284" t="str">
        <f ca="1">IFERROR(__xludf.DUMMYFUNCTION("""COMPUTED_VALUE"""),"P0290")</f>
        <v>P0290</v>
      </c>
      <c r="B284" t="str">
        <f ca="1">IFERROR(__xludf.DUMMYFUNCTION("""COMPUTED_VALUE"""),"Aymoneta, filia Marguerite Borssete")</f>
        <v>Aymoneta, filia Marguerite Borssete</v>
      </c>
      <c r="D284" t="str">
        <f ca="1">IFERROR(__xludf.DUMMYFUNCTION("""COMPUTED_VALUE"""),"#VALUE!")</f>
        <v>#VALUE!</v>
      </c>
      <c r="E284" t="str">
        <f ca="1">IFERROR(__xludf.DUMMYFUNCTION("""COMPUTED_VALUE"""),"Aymoneta")</f>
        <v>Aymoneta</v>
      </c>
      <c r="F284" t="str">
        <f ca="1">IFERROR(__xludf.DUMMYFUNCTION("""COMPUTED_VALUE"""),"Aymona")</f>
        <v>Aymona</v>
      </c>
      <c r="Q284" t="str">
        <f ca="1">IFERROR(__xludf.DUMMYFUNCTION("""COMPUTED_VALUE"""),"filia Marguerite Borssete")</f>
        <v>filia Marguerite Borssete</v>
      </c>
      <c r="S284" t="str">
        <f ca="1">IFERROR(__xludf.DUMMYFUNCTION("""COMPUTED_VALUE"""),"Latin")</f>
        <v>Latin</v>
      </c>
      <c r="T284" t="str">
        <f ca="1">IFERROR(__xludf.DUMMYFUNCTION("""COMPUTED_VALUE"""),"definite")</f>
        <v>definite</v>
      </c>
      <c r="U284" t="str">
        <f ca="1">IFERROR(__xludf.DUMMYFUNCTION("""COMPUTED_VALUE"""),"C2552")</f>
        <v>C2552</v>
      </c>
      <c r="V284" t="str">
        <f ca="1">IFERROR(__xludf.DUMMYFUNCTION("""COMPUTED_VALUE"""),"female")</f>
        <v>female</v>
      </c>
      <c r="Z284" t="str">
        <f ca="1">IFERROR(__xludf.DUMMYFUNCTION("""COMPUTED_VALUE"""),"192")</f>
        <v>192</v>
      </c>
      <c r="AA284" t="str">
        <f ca="1">IFERROR(__xludf.DUMMYFUNCTION("""COMPUTED_VALUE"""),"d")</f>
        <v>d</v>
      </c>
      <c r="AB284" t="str">
        <f ca="1">IFERROR(__xludf.DUMMYFUNCTION("""COMPUTED_VALUE"""),"suspect")</f>
        <v>suspect</v>
      </c>
      <c r="AD284" t="str">
        <f ca="1">IFERROR(__xludf.DUMMYFUNCTION("""COMPUTED_VALUE"""),"C3287")</f>
        <v>C3287</v>
      </c>
      <c r="AE284" t="str">
        <f ca="1">IFERROR(__xludf.DUMMYFUNCTION("""COMPUTED_VALUE"""),"alive")</f>
        <v>alive</v>
      </c>
      <c r="AF284" t="str">
        <f ca="1">IFERROR(__xludf.DUMMYFUNCTION("""COMPUTED_VALUE"""),"C1753")</f>
        <v>C1753</v>
      </c>
      <c r="AG284" t="str">
        <f ca="1">IFERROR(__xludf.DUMMYFUNCTION("""COMPUTED_VALUE"""),"1335-01-20")</f>
        <v>1335-01-20</v>
      </c>
      <c r="AI284" t="str">
        <f ca="1">IFERROR(__xludf.DUMMYFUNCTION("""COMPUTED_VALUE"""),"#VALUE!")</f>
        <v>#VALUE!</v>
      </c>
      <c r="AK284" t="str">
        <f ca="1">IFERROR(__xludf.DUMMYFUNCTION("""COMPUTED_VALUE"""),"#VALUE!")</f>
        <v>#VALUE!</v>
      </c>
      <c r="AM284" t="str">
        <f ca="1">IFERROR(__xludf.DUMMYFUNCTION("""COMPUTED_VALUE"""),"#VALUE!")</f>
        <v>#VALUE!</v>
      </c>
      <c r="AO284" t="str">
        <f ca="1">IFERROR(__xludf.DUMMYFUNCTION("""COMPUTED_VALUE"""),"#VALUE!")</f>
        <v>#VALUE!</v>
      </c>
      <c r="AQ284" t="str">
        <f ca="1">IFERROR(__xludf.DUMMYFUNCTION("""COMPUTED_VALUE"""),"#VALUE!")</f>
        <v>#VALUE!</v>
      </c>
      <c r="AS284" t="str">
        <f ca="1">IFERROR(__xludf.DUMMYFUNCTION("""COMPUTED_VALUE"""),"#VALUE!")</f>
        <v>#VALUE!</v>
      </c>
      <c r="AU284" t="str">
        <f ca="1">IFERROR(__xludf.DUMMYFUNCTION("""COMPUTED_VALUE"""),"#VALUE!")</f>
        <v>#VALUE!</v>
      </c>
      <c r="AW284" t="str">
        <f ca="1">IFERROR(__xludf.DUMMYFUNCTION("""COMPUTED_VALUE"""),"#VALUE!")</f>
        <v>#VALUE!</v>
      </c>
      <c r="AY284" t="str">
        <f ca="1">IFERROR(__xludf.DUMMYFUNCTION("""COMPUTED_VALUE"""),"#VALUE!")</f>
        <v>#VALUE!</v>
      </c>
      <c r="BA284" t="str">
        <f ca="1">IFERROR(__xludf.DUMMYFUNCTION("""COMPUTED_VALUE"""),"#VALUE!")</f>
        <v>#VALUE!</v>
      </c>
      <c r="BC284" t="str">
        <f ca="1">IFERROR(__xludf.DUMMYFUNCTION("""COMPUTED_VALUE"""),"#VALUE!")</f>
        <v>#VALUE!</v>
      </c>
      <c r="BE284" t="str">
        <f ca="1">IFERROR(__xludf.DUMMYFUNCTION("""COMPUTED_VALUE"""),"#VALUE!")</f>
        <v>#VALUE!</v>
      </c>
      <c r="BG284" t="str">
        <f ca="1">IFERROR(__xludf.DUMMYFUNCTION("""COMPUTED_VALUE"""),"#VALUE!")</f>
        <v>#VALUE!</v>
      </c>
      <c r="BI284" t="str">
        <f ca="1">IFERROR(__xludf.DUMMYFUNCTION("""COMPUTED_VALUE"""),"#VALUE!")</f>
        <v>#VALUE!</v>
      </c>
      <c r="BK284" t="str">
        <f ca="1">IFERROR(__xludf.DUMMYFUNCTION("""COMPUTED_VALUE"""),"#VALUE!")</f>
        <v>#VALUE!</v>
      </c>
      <c r="BM284" t="str">
        <f ca="1">IFERROR(__xludf.DUMMYFUNCTION("""COMPUTED_VALUE"""),"#VALUE!")</f>
        <v>#VALUE!</v>
      </c>
      <c r="BO284" t="str">
        <f ca="1">IFERROR(__xludf.DUMMYFUNCTION("""COMPUTED_VALUE"""),"#VALUE!")</f>
        <v>#VALUE!</v>
      </c>
      <c r="BQ284" t="str">
        <f ca="1">IFERROR(__xludf.DUMMYFUNCTION("""COMPUTED_VALUE"""),"#VALUE!")</f>
        <v>#VALUE!</v>
      </c>
      <c r="BS284" t="str">
        <f ca="1">IFERROR(__xludf.DUMMYFUNCTION("""COMPUTED_VALUE"""),"#VALUE!")</f>
        <v>#VALUE!</v>
      </c>
      <c r="BU284" t="str">
        <f ca="1">IFERROR(__xludf.DUMMYFUNCTION("""COMPUTED_VALUE"""),"#VALUE!")</f>
        <v>#VALUE!</v>
      </c>
      <c r="BW284" t="str">
        <f ca="1">IFERROR(__xludf.DUMMYFUNCTION("""COMPUTED_VALUE"""),"#VALUE!")</f>
        <v>#VALUE!</v>
      </c>
      <c r="BY284" t="str">
        <f ca="1">IFERROR(__xludf.DUMMYFUNCTION("""COMPUTED_VALUE"""),"#VALUE!")</f>
        <v>#VALUE!</v>
      </c>
      <c r="CA284" t="str">
        <f ca="1">IFERROR(__xludf.DUMMYFUNCTION("""COMPUTED_VALUE"""),"#VALUE!")</f>
        <v>#VALUE!</v>
      </c>
      <c r="CC284" t="str">
        <f ca="1">IFERROR(__xludf.DUMMYFUNCTION("""COMPUTED_VALUE"""),"#VALUE!")</f>
        <v>#VALUE!</v>
      </c>
      <c r="CE284" t="str">
        <f ca="1">IFERROR(__xludf.DUMMYFUNCTION("""COMPUTED_VALUE"""),"#VALUE!")</f>
        <v>#VALUE!</v>
      </c>
      <c r="CG284" t="str">
        <f ca="1">IFERROR(__xludf.DUMMYFUNCTION("""COMPUTED_VALUE"""),"#VALUE!")</f>
        <v>#VALUE!</v>
      </c>
      <c r="CI284" t="str">
        <f ca="1">IFERROR(__xludf.DUMMYFUNCTION("""COMPUTED_VALUE"""),"#VALUE!")</f>
        <v>#VALUE!</v>
      </c>
      <c r="CK284" t="str">
        <f ca="1">IFERROR(__xludf.DUMMYFUNCTION("""COMPUTED_VALUE"""),"#VALUE!")</f>
        <v>#VALUE!</v>
      </c>
      <c r="CS284" t="str">
        <f ca="1">IFERROR(__xludf.DUMMYFUNCTION("""COMPUTED_VALUE"""),"#VALUE!")</f>
        <v>#VALUE!</v>
      </c>
      <c r="CU284" t="str">
        <f ca="1">IFERROR(__xludf.DUMMYFUNCTION("""COMPUTED_VALUE"""),"#VALUE!")</f>
        <v>#VALUE!</v>
      </c>
      <c r="CW284" t="str">
        <f ca="1">IFERROR(__xludf.DUMMYFUNCTION("""COMPUTED_VALUE"""),"#VALUE!")</f>
        <v>#VALUE!</v>
      </c>
      <c r="CY284" t="str">
        <f ca="1">IFERROR(__xludf.DUMMYFUNCTION("""COMPUTED_VALUE"""),"#VALUE!")</f>
        <v>#VALUE!</v>
      </c>
      <c r="DC284" t="str">
        <f ca="1">IFERROR(__xludf.DUMMYFUNCTION("""COMPUTED_VALUE"""),"#VALUE!")</f>
        <v>#VALUE!</v>
      </c>
      <c r="DE284" t="str">
        <f ca="1">IFERROR(__xludf.DUMMYFUNCTION("""COMPUTED_VALUE"""),"#VALUE!")</f>
        <v>#VALUE!</v>
      </c>
      <c r="DF284" t="str">
        <f ca="1">IFERROR(__xludf.DUMMYFUNCTION("""COMPUTED_VALUE"""),"y")</f>
        <v>y</v>
      </c>
      <c r="DG284" t="str">
        <f ca="1">IFERROR(__xludf.DUMMYFUNCTION("""COMPUTED_VALUE"""),"238")</f>
        <v>238</v>
      </c>
      <c r="DI284" t="str">
        <f ca="1">IFERROR(__xludf.DUMMYFUNCTION("""COMPUTED_VALUE"""),"#VALUE!")</f>
        <v>#VALUE!</v>
      </c>
      <c r="DJ284" t="str">
        <f ca="1">IFERROR(__xludf.DUMMYFUNCTION("""COMPUTED_VALUE"""),"#VALUE!")</f>
        <v>#VALUE!</v>
      </c>
      <c r="DL284" t="str">
        <f ca="1">IFERROR(__xludf.DUMMYFUNCTION("""COMPUTED_VALUE"""),"Davor Salihović")</f>
        <v>Davor Salihović</v>
      </c>
    </row>
    <row r="285" spans="1:116" ht="13.2" x14ac:dyDescent="0.25">
      <c r="A285" t="str">
        <f ca="1">IFERROR(__xludf.DUMMYFUNCTION("""COMPUTED_VALUE"""),"P0291")</f>
        <v>P0291</v>
      </c>
      <c r="B285" t="str">
        <f ca="1">IFERROR(__xludf.DUMMYFUNCTION("""COMPUTED_VALUE"""),"Iohanna Bruncina")</f>
        <v>Iohanna Bruncina</v>
      </c>
      <c r="D285" t="str">
        <f ca="1">IFERROR(__xludf.DUMMYFUNCTION("""COMPUTED_VALUE"""),"#VALUE!")</f>
        <v>#VALUE!</v>
      </c>
      <c r="E285" t="str">
        <f ca="1">IFERROR(__xludf.DUMMYFUNCTION("""COMPUTED_VALUE"""),"Iohanna")</f>
        <v>Iohanna</v>
      </c>
      <c r="K285" t="str">
        <f ca="1">IFERROR(__xludf.DUMMYFUNCTION("""COMPUTED_VALUE"""),"Bruncina")</f>
        <v>Bruncina</v>
      </c>
      <c r="L285" t="str">
        <f ca="1">IFERROR(__xludf.DUMMYFUNCTION("""COMPUTED_VALUE"""),"Bruncina")</f>
        <v>Bruncina</v>
      </c>
      <c r="Q285" t="str">
        <f ca="1">IFERROR(__xludf.DUMMYFUNCTION("""COMPUTED_VALUE"""),"condam uxor Iohannis Giraudi de Buffa")</f>
        <v>condam uxor Iohannis Giraudi de Buffa</v>
      </c>
      <c r="S285" t="str">
        <f ca="1">IFERROR(__xludf.DUMMYFUNCTION("""COMPUTED_VALUE"""),"Latin")</f>
        <v>Latin</v>
      </c>
      <c r="T285" t="str">
        <f ca="1">IFERROR(__xludf.DUMMYFUNCTION("""COMPUTED_VALUE"""),"definite")</f>
        <v>definite</v>
      </c>
      <c r="U285" t="str">
        <f ca="1">IFERROR(__xludf.DUMMYFUNCTION("""COMPUTED_VALUE"""),"C2552")</f>
        <v>C2552</v>
      </c>
      <c r="V285" t="str">
        <f ca="1">IFERROR(__xludf.DUMMYFUNCTION("""COMPUTED_VALUE"""),"female")</f>
        <v>female</v>
      </c>
      <c r="Z285" t="str">
        <f ca="1">IFERROR(__xludf.DUMMYFUNCTION("""COMPUTED_VALUE"""),"192")</f>
        <v>192</v>
      </c>
      <c r="AA285" t="str">
        <f ca="1">IFERROR(__xludf.DUMMYFUNCTION("""COMPUTED_VALUE"""),"d")</f>
        <v>d</v>
      </c>
      <c r="AB285" t="str">
        <f ca="1">IFERROR(__xludf.DUMMYFUNCTION("""COMPUTED_VALUE"""),"suspect")</f>
        <v>suspect</v>
      </c>
      <c r="AC285" t="str">
        <f ca="1">IFERROR(__xludf.DUMMYFUNCTION("""COMPUTED_VALUE"""),"y")</f>
        <v>y</v>
      </c>
      <c r="AD285" t="str">
        <f ca="1">IFERROR(__xludf.DUMMYFUNCTION("""COMPUTED_VALUE"""),"C3288")</f>
        <v>C3288</v>
      </c>
      <c r="AE285" t="str">
        <f ca="1">IFERROR(__xludf.DUMMYFUNCTION("""COMPUTED_VALUE"""),"dead")</f>
        <v>dead</v>
      </c>
      <c r="AF285" t="str">
        <f ca="1">IFERROR(__xludf.DUMMYFUNCTION("""COMPUTED_VALUE"""),"C1749")</f>
        <v>C1749</v>
      </c>
      <c r="AG285" t="str">
        <f ca="1">IFERROR(__xludf.DUMMYFUNCTION("""COMPUTED_VALUE"""),"1335-01-20")</f>
        <v>1335-01-20</v>
      </c>
      <c r="AI285" t="str">
        <f ca="1">IFERROR(__xludf.DUMMYFUNCTION("""COMPUTED_VALUE"""),"#VALUE!")</f>
        <v>#VALUE!</v>
      </c>
      <c r="AK285" t="str">
        <f ca="1">IFERROR(__xludf.DUMMYFUNCTION("""COMPUTED_VALUE"""),"#VALUE!")</f>
        <v>#VALUE!</v>
      </c>
      <c r="AM285" t="str">
        <f ca="1">IFERROR(__xludf.DUMMYFUNCTION("""COMPUTED_VALUE"""),"#VALUE!")</f>
        <v>#VALUE!</v>
      </c>
      <c r="AO285" t="str">
        <f ca="1">IFERROR(__xludf.DUMMYFUNCTION("""COMPUTED_VALUE"""),"#VALUE!")</f>
        <v>#VALUE!</v>
      </c>
      <c r="AQ285" t="str">
        <f ca="1">IFERROR(__xludf.DUMMYFUNCTION("""COMPUTED_VALUE"""),"#VALUE!")</f>
        <v>#VALUE!</v>
      </c>
      <c r="AS285" t="str">
        <f ca="1">IFERROR(__xludf.DUMMYFUNCTION("""COMPUTED_VALUE"""),"#VALUE!")</f>
        <v>#VALUE!</v>
      </c>
      <c r="AU285" t="str">
        <f ca="1">IFERROR(__xludf.DUMMYFUNCTION("""COMPUTED_VALUE"""),"#VALUE!")</f>
        <v>#VALUE!</v>
      </c>
      <c r="AW285" t="str">
        <f ca="1">IFERROR(__xludf.DUMMYFUNCTION("""COMPUTED_VALUE"""),"#VALUE!")</f>
        <v>#VALUE!</v>
      </c>
      <c r="AY285" t="str">
        <f ca="1">IFERROR(__xludf.DUMMYFUNCTION("""COMPUTED_VALUE"""),"#VALUE!")</f>
        <v>#VALUE!</v>
      </c>
      <c r="BA285" t="str">
        <f ca="1">IFERROR(__xludf.DUMMYFUNCTION("""COMPUTED_VALUE"""),"#VALUE!")</f>
        <v>#VALUE!</v>
      </c>
      <c r="BC285" t="str">
        <f ca="1">IFERROR(__xludf.DUMMYFUNCTION("""COMPUTED_VALUE"""),"#VALUE!")</f>
        <v>#VALUE!</v>
      </c>
      <c r="BE285" t="str">
        <f ca="1">IFERROR(__xludf.DUMMYFUNCTION("""COMPUTED_VALUE"""),"#VALUE!")</f>
        <v>#VALUE!</v>
      </c>
      <c r="BG285" t="str">
        <f ca="1">IFERROR(__xludf.DUMMYFUNCTION("""COMPUTED_VALUE"""),"#VALUE!")</f>
        <v>#VALUE!</v>
      </c>
      <c r="BI285" t="str">
        <f ca="1">IFERROR(__xludf.DUMMYFUNCTION("""COMPUTED_VALUE"""),"#VALUE!")</f>
        <v>#VALUE!</v>
      </c>
      <c r="BK285" t="str">
        <f ca="1">IFERROR(__xludf.DUMMYFUNCTION("""COMPUTED_VALUE"""),"#VALUE!")</f>
        <v>#VALUE!</v>
      </c>
      <c r="BM285" t="str">
        <f ca="1">IFERROR(__xludf.DUMMYFUNCTION("""COMPUTED_VALUE"""),"#VALUE!")</f>
        <v>#VALUE!</v>
      </c>
      <c r="BO285" t="str">
        <f ca="1">IFERROR(__xludf.DUMMYFUNCTION("""COMPUTED_VALUE"""),"#VALUE!")</f>
        <v>#VALUE!</v>
      </c>
      <c r="BQ285" t="str">
        <f ca="1">IFERROR(__xludf.DUMMYFUNCTION("""COMPUTED_VALUE"""),"#VALUE!")</f>
        <v>#VALUE!</v>
      </c>
      <c r="BS285" t="str">
        <f ca="1">IFERROR(__xludf.DUMMYFUNCTION("""COMPUTED_VALUE"""),"#VALUE!")</f>
        <v>#VALUE!</v>
      </c>
      <c r="BU285" t="str">
        <f ca="1">IFERROR(__xludf.DUMMYFUNCTION("""COMPUTED_VALUE"""),"#VALUE!")</f>
        <v>#VALUE!</v>
      </c>
      <c r="BW285" t="str">
        <f ca="1">IFERROR(__xludf.DUMMYFUNCTION("""COMPUTED_VALUE"""),"#VALUE!")</f>
        <v>#VALUE!</v>
      </c>
      <c r="BY285" t="str">
        <f ca="1">IFERROR(__xludf.DUMMYFUNCTION("""COMPUTED_VALUE"""),"#VALUE!")</f>
        <v>#VALUE!</v>
      </c>
      <c r="CA285" t="str">
        <f ca="1">IFERROR(__xludf.DUMMYFUNCTION("""COMPUTED_VALUE"""),"#VALUE!")</f>
        <v>#VALUE!</v>
      </c>
      <c r="CC285" t="str">
        <f ca="1">IFERROR(__xludf.DUMMYFUNCTION("""COMPUTED_VALUE"""),"#VALUE!")</f>
        <v>#VALUE!</v>
      </c>
      <c r="CD285" t="str">
        <f ca="1">IFERROR(__xludf.DUMMYFUNCTION("""COMPUTED_VALUE"""),"C3598")</f>
        <v>C3598</v>
      </c>
      <c r="CE285" t="str">
        <f ca="1">IFERROR(__xludf.DUMMYFUNCTION("""COMPUTED_VALUE"""),"location of congregation")</f>
        <v>location of congregation</v>
      </c>
      <c r="CF285" t="str">
        <f ca="1">IFERROR(__xludf.DUMMYFUNCTION("""COMPUTED_VALUE"""),"L0065")</f>
        <v>L0065</v>
      </c>
      <c r="CG285" t="str">
        <f ca="1">IFERROR(__xludf.DUMMYFUNCTION("""COMPUTED_VALUE"""),"domus Iohannis de Castagno de Giaveno")</f>
        <v>domus Iohannis de Castagno de Giaveno</v>
      </c>
      <c r="CI285" t="str">
        <f ca="1">IFERROR(__xludf.DUMMYFUNCTION("""COMPUTED_VALUE"""),"#VALUE!")</f>
        <v>#VALUE!</v>
      </c>
      <c r="CK285" t="str">
        <f ca="1">IFERROR(__xludf.DUMMYFUNCTION("""COMPUTED_VALUE"""),"#VALUE!")</f>
        <v>#VALUE!</v>
      </c>
      <c r="CS285" t="str">
        <f ca="1">IFERROR(__xludf.DUMMYFUNCTION("""COMPUTED_VALUE"""),"#VALUE!")</f>
        <v>#VALUE!</v>
      </c>
      <c r="CU285" t="str">
        <f ca="1">IFERROR(__xludf.DUMMYFUNCTION("""COMPUTED_VALUE"""),"#VALUE!")</f>
        <v>#VALUE!</v>
      </c>
      <c r="CW285" t="str">
        <f ca="1">IFERROR(__xludf.DUMMYFUNCTION("""COMPUTED_VALUE"""),"#VALUE!")</f>
        <v>#VALUE!</v>
      </c>
      <c r="CY285" t="str">
        <f ca="1">IFERROR(__xludf.DUMMYFUNCTION("""COMPUTED_VALUE"""),"#VALUE!")</f>
        <v>#VALUE!</v>
      </c>
      <c r="DC285" t="str">
        <f ca="1">IFERROR(__xludf.DUMMYFUNCTION("""COMPUTED_VALUE"""),"#VALUE!")</f>
        <v>#VALUE!</v>
      </c>
      <c r="DE285" t="str">
        <f ca="1">IFERROR(__xludf.DUMMYFUNCTION("""COMPUTED_VALUE"""),"#VALUE!")</f>
        <v>#VALUE!</v>
      </c>
      <c r="DH285" t="str">
        <f ca="1">IFERROR(__xludf.DUMMYFUNCTION("""COMPUTED_VALUE"""),"L0065")</f>
        <v>L0065</v>
      </c>
      <c r="DI285" t="str">
        <f ca="1">IFERROR(__xludf.DUMMYFUNCTION("""COMPUTED_VALUE"""),"domus Iohannis de Castagno de Giaveno")</f>
        <v>domus Iohannis de Castagno de Giaveno</v>
      </c>
      <c r="DJ285" t="str">
        <f ca="1">IFERROR(__xludf.DUMMYFUNCTION("""COMPUTED_VALUE"""),"domus")</f>
        <v>domus</v>
      </c>
      <c r="DL285" t="str">
        <f ca="1">IFERROR(__xludf.DUMMYFUNCTION("""COMPUTED_VALUE"""),"Davor Salihović")</f>
        <v>Davor Salihović</v>
      </c>
    </row>
    <row r="286" spans="1:116" ht="13.2" x14ac:dyDescent="0.25">
      <c r="A286" t="str">
        <f ca="1">IFERROR(__xludf.DUMMYFUNCTION("""COMPUTED_VALUE"""),"P0292")</f>
        <v>P0292</v>
      </c>
      <c r="B286" t="str">
        <f ca="1">IFERROR(__xludf.DUMMYFUNCTION("""COMPUTED_VALUE"""),"Iohannes Giraudi")</f>
        <v>Iohannes Giraudi</v>
      </c>
      <c r="D286" t="str">
        <f ca="1">IFERROR(__xludf.DUMMYFUNCTION("""COMPUTED_VALUE"""),"#VALUE!")</f>
        <v>#VALUE!</v>
      </c>
      <c r="E286" t="str">
        <f ca="1">IFERROR(__xludf.DUMMYFUNCTION("""COMPUTED_VALUE"""),"Iohannes")</f>
        <v>Iohannes</v>
      </c>
      <c r="K286" t="str">
        <f ca="1">IFERROR(__xludf.DUMMYFUNCTION("""COMPUTED_VALUE"""),"Giraudi")</f>
        <v>Giraudi</v>
      </c>
      <c r="L286" t="str">
        <f ca="1">IFERROR(__xludf.DUMMYFUNCTION("""COMPUTED_VALUE"""),"Giraudi")</f>
        <v>Giraudi</v>
      </c>
      <c r="S286" t="str">
        <f ca="1">IFERROR(__xludf.DUMMYFUNCTION("""COMPUTED_VALUE"""),"Latin")</f>
        <v>Latin</v>
      </c>
      <c r="T286" t="str">
        <f ca="1">IFERROR(__xludf.DUMMYFUNCTION("""COMPUTED_VALUE"""),"definite")</f>
        <v>definite</v>
      </c>
      <c r="U286" t="str">
        <f ca="1">IFERROR(__xludf.DUMMYFUNCTION("""COMPUTED_VALUE"""),"C2553")</f>
        <v>C2553</v>
      </c>
      <c r="V286" t="str">
        <f ca="1">IFERROR(__xludf.DUMMYFUNCTION("""COMPUTED_VALUE"""),"male")</f>
        <v>male</v>
      </c>
      <c r="Z286" t="str">
        <f ca="1">IFERROR(__xludf.DUMMYFUNCTION("""COMPUTED_VALUE"""),"192, 205, 217, 242, 243")</f>
        <v>192, 205, 217, 242, 243</v>
      </c>
      <c r="AA286" t="str">
        <f ca="1">IFERROR(__xludf.DUMMYFUNCTION("""COMPUTED_VALUE"""),"d")</f>
        <v>d</v>
      </c>
      <c r="AB286" t="str">
        <f ca="1">IFERROR(__xludf.DUMMYFUNCTION("""COMPUTED_VALUE"""),"suspect")</f>
        <v>suspect</v>
      </c>
      <c r="AD286" t="str">
        <f ca="1">IFERROR(__xludf.DUMMYFUNCTION("""COMPUTED_VALUE"""),"C3287")</f>
        <v>C3287</v>
      </c>
      <c r="AE286" t="str">
        <f ca="1">IFERROR(__xludf.DUMMYFUNCTION("""COMPUTED_VALUE"""),"alive")</f>
        <v>alive</v>
      </c>
      <c r="AF286" t="str">
        <f ca="1">IFERROR(__xludf.DUMMYFUNCTION("""COMPUTED_VALUE"""),"C1753")</f>
        <v>C1753</v>
      </c>
      <c r="AG286" t="str">
        <f ca="1">IFERROR(__xludf.DUMMYFUNCTION("""COMPUTED_VALUE"""),"1335-01-20")</f>
        <v>1335-01-20</v>
      </c>
      <c r="AH286" t="str">
        <f ca="1">IFERROR(__xludf.DUMMYFUNCTION("""COMPUTED_VALUE"""),"C2348")</f>
        <v>C2348</v>
      </c>
      <c r="AI286" t="str">
        <f ca="1">IFERROR(__xludf.DUMMYFUNCTION("""COMPUTED_VALUE"""),"wife")</f>
        <v>wife</v>
      </c>
      <c r="AJ286" t="str">
        <f ca="1">IFERROR(__xludf.DUMMYFUNCTION("""COMPUTED_VALUE"""),"P0291")</f>
        <v>P0291</v>
      </c>
      <c r="AK286" t="str">
        <f ca="1">IFERROR(__xludf.DUMMYFUNCTION("""COMPUTED_VALUE"""),"Iohanna Bruncina")</f>
        <v>Iohanna Bruncina</v>
      </c>
      <c r="AM286" t="str">
        <f ca="1">IFERROR(__xludf.DUMMYFUNCTION("""COMPUTED_VALUE"""),"#VALUE!")</f>
        <v>#VALUE!</v>
      </c>
      <c r="AO286" t="str">
        <f ca="1">IFERROR(__xludf.DUMMYFUNCTION("""COMPUTED_VALUE"""),"#VALUE!")</f>
        <v>#VALUE!</v>
      </c>
      <c r="AQ286" t="str">
        <f ca="1">IFERROR(__xludf.DUMMYFUNCTION("""COMPUTED_VALUE"""),"#VALUE!")</f>
        <v>#VALUE!</v>
      </c>
      <c r="AS286" t="str">
        <f ca="1">IFERROR(__xludf.DUMMYFUNCTION("""COMPUTED_VALUE"""),"#VALUE!")</f>
        <v>#VALUE!</v>
      </c>
      <c r="AU286" t="str">
        <f ca="1">IFERROR(__xludf.DUMMYFUNCTION("""COMPUTED_VALUE"""),"#VALUE!")</f>
        <v>#VALUE!</v>
      </c>
      <c r="AW286" t="str">
        <f ca="1">IFERROR(__xludf.DUMMYFUNCTION("""COMPUTED_VALUE"""),"#VALUE!")</f>
        <v>#VALUE!</v>
      </c>
      <c r="AY286" t="str">
        <f ca="1">IFERROR(__xludf.DUMMYFUNCTION("""COMPUTED_VALUE"""),"#VALUE!")</f>
        <v>#VALUE!</v>
      </c>
      <c r="BA286" t="str">
        <f ca="1">IFERROR(__xludf.DUMMYFUNCTION("""COMPUTED_VALUE"""),"#VALUE!")</f>
        <v>#VALUE!</v>
      </c>
      <c r="BC286" t="str">
        <f ca="1">IFERROR(__xludf.DUMMYFUNCTION("""COMPUTED_VALUE"""),"#VALUE!")</f>
        <v>#VALUE!</v>
      </c>
      <c r="BE286" t="str">
        <f ca="1">IFERROR(__xludf.DUMMYFUNCTION("""COMPUTED_VALUE"""),"#VALUE!")</f>
        <v>#VALUE!</v>
      </c>
      <c r="BG286" t="str">
        <f ca="1">IFERROR(__xludf.DUMMYFUNCTION("""COMPUTED_VALUE"""),"#VALUE!")</f>
        <v>#VALUE!</v>
      </c>
      <c r="BI286" t="str">
        <f ca="1">IFERROR(__xludf.DUMMYFUNCTION("""COMPUTED_VALUE"""),"#VALUE!")</f>
        <v>#VALUE!</v>
      </c>
      <c r="BK286" t="str">
        <f ca="1">IFERROR(__xludf.DUMMYFUNCTION("""COMPUTED_VALUE"""),"#VALUE!")</f>
        <v>#VALUE!</v>
      </c>
      <c r="BM286" t="str">
        <f ca="1">IFERROR(__xludf.DUMMYFUNCTION("""COMPUTED_VALUE"""),"#VALUE!")</f>
        <v>#VALUE!</v>
      </c>
      <c r="BO286" t="str">
        <f ca="1">IFERROR(__xludf.DUMMYFUNCTION("""COMPUTED_VALUE"""),"#VALUE!")</f>
        <v>#VALUE!</v>
      </c>
      <c r="BQ286" t="str">
        <f ca="1">IFERROR(__xludf.DUMMYFUNCTION("""COMPUTED_VALUE"""),"#VALUE!")</f>
        <v>#VALUE!</v>
      </c>
      <c r="BS286" t="str">
        <f ca="1">IFERROR(__xludf.DUMMYFUNCTION("""COMPUTED_VALUE"""),"#VALUE!")</f>
        <v>#VALUE!</v>
      </c>
      <c r="BU286" t="str">
        <f ca="1">IFERROR(__xludf.DUMMYFUNCTION("""COMPUTED_VALUE"""),"#VALUE!")</f>
        <v>#VALUE!</v>
      </c>
      <c r="BW286" t="str">
        <f ca="1">IFERROR(__xludf.DUMMYFUNCTION("""COMPUTED_VALUE"""),"#VALUE!")</f>
        <v>#VALUE!</v>
      </c>
      <c r="BY286" t="str">
        <f ca="1">IFERROR(__xludf.DUMMYFUNCTION("""COMPUTED_VALUE"""),"#VALUE!")</f>
        <v>#VALUE!</v>
      </c>
      <c r="CA286" t="str">
        <f ca="1">IFERROR(__xludf.DUMMYFUNCTION("""COMPUTED_VALUE"""),"#VALUE!")</f>
        <v>#VALUE!</v>
      </c>
      <c r="CC286" t="str">
        <f ca="1">IFERROR(__xludf.DUMMYFUNCTION("""COMPUTED_VALUE"""),"#VALUE!")</f>
        <v>#VALUE!</v>
      </c>
      <c r="CD286" t="str">
        <f ca="1">IFERROR(__xludf.DUMMYFUNCTION("""COMPUTED_VALUE"""),"C3598")</f>
        <v>C3598</v>
      </c>
      <c r="CE286" t="str">
        <f ca="1">IFERROR(__xludf.DUMMYFUNCTION("""COMPUTED_VALUE"""),"location of congregation")</f>
        <v>location of congregation</v>
      </c>
      <c r="CF286" t="str">
        <f ca="1">IFERROR(__xludf.DUMMYFUNCTION("""COMPUTED_VALUE"""),"L0103")</f>
        <v>L0103</v>
      </c>
      <c r="CG286" t="str">
        <f ca="1">IFERROR(__xludf.DUMMYFUNCTION("""COMPUTED_VALUE"""),"domus Iohannis de Girauda")</f>
        <v>domus Iohannis de Girauda</v>
      </c>
      <c r="CI286" t="str">
        <f ca="1">IFERROR(__xludf.DUMMYFUNCTION("""COMPUTED_VALUE"""),"#VALUE!")</f>
        <v>#VALUE!</v>
      </c>
      <c r="CK286" t="str">
        <f ca="1">IFERROR(__xludf.DUMMYFUNCTION("""COMPUTED_VALUE"""),"#VALUE!")</f>
        <v>#VALUE!</v>
      </c>
      <c r="CR286" t="str">
        <f ca="1">IFERROR(__xludf.DUMMYFUNCTION("""COMPUTED_VALUE"""),"L0010")</f>
        <v>L0010</v>
      </c>
      <c r="CS286" t="str">
        <f ca="1">IFERROR(__xludf.DUMMYFUNCTION("""COMPUTED_VALUE"""),"Buffa")</f>
        <v>Buffa</v>
      </c>
      <c r="CU286" t="str">
        <f ca="1">IFERROR(__xludf.DUMMYFUNCTION("""COMPUTED_VALUE"""),"#VALUE!")</f>
        <v>#VALUE!</v>
      </c>
      <c r="CW286" t="str">
        <f ca="1">IFERROR(__xludf.DUMMYFUNCTION("""COMPUTED_VALUE"""),"#VALUE!")</f>
        <v>#VALUE!</v>
      </c>
      <c r="CY286" t="str">
        <f ca="1">IFERROR(__xludf.DUMMYFUNCTION("""COMPUTED_VALUE"""),"#VALUE!")</f>
        <v>#VALUE!</v>
      </c>
      <c r="DC286" t="str">
        <f ca="1">IFERROR(__xludf.DUMMYFUNCTION("""COMPUTED_VALUE"""),"#VALUE!")</f>
        <v>#VALUE!</v>
      </c>
      <c r="DE286" t="str">
        <f ca="1">IFERROR(__xludf.DUMMYFUNCTION("""COMPUTED_VALUE"""),"#VALUE!")</f>
        <v>#VALUE!</v>
      </c>
      <c r="DF286" t="str">
        <f ca="1">IFERROR(__xludf.DUMMYFUNCTION("""COMPUTED_VALUE"""),"y")</f>
        <v>y</v>
      </c>
      <c r="DG286" t="str">
        <f ca="1">IFERROR(__xludf.DUMMYFUNCTION("""COMPUTED_VALUE"""),"217")</f>
        <v>217</v>
      </c>
      <c r="DH286" t="str">
        <f ca="1">IFERROR(__xludf.DUMMYFUNCTION("""COMPUTED_VALUE"""),"L0103")</f>
        <v>L0103</v>
      </c>
      <c r="DI286" t="str">
        <f ca="1">IFERROR(__xludf.DUMMYFUNCTION("""COMPUTED_VALUE"""),"domus Iohannis de Girauda")</f>
        <v>domus Iohannis de Girauda</v>
      </c>
      <c r="DJ286" t="str">
        <f ca="1">IFERROR(__xludf.DUMMYFUNCTION("""COMPUTED_VALUE"""),"domus")</f>
        <v>domus</v>
      </c>
      <c r="DL286" t="str">
        <f ca="1">IFERROR(__xludf.DUMMYFUNCTION("""COMPUTED_VALUE"""),"Davor Salihović")</f>
        <v>Davor Salihović</v>
      </c>
    </row>
    <row r="287" spans="1:116" ht="13.2" x14ac:dyDescent="0.25">
      <c r="A287" t="str">
        <f ca="1">IFERROR(__xludf.DUMMYFUNCTION("""COMPUTED_VALUE"""),"P0293")</f>
        <v>P0293</v>
      </c>
      <c r="B287" t="str">
        <f ca="1">IFERROR(__xludf.DUMMYFUNCTION("""COMPUTED_VALUE"""),"Poncetus")</f>
        <v>Poncetus</v>
      </c>
      <c r="D287" t="str">
        <f ca="1">IFERROR(__xludf.DUMMYFUNCTION("""COMPUTED_VALUE"""),"#VALUE!")</f>
        <v>#VALUE!</v>
      </c>
      <c r="E287" t="str">
        <f ca="1">IFERROR(__xludf.DUMMYFUNCTION("""COMPUTED_VALUE"""),"Poncetus")</f>
        <v>Poncetus</v>
      </c>
      <c r="Q287" t="str">
        <f ca="1">IFERROR(__xludf.DUMMYFUNCTION("""COMPUTED_VALUE"""),"socius Francisci Valdensis")</f>
        <v>socius Francisci Valdensis</v>
      </c>
      <c r="S287" t="str">
        <f ca="1">IFERROR(__xludf.DUMMYFUNCTION("""COMPUTED_VALUE"""),"Latin")</f>
        <v>Latin</v>
      </c>
      <c r="T287" t="str">
        <f ca="1">IFERROR(__xludf.DUMMYFUNCTION("""COMPUTED_VALUE"""),"definite")</f>
        <v>definite</v>
      </c>
      <c r="U287" t="str">
        <f ca="1">IFERROR(__xludf.DUMMYFUNCTION("""COMPUTED_VALUE"""),"C2553")</f>
        <v>C2553</v>
      </c>
      <c r="V287" t="str">
        <f ca="1">IFERROR(__xludf.DUMMYFUNCTION("""COMPUTED_VALUE"""),"male")</f>
        <v>male</v>
      </c>
      <c r="Z287" t="str">
        <f ca="1">IFERROR(__xludf.DUMMYFUNCTION("""COMPUTED_VALUE"""),"192")</f>
        <v>192</v>
      </c>
      <c r="AA287" t="str">
        <f ca="1">IFERROR(__xludf.DUMMYFUNCTION("""COMPUTED_VALUE"""),"d")</f>
        <v>d</v>
      </c>
      <c r="AB287" t="str">
        <f ca="1">IFERROR(__xludf.DUMMYFUNCTION("""COMPUTED_VALUE"""),"suspect")</f>
        <v>suspect</v>
      </c>
      <c r="AE287" t="str">
        <f ca="1">IFERROR(__xludf.DUMMYFUNCTION("""COMPUTED_VALUE"""),"#VALUE!")</f>
        <v>#VALUE!</v>
      </c>
      <c r="AF287" t="str">
        <f ca="1">IFERROR(__xludf.DUMMYFUNCTION("""COMPUTED_VALUE"""),"#N/A")</f>
        <v>#N/A</v>
      </c>
      <c r="AG287" t="str">
        <f ca="1">IFERROR(__xludf.DUMMYFUNCTION("""COMPUTED_VALUE"""),"#N/A")</f>
        <v>#N/A</v>
      </c>
      <c r="AH287" t="str">
        <f ca="1">IFERROR(__xludf.DUMMYFUNCTION("""COMPUTED_VALUE"""),"C2358")</f>
        <v>C2358</v>
      </c>
      <c r="AI287" t="str">
        <f ca="1">IFERROR(__xludf.DUMMYFUNCTION("""COMPUTED_VALUE"""),"associate")</f>
        <v>associate</v>
      </c>
      <c r="AJ287" t="str">
        <f ca="1">IFERROR(__xludf.DUMMYFUNCTION("""COMPUTED_VALUE"""),"P0206")</f>
        <v>P0206</v>
      </c>
      <c r="AK287" t="str">
        <f ca="1">IFERROR(__xludf.DUMMYFUNCTION("""COMPUTED_VALUE"""),"Franciscus")</f>
        <v>Franciscus</v>
      </c>
      <c r="AM287" t="str">
        <f ca="1">IFERROR(__xludf.DUMMYFUNCTION("""COMPUTED_VALUE"""),"#VALUE!")</f>
        <v>#VALUE!</v>
      </c>
      <c r="AO287" t="str">
        <f ca="1">IFERROR(__xludf.DUMMYFUNCTION("""COMPUTED_VALUE"""),"#VALUE!")</f>
        <v>#VALUE!</v>
      </c>
      <c r="AQ287" t="str">
        <f ca="1">IFERROR(__xludf.DUMMYFUNCTION("""COMPUTED_VALUE"""),"#VALUE!")</f>
        <v>#VALUE!</v>
      </c>
      <c r="AS287" t="str">
        <f ca="1">IFERROR(__xludf.DUMMYFUNCTION("""COMPUTED_VALUE"""),"#VALUE!")</f>
        <v>#VALUE!</v>
      </c>
      <c r="AU287" t="str">
        <f ca="1">IFERROR(__xludf.DUMMYFUNCTION("""COMPUTED_VALUE"""),"#VALUE!")</f>
        <v>#VALUE!</v>
      </c>
      <c r="AW287" t="str">
        <f ca="1">IFERROR(__xludf.DUMMYFUNCTION("""COMPUTED_VALUE"""),"#VALUE!")</f>
        <v>#VALUE!</v>
      </c>
      <c r="AY287" t="str">
        <f ca="1">IFERROR(__xludf.DUMMYFUNCTION("""COMPUTED_VALUE"""),"#VALUE!")</f>
        <v>#VALUE!</v>
      </c>
      <c r="BA287" t="str">
        <f ca="1">IFERROR(__xludf.DUMMYFUNCTION("""COMPUTED_VALUE"""),"#VALUE!")</f>
        <v>#VALUE!</v>
      </c>
      <c r="BC287" t="str">
        <f ca="1">IFERROR(__xludf.DUMMYFUNCTION("""COMPUTED_VALUE"""),"#VALUE!")</f>
        <v>#VALUE!</v>
      </c>
      <c r="BE287" t="str">
        <f ca="1">IFERROR(__xludf.DUMMYFUNCTION("""COMPUTED_VALUE"""),"#VALUE!")</f>
        <v>#VALUE!</v>
      </c>
      <c r="BG287" t="str">
        <f ca="1">IFERROR(__xludf.DUMMYFUNCTION("""COMPUTED_VALUE"""),"#VALUE!")</f>
        <v>#VALUE!</v>
      </c>
      <c r="BI287" t="str">
        <f ca="1">IFERROR(__xludf.DUMMYFUNCTION("""COMPUTED_VALUE"""),"#VALUE!")</f>
        <v>#VALUE!</v>
      </c>
      <c r="BK287" t="str">
        <f ca="1">IFERROR(__xludf.DUMMYFUNCTION("""COMPUTED_VALUE"""),"#VALUE!")</f>
        <v>#VALUE!</v>
      </c>
      <c r="BM287" t="str">
        <f ca="1">IFERROR(__xludf.DUMMYFUNCTION("""COMPUTED_VALUE"""),"#VALUE!")</f>
        <v>#VALUE!</v>
      </c>
      <c r="BO287" t="str">
        <f ca="1">IFERROR(__xludf.DUMMYFUNCTION("""COMPUTED_VALUE"""),"#VALUE!")</f>
        <v>#VALUE!</v>
      </c>
      <c r="BQ287" t="str">
        <f ca="1">IFERROR(__xludf.DUMMYFUNCTION("""COMPUTED_VALUE"""),"#VALUE!")</f>
        <v>#VALUE!</v>
      </c>
      <c r="BS287" t="str">
        <f ca="1">IFERROR(__xludf.DUMMYFUNCTION("""COMPUTED_VALUE"""),"#VALUE!")</f>
        <v>#VALUE!</v>
      </c>
      <c r="BU287" t="str">
        <f ca="1">IFERROR(__xludf.DUMMYFUNCTION("""COMPUTED_VALUE"""),"#VALUE!")</f>
        <v>#VALUE!</v>
      </c>
      <c r="BW287" t="str">
        <f ca="1">IFERROR(__xludf.DUMMYFUNCTION("""COMPUTED_VALUE"""),"#VALUE!")</f>
        <v>#VALUE!</v>
      </c>
      <c r="BY287" t="str">
        <f ca="1">IFERROR(__xludf.DUMMYFUNCTION("""COMPUTED_VALUE"""),"#VALUE!")</f>
        <v>#VALUE!</v>
      </c>
      <c r="CA287" t="str">
        <f ca="1">IFERROR(__xludf.DUMMYFUNCTION("""COMPUTED_VALUE"""),"#VALUE!")</f>
        <v>#VALUE!</v>
      </c>
      <c r="CC287" t="str">
        <f ca="1">IFERROR(__xludf.DUMMYFUNCTION("""COMPUTED_VALUE"""),"#VALUE!")</f>
        <v>#VALUE!</v>
      </c>
      <c r="CD287" t="str">
        <f ca="1">IFERROR(__xludf.DUMMYFUNCTION("""COMPUTED_VALUE"""),"C3598")</f>
        <v>C3598</v>
      </c>
      <c r="CE287" t="str">
        <f ca="1">IFERROR(__xludf.DUMMYFUNCTION("""COMPUTED_VALUE"""),"location of congregation")</f>
        <v>location of congregation</v>
      </c>
      <c r="CF287" t="str">
        <f ca="1">IFERROR(__xludf.DUMMYFUNCTION("""COMPUTED_VALUE"""),"L0067")</f>
        <v>L0067</v>
      </c>
      <c r="CG287" t="str">
        <f ca="1">IFERROR(__xludf.DUMMYFUNCTION("""COMPUTED_VALUE"""),"domus Petri Rupphini")</f>
        <v>domus Petri Rupphini</v>
      </c>
      <c r="CI287" t="str">
        <f ca="1">IFERROR(__xludf.DUMMYFUNCTION("""COMPUTED_VALUE"""),"#VALUE!")</f>
        <v>#VALUE!</v>
      </c>
      <c r="CK287" t="str">
        <f ca="1">IFERROR(__xludf.DUMMYFUNCTION("""COMPUTED_VALUE"""),"#VALUE!")</f>
        <v>#VALUE!</v>
      </c>
      <c r="CS287" t="str">
        <f ca="1">IFERROR(__xludf.DUMMYFUNCTION("""COMPUTED_VALUE"""),"#VALUE!")</f>
        <v>#VALUE!</v>
      </c>
      <c r="CU287" t="str">
        <f ca="1">IFERROR(__xludf.DUMMYFUNCTION("""COMPUTED_VALUE"""),"#VALUE!")</f>
        <v>#VALUE!</v>
      </c>
      <c r="CW287" t="str">
        <f ca="1">IFERROR(__xludf.DUMMYFUNCTION("""COMPUTED_VALUE"""),"#VALUE!")</f>
        <v>#VALUE!</v>
      </c>
      <c r="CX287" t="str">
        <f ca="1">IFERROR(__xludf.DUMMYFUNCTION("""COMPUTED_VALUE"""),"C3198#C3197")</f>
        <v>C3198#C3197</v>
      </c>
      <c r="CY287" t="str">
        <f ca="1">IFERROR(__xludf.DUMMYFUNCTION("""COMPUTED_VALUE"""),"socius Valdensis #Valdensis")</f>
        <v>socius Valdensis #Valdensis</v>
      </c>
      <c r="DA287" t="str">
        <f ca="1">IFERROR(__xludf.DUMMYFUNCTION("""COMPUTED_VALUE"""),"dissident minister")</f>
        <v>dissident minister</v>
      </c>
      <c r="DC287" t="str">
        <f ca="1">IFERROR(__xludf.DUMMYFUNCTION("""COMPUTED_VALUE"""),"#VALUE!")</f>
        <v>#VALUE!</v>
      </c>
      <c r="DD287" t="str">
        <f ca="1">IFERROR(__xludf.DUMMYFUNCTION("""COMPUTED_VALUE"""),"C3197")</f>
        <v>C3197</v>
      </c>
      <c r="DE287" t="str">
        <f ca="1">IFERROR(__xludf.DUMMYFUNCTION("""COMPUTED_VALUE"""),"Valdensis")</f>
        <v>Valdensis</v>
      </c>
      <c r="DH287" t="str">
        <f ca="1">IFERROR(__xludf.DUMMYFUNCTION("""COMPUTED_VALUE"""),"L0067")</f>
        <v>L0067</v>
      </c>
      <c r="DI287" t="str">
        <f ca="1">IFERROR(__xludf.DUMMYFUNCTION("""COMPUTED_VALUE"""),"domus Petri Rupphini")</f>
        <v>domus Petri Rupphini</v>
      </c>
      <c r="DJ287" t="str">
        <f ca="1">IFERROR(__xludf.DUMMYFUNCTION("""COMPUTED_VALUE"""),"domus")</f>
        <v>domus</v>
      </c>
      <c r="DL287" t="str">
        <f ca="1">IFERROR(__xludf.DUMMYFUNCTION("""COMPUTED_VALUE"""),"Davor Salihović")</f>
        <v>Davor Salihović</v>
      </c>
    </row>
    <row r="288" spans="1:116" ht="13.2" x14ac:dyDescent="0.25">
      <c r="A288" t="str">
        <f ca="1">IFERROR(__xludf.DUMMYFUNCTION("""COMPUTED_VALUE"""),"P0294")</f>
        <v>P0294</v>
      </c>
      <c r="B288" t="str">
        <f ca="1">IFERROR(__xludf.DUMMYFUNCTION("""COMPUTED_VALUE"""),"mater Petri Rupphini")</f>
        <v>mater Petri Rupphini</v>
      </c>
      <c r="D288" t="str">
        <f ca="1">IFERROR(__xludf.DUMMYFUNCTION("""COMPUTED_VALUE"""),"#VALUE!")</f>
        <v>#VALUE!</v>
      </c>
      <c r="E288" t="str">
        <f ca="1">IFERROR(__xludf.DUMMYFUNCTION("""COMPUTED_VALUE"""),"mater Petri Rupphini")</f>
        <v>mater Petri Rupphini</v>
      </c>
      <c r="Q288" t="str">
        <f ca="1">IFERROR(__xludf.DUMMYFUNCTION("""COMPUTED_VALUE"""),"mater Petri Rupphini")</f>
        <v>mater Petri Rupphini</v>
      </c>
      <c r="S288" t="str">
        <f ca="1">IFERROR(__xludf.DUMMYFUNCTION("""COMPUTED_VALUE"""),"Latin")</f>
        <v>Latin</v>
      </c>
      <c r="T288" t="str">
        <f ca="1">IFERROR(__xludf.DUMMYFUNCTION("""COMPUTED_VALUE"""),"definite")</f>
        <v>definite</v>
      </c>
      <c r="U288" t="str">
        <f ca="1">IFERROR(__xludf.DUMMYFUNCTION("""COMPUTED_VALUE"""),"C2552")</f>
        <v>C2552</v>
      </c>
      <c r="V288" t="str">
        <f ca="1">IFERROR(__xludf.DUMMYFUNCTION("""COMPUTED_VALUE"""),"female")</f>
        <v>female</v>
      </c>
      <c r="Z288" t="str">
        <f ca="1">IFERROR(__xludf.DUMMYFUNCTION("""COMPUTED_VALUE"""),"192, 233")</f>
        <v>192, 233</v>
      </c>
      <c r="AA288" t="str">
        <f ca="1">IFERROR(__xludf.DUMMYFUNCTION("""COMPUTED_VALUE"""),"d")</f>
        <v>d</v>
      </c>
      <c r="AB288" t="str">
        <f ca="1">IFERROR(__xludf.DUMMYFUNCTION("""COMPUTED_VALUE"""),"suspect")</f>
        <v>suspect</v>
      </c>
      <c r="AC288" t="str">
        <f ca="1">IFERROR(__xludf.DUMMYFUNCTION("""COMPUTED_VALUE"""),"y")</f>
        <v>y</v>
      </c>
      <c r="AD288" t="str">
        <f ca="1">IFERROR(__xludf.DUMMYFUNCTION("""COMPUTED_VALUE"""),"C3288")</f>
        <v>C3288</v>
      </c>
      <c r="AE288" t="str">
        <f ca="1">IFERROR(__xludf.DUMMYFUNCTION("""COMPUTED_VALUE"""),"dead")</f>
        <v>dead</v>
      </c>
      <c r="AF288" t="str">
        <f ca="1">IFERROR(__xludf.DUMMYFUNCTION("""COMPUTED_VALUE"""),"C1749")</f>
        <v>C1749</v>
      </c>
      <c r="AG288" t="str">
        <f ca="1">IFERROR(__xludf.DUMMYFUNCTION("""COMPUTED_VALUE"""),"1335-01-20")</f>
        <v>1335-01-20</v>
      </c>
      <c r="AI288" t="str">
        <f ca="1">IFERROR(__xludf.DUMMYFUNCTION("""COMPUTED_VALUE"""),"#VALUE!")</f>
        <v>#VALUE!</v>
      </c>
      <c r="AK288" t="str">
        <f ca="1">IFERROR(__xludf.DUMMYFUNCTION("""COMPUTED_VALUE"""),"#VALUE!")</f>
        <v>#VALUE!</v>
      </c>
      <c r="AM288" t="str">
        <f ca="1">IFERROR(__xludf.DUMMYFUNCTION("""COMPUTED_VALUE"""),"#VALUE!")</f>
        <v>#VALUE!</v>
      </c>
      <c r="AO288" t="str">
        <f ca="1">IFERROR(__xludf.DUMMYFUNCTION("""COMPUTED_VALUE"""),"#VALUE!")</f>
        <v>#VALUE!</v>
      </c>
      <c r="AQ288" t="str">
        <f ca="1">IFERROR(__xludf.DUMMYFUNCTION("""COMPUTED_VALUE"""),"#VALUE!")</f>
        <v>#VALUE!</v>
      </c>
      <c r="AS288" t="str">
        <f ca="1">IFERROR(__xludf.DUMMYFUNCTION("""COMPUTED_VALUE"""),"#VALUE!")</f>
        <v>#VALUE!</v>
      </c>
      <c r="AU288" t="str">
        <f ca="1">IFERROR(__xludf.DUMMYFUNCTION("""COMPUTED_VALUE"""),"#VALUE!")</f>
        <v>#VALUE!</v>
      </c>
      <c r="AW288" t="str">
        <f ca="1">IFERROR(__xludf.DUMMYFUNCTION("""COMPUTED_VALUE"""),"#VALUE!")</f>
        <v>#VALUE!</v>
      </c>
      <c r="AY288" t="str">
        <f ca="1">IFERROR(__xludf.DUMMYFUNCTION("""COMPUTED_VALUE"""),"#VALUE!")</f>
        <v>#VALUE!</v>
      </c>
      <c r="BA288" t="str">
        <f ca="1">IFERROR(__xludf.DUMMYFUNCTION("""COMPUTED_VALUE"""),"#VALUE!")</f>
        <v>#VALUE!</v>
      </c>
      <c r="BC288" t="str">
        <f ca="1">IFERROR(__xludf.DUMMYFUNCTION("""COMPUTED_VALUE"""),"#VALUE!")</f>
        <v>#VALUE!</v>
      </c>
      <c r="BE288" t="str">
        <f ca="1">IFERROR(__xludf.DUMMYFUNCTION("""COMPUTED_VALUE"""),"#VALUE!")</f>
        <v>#VALUE!</v>
      </c>
      <c r="BG288" t="str">
        <f ca="1">IFERROR(__xludf.DUMMYFUNCTION("""COMPUTED_VALUE"""),"#VALUE!")</f>
        <v>#VALUE!</v>
      </c>
      <c r="BI288" t="str">
        <f ca="1">IFERROR(__xludf.DUMMYFUNCTION("""COMPUTED_VALUE"""),"#VALUE!")</f>
        <v>#VALUE!</v>
      </c>
      <c r="BK288" t="str">
        <f ca="1">IFERROR(__xludf.DUMMYFUNCTION("""COMPUTED_VALUE"""),"#VALUE!")</f>
        <v>#VALUE!</v>
      </c>
      <c r="BM288" t="str">
        <f ca="1">IFERROR(__xludf.DUMMYFUNCTION("""COMPUTED_VALUE"""),"#VALUE!")</f>
        <v>#VALUE!</v>
      </c>
      <c r="BO288" t="str">
        <f ca="1">IFERROR(__xludf.DUMMYFUNCTION("""COMPUTED_VALUE"""),"#VALUE!")</f>
        <v>#VALUE!</v>
      </c>
      <c r="BQ288" t="str">
        <f ca="1">IFERROR(__xludf.DUMMYFUNCTION("""COMPUTED_VALUE"""),"#VALUE!")</f>
        <v>#VALUE!</v>
      </c>
      <c r="BS288" t="str">
        <f ca="1">IFERROR(__xludf.DUMMYFUNCTION("""COMPUTED_VALUE"""),"#VALUE!")</f>
        <v>#VALUE!</v>
      </c>
      <c r="BU288" t="str">
        <f ca="1">IFERROR(__xludf.DUMMYFUNCTION("""COMPUTED_VALUE"""),"#VALUE!")</f>
        <v>#VALUE!</v>
      </c>
      <c r="BW288" t="str">
        <f ca="1">IFERROR(__xludf.DUMMYFUNCTION("""COMPUTED_VALUE"""),"#VALUE!")</f>
        <v>#VALUE!</v>
      </c>
      <c r="BY288" t="str">
        <f ca="1">IFERROR(__xludf.DUMMYFUNCTION("""COMPUTED_VALUE"""),"#VALUE!")</f>
        <v>#VALUE!</v>
      </c>
      <c r="CA288" t="str">
        <f ca="1">IFERROR(__xludf.DUMMYFUNCTION("""COMPUTED_VALUE"""),"#VALUE!")</f>
        <v>#VALUE!</v>
      </c>
      <c r="CC288" t="str">
        <f ca="1">IFERROR(__xludf.DUMMYFUNCTION("""COMPUTED_VALUE"""),"#VALUE!")</f>
        <v>#VALUE!</v>
      </c>
      <c r="CD288" t="str">
        <f ca="1">IFERROR(__xludf.DUMMYFUNCTION("""COMPUTED_VALUE"""),"C3598")</f>
        <v>C3598</v>
      </c>
      <c r="CE288" t="str">
        <f ca="1">IFERROR(__xludf.DUMMYFUNCTION("""COMPUTED_VALUE"""),"location of congregation")</f>
        <v>location of congregation</v>
      </c>
      <c r="CF288" t="str">
        <f ca="1">IFERROR(__xludf.DUMMYFUNCTION("""COMPUTED_VALUE"""),"L0067")</f>
        <v>L0067</v>
      </c>
      <c r="CG288" t="str">
        <f ca="1">IFERROR(__xludf.DUMMYFUNCTION("""COMPUTED_VALUE"""),"domus Petri Rupphini")</f>
        <v>domus Petri Rupphini</v>
      </c>
      <c r="CI288" t="str">
        <f ca="1">IFERROR(__xludf.DUMMYFUNCTION("""COMPUTED_VALUE"""),"#VALUE!")</f>
        <v>#VALUE!</v>
      </c>
      <c r="CK288" t="str">
        <f ca="1">IFERROR(__xludf.DUMMYFUNCTION("""COMPUTED_VALUE"""),"#VALUE!")</f>
        <v>#VALUE!</v>
      </c>
      <c r="CS288" t="str">
        <f ca="1">IFERROR(__xludf.DUMMYFUNCTION("""COMPUTED_VALUE"""),"#VALUE!")</f>
        <v>#VALUE!</v>
      </c>
      <c r="CU288" t="str">
        <f ca="1">IFERROR(__xludf.DUMMYFUNCTION("""COMPUTED_VALUE"""),"#VALUE!")</f>
        <v>#VALUE!</v>
      </c>
      <c r="CW288" t="str">
        <f ca="1">IFERROR(__xludf.DUMMYFUNCTION("""COMPUTED_VALUE"""),"#VALUE!")</f>
        <v>#VALUE!</v>
      </c>
      <c r="CY288" t="str">
        <f ca="1">IFERROR(__xludf.DUMMYFUNCTION("""COMPUTED_VALUE"""),"#VALUE!")</f>
        <v>#VALUE!</v>
      </c>
      <c r="DC288" t="str">
        <f ca="1">IFERROR(__xludf.DUMMYFUNCTION("""COMPUTED_VALUE"""),"#VALUE!")</f>
        <v>#VALUE!</v>
      </c>
      <c r="DE288" t="str">
        <f ca="1">IFERROR(__xludf.DUMMYFUNCTION("""COMPUTED_VALUE"""),"#VALUE!")</f>
        <v>#VALUE!</v>
      </c>
      <c r="DH288" t="str">
        <f ca="1">IFERROR(__xludf.DUMMYFUNCTION("""COMPUTED_VALUE"""),"L0067")</f>
        <v>L0067</v>
      </c>
      <c r="DI288" t="str">
        <f ca="1">IFERROR(__xludf.DUMMYFUNCTION("""COMPUTED_VALUE"""),"domus Petri Rupphini")</f>
        <v>domus Petri Rupphini</v>
      </c>
      <c r="DJ288" t="str">
        <f ca="1">IFERROR(__xludf.DUMMYFUNCTION("""COMPUTED_VALUE"""),"domus")</f>
        <v>domus</v>
      </c>
      <c r="DL288" t="str">
        <f ca="1">IFERROR(__xludf.DUMMYFUNCTION("""COMPUTED_VALUE"""),"Davor Salihović")</f>
        <v>Davor Salihović</v>
      </c>
    </row>
    <row r="289" spans="1:116" ht="13.2" x14ac:dyDescent="0.25">
      <c r="A289" t="str">
        <f ca="1">IFERROR(__xludf.DUMMYFUNCTION("""COMPUTED_VALUE"""),"P0295")</f>
        <v>P0295</v>
      </c>
      <c r="B289" t="str">
        <f ca="1">IFERROR(__xludf.DUMMYFUNCTION("""COMPUTED_VALUE"""),"Petrus, filius Andree Maleysart")</f>
        <v>Petrus, filius Andree Maleysart</v>
      </c>
      <c r="D289" t="str">
        <f ca="1">IFERROR(__xludf.DUMMYFUNCTION("""COMPUTED_VALUE"""),"#VALUE!")</f>
        <v>#VALUE!</v>
      </c>
      <c r="E289" t="str">
        <f ca="1">IFERROR(__xludf.DUMMYFUNCTION("""COMPUTED_VALUE"""),"Petrus")</f>
        <v>Petrus</v>
      </c>
      <c r="Q289" t="str">
        <f ca="1">IFERROR(__xludf.DUMMYFUNCTION("""COMPUTED_VALUE"""),"filius Andree Malessart")</f>
        <v>filius Andree Malessart</v>
      </c>
      <c r="S289" t="str">
        <f ca="1">IFERROR(__xludf.DUMMYFUNCTION("""COMPUTED_VALUE"""),"Latin")</f>
        <v>Latin</v>
      </c>
      <c r="T289" t="str">
        <f ca="1">IFERROR(__xludf.DUMMYFUNCTION("""COMPUTED_VALUE"""),"definite")</f>
        <v>definite</v>
      </c>
      <c r="U289" t="str">
        <f ca="1">IFERROR(__xludf.DUMMYFUNCTION("""COMPUTED_VALUE"""),"C2553")</f>
        <v>C2553</v>
      </c>
      <c r="V289" t="str">
        <f ca="1">IFERROR(__xludf.DUMMYFUNCTION("""COMPUTED_VALUE"""),"male")</f>
        <v>male</v>
      </c>
      <c r="Z289" t="str">
        <f ca="1">IFERROR(__xludf.DUMMYFUNCTION("""COMPUTED_VALUE"""),"193, 226")</f>
        <v>193, 226</v>
      </c>
      <c r="AA289" t="str">
        <f ca="1">IFERROR(__xludf.DUMMYFUNCTION("""COMPUTED_VALUE"""),"d")</f>
        <v>d</v>
      </c>
      <c r="AB289" t="str">
        <f ca="1">IFERROR(__xludf.DUMMYFUNCTION("""COMPUTED_VALUE"""),"suspect")</f>
        <v>suspect</v>
      </c>
      <c r="AD289" t="str">
        <f ca="1">IFERROR(__xludf.DUMMYFUNCTION("""COMPUTED_VALUE"""),"C3287")</f>
        <v>C3287</v>
      </c>
      <c r="AE289" t="str">
        <f ca="1">IFERROR(__xludf.DUMMYFUNCTION("""COMPUTED_VALUE"""),"alive")</f>
        <v>alive</v>
      </c>
      <c r="AF289" t="str">
        <f ca="1">IFERROR(__xludf.DUMMYFUNCTION("""COMPUTED_VALUE"""),"C1753")</f>
        <v>C1753</v>
      </c>
      <c r="AG289" t="str">
        <f ca="1">IFERROR(__xludf.DUMMYFUNCTION("""COMPUTED_VALUE"""),"1335-01-20")</f>
        <v>1335-01-20</v>
      </c>
      <c r="AI289" t="str">
        <f ca="1">IFERROR(__xludf.DUMMYFUNCTION("""COMPUTED_VALUE"""),"#VALUE!")</f>
        <v>#VALUE!</v>
      </c>
      <c r="AK289" t="str">
        <f ca="1">IFERROR(__xludf.DUMMYFUNCTION("""COMPUTED_VALUE"""),"#VALUE!")</f>
        <v>#VALUE!</v>
      </c>
      <c r="AM289" t="str">
        <f ca="1">IFERROR(__xludf.DUMMYFUNCTION("""COMPUTED_VALUE"""),"#VALUE!")</f>
        <v>#VALUE!</v>
      </c>
      <c r="AO289" t="str">
        <f ca="1">IFERROR(__xludf.DUMMYFUNCTION("""COMPUTED_VALUE"""),"#VALUE!")</f>
        <v>#VALUE!</v>
      </c>
      <c r="AQ289" t="str">
        <f ca="1">IFERROR(__xludf.DUMMYFUNCTION("""COMPUTED_VALUE"""),"#VALUE!")</f>
        <v>#VALUE!</v>
      </c>
      <c r="AS289" t="str">
        <f ca="1">IFERROR(__xludf.DUMMYFUNCTION("""COMPUTED_VALUE"""),"#VALUE!")</f>
        <v>#VALUE!</v>
      </c>
      <c r="AU289" t="str">
        <f ca="1">IFERROR(__xludf.DUMMYFUNCTION("""COMPUTED_VALUE"""),"#VALUE!")</f>
        <v>#VALUE!</v>
      </c>
      <c r="AW289" t="str">
        <f ca="1">IFERROR(__xludf.DUMMYFUNCTION("""COMPUTED_VALUE"""),"#VALUE!")</f>
        <v>#VALUE!</v>
      </c>
      <c r="AY289" t="str">
        <f ca="1">IFERROR(__xludf.DUMMYFUNCTION("""COMPUTED_VALUE"""),"#VALUE!")</f>
        <v>#VALUE!</v>
      </c>
      <c r="BA289" t="str">
        <f ca="1">IFERROR(__xludf.DUMMYFUNCTION("""COMPUTED_VALUE"""),"#VALUE!")</f>
        <v>#VALUE!</v>
      </c>
      <c r="BC289" t="str">
        <f ca="1">IFERROR(__xludf.DUMMYFUNCTION("""COMPUTED_VALUE"""),"#VALUE!")</f>
        <v>#VALUE!</v>
      </c>
      <c r="BE289" t="str">
        <f ca="1">IFERROR(__xludf.DUMMYFUNCTION("""COMPUTED_VALUE"""),"#VALUE!")</f>
        <v>#VALUE!</v>
      </c>
      <c r="BG289" t="str">
        <f ca="1">IFERROR(__xludf.DUMMYFUNCTION("""COMPUTED_VALUE"""),"#VALUE!")</f>
        <v>#VALUE!</v>
      </c>
      <c r="BI289" t="str">
        <f ca="1">IFERROR(__xludf.DUMMYFUNCTION("""COMPUTED_VALUE"""),"#VALUE!")</f>
        <v>#VALUE!</v>
      </c>
      <c r="BK289" t="str">
        <f ca="1">IFERROR(__xludf.DUMMYFUNCTION("""COMPUTED_VALUE"""),"#VALUE!")</f>
        <v>#VALUE!</v>
      </c>
      <c r="BM289" t="str">
        <f ca="1">IFERROR(__xludf.DUMMYFUNCTION("""COMPUTED_VALUE"""),"#VALUE!")</f>
        <v>#VALUE!</v>
      </c>
      <c r="BO289" t="str">
        <f ca="1">IFERROR(__xludf.DUMMYFUNCTION("""COMPUTED_VALUE"""),"#VALUE!")</f>
        <v>#VALUE!</v>
      </c>
      <c r="BQ289" t="str">
        <f ca="1">IFERROR(__xludf.DUMMYFUNCTION("""COMPUTED_VALUE"""),"#VALUE!")</f>
        <v>#VALUE!</v>
      </c>
      <c r="BS289" t="str">
        <f ca="1">IFERROR(__xludf.DUMMYFUNCTION("""COMPUTED_VALUE"""),"#VALUE!")</f>
        <v>#VALUE!</v>
      </c>
      <c r="BU289" t="str">
        <f ca="1">IFERROR(__xludf.DUMMYFUNCTION("""COMPUTED_VALUE"""),"#VALUE!")</f>
        <v>#VALUE!</v>
      </c>
      <c r="BW289" t="str">
        <f ca="1">IFERROR(__xludf.DUMMYFUNCTION("""COMPUTED_VALUE"""),"#VALUE!")</f>
        <v>#VALUE!</v>
      </c>
      <c r="BY289" t="str">
        <f ca="1">IFERROR(__xludf.DUMMYFUNCTION("""COMPUTED_VALUE"""),"#VALUE!")</f>
        <v>#VALUE!</v>
      </c>
      <c r="CA289" t="str">
        <f ca="1">IFERROR(__xludf.DUMMYFUNCTION("""COMPUTED_VALUE"""),"#VALUE!")</f>
        <v>#VALUE!</v>
      </c>
      <c r="CC289" t="str">
        <f ca="1">IFERROR(__xludf.DUMMYFUNCTION("""COMPUTED_VALUE"""),"#VALUE!")</f>
        <v>#VALUE!</v>
      </c>
      <c r="CD289" t="str">
        <f ca="1">IFERROR(__xludf.DUMMYFUNCTION("""COMPUTED_VALUE"""),"C3598")</f>
        <v>C3598</v>
      </c>
      <c r="CE289" t="str">
        <f ca="1">IFERROR(__xludf.DUMMYFUNCTION("""COMPUTED_VALUE"""),"location of congregation")</f>
        <v>location of congregation</v>
      </c>
      <c r="CF289" t="str">
        <f ca="1">IFERROR(__xludf.DUMMYFUNCTION("""COMPUTED_VALUE"""),"L0067")</f>
        <v>L0067</v>
      </c>
      <c r="CG289" t="str">
        <f ca="1">IFERROR(__xludf.DUMMYFUNCTION("""COMPUTED_VALUE"""),"domus Petri Rupphini")</f>
        <v>domus Petri Rupphini</v>
      </c>
      <c r="CI289" t="str">
        <f ca="1">IFERROR(__xludf.DUMMYFUNCTION("""COMPUTED_VALUE"""),"#VALUE!")</f>
        <v>#VALUE!</v>
      </c>
      <c r="CK289" t="str">
        <f ca="1">IFERROR(__xludf.DUMMYFUNCTION("""COMPUTED_VALUE"""),"#VALUE!")</f>
        <v>#VALUE!</v>
      </c>
      <c r="CS289" t="str">
        <f ca="1">IFERROR(__xludf.DUMMYFUNCTION("""COMPUTED_VALUE"""),"#VALUE!")</f>
        <v>#VALUE!</v>
      </c>
      <c r="CU289" t="str">
        <f ca="1">IFERROR(__xludf.DUMMYFUNCTION("""COMPUTED_VALUE"""),"#VALUE!")</f>
        <v>#VALUE!</v>
      </c>
      <c r="CW289" t="str">
        <f ca="1">IFERROR(__xludf.DUMMYFUNCTION("""COMPUTED_VALUE"""),"#VALUE!")</f>
        <v>#VALUE!</v>
      </c>
      <c r="CY289" t="str">
        <f ca="1">IFERROR(__xludf.DUMMYFUNCTION("""COMPUTED_VALUE"""),"#VALUE!")</f>
        <v>#VALUE!</v>
      </c>
      <c r="DC289" t="str">
        <f ca="1">IFERROR(__xludf.DUMMYFUNCTION("""COMPUTED_VALUE"""),"#VALUE!")</f>
        <v>#VALUE!</v>
      </c>
      <c r="DE289" t="str">
        <f ca="1">IFERROR(__xludf.DUMMYFUNCTION("""COMPUTED_VALUE"""),"#VALUE!")</f>
        <v>#VALUE!</v>
      </c>
      <c r="DH289" t="str">
        <f ca="1">IFERROR(__xludf.DUMMYFUNCTION("""COMPUTED_VALUE"""),"L0067")</f>
        <v>L0067</v>
      </c>
      <c r="DI289" t="str">
        <f ca="1">IFERROR(__xludf.DUMMYFUNCTION("""COMPUTED_VALUE"""),"domus Petri Rupphini")</f>
        <v>domus Petri Rupphini</v>
      </c>
      <c r="DJ289" t="str">
        <f ca="1">IFERROR(__xludf.DUMMYFUNCTION("""COMPUTED_VALUE"""),"domus")</f>
        <v>domus</v>
      </c>
      <c r="DL289" t="str">
        <f ca="1">IFERROR(__xludf.DUMMYFUNCTION("""COMPUTED_VALUE"""),"Davor Salihović")</f>
        <v>Davor Salihović</v>
      </c>
    </row>
    <row r="290" spans="1:116" ht="13.2" x14ac:dyDescent="0.25">
      <c r="A290" t="str">
        <f ca="1">IFERROR(__xludf.DUMMYFUNCTION("""COMPUTED_VALUE"""),"P0296")</f>
        <v>P0296</v>
      </c>
      <c r="B290" t="str">
        <f ca="1">IFERROR(__xludf.DUMMYFUNCTION("""COMPUTED_VALUE"""),"Brucinus, cognatus Andree Maleysart")</f>
        <v>Brucinus, cognatus Andree Maleysart</v>
      </c>
      <c r="D290" t="str">
        <f ca="1">IFERROR(__xludf.DUMMYFUNCTION("""COMPUTED_VALUE"""),"#VALUE!")</f>
        <v>#VALUE!</v>
      </c>
      <c r="E290" t="str">
        <f ca="1">IFERROR(__xludf.DUMMYFUNCTION("""COMPUTED_VALUE"""),"Brucinus")</f>
        <v>Brucinus</v>
      </c>
      <c r="Q290" t="str">
        <f ca="1">IFERROR(__xludf.DUMMYFUNCTION("""COMPUTED_VALUE"""),"cognatus Andree Malessart")</f>
        <v>cognatus Andree Malessart</v>
      </c>
      <c r="S290" t="str">
        <f ca="1">IFERROR(__xludf.DUMMYFUNCTION("""COMPUTED_VALUE"""),"Latin")</f>
        <v>Latin</v>
      </c>
      <c r="T290" t="str">
        <f ca="1">IFERROR(__xludf.DUMMYFUNCTION("""COMPUTED_VALUE"""),"definite")</f>
        <v>definite</v>
      </c>
      <c r="U290" t="str">
        <f ca="1">IFERROR(__xludf.DUMMYFUNCTION("""COMPUTED_VALUE"""),"C2553")</f>
        <v>C2553</v>
      </c>
      <c r="V290" t="str">
        <f ca="1">IFERROR(__xludf.DUMMYFUNCTION("""COMPUTED_VALUE"""),"male")</f>
        <v>male</v>
      </c>
      <c r="Z290" t="str">
        <f ca="1">IFERROR(__xludf.DUMMYFUNCTION("""COMPUTED_VALUE"""),"193")</f>
        <v>193</v>
      </c>
      <c r="AA290" t="str">
        <f ca="1">IFERROR(__xludf.DUMMYFUNCTION("""COMPUTED_VALUE"""),"d")</f>
        <v>d</v>
      </c>
      <c r="AB290" t="str">
        <f ca="1">IFERROR(__xludf.DUMMYFUNCTION("""COMPUTED_VALUE"""),"suspect")</f>
        <v>suspect</v>
      </c>
      <c r="AE290" t="str">
        <f ca="1">IFERROR(__xludf.DUMMYFUNCTION("""COMPUTED_VALUE"""),"#VALUE!")</f>
        <v>#VALUE!</v>
      </c>
      <c r="AF290" t="str">
        <f ca="1">IFERROR(__xludf.DUMMYFUNCTION("""COMPUTED_VALUE"""),"#N/A")</f>
        <v>#N/A</v>
      </c>
      <c r="AG290" t="str">
        <f ca="1">IFERROR(__xludf.DUMMYFUNCTION("""COMPUTED_VALUE"""),"#N/A")</f>
        <v>#N/A</v>
      </c>
      <c r="AH290" t="str">
        <f ca="1">IFERROR(__xludf.DUMMYFUNCTION("""COMPUTED_VALUE"""),"C2039")</f>
        <v>C2039</v>
      </c>
      <c r="AI290" t="str">
        <f ca="1">IFERROR(__xludf.DUMMYFUNCTION("""COMPUTED_VALUE"""),"kinperson")</f>
        <v>kinperson</v>
      </c>
      <c r="AJ290" t="str">
        <f ca="1">IFERROR(__xludf.DUMMYFUNCTION("""COMPUTED_VALUE"""),"P0151")</f>
        <v>P0151</v>
      </c>
      <c r="AK290" t="str">
        <f ca="1">IFERROR(__xludf.DUMMYFUNCTION("""COMPUTED_VALUE"""),"Andreas Maleysart")</f>
        <v>Andreas Maleysart</v>
      </c>
      <c r="AM290" t="str">
        <f ca="1">IFERROR(__xludf.DUMMYFUNCTION("""COMPUTED_VALUE"""),"#VALUE!")</f>
        <v>#VALUE!</v>
      </c>
      <c r="AO290" t="str">
        <f ca="1">IFERROR(__xludf.DUMMYFUNCTION("""COMPUTED_VALUE"""),"#VALUE!")</f>
        <v>#VALUE!</v>
      </c>
      <c r="AQ290" t="str">
        <f ca="1">IFERROR(__xludf.DUMMYFUNCTION("""COMPUTED_VALUE"""),"#VALUE!")</f>
        <v>#VALUE!</v>
      </c>
      <c r="AS290" t="str">
        <f ca="1">IFERROR(__xludf.DUMMYFUNCTION("""COMPUTED_VALUE"""),"#VALUE!")</f>
        <v>#VALUE!</v>
      </c>
      <c r="AU290" t="str">
        <f ca="1">IFERROR(__xludf.DUMMYFUNCTION("""COMPUTED_VALUE"""),"#VALUE!")</f>
        <v>#VALUE!</v>
      </c>
      <c r="AW290" t="str">
        <f ca="1">IFERROR(__xludf.DUMMYFUNCTION("""COMPUTED_VALUE"""),"#VALUE!")</f>
        <v>#VALUE!</v>
      </c>
      <c r="AY290" t="str">
        <f ca="1">IFERROR(__xludf.DUMMYFUNCTION("""COMPUTED_VALUE"""),"#VALUE!")</f>
        <v>#VALUE!</v>
      </c>
      <c r="BA290" t="str">
        <f ca="1">IFERROR(__xludf.DUMMYFUNCTION("""COMPUTED_VALUE"""),"#VALUE!")</f>
        <v>#VALUE!</v>
      </c>
      <c r="BC290" t="str">
        <f ca="1">IFERROR(__xludf.DUMMYFUNCTION("""COMPUTED_VALUE"""),"#VALUE!")</f>
        <v>#VALUE!</v>
      </c>
      <c r="BE290" t="str">
        <f ca="1">IFERROR(__xludf.DUMMYFUNCTION("""COMPUTED_VALUE"""),"#VALUE!")</f>
        <v>#VALUE!</v>
      </c>
      <c r="BG290" t="str">
        <f ca="1">IFERROR(__xludf.DUMMYFUNCTION("""COMPUTED_VALUE"""),"#VALUE!")</f>
        <v>#VALUE!</v>
      </c>
      <c r="BI290" t="str">
        <f ca="1">IFERROR(__xludf.DUMMYFUNCTION("""COMPUTED_VALUE"""),"#VALUE!")</f>
        <v>#VALUE!</v>
      </c>
      <c r="BK290" t="str">
        <f ca="1">IFERROR(__xludf.DUMMYFUNCTION("""COMPUTED_VALUE"""),"#VALUE!")</f>
        <v>#VALUE!</v>
      </c>
      <c r="BM290" t="str">
        <f ca="1">IFERROR(__xludf.DUMMYFUNCTION("""COMPUTED_VALUE"""),"#VALUE!")</f>
        <v>#VALUE!</v>
      </c>
      <c r="BO290" t="str">
        <f ca="1">IFERROR(__xludf.DUMMYFUNCTION("""COMPUTED_VALUE"""),"#VALUE!")</f>
        <v>#VALUE!</v>
      </c>
      <c r="BQ290" t="str">
        <f ca="1">IFERROR(__xludf.DUMMYFUNCTION("""COMPUTED_VALUE"""),"#VALUE!")</f>
        <v>#VALUE!</v>
      </c>
      <c r="BS290" t="str">
        <f ca="1">IFERROR(__xludf.DUMMYFUNCTION("""COMPUTED_VALUE"""),"#VALUE!")</f>
        <v>#VALUE!</v>
      </c>
      <c r="BU290" t="str">
        <f ca="1">IFERROR(__xludf.DUMMYFUNCTION("""COMPUTED_VALUE"""),"#VALUE!")</f>
        <v>#VALUE!</v>
      </c>
      <c r="BW290" t="str">
        <f ca="1">IFERROR(__xludf.DUMMYFUNCTION("""COMPUTED_VALUE"""),"#VALUE!")</f>
        <v>#VALUE!</v>
      </c>
      <c r="BY290" t="str">
        <f ca="1">IFERROR(__xludf.DUMMYFUNCTION("""COMPUTED_VALUE"""),"#VALUE!")</f>
        <v>#VALUE!</v>
      </c>
      <c r="CA290" t="str">
        <f ca="1">IFERROR(__xludf.DUMMYFUNCTION("""COMPUTED_VALUE"""),"#VALUE!")</f>
        <v>#VALUE!</v>
      </c>
      <c r="CC290" t="str">
        <f ca="1">IFERROR(__xludf.DUMMYFUNCTION("""COMPUTED_VALUE"""),"#VALUE!")</f>
        <v>#VALUE!</v>
      </c>
      <c r="CD290" t="str">
        <f ca="1">IFERROR(__xludf.DUMMYFUNCTION("""COMPUTED_VALUE"""),"C3598")</f>
        <v>C3598</v>
      </c>
      <c r="CE290" t="str">
        <f ca="1">IFERROR(__xludf.DUMMYFUNCTION("""COMPUTED_VALUE"""),"location of congregation")</f>
        <v>location of congregation</v>
      </c>
      <c r="CF290" t="str">
        <f ca="1">IFERROR(__xludf.DUMMYFUNCTION("""COMPUTED_VALUE"""),"L0067")</f>
        <v>L0067</v>
      </c>
      <c r="CG290" t="str">
        <f ca="1">IFERROR(__xludf.DUMMYFUNCTION("""COMPUTED_VALUE"""),"domus Petri Rupphini")</f>
        <v>domus Petri Rupphini</v>
      </c>
      <c r="CI290" t="str">
        <f ca="1">IFERROR(__xludf.DUMMYFUNCTION("""COMPUTED_VALUE"""),"#VALUE!")</f>
        <v>#VALUE!</v>
      </c>
      <c r="CK290" t="str">
        <f ca="1">IFERROR(__xludf.DUMMYFUNCTION("""COMPUTED_VALUE"""),"#VALUE!")</f>
        <v>#VALUE!</v>
      </c>
      <c r="CS290" t="str">
        <f ca="1">IFERROR(__xludf.DUMMYFUNCTION("""COMPUTED_VALUE"""),"#VALUE!")</f>
        <v>#VALUE!</v>
      </c>
      <c r="CU290" t="str">
        <f ca="1">IFERROR(__xludf.DUMMYFUNCTION("""COMPUTED_VALUE"""),"#VALUE!")</f>
        <v>#VALUE!</v>
      </c>
      <c r="CW290" t="str">
        <f ca="1">IFERROR(__xludf.DUMMYFUNCTION("""COMPUTED_VALUE"""),"#VALUE!")</f>
        <v>#VALUE!</v>
      </c>
      <c r="CY290" t="str">
        <f ca="1">IFERROR(__xludf.DUMMYFUNCTION("""COMPUTED_VALUE"""),"#VALUE!")</f>
        <v>#VALUE!</v>
      </c>
      <c r="DC290" t="str">
        <f ca="1">IFERROR(__xludf.DUMMYFUNCTION("""COMPUTED_VALUE"""),"#VALUE!")</f>
        <v>#VALUE!</v>
      </c>
      <c r="DE290" t="str">
        <f ca="1">IFERROR(__xludf.DUMMYFUNCTION("""COMPUTED_VALUE"""),"#VALUE!")</f>
        <v>#VALUE!</v>
      </c>
      <c r="DH290" t="str">
        <f ca="1">IFERROR(__xludf.DUMMYFUNCTION("""COMPUTED_VALUE"""),"L0067")</f>
        <v>L0067</v>
      </c>
      <c r="DI290" t="str">
        <f ca="1">IFERROR(__xludf.DUMMYFUNCTION("""COMPUTED_VALUE"""),"domus Petri Rupphini")</f>
        <v>domus Petri Rupphini</v>
      </c>
      <c r="DJ290" t="str">
        <f ca="1">IFERROR(__xludf.DUMMYFUNCTION("""COMPUTED_VALUE"""),"domus")</f>
        <v>domus</v>
      </c>
      <c r="DL290" t="str">
        <f ca="1">IFERROR(__xludf.DUMMYFUNCTION("""COMPUTED_VALUE"""),"Davor Salihović")</f>
        <v>Davor Salihović</v>
      </c>
    </row>
    <row r="291" spans="1:116" ht="13.2" x14ac:dyDescent="0.25">
      <c r="A291" t="str">
        <f ca="1">IFERROR(__xludf.DUMMYFUNCTION("""COMPUTED_VALUE"""),"P0297")</f>
        <v>P0297</v>
      </c>
      <c r="B291" t="str">
        <f ca="1">IFERROR(__xludf.DUMMYFUNCTION("""COMPUTED_VALUE"""),"Bruncinus")</f>
        <v>Bruncinus</v>
      </c>
      <c r="D291" t="str">
        <f ca="1">IFERROR(__xludf.DUMMYFUNCTION("""COMPUTED_VALUE"""),"#VALUE!")</f>
        <v>#VALUE!</v>
      </c>
      <c r="E291" t="str">
        <f ca="1">IFERROR(__xludf.DUMMYFUNCTION("""COMPUTED_VALUE"""),"Bruncinus")</f>
        <v>Bruncinus</v>
      </c>
      <c r="S291" t="str">
        <f ca="1">IFERROR(__xludf.DUMMYFUNCTION("""COMPUTED_VALUE"""),"Latin")</f>
        <v>Latin</v>
      </c>
      <c r="T291" t="str">
        <f ca="1">IFERROR(__xludf.DUMMYFUNCTION("""COMPUTED_VALUE"""),"indefinite")</f>
        <v>indefinite</v>
      </c>
      <c r="U291" t="str">
        <f ca="1">IFERROR(__xludf.DUMMYFUNCTION("""COMPUTED_VALUE"""),"C2553")</f>
        <v>C2553</v>
      </c>
      <c r="V291" t="str">
        <f ca="1">IFERROR(__xludf.DUMMYFUNCTION("""COMPUTED_VALUE"""),"male")</f>
        <v>male</v>
      </c>
      <c r="Z291" t="str">
        <f ca="1">IFERROR(__xludf.DUMMYFUNCTION("""COMPUTED_VALUE"""),"193")</f>
        <v>193</v>
      </c>
      <c r="AA291" t="str">
        <f ca="1">IFERROR(__xludf.DUMMYFUNCTION("""COMPUTED_VALUE"""),"d")</f>
        <v>d</v>
      </c>
      <c r="AB291" t="str">
        <f ca="1">IFERROR(__xludf.DUMMYFUNCTION("""COMPUTED_VALUE"""),"suspect")</f>
        <v>suspect</v>
      </c>
      <c r="AE291" t="str">
        <f ca="1">IFERROR(__xludf.DUMMYFUNCTION("""COMPUTED_VALUE"""),"#VALUE!")</f>
        <v>#VALUE!</v>
      </c>
      <c r="AF291" t="str">
        <f ca="1">IFERROR(__xludf.DUMMYFUNCTION("""COMPUTED_VALUE"""),"#N/A")</f>
        <v>#N/A</v>
      </c>
      <c r="AG291" t="str">
        <f ca="1">IFERROR(__xludf.DUMMYFUNCTION("""COMPUTED_VALUE"""),"#N/A")</f>
        <v>#N/A</v>
      </c>
      <c r="AI291" t="str">
        <f ca="1">IFERROR(__xludf.DUMMYFUNCTION("""COMPUTED_VALUE"""),"#VALUE!")</f>
        <v>#VALUE!</v>
      </c>
      <c r="AK291" t="str">
        <f ca="1">IFERROR(__xludf.DUMMYFUNCTION("""COMPUTED_VALUE"""),"#VALUE!")</f>
        <v>#VALUE!</v>
      </c>
      <c r="AM291" t="str">
        <f ca="1">IFERROR(__xludf.DUMMYFUNCTION("""COMPUTED_VALUE"""),"#VALUE!")</f>
        <v>#VALUE!</v>
      </c>
      <c r="AO291" t="str">
        <f ca="1">IFERROR(__xludf.DUMMYFUNCTION("""COMPUTED_VALUE"""),"#VALUE!")</f>
        <v>#VALUE!</v>
      </c>
      <c r="AQ291" t="str">
        <f ca="1">IFERROR(__xludf.DUMMYFUNCTION("""COMPUTED_VALUE"""),"#VALUE!")</f>
        <v>#VALUE!</v>
      </c>
      <c r="AS291" t="str">
        <f ca="1">IFERROR(__xludf.DUMMYFUNCTION("""COMPUTED_VALUE"""),"#VALUE!")</f>
        <v>#VALUE!</v>
      </c>
      <c r="AU291" t="str">
        <f ca="1">IFERROR(__xludf.DUMMYFUNCTION("""COMPUTED_VALUE"""),"#VALUE!")</f>
        <v>#VALUE!</v>
      </c>
      <c r="AW291" t="str">
        <f ca="1">IFERROR(__xludf.DUMMYFUNCTION("""COMPUTED_VALUE"""),"#VALUE!")</f>
        <v>#VALUE!</v>
      </c>
      <c r="AY291" t="str">
        <f ca="1">IFERROR(__xludf.DUMMYFUNCTION("""COMPUTED_VALUE"""),"#VALUE!")</f>
        <v>#VALUE!</v>
      </c>
      <c r="BA291" t="str">
        <f ca="1">IFERROR(__xludf.DUMMYFUNCTION("""COMPUTED_VALUE"""),"#VALUE!")</f>
        <v>#VALUE!</v>
      </c>
      <c r="BC291" t="str">
        <f ca="1">IFERROR(__xludf.DUMMYFUNCTION("""COMPUTED_VALUE"""),"#VALUE!")</f>
        <v>#VALUE!</v>
      </c>
      <c r="BE291" t="str">
        <f ca="1">IFERROR(__xludf.DUMMYFUNCTION("""COMPUTED_VALUE"""),"#VALUE!")</f>
        <v>#VALUE!</v>
      </c>
      <c r="BG291" t="str">
        <f ca="1">IFERROR(__xludf.DUMMYFUNCTION("""COMPUTED_VALUE"""),"#VALUE!")</f>
        <v>#VALUE!</v>
      </c>
      <c r="BI291" t="str">
        <f ca="1">IFERROR(__xludf.DUMMYFUNCTION("""COMPUTED_VALUE"""),"#VALUE!")</f>
        <v>#VALUE!</v>
      </c>
      <c r="BK291" t="str">
        <f ca="1">IFERROR(__xludf.DUMMYFUNCTION("""COMPUTED_VALUE"""),"#VALUE!")</f>
        <v>#VALUE!</v>
      </c>
      <c r="BM291" t="str">
        <f ca="1">IFERROR(__xludf.DUMMYFUNCTION("""COMPUTED_VALUE"""),"#VALUE!")</f>
        <v>#VALUE!</v>
      </c>
      <c r="BO291" t="str">
        <f ca="1">IFERROR(__xludf.DUMMYFUNCTION("""COMPUTED_VALUE"""),"#VALUE!")</f>
        <v>#VALUE!</v>
      </c>
      <c r="BQ291" t="str">
        <f ca="1">IFERROR(__xludf.DUMMYFUNCTION("""COMPUTED_VALUE"""),"#VALUE!")</f>
        <v>#VALUE!</v>
      </c>
      <c r="BS291" t="str">
        <f ca="1">IFERROR(__xludf.DUMMYFUNCTION("""COMPUTED_VALUE"""),"#VALUE!")</f>
        <v>#VALUE!</v>
      </c>
      <c r="BU291" t="str">
        <f ca="1">IFERROR(__xludf.DUMMYFUNCTION("""COMPUTED_VALUE"""),"#VALUE!")</f>
        <v>#VALUE!</v>
      </c>
      <c r="BW291" t="str">
        <f ca="1">IFERROR(__xludf.DUMMYFUNCTION("""COMPUTED_VALUE"""),"#VALUE!")</f>
        <v>#VALUE!</v>
      </c>
      <c r="BY291" t="str">
        <f ca="1">IFERROR(__xludf.DUMMYFUNCTION("""COMPUTED_VALUE"""),"#VALUE!")</f>
        <v>#VALUE!</v>
      </c>
      <c r="CA291" t="str">
        <f ca="1">IFERROR(__xludf.DUMMYFUNCTION("""COMPUTED_VALUE"""),"#VALUE!")</f>
        <v>#VALUE!</v>
      </c>
      <c r="CC291" t="str">
        <f ca="1">IFERROR(__xludf.DUMMYFUNCTION("""COMPUTED_VALUE"""),"#VALUE!")</f>
        <v>#VALUE!</v>
      </c>
      <c r="CD291" t="str">
        <f ca="1">IFERROR(__xludf.DUMMYFUNCTION("""COMPUTED_VALUE"""),"C3598")</f>
        <v>C3598</v>
      </c>
      <c r="CE291" t="str">
        <f ca="1">IFERROR(__xludf.DUMMYFUNCTION("""COMPUTED_VALUE"""),"location of congregation")</f>
        <v>location of congregation</v>
      </c>
      <c r="CF291" t="str">
        <f ca="1">IFERROR(__xludf.DUMMYFUNCTION("""COMPUTED_VALUE"""),"L0067")</f>
        <v>L0067</v>
      </c>
      <c r="CG291" t="str">
        <f ca="1">IFERROR(__xludf.DUMMYFUNCTION("""COMPUTED_VALUE"""),"domus Petri Rupphini")</f>
        <v>domus Petri Rupphini</v>
      </c>
      <c r="CI291" t="str">
        <f ca="1">IFERROR(__xludf.DUMMYFUNCTION("""COMPUTED_VALUE"""),"#VALUE!")</f>
        <v>#VALUE!</v>
      </c>
      <c r="CK291" t="str">
        <f ca="1">IFERROR(__xludf.DUMMYFUNCTION("""COMPUTED_VALUE"""),"#VALUE!")</f>
        <v>#VALUE!</v>
      </c>
      <c r="CS291" t="str">
        <f ca="1">IFERROR(__xludf.DUMMYFUNCTION("""COMPUTED_VALUE"""),"#VALUE!")</f>
        <v>#VALUE!</v>
      </c>
      <c r="CU291" t="str">
        <f ca="1">IFERROR(__xludf.DUMMYFUNCTION("""COMPUTED_VALUE"""),"#VALUE!")</f>
        <v>#VALUE!</v>
      </c>
      <c r="CW291" t="str">
        <f ca="1">IFERROR(__xludf.DUMMYFUNCTION("""COMPUTED_VALUE"""),"#VALUE!")</f>
        <v>#VALUE!</v>
      </c>
      <c r="CY291" t="str">
        <f ca="1">IFERROR(__xludf.DUMMYFUNCTION("""COMPUTED_VALUE"""),"#VALUE!")</f>
        <v>#VALUE!</v>
      </c>
      <c r="DC291" t="str">
        <f ca="1">IFERROR(__xludf.DUMMYFUNCTION("""COMPUTED_VALUE"""),"#VALUE!")</f>
        <v>#VALUE!</v>
      </c>
      <c r="DE291" t="str">
        <f ca="1">IFERROR(__xludf.DUMMYFUNCTION("""COMPUTED_VALUE"""),"#VALUE!")</f>
        <v>#VALUE!</v>
      </c>
      <c r="DH291" t="str">
        <f ca="1">IFERROR(__xludf.DUMMYFUNCTION("""COMPUTED_VALUE"""),"L0067")</f>
        <v>L0067</v>
      </c>
      <c r="DI291" t="str">
        <f ca="1">IFERROR(__xludf.DUMMYFUNCTION("""COMPUTED_VALUE"""),"domus Petri Rupphini")</f>
        <v>domus Petri Rupphini</v>
      </c>
      <c r="DJ291" t="str">
        <f ca="1">IFERROR(__xludf.DUMMYFUNCTION("""COMPUTED_VALUE"""),"domus")</f>
        <v>domus</v>
      </c>
      <c r="DL291" t="str">
        <f ca="1">IFERROR(__xludf.DUMMYFUNCTION("""COMPUTED_VALUE"""),"Davor Salihović")</f>
        <v>Davor Salihović</v>
      </c>
    </row>
    <row r="292" spans="1:116" ht="13.2" x14ac:dyDescent="0.25">
      <c r="A292" t="str">
        <f ca="1">IFERROR(__xludf.DUMMYFUNCTION("""COMPUTED_VALUE"""),"P0298")</f>
        <v>P0298</v>
      </c>
      <c r="B292" t="str">
        <f ca="1">IFERROR(__xludf.DUMMYFUNCTION("""COMPUTED_VALUE"""),"uxor Petri Rupphini")</f>
        <v>uxor Petri Rupphini</v>
      </c>
      <c r="D292" t="str">
        <f ca="1">IFERROR(__xludf.DUMMYFUNCTION("""COMPUTED_VALUE"""),"#VALUE!")</f>
        <v>#VALUE!</v>
      </c>
      <c r="E292" t="str">
        <f ca="1">IFERROR(__xludf.DUMMYFUNCTION("""COMPUTED_VALUE"""),"uxor Petri Rupphini")</f>
        <v>uxor Petri Rupphini</v>
      </c>
      <c r="Q292" t="str">
        <f ca="1">IFERROR(__xludf.DUMMYFUNCTION("""COMPUTED_VALUE"""),"uxor Petri Rupphini")</f>
        <v>uxor Petri Rupphini</v>
      </c>
      <c r="S292" t="str">
        <f ca="1">IFERROR(__xludf.DUMMYFUNCTION("""COMPUTED_VALUE"""),"Latin")</f>
        <v>Latin</v>
      </c>
      <c r="T292" t="str">
        <f ca="1">IFERROR(__xludf.DUMMYFUNCTION("""COMPUTED_VALUE"""),"definite")</f>
        <v>definite</v>
      </c>
      <c r="U292" t="str">
        <f ca="1">IFERROR(__xludf.DUMMYFUNCTION("""COMPUTED_VALUE"""),"C2552")</f>
        <v>C2552</v>
      </c>
      <c r="V292" t="str">
        <f ca="1">IFERROR(__xludf.DUMMYFUNCTION("""COMPUTED_VALUE"""),"female")</f>
        <v>female</v>
      </c>
      <c r="Z292" t="str">
        <f ca="1">IFERROR(__xludf.DUMMYFUNCTION("""COMPUTED_VALUE"""),"193, 233")</f>
        <v>193, 233</v>
      </c>
      <c r="AA292" t="str">
        <f ca="1">IFERROR(__xludf.DUMMYFUNCTION("""COMPUTED_VALUE"""),"d")</f>
        <v>d</v>
      </c>
      <c r="AB292" t="str">
        <f ca="1">IFERROR(__xludf.DUMMYFUNCTION("""COMPUTED_VALUE"""),"suspect")</f>
        <v>suspect</v>
      </c>
      <c r="AE292" t="str">
        <f ca="1">IFERROR(__xludf.DUMMYFUNCTION("""COMPUTED_VALUE"""),"#VALUE!")</f>
        <v>#VALUE!</v>
      </c>
      <c r="AF292" t="str">
        <f ca="1">IFERROR(__xludf.DUMMYFUNCTION("""COMPUTED_VALUE"""),"#N/A")</f>
        <v>#N/A</v>
      </c>
      <c r="AG292" t="str">
        <f ca="1">IFERROR(__xludf.DUMMYFUNCTION("""COMPUTED_VALUE"""),"#N/A")</f>
        <v>#N/A</v>
      </c>
      <c r="AI292" t="str">
        <f ca="1">IFERROR(__xludf.DUMMYFUNCTION("""COMPUTED_VALUE"""),"#VALUE!")</f>
        <v>#VALUE!</v>
      </c>
      <c r="AK292" t="str">
        <f ca="1">IFERROR(__xludf.DUMMYFUNCTION("""COMPUTED_VALUE"""),"#VALUE!")</f>
        <v>#VALUE!</v>
      </c>
      <c r="AM292" t="str">
        <f ca="1">IFERROR(__xludf.DUMMYFUNCTION("""COMPUTED_VALUE"""),"#VALUE!")</f>
        <v>#VALUE!</v>
      </c>
      <c r="AO292" t="str">
        <f ca="1">IFERROR(__xludf.DUMMYFUNCTION("""COMPUTED_VALUE"""),"#VALUE!")</f>
        <v>#VALUE!</v>
      </c>
      <c r="AQ292" t="str">
        <f ca="1">IFERROR(__xludf.DUMMYFUNCTION("""COMPUTED_VALUE"""),"#VALUE!")</f>
        <v>#VALUE!</v>
      </c>
      <c r="AS292" t="str">
        <f ca="1">IFERROR(__xludf.DUMMYFUNCTION("""COMPUTED_VALUE"""),"#VALUE!")</f>
        <v>#VALUE!</v>
      </c>
      <c r="AU292" t="str">
        <f ca="1">IFERROR(__xludf.DUMMYFUNCTION("""COMPUTED_VALUE"""),"#VALUE!")</f>
        <v>#VALUE!</v>
      </c>
      <c r="AW292" t="str">
        <f ca="1">IFERROR(__xludf.DUMMYFUNCTION("""COMPUTED_VALUE"""),"#VALUE!")</f>
        <v>#VALUE!</v>
      </c>
      <c r="AY292" t="str">
        <f ca="1">IFERROR(__xludf.DUMMYFUNCTION("""COMPUTED_VALUE"""),"#VALUE!")</f>
        <v>#VALUE!</v>
      </c>
      <c r="BA292" t="str">
        <f ca="1">IFERROR(__xludf.DUMMYFUNCTION("""COMPUTED_VALUE"""),"#VALUE!")</f>
        <v>#VALUE!</v>
      </c>
      <c r="BC292" t="str">
        <f ca="1">IFERROR(__xludf.DUMMYFUNCTION("""COMPUTED_VALUE"""),"#VALUE!")</f>
        <v>#VALUE!</v>
      </c>
      <c r="BE292" t="str">
        <f ca="1">IFERROR(__xludf.DUMMYFUNCTION("""COMPUTED_VALUE"""),"#VALUE!")</f>
        <v>#VALUE!</v>
      </c>
      <c r="BG292" t="str">
        <f ca="1">IFERROR(__xludf.DUMMYFUNCTION("""COMPUTED_VALUE"""),"#VALUE!")</f>
        <v>#VALUE!</v>
      </c>
      <c r="BI292" t="str">
        <f ca="1">IFERROR(__xludf.DUMMYFUNCTION("""COMPUTED_VALUE"""),"#VALUE!")</f>
        <v>#VALUE!</v>
      </c>
      <c r="BK292" t="str">
        <f ca="1">IFERROR(__xludf.DUMMYFUNCTION("""COMPUTED_VALUE"""),"#VALUE!")</f>
        <v>#VALUE!</v>
      </c>
      <c r="BM292" t="str">
        <f ca="1">IFERROR(__xludf.DUMMYFUNCTION("""COMPUTED_VALUE"""),"#VALUE!")</f>
        <v>#VALUE!</v>
      </c>
      <c r="BO292" t="str">
        <f ca="1">IFERROR(__xludf.DUMMYFUNCTION("""COMPUTED_VALUE"""),"#VALUE!")</f>
        <v>#VALUE!</v>
      </c>
      <c r="BQ292" t="str">
        <f ca="1">IFERROR(__xludf.DUMMYFUNCTION("""COMPUTED_VALUE"""),"#VALUE!")</f>
        <v>#VALUE!</v>
      </c>
      <c r="BS292" t="str">
        <f ca="1">IFERROR(__xludf.DUMMYFUNCTION("""COMPUTED_VALUE"""),"#VALUE!")</f>
        <v>#VALUE!</v>
      </c>
      <c r="BU292" t="str">
        <f ca="1">IFERROR(__xludf.DUMMYFUNCTION("""COMPUTED_VALUE"""),"#VALUE!")</f>
        <v>#VALUE!</v>
      </c>
      <c r="BW292" t="str">
        <f ca="1">IFERROR(__xludf.DUMMYFUNCTION("""COMPUTED_VALUE"""),"#VALUE!")</f>
        <v>#VALUE!</v>
      </c>
      <c r="BY292" t="str">
        <f ca="1">IFERROR(__xludf.DUMMYFUNCTION("""COMPUTED_VALUE"""),"#VALUE!")</f>
        <v>#VALUE!</v>
      </c>
      <c r="CA292" t="str">
        <f ca="1">IFERROR(__xludf.DUMMYFUNCTION("""COMPUTED_VALUE"""),"#VALUE!")</f>
        <v>#VALUE!</v>
      </c>
      <c r="CC292" t="str">
        <f ca="1">IFERROR(__xludf.DUMMYFUNCTION("""COMPUTED_VALUE"""),"#VALUE!")</f>
        <v>#VALUE!</v>
      </c>
      <c r="CD292" t="str">
        <f ca="1">IFERROR(__xludf.DUMMYFUNCTION("""COMPUTED_VALUE"""),"C3598")</f>
        <v>C3598</v>
      </c>
      <c r="CE292" t="str">
        <f ca="1">IFERROR(__xludf.DUMMYFUNCTION("""COMPUTED_VALUE"""),"location of congregation")</f>
        <v>location of congregation</v>
      </c>
      <c r="CF292" t="str">
        <f ca="1">IFERROR(__xludf.DUMMYFUNCTION("""COMPUTED_VALUE"""),"L0067")</f>
        <v>L0067</v>
      </c>
      <c r="CG292" t="str">
        <f ca="1">IFERROR(__xludf.DUMMYFUNCTION("""COMPUTED_VALUE"""),"domus Petri Rupphini")</f>
        <v>domus Petri Rupphini</v>
      </c>
      <c r="CI292" t="str">
        <f ca="1">IFERROR(__xludf.DUMMYFUNCTION("""COMPUTED_VALUE"""),"#VALUE!")</f>
        <v>#VALUE!</v>
      </c>
      <c r="CK292" t="str">
        <f ca="1">IFERROR(__xludf.DUMMYFUNCTION("""COMPUTED_VALUE"""),"#VALUE!")</f>
        <v>#VALUE!</v>
      </c>
      <c r="CS292" t="str">
        <f ca="1">IFERROR(__xludf.DUMMYFUNCTION("""COMPUTED_VALUE"""),"#VALUE!")</f>
        <v>#VALUE!</v>
      </c>
      <c r="CU292" t="str">
        <f ca="1">IFERROR(__xludf.DUMMYFUNCTION("""COMPUTED_VALUE"""),"#VALUE!")</f>
        <v>#VALUE!</v>
      </c>
      <c r="CW292" t="str">
        <f ca="1">IFERROR(__xludf.DUMMYFUNCTION("""COMPUTED_VALUE"""),"#VALUE!")</f>
        <v>#VALUE!</v>
      </c>
      <c r="CY292" t="str">
        <f ca="1">IFERROR(__xludf.DUMMYFUNCTION("""COMPUTED_VALUE"""),"#VALUE!")</f>
        <v>#VALUE!</v>
      </c>
      <c r="DC292" t="str">
        <f ca="1">IFERROR(__xludf.DUMMYFUNCTION("""COMPUTED_VALUE"""),"#VALUE!")</f>
        <v>#VALUE!</v>
      </c>
      <c r="DE292" t="str">
        <f ca="1">IFERROR(__xludf.DUMMYFUNCTION("""COMPUTED_VALUE"""),"#VALUE!")</f>
        <v>#VALUE!</v>
      </c>
      <c r="DH292" t="str">
        <f ca="1">IFERROR(__xludf.DUMMYFUNCTION("""COMPUTED_VALUE"""),"L0067")</f>
        <v>L0067</v>
      </c>
      <c r="DI292" t="str">
        <f ca="1">IFERROR(__xludf.DUMMYFUNCTION("""COMPUTED_VALUE"""),"domus Petri Rupphini")</f>
        <v>domus Petri Rupphini</v>
      </c>
      <c r="DJ292" t="str">
        <f ca="1">IFERROR(__xludf.DUMMYFUNCTION("""COMPUTED_VALUE"""),"domus")</f>
        <v>domus</v>
      </c>
      <c r="DL292" t="str">
        <f ca="1">IFERROR(__xludf.DUMMYFUNCTION("""COMPUTED_VALUE"""),"Davor Salihović")</f>
        <v>Davor Salihović</v>
      </c>
    </row>
    <row r="293" spans="1:116" ht="13.2" x14ac:dyDescent="0.25">
      <c r="A293" t="str">
        <f ca="1">IFERROR(__xludf.DUMMYFUNCTION("""COMPUTED_VALUE"""),"P0299")</f>
        <v>P0299</v>
      </c>
      <c r="B293" t="str">
        <f ca="1">IFERROR(__xludf.DUMMYFUNCTION("""COMPUTED_VALUE"""),"Poncetus")</f>
        <v>Poncetus</v>
      </c>
      <c r="C293" t="str">
        <f ca="1">IFERROR(__xludf.DUMMYFUNCTION("""COMPUTED_VALUE"""),"C3519")</f>
        <v>C3519</v>
      </c>
      <c r="D293" t="str">
        <f ca="1">IFERROR(__xludf.DUMMYFUNCTION("""COMPUTED_VALUE"""),"seygnor")</f>
        <v>seygnor</v>
      </c>
      <c r="E293" t="str">
        <f ca="1">IFERROR(__xludf.DUMMYFUNCTION("""COMPUTED_VALUE"""),"Poncetus")</f>
        <v>Poncetus</v>
      </c>
      <c r="Q293" t="str">
        <f ca="1">IFERROR(__xludf.DUMMYFUNCTION("""COMPUTED_VALUE"""),"Valdensis")</f>
        <v>Valdensis</v>
      </c>
      <c r="S293" t="str">
        <f ca="1">IFERROR(__xludf.DUMMYFUNCTION("""COMPUTED_VALUE"""),"Latin")</f>
        <v>Latin</v>
      </c>
      <c r="T293" t="str">
        <f ca="1">IFERROR(__xludf.DUMMYFUNCTION("""COMPUTED_VALUE"""),"indefinite")</f>
        <v>indefinite</v>
      </c>
      <c r="U293" t="str">
        <f ca="1">IFERROR(__xludf.DUMMYFUNCTION("""COMPUTED_VALUE"""),"C2553")</f>
        <v>C2553</v>
      </c>
      <c r="V293" t="str">
        <f ca="1">IFERROR(__xludf.DUMMYFUNCTION("""COMPUTED_VALUE"""),"male")</f>
        <v>male</v>
      </c>
      <c r="Z293" t="str">
        <f ca="1">IFERROR(__xludf.DUMMYFUNCTION("""COMPUTED_VALUE"""),"193, 196, 198, 203, 205, 207, 209, 210, 212, 223, 225, 227, 239, 240, 242, 243, 244, 245, 249")</f>
        <v>193, 196, 198, 203, 205, 207, 209, 210, 212, 223, 225, 227, 239, 240, 242, 243, 244, 245, 249</v>
      </c>
      <c r="AA293" t="str">
        <f ca="1">IFERROR(__xludf.DUMMYFUNCTION("""COMPUTED_VALUE"""),"d")</f>
        <v>d</v>
      </c>
      <c r="AB293" t="str">
        <f ca="1">IFERROR(__xludf.DUMMYFUNCTION("""COMPUTED_VALUE"""),"suspect")</f>
        <v>suspect</v>
      </c>
      <c r="AE293" t="str">
        <f ca="1">IFERROR(__xludf.DUMMYFUNCTION("""COMPUTED_VALUE"""),"#VALUE!")</f>
        <v>#VALUE!</v>
      </c>
      <c r="AF293" t="str">
        <f ca="1">IFERROR(__xludf.DUMMYFUNCTION("""COMPUTED_VALUE"""),"#N/A")</f>
        <v>#N/A</v>
      </c>
      <c r="AG293" t="str">
        <f ca="1">IFERROR(__xludf.DUMMYFUNCTION("""COMPUTED_VALUE"""),"#N/A")</f>
        <v>#N/A</v>
      </c>
      <c r="AI293" t="str">
        <f ca="1">IFERROR(__xludf.DUMMYFUNCTION("""COMPUTED_VALUE"""),"#VALUE!")</f>
        <v>#VALUE!</v>
      </c>
      <c r="AK293" t="str">
        <f ca="1">IFERROR(__xludf.DUMMYFUNCTION("""COMPUTED_VALUE"""),"#VALUE!")</f>
        <v>#VALUE!</v>
      </c>
      <c r="AM293" t="str">
        <f ca="1">IFERROR(__xludf.DUMMYFUNCTION("""COMPUTED_VALUE"""),"#VALUE!")</f>
        <v>#VALUE!</v>
      </c>
      <c r="AO293" t="str">
        <f ca="1">IFERROR(__xludf.DUMMYFUNCTION("""COMPUTED_VALUE"""),"#VALUE!")</f>
        <v>#VALUE!</v>
      </c>
      <c r="AQ293" t="str">
        <f ca="1">IFERROR(__xludf.DUMMYFUNCTION("""COMPUTED_VALUE"""),"#VALUE!")</f>
        <v>#VALUE!</v>
      </c>
      <c r="AS293" t="str">
        <f ca="1">IFERROR(__xludf.DUMMYFUNCTION("""COMPUTED_VALUE"""),"#VALUE!")</f>
        <v>#VALUE!</v>
      </c>
      <c r="AU293" t="str">
        <f ca="1">IFERROR(__xludf.DUMMYFUNCTION("""COMPUTED_VALUE"""),"#VALUE!")</f>
        <v>#VALUE!</v>
      </c>
      <c r="AW293" t="str">
        <f ca="1">IFERROR(__xludf.DUMMYFUNCTION("""COMPUTED_VALUE"""),"#VALUE!")</f>
        <v>#VALUE!</v>
      </c>
      <c r="AY293" t="str">
        <f ca="1">IFERROR(__xludf.DUMMYFUNCTION("""COMPUTED_VALUE"""),"#VALUE!")</f>
        <v>#VALUE!</v>
      </c>
      <c r="BA293" t="str">
        <f ca="1">IFERROR(__xludf.DUMMYFUNCTION("""COMPUTED_VALUE"""),"#VALUE!")</f>
        <v>#VALUE!</v>
      </c>
      <c r="BC293" t="str">
        <f ca="1">IFERROR(__xludf.DUMMYFUNCTION("""COMPUTED_VALUE"""),"#VALUE!")</f>
        <v>#VALUE!</v>
      </c>
      <c r="BE293" t="str">
        <f ca="1">IFERROR(__xludf.DUMMYFUNCTION("""COMPUTED_VALUE"""),"#VALUE!")</f>
        <v>#VALUE!</v>
      </c>
      <c r="BG293" t="str">
        <f ca="1">IFERROR(__xludf.DUMMYFUNCTION("""COMPUTED_VALUE"""),"#VALUE!")</f>
        <v>#VALUE!</v>
      </c>
      <c r="BI293" t="str">
        <f ca="1">IFERROR(__xludf.DUMMYFUNCTION("""COMPUTED_VALUE"""),"#VALUE!")</f>
        <v>#VALUE!</v>
      </c>
      <c r="BK293" t="str">
        <f ca="1">IFERROR(__xludf.DUMMYFUNCTION("""COMPUTED_VALUE"""),"#VALUE!")</f>
        <v>#VALUE!</v>
      </c>
      <c r="BM293" t="str">
        <f ca="1">IFERROR(__xludf.DUMMYFUNCTION("""COMPUTED_VALUE"""),"#VALUE!")</f>
        <v>#VALUE!</v>
      </c>
      <c r="BO293" t="str">
        <f ca="1">IFERROR(__xludf.DUMMYFUNCTION("""COMPUTED_VALUE"""),"#VALUE!")</f>
        <v>#VALUE!</v>
      </c>
      <c r="BQ293" t="str">
        <f ca="1">IFERROR(__xludf.DUMMYFUNCTION("""COMPUTED_VALUE"""),"#VALUE!")</f>
        <v>#VALUE!</v>
      </c>
      <c r="BS293" t="str">
        <f ca="1">IFERROR(__xludf.DUMMYFUNCTION("""COMPUTED_VALUE"""),"#VALUE!")</f>
        <v>#VALUE!</v>
      </c>
      <c r="BU293" t="str">
        <f ca="1">IFERROR(__xludf.DUMMYFUNCTION("""COMPUTED_VALUE"""),"#VALUE!")</f>
        <v>#VALUE!</v>
      </c>
      <c r="BW293" t="str">
        <f ca="1">IFERROR(__xludf.DUMMYFUNCTION("""COMPUTED_VALUE"""),"#VALUE!")</f>
        <v>#VALUE!</v>
      </c>
      <c r="BY293" t="str">
        <f ca="1">IFERROR(__xludf.DUMMYFUNCTION("""COMPUTED_VALUE"""),"#VALUE!")</f>
        <v>#VALUE!</v>
      </c>
      <c r="CA293" t="str">
        <f ca="1">IFERROR(__xludf.DUMMYFUNCTION("""COMPUTED_VALUE"""),"#VALUE!")</f>
        <v>#VALUE!</v>
      </c>
      <c r="CC293" t="str">
        <f ca="1">IFERROR(__xludf.DUMMYFUNCTION("""COMPUTED_VALUE"""),"#VALUE!")</f>
        <v>#VALUE!</v>
      </c>
      <c r="CD293" t="str">
        <f ca="1">IFERROR(__xludf.DUMMYFUNCTION("""COMPUTED_VALUE"""),"C3598")</f>
        <v>C3598</v>
      </c>
      <c r="CE293" t="str">
        <f ca="1">IFERROR(__xludf.DUMMYFUNCTION("""COMPUTED_VALUE"""),"location of congregation")</f>
        <v>location of congregation</v>
      </c>
      <c r="CF293" t="str">
        <f ca="1">IFERROR(__xludf.DUMMYFUNCTION("""COMPUTED_VALUE"""),"L0067#L0098#L0080#L0103#L0108#L0068#L0114#L0122#L0129#L0132#L0079#L0114")</f>
        <v>L0067#L0098#L0080#L0103#L0108#L0068#L0114#L0122#L0129#L0132#L0079#L0114</v>
      </c>
      <c r="CG293" t="str">
        <f ca="1">IFERROR(__xludf.DUMMYFUNCTION("""COMPUTED_VALUE"""),"domus Petri Rupphini #domus Michaelis Planche #domus Petrii Burgi #domus Iohannis de Girauda #domus Petri de Oddo #domus Vieti de Mondino #domus Henrieti de Mondino #domus Margerite Planche #domus Marchete de Mondino #domus Aleysine Burgi #domus Martinii "&amp;"Dominici #domus Henrieti de Mondino")</f>
        <v>domus Petri Rupphini #domus Michaelis Planche #domus Petrii Burgi #domus Iohannis de Girauda #domus Petri de Oddo #domus Vieti de Mondino #domus Henrieti de Mondino #domus Margerite Planche #domus Marchete de Mondino #domus Aleysine Burgi #domus Martinii Dominici #domus Henrieti de Mondino</v>
      </c>
      <c r="CI293" t="str">
        <f ca="1">IFERROR(__xludf.DUMMYFUNCTION("""COMPUTED_VALUE"""),"#VALUE!")</f>
        <v>#VALUE!</v>
      </c>
      <c r="CK293" t="str">
        <f ca="1">IFERROR(__xludf.DUMMYFUNCTION("""COMPUTED_VALUE"""),"#VALUE!")</f>
        <v>#VALUE!</v>
      </c>
      <c r="CS293" t="str">
        <f ca="1">IFERROR(__xludf.DUMMYFUNCTION("""COMPUTED_VALUE"""),"#VALUE!")</f>
        <v>#VALUE!</v>
      </c>
      <c r="CU293" t="str">
        <f ca="1">IFERROR(__xludf.DUMMYFUNCTION("""COMPUTED_VALUE"""),"#VALUE!")</f>
        <v>#VALUE!</v>
      </c>
      <c r="CW293" t="str">
        <f ca="1">IFERROR(__xludf.DUMMYFUNCTION("""COMPUTED_VALUE"""),"#VALUE!")</f>
        <v>#VALUE!</v>
      </c>
      <c r="CX293" t="str">
        <f ca="1">IFERROR(__xludf.DUMMYFUNCTION("""COMPUTED_VALUE"""),"C3197")</f>
        <v>C3197</v>
      </c>
      <c r="CY293" t="str">
        <f ca="1">IFERROR(__xludf.DUMMYFUNCTION("""COMPUTED_VALUE"""),"Valdensis")</f>
        <v>Valdensis</v>
      </c>
      <c r="DA293" t="str">
        <f ca="1">IFERROR(__xludf.DUMMYFUNCTION("""COMPUTED_VALUE"""),"dissident minister")</f>
        <v>dissident minister</v>
      </c>
      <c r="DC293" t="str">
        <f ca="1">IFERROR(__xludf.DUMMYFUNCTION("""COMPUTED_VALUE"""),"#VALUE!")</f>
        <v>#VALUE!</v>
      </c>
      <c r="DD293" t="str">
        <f ca="1">IFERROR(__xludf.DUMMYFUNCTION("""COMPUTED_VALUE"""),"C3197")</f>
        <v>C3197</v>
      </c>
      <c r="DE293" t="str">
        <f ca="1">IFERROR(__xludf.DUMMYFUNCTION("""COMPUTED_VALUE"""),"Valdensis")</f>
        <v>Valdensis</v>
      </c>
      <c r="DH293" t="str">
        <f ca="1">IFERROR(__xludf.DUMMYFUNCTION("""COMPUTED_VALUE"""),"L0067#L0098#L0080#L0103#L0108#L0068#L0114#L0122#L0129#L0132#L0079#L0114")</f>
        <v>L0067#L0098#L0080#L0103#L0108#L0068#L0114#L0122#L0129#L0132#L0079#L0114</v>
      </c>
      <c r="DI293" t="str">
        <f ca="1">IFERROR(__xludf.DUMMYFUNCTION("""COMPUTED_VALUE"""),"domus Petri Rupphini #domus Michaelis Planche #domus Petrii Burgi #domus Iohannis de Girauda #domus Petri de Oddo #domus Vieti de Mondino #domus Henrieti de Mondino #domus Margerite Planche #domus Marchete de Mondino #domus Aleysine Burgi #domus Martinii "&amp;"Dominici #domus Henrieti de Mondino")</f>
        <v>domus Petri Rupphini #domus Michaelis Planche #domus Petrii Burgi #domus Iohannis de Girauda #domus Petri de Oddo #domus Vieti de Mondino #domus Henrieti de Mondino #domus Margerite Planche #domus Marchete de Mondino #domus Aleysine Burgi #domus Martinii Dominici #domus Henrieti de Mondino</v>
      </c>
      <c r="DJ293" t="str">
        <f ca="1">IFERROR(__xludf.DUMMYFUNCTION("""COMPUTED_VALUE"""),"domus #domus #domus #domus #domus #domus #domus #domus #domus #domus #domus #domus")</f>
        <v>domus #domus #domus #domus #domus #domus #domus #domus #domus #domus #domus #domus</v>
      </c>
      <c r="DK293" t="str">
        <f ca="1">IFERROR(__xludf.DUMMYFUNCTION("""COMPUTED_VALUE"""),"Possibly the same as P0293, but not certain.")</f>
        <v>Possibly the same as P0293, but not certain.</v>
      </c>
      <c r="DL293" t="str">
        <f ca="1">IFERROR(__xludf.DUMMYFUNCTION("""COMPUTED_VALUE"""),"Davor Salihović")</f>
        <v>Davor Salihović</v>
      </c>
    </row>
    <row r="294" spans="1:116" ht="13.2" x14ac:dyDescent="0.25">
      <c r="A294" t="str">
        <f ca="1">IFERROR(__xludf.DUMMYFUNCTION("""COMPUTED_VALUE"""),"P0300")</f>
        <v>P0300</v>
      </c>
      <c r="B294" t="str">
        <f ca="1">IFERROR(__xludf.DUMMYFUNCTION("""COMPUTED_VALUE"""),"Guigo Constancius")</f>
        <v>Guigo Constancius</v>
      </c>
      <c r="D294" t="str">
        <f ca="1">IFERROR(__xludf.DUMMYFUNCTION("""COMPUTED_VALUE"""),"#VALUE!")</f>
        <v>#VALUE!</v>
      </c>
      <c r="E294" t="str">
        <f ca="1">IFERROR(__xludf.DUMMYFUNCTION("""COMPUTED_VALUE"""),"Guigo")</f>
        <v>Guigo</v>
      </c>
      <c r="F294" t="str">
        <f ca="1">IFERROR(__xludf.DUMMYFUNCTION("""COMPUTED_VALUE"""),"Hugo")</f>
        <v>Hugo</v>
      </c>
      <c r="K294" t="str">
        <f ca="1">IFERROR(__xludf.DUMMYFUNCTION("""COMPUTED_VALUE"""),"Constancius")</f>
        <v>Constancius</v>
      </c>
      <c r="L294" t="str">
        <f ca="1">IFERROR(__xludf.DUMMYFUNCTION("""COMPUTED_VALUE"""),"Constancius")</f>
        <v>Constancius</v>
      </c>
      <c r="S294" t="str">
        <f ca="1">IFERROR(__xludf.DUMMYFUNCTION("""COMPUTED_VALUE"""),"Latin")</f>
        <v>Latin</v>
      </c>
      <c r="T294" t="str">
        <f ca="1">IFERROR(__xludf.DUMMYFUNCTION("""COMPUTED_VALUE"""),"definite")</f>
        <v>definite</v>
      </c>
      <c r="U294" t="str">
        <f ca="1">IFERROR(__xludf.DUMMYFUNCTION("""COMPUTED_VALUE"""),"C2553")</f>
        <v>C2553</v>
      </c>
      <c r="V294" t="str">
        <f ca="1">IFERROR(__xludf.DUMMYFUNCTION("""COMPUTED_VALUE"""),"male")</f>
        <v>male</v>
      </c>
      <c r="Z294" t="str">
        <f ca="1">IFERROR(__xludf.DUMMYFUNCTION("""COMPUTED_VALUE"""),"193, 196, 212, 239, 245")</f>
        <v>193, 196, 212, 239, 245</v>
      </c>
      <c r="AA294" t="str">
        <f ca="1">IFERROR(__xludf.DUMMYFUNCTION("""COMPUTED_VALUE"""),"d")</f>
        <v>d</v>
      </c>
      <c r="AB294" t="str">
        <f ca="1">IFERROR(__xludf.DUMMYFUNCTION("""COMPUTED_VALUE"""),"suspect")</f>
        <v>suspect</v>
      </c>
      <c r="AE294" t="str">
        <f ca="1">IFERROR(__xludf.DUMMYFUNCTION("""COMPUTED_VALUE"""),"#VALUE!")</f>
        <v>#VALUE!</v>
      </c>
      <c r="AF294" t="str">
        <f ca="1">IFERROR(__xludf.DUMMYFUNCTION("""COMPUTED_VALUE"""),"#N/A")</f>
        <v>#N/A</v>
      </c>
      <c r="AG294" t="str">
        <f ca="1">IFERROR(__xludf.DUMMYFUNCTION("""COMPUTED_VALUE"""),"#N/A")</f>
        <v>#N/A</v>
      </c>
      <c r="AH294" t="str">
        <f ca="1">IFERROR(__xludf.DUMMYFUNCTION("""COMPUTED_VALUE"""),"C2358")</f>
        <v>C2358</v>
      </c>
      <c r="AI294" t="str">
        <f ca="1">IFERROR(__xludf.DUMMYFUNCTION("""COMPUTED_VALUE"""),"associate")</f>
        <v>associate</v>
      </c>
      <c r="AJ294" t="str">
        <f ca="1">IFERROR(__xludf.DUMMYFUNCTION("""COMPUTED_VALUE"""),"P0299")</f>
        <v>P0299</v>
      </c>
      <c r="AK294" t="str">
        <f ca="1">IFERROR(__xludf.DUMMYFUNCTION("""COMPUTED_VALUE"""),"Poncetus")</f>
        <v>Poncetus</v>
      </c>
      <c r="AL294" t="str">
        <f ca="1">IFERROR(__xludf.DUMMYFUNCTION("""COMPUTED_VALUE"""),"C2358")</f>
        <v>C2358</v>
      </c>
      <c r="AM294" t="str">
        <f ca="1">IFERROR(__xludf.DUMMYFUNCTION("""COMPUTED_VALUE"""),"associate")</f>
        <v>associate</v>
      </c>
      <c r="AN294" t="str">
        <f ca="1">IFERROR(__xludf.DUMMYFUNCTION("""COMPUTED_VALUE"""),"P0183")</f>
        <v>P0183</v>
      </c>
      <c r="AO294" t="str">
        <f ca="1">IFERROR(__xludf.DUMMYFUNCTION("""COMPUTED_VALUE"""),"Martinus Pastre")</f>
        <v>Martinus Pastre</v>
      </c>
      <c r="AQ294" t="str">
        <f ca="1">IFERROR(__xludf.DUMMYFUNCTION("""COMPUTED_VALUE"""),"#VALUE!")</f>
        <v>#VALUE!</v>
      </c>
      <c r="AS294" t="str">
        <f ca="1">IFERROR(__xludf.DUMMYFUNCTION("""COMPUTED_VALUE"""),"#VALUE!")</f>
        <v>#VALUE!</v>
      </c>
      <c r="AU294" t="str">
        <f ca="1">IFERROR(__xludf.DUMMYFUNCTION("""COMPUTED_VALUE"""),"#VALUE!")</f>
        <v>#VALUE!</v>
      </c>
      <c r="AW294" t="str">
        <f ca="1">IFERROR(__xludf.DUMMYFUNCTION("""COMPUTED_VALUE"""),"#VALUE!")</f>
        <v>#VALUE!</v>
      </c>
      <c r="AY294" t="str">
        <f ca="1">IFERROR(__xludf.DUMMYFUNCTION("""COMPUTED_VALUE"""),"#VALUE!")</f>
        <v>#VALUE!</v>
      </c>
      <c r="BA294" t="str">
        <f ca="1">IFERROR(__xludf.DUMMYFUNCTION("""COMPUTED_VALUE"""),"#VALUE!")</f>
        <v>#VALUE!</v>
      </c>
      <c r="BC294" t="str">
        <f ca="1">IFERROR(__xludf.DUMMYFUNCTION("""COMPUTED_VALUE"""),"#VALUE!")</f>
        <v>#VALUE!</v>
      </c>
      <c r="BE294" t="str">
        <f ca="1">IFERROR(__xludf.DUMMYFUNCTION("""COMPUTED_VALUE"""),"#VALUE!")</f>
        <v>#VALUE!</v>
      </c>
      <c r="BG294" t="str">
        <f ca="1">IFERROR(__xludf.DUMMYFUNCTION("""COMPUTED_VALUE"""),"#VALUE!")</f>
        <v>#VALUE!</v>
      </c>
      <c r="BI294" t="str">
        <f ca="1">IFERROR(__xludf.DUMMYFUNCTION("""COMPUTED_VALUE"""),"#VALUE!")</f>
        <v>#VALUE!</v>
      </c>
      <c r="BK294" t="str">
        <f ca="1">IFERROR(__xludf.DUMMYFUNCTION("""COMPUTED_VALUE"""),"#VALUE!")</f>
        <v>#VALUE!</v>
      </c>
      <c r="BM294" t="str">
        <f ca="1">IFERROR(__xludf.DUMMYFUNCTION("""COMPUTED_VALUE"""),"#VALUE!")</f>
        <v>#VALUE!</v>
      </c>
      <c r="BO294" t="str">
        <f ca="1">IFERROR(__xludf.DUMMYFUNCTION("""COMPUTED_VALUE"""),"#VALUE!")</f>
        <v>#VALUE!</v>
      </c>
      <c r="BQ294" t="str">
        <f ca="1">IFERROR(__xludf.DUMMYFUNCTION("""COMPUTED_VALUE"""),"#VALUE!")</f>
        <v>#VALUE!</v>
      </c>
      <c r="BS294" t="str">
        <f ca="1">IFERROR(__xludf.DUMMYFUNCTION("""COMPUTED_VALUE"""),"#VALUE!")</f>
        <v>#VALUE!</v>
      </c>
      <c r="BU294" t="str">
        <f ca="1">IFERROR(__xludf.DUMMYFUNCTION("""COMPUTED_VALUE"""),"#VALUE!")</f>
        <v>#VALUE!</v>
      </c>
      <c r="BW294" t="str">
        <f ca="1">IFERROR(__xludf.DUMMYFUNCTION("""COMPUTED_VALUE"""),"#VALUE!")</f>
        <v>#VALUE!</v>
      </c>
      <c r="BY294" t="str">
        <f ca="1">IFERROR(__xludf.DUMMYFUNCTION("""COMPUTED_VALUE"""),"#VALUE!")</f>
        <v>#VALUE!</v>
      </c>
      <c r="CA294" t="str">
        <f ca="1">IFERROR(__xludf.DUMMYFUNCTION("""COMPUTED_VALUE"""),"#VALUE!")</f>
        <v>#VALUE!</v>
      </c>
      <c r="CC294" t="str">
        <f ca="1">IFERROR(__xludf.DUMMYFUNCTION("""COMPUTED_VALUE"""),"#VALUE!")</f>
        <v>#VALUE!</v>
      </c>
      <c r="CD294" t="str">
        <f ca="1">IFERROR(__xludf.DUMMYFUNCTION("""COMPUTED_VALUE"""),"C3598")</f>
        <v>C3598</v>
      </c>
      <c r="CE294" t="str">
        <f ca="1">IFERROR(__xludf.DUMMYFUNCTION("""COMPUTED_VALUE"""),"location of congregation")</f>
        <v>location of congregation</v>
      </c>
      <c r="CF294" t="str">
        <f ca="1">IFERROR(__xludf.DUMMYFUNCTION("""COMPUTED_VALUE"""),"L0067#L0098#L0080#L0114#L0079")</f>
        <v>L0067#L0098#L0080#L0114#L0079</v>
      </c>
      <c r="CG294" t="str">
        <f ca="1">IFERROR(__xludf.DUMMYFUNCTION("""COMPUTED_VALUE"""),"domus Petri Rupphini #domus Michaelis Planche #domus Petrii Burgi #domus Henrieti de Mondino #domus Martinii Dominici")</f>
        <v>domus Petri Rupphini #domus Michaelis Planche #domus Petrii Burgi #domus Henrieti de Mondino #domus Martinii Dominici</v>
      </c>
      <c r="CI294" t="str">
        <f ca="1">IFERROR(__xludf.DUMMYFUNCTION("""COMPUTED_VALUE"""),"#VALUE!")</f>
        <v>#VALUE!</v>
      </c>
      <c r="CK294" t="str">
        <f ca="1">IFERROR(__xludf.DUMMYFUNCTION("""COMPUTED_VALUE"""),"#VALUE!")</f>
        <v>#VALUE!</v>
      </c>
      <c r="CS294" t="str">
        <f ca="1">IFERROR(__xludf.DUMMYFUNCTION("""COMPUTED_VALUE"""),"#VALUE!")</f>
        <v>#VALUE!</v>
      </c>
      <c r="CU294" t="str">
        <f ca="1">IFERROR(__xludf.DUMMYFUNCTION("""COMPUTED_VALUE"""),"#VALUE!")</f>
        <v>#VALUE!</v>
      </c>
      <c r="CW294" t="str">
        <f ca="1">IFERROR(__xludf.DUMMYFUNCTION("""COMPUTED_VALUE"""),"#VALUE!")</f>
        <v>#VALUE!</v>
      </c>
      <c r="CY294" t="str">
        <f ca="1">IFERROR(__xludf.DUMMYFUNCTION("""COMPUTED_VALUE"""),"#VALUE!")</f>
        <v>#VALUE!</v>
      </c>
      <c r="DC294" t="str">
        <f ca="1">IFERROR(__xludf.DUMMYFUNCTION("""COMPUTED_VALUE"""),"#VALUE!")</f>
        <v>#VALUE!</v>
      </c>
      <c r="DE294" t="str">
        <f ca="1">IFERROR(__xludf.DUMMYFUNCTION("""COMPUTED_VALUE"""),"#VALUE!")</f>
        <v>#VALUE!</v>
      </c>
      <c r="DH294" t="str">
        <f ca="1">IFERROR(__xludf.DUMMYFUNCTION("""COMPUTED_VALUE"""),"L0067#L0098#L0080#L0114#L0079")</f>
        <v>L0067#L0098#L0080#L0114#L0079</v>
      </c>
      <c r="DI294" t="str">
        <f ca="1">IFERROR(__xludf.DUMMYFUNCTION("""COMPUTED_VALUE"""),"domus Petri Rupphini #domus Michaelis Planche #domus Petrii Burgi #domus Henrieti de Mondino #domus Martinii Dominici")</f>
        <v>domus Petri Rupphini #domus Michaelis Planche #domus Petrii Burgi #domus Henrieti de Mondino #domus Martinii Dominici</v>
      </c>
      <c r="DJ294" t="str">
        <f ca="1">IFERROR(__xludf.DUMMYFUNCTION("""COMPUTED_VALUE"""),"domus #domus #domus #domus #domus")</f>
        <v>domus #domus #domus #domus #domus</v>
      </c>
      <c r="DL294" t="str">
        <f ca="1">IFERROR(__xludf.DUMMYFUNCTION("""COMPUTED_VALUE"""),"Davor Salihović")</f>
        <v>Davor Salihović</v>
      </c>
    </row>
    <row r="295" spans="1:116" ht="13.2" x14ac:dyDescent="0.25">
      <c r="A295" t="str">
        <f ca="1">IFERROR(__xludf.DUMMYFUNCTION("""COMPUTED_VALUE"""),"P0301")</f>
        <v>P0301</v>
      </c>
      <c r="B295" t="str">
        <f ca="1">IFERROR(__xludf.DUMMYFUNCTION("""COMPUTED_VALUE"""),"Petrus, filius Petri Bruni")</f>
        <v>Petrus, filius Petri Bruni</v>
      </c>
      <c r="D295" t="str">
        <f ca="1">IFERROR(__xludf.DUMMYFUNCTION("""COMPUTED_VALUE"""),"#VALUE!")</f>
        <v>#VALUE!</v>
      </c>
      <c r="E295" t="str">
        <f ca="1">IFERROR(__xludf.DUMMYFUNCTION("""COMPUTED_VALUE"""),"Petrus")</f>
        <v>Petrus</v>
      </c>
      <c r="Q295" t="str">
        <f ca="1">IFERROR(__xludf.DUMMYFUNCTION("""COMPUTED_VALUE"""),"filius Petri Bruni")</f>
        <v>filius Petri Bruni</v>
      </c>
      <c r="S295" t="str">
        <f ca="1">IFERROR(__xludf.DUMMYFUNCTION("""COMPUTED_VALUE"""),"Latin")</f>
        <v>Latin</v>
      </c>
      <c r="T295" t="str">
        <f ca="1">IFERROR(__xludf.DUMMYFUNCTION("""COMPUTED_VALUE"""),"definite")</f>
        <v>definite</v>
      </c>
      <c r="U295" t="str">
        <f ca="1">IFERROR(__xludf.DUMMYFUNCTION("""COMPUTED_VALUE"""),"C2553")</f>
        <v>C2553</v>
      </c>
      <c r="V295" t="str">
        <f ca="1">IFERROR(__xludf.DUMMYFUNCTION("""COMPUTED_VALUE"""),"male")</f>
        <v>male</v>
      </c>
      <c r="Z295" t="str">
        <f ca="1">IFERROR(__xludf.DUMMYFUNCTION("""COMPUTED_VALUE"""),"193, 198, 202, 205, 206, 207, 215, 216, 218, 219, 227, 242")</f>
        <v>193, 198, 202, 205, 206, 207, 215, 216, 218, 219, 227, 242</v>
      </c>
      <c r="AA295" t="str">
        <f ca="1">IFERROR(__xludf.DUMMYFUNCTION("""COMPUTED_VALUE"""),"d")</f>
        <v>d</v>
      </c>
      <c r="AB295" t="str">
        <f ca="1">IFERROR(__xludf.DUMMYFUNCTION("""COMPUTED_VALUE"""),"suspect")</f>
        <v>suspect</v>
      </c>
      <c r="AD295" t="str">
        <f ca="1">IFERROR(__xludf.DUMMYFUNCTION("""COMPUTED_VALUE"""),"C3287")</f>
        <v>C3287</v>
      </c>
      <c r="AE295" t="str">
        <f ca="1">IFERROR(__xludf.DUMMYFUNCTION("""COMPUTED_VALUE"""),"alive")</f>
        <v>alive</v>
      </c>
      <c r="AF295" t="str">
        <f ca="1">IFERROR(__xludf.DUMMYFUNCTION("""COMPUTED_VALUE"""),"C1753")</f>
        <v>C1753</v>
      </c>
      <c r="AG295" t="str">
        <f ca="1">IFERROR(__xludf.DUMMYFUNCTION("""COMPUTED_VALUE"""),"1335-01-20")</f>
        <v>1335-01-20</v>
      </c>
      <c r="AI295" t="str">
        <f ca="1">IFERROR(__xludf.DUMMYFUNCTION("""COMPUTED_VALUE"""),"#VALUE!")</f>
        <v>#VALUE!</v>
      </c>
      <c r="AK295" t="str">
        <f ca="1">IFERROR(__xludf.DUMMYFUNCTION("""COMPUTED_VALUE"""),"#VALUE!")</f>
        <v>#VALUE!</v>
      </c>
      <c r="AM295" t="str">
        <f ca="1">IFERROR(__xludf.DUMMYFUNCTION("""COMPUTED_VALUE"""),"#VALUE!")</f>
        <v>#VALUE!</v>
      </c>
      <c r="AO295" t="str">
        <f ca="1">IFERROR(__xludf.DUMMYFUNCTION("""COMPUTED_VALUE"""),"#VALUE!")</f>
        <v>#VALUE!</v>
      </c>
      <c r="AQ295" t="str">
        <f ca="1">IFERROR(__xludf.DUMMYFUNCTION("""COMPUTED_VALUE"""),"#VALUE!")</f>
        <v>#VALUE!</v>
      </c>
      <c r="AS295" t="str">
        <f ca="1">IFERROR(__xludf.DUMMYFUNCTION("""COMPUTED_VALUE"""),"#VALUE!")</f>
        <v>#VALUE!</v>
      </c>
      <c r="AU295" t="str">
        <f ca="1">IFERROR(__xludf.DUMMYFUNCTION("""COMPUTED_VALUE"""),"#VALUE!")</f>
        <v>#VALUE!</v>
      </c>
      <c r="AW295" t="str">
        <f ca="1">IFERROR(__xludf.DUMMYFUNCTION("""COMPUTED_VALUE"""),"#VALUE!")</f>
        <v>#VALUE!</v>
      </c>
      <c r="AY295" t="str">
        <f ca="1">IFERROR(__xludf.DUMMYFUNCTION("""COMPUTED_VALUE"""),"#VALUE!")</f>
        <v>#VALUE!</v>
      </c>
      <c r="BA295" t="str">
        <f ca="1">IFERROR(__xludf.DUMMYFUNCTION("""COMPUTED_VALUE"""),"#VALUE!")</f>
        <v>#VALUE!</v>
      </c>
      <c r="BC295" t="str">
        <f ca="1">IFERROR(__xludf.DUMMYFUNCTION("""COMPUTED_VALUE"""),"#VALUE!")</f>
        <v>#VALUE!</v>
      </c>
      <c r="BE295" t="str">
        <f ca="1">IFERROR(__xludf.DUMMYFUNCTION("""COMPUTED_VALUE"""),"#VALUE!")</f>
        <v>#VALUE!</v>
      </c>
      <c r="BG295" t="str">
        <f ca="1">IFERROR(__xludf.DUMMYFUNCTION("""COMPUTED_VALUE"""),"#VALUE!")</f>
        <v>#VALUE!</v>
      </c>
      <c r="BI295" t="str">
        <f ca="1">IFERROR(__xludf.DUMMYFUNCTION("""COMPUTED_VALUE"""),"#VALUE!")</f>
        <v>#VALUE!</v>
      </c>
      <c r="BK295" t="str">
        <f ca="1">IFERROR(__xludf.DUMMYFUNCTION("""COMPUTED_VALUE"""),"#VALUE!")</f>
        <v>#VALUE!</v>
      </c>
      <c r="BM295" t="str">
        <f ca="1">IFERROR(__xludf.DUMMYFUNCTION("""COMPUTED_VALUE"""),"#VALUE!")</f>
        <v>#VALUE!</v>
      </c>
      <c r="BO295" t="str">
        <f ca="1">IFERROR(__xludf.DUMMYFUNCTION("""COMPUTED_VALUE"""),"#VALUE!")</f>
        <v>#VALUE!</v>
      </c>
      <c r="BQ295" t="str">
        <f ca="1">IFERROR(__xludf.DUMMYFUNCTION("""COMPUTED_VALUE"""),"#VALUE!")</f>
        <v>#VALUE!</v>
      </c>
      <c r="BS295" t="str">
        <f ca="1">IFERROR(__xludf.DUMMYFUNCTION("""COMPUTED_VALUE"""),"#VALUE!")</f>
        <v>#VALUE!</v>
      </c>
      <c r="BU295" t="str">
        <f ca="1">IFERROR(__xludf.DUMMYFUNCTION("""COMPUTED_VALUE"""),"#VALUE!")</f>
        <v>#VALUE!</v>
      </c>
      <c r="BW295" t="str">
        <f ca="1">IFERROR(__xludf.DUMMYFUNCTION("""COMPUTED_VALUE"""),"#VALUE!")</f>
        <v>#VALUE!</v>
      </c>
      <c r="BY295" t="str">
        <f ca="1">IFERROR(__xludf.DUMMYFUNCTION("""COMPUTED_VALUE"""),"#VALUE!")</f>
        <v>#VALUE!</v>
      </c>
      <c r="CA295" t="str">
        <f ca="1">IFERROR(__xludf.DUMMYFUNCTION("""COMPUTED_VALUE"""),"#VALUE!")</f>
        <v>#VALUE!</v>
      </c>
      <c r="CC295" t="str">
        <f ca="1">IFERROR(__xludf.DUMMYFUNCTION("""COMPUTED_VALUE"""),"#VALUE!")</f>
        <v>#VALUE!</v>
      </c>
      <c r="CD295" t="str">
        <f ca="1">IFERROR(__xludf.DUMMYFUNCTION("""COMPUTED_VALUE"""),"C3598")</f>
        <v>C3598</v>
      </c>
      <c r="CE295" t="str">
        <f ca="1">IFERROR(__xludf.DUMMYFUNCTION("""COMPUTED_VALUE"""),"location of congregation")</f>
        <v>location of congregation</v>
      </c>
      <c r="CF295" t="str">
        <f ca="1">IFERROR(__xludf.DUMMYFUNCTION("""COMPUTED_VALUE"""),"L0032#L0103#L0104#L0108")</f>
        <v>L0032#L0103#L0104#L0108</v>
      </c>
      <c r="CG295" t="str">
        <f ca="1">IFERROR(__xludf.DUMMYFUNCTION("""COMPUTED_VALUE"""),"domus Villelmi de Oddo #domus Iohannis de Girauda #domus Beatricis de Oddo #domus Petri de Oddo")</f>
        <v>domus Villelmi de Oddo #domus Iohannis de Girauda #domus Beatricis de Oddo #domus Petri de Oddo</v>
      </c>
      <c r="CI295" t="str">
        <f ca="1">IFERROR(__xludf.DUMMYFUNCTION("""COMPUTED_VALUE"""),"#VALUE!")</f>
        <v>#VALUE!</v>
      </c>
      <c r="CJ295" t="str">
        <f ca="1">IFERROR(__xludf.DUMMYFUNCTION("""COMPUTED_VALUE"""),"P0105")</f>
        <v>P0105</v>
      </c>
      <c r="CK295" t="str">
        <f ca="1">IFERROR(__xludf.DUMMYFUNCTION("""COMPUTED_VALUE"""),"Villelminus de Oddo")</f>
        <v>Villelminus de Oddo</v>
      </c>
      <c r="CS295" t="str">
        <f ca="1">IFERROR(__xludf.DUMMYFUNCTION("""COMPUTED_VALUE"""),"#VALUE!")</f>
        <v>#VALUE!</v>
      </c>
      <c r="CU295" t="str">
        <f ca="1">IFERROR(__xludf.DUMMYFUNCTION("""COMPUTED_VALUE"""),"#VALUE!")</f>
        <v>#VALUE!</v>
      </c>
      <c r="CW295" t="str">
        <f ca="1">IFERROR(__xludf.DUMMYFUNCTION("""COMPUTED_VALUE"""),"#VALUE!")</f>
        <v>#VALUE!</v>
      </c>
      <c r="CY295" t="str">
        <f ca="1">IFERROR(__xludf.DUMMYFUNCTION("""COMPUTED_VALUE"""),"#VALUE!")</f>
        <v>#VALUE!</v>
      </c>
      <c r="DC295" t="str">
        <f ca="1">IFERROR(__xludf.DUMMYFUNCTION("""COMPUTED_VALUE"""),"#VALUE!")</f>
        <v>#VALUE!</v>
      </c>
      <c r="DE295" t="str">
        <f ca="1">IFERROR(__xludf.DUMMYFUNCTION("""COMPUTED_VALUE"""),"#VALUE!")</f>
        <v>#VALUE!</v>
      </c>
      <c r="DF295" t="str">
        <f ca="1">IFERROR(__xludf.DUMMYFUNCTION("""COMPUTED_VALUE"""),"y")</f>
        <v>y</v>
      </c>
      <c r="DG295" t="str">
        <f ca="1">IFERROR(__xludf.DUMMYFUNCTION("""COMPUTED_VALUE"""),"205")</f>
        <v>205</v>
      </c>
      <c r="DH295" t="str">
        <f ca="1">IFERROR(__xludf.DUMMYFUNCTION("""COMPUTED_VALUE"""),"L0032#L0103#L0104#L0108")</f>
        <v>L0032#L0103#L0104#L0108</v>
      </c>
      <c r="DI295" t="str">
        <f ca="1">IFERROR(__xludf.DUMMYFUNCTION("""COMPUTED_VALUE"""),"domus Villelmi de Oddo #domus Iohannis de Girauda #domus Beatricis de Oddo #domus Petri de Oddo")</f>
        <v>domus Villelmi de Oddo #domus Iohannis de Girauda #domus Beatricis de Oddo #domus Petri de Oddo</v>
      </c>
      <c r="DJ295" t="str">
        <f ca="1">IFERROR(__xludf.DUMMYFUNCTION("""COMPUTED_VALUE"""),"domus #domus #domus #domus")</f>
        <v>domus #domus #domus #domus</v>
      </c>
      <c r="DL295" t="str">
        <f ca="1">IFERROR(__xludf.DUMMYFUNCTION("""COMPUTED_VALUE"""),"Davor Salihović")</f>
        <v>Davor Salihović</v>
      </c>
    </row>
    <row r="296" spans="1:116" ht="13.2" x14ac:dyDescent="0.25">
      <c r="A296" t="str">
        <f ca="1">IFERROR(__xludf.DUMMYFUNCTION("""COMPUTED_VALUE"""),"P0302")</f>
        <v>P0302</v>
      </c>
      <c r="B296" t="str">
        <f ca="1">IFERROR(__xludf.DUMMYFUNCTION("""COMPUTED_VALUE"""),"Petrus Bruni")</f>
        <v>Petrus Bruni</v>
      </c>
      <c r="D296" t="str">
        <f ca="1">IFERROR(__xludf.DUMMYFUNCTION("""COMPUTED_VALUE"""),"#VALUE!")</f>
        <v>#VALUE!</v>
      </c>
      <c r="E296" t="str">
        <f ca="1">IFERROR(__xludf.DUMMYFUNCTION("""COMPUTED_VALUE"""),"Petrus")</f>
        <v>Petrus</v>
      </c>
      <c r="K296" t="str">
        <f ca="1">IFERROR(__xludf.DUMMYFUNCTION("""COMPUTED_VALUE"""),"Bruni")</f>
        <v>Bruni</v>
      </c>
      <c r="L296" t="str">
        <f ca="1">IFERROR(__xludf.DUMMYFUNCTION("""COMPUTED_VALUE"""),"Bruni")</f>
        <v>Bruni</v>
      </c>
      <c r="S296" t="str">
        <f ca="1">IFERROR(__xludf.DUMMYFUNCTION("""COMPUTED_VALUE"""),"Latin")</f>
        <v>Latin</v>
      </c>
      <c r="T296" t="str">
        <f ca="1">IFERROR(__xludf.DUMMYFUNCTION("""COMPUTED_VALUE"""),"definite")</f>
        <v>definite</v>
      </c>
      <c r="U296" t="str">
        <f ca="1">IFERROR(__xludf.DUMMYFUNCTION("""COMPUTED_VALUE"""),"C2553")</f>
        <v>C2553</v>
      </c>
      <c r="V296" t="str">
        <f ca="1">IFERROR(__xludf.DUMMYFUNCTION("""COMPUTED_VALUE"""),"male")</f>
        <v>male</v>
      </c>
      <c r="Z296" t="str">
        <f ca="1">IFERROR(__xludf.DUMMYFUNCTION("""COMPUTED_VALUE"""),"193, 202, 205, 215, 216, 218, 219, 227, 242")</f>
        <v>193, 202, 205, 215, 216, 218, 219, 227, 242</v>
      </c>
      <c r="AA296" t="str">
        <f ca="1">IFERROR(__xludf.DUMMYFUNCTION("""COMPUTED_VALUE"""),"d")</f>
        <v>d</v>
      </c>
      <c r="AB296" t="str">
        <f ca="1">IFERROR(__xludf.DUMMYFUNCTION("""COMPUTED_VALUE"""),"NA")</f>
        <v>NA</v>
      </c>
      <c r="AE296" t="str">
        <f ca="1">IFERROR(__xludf.DUMMYFUNCTION("""COMPUTED_VALUE"""),"#VALUE!")</f>
        <v>#VALUE!</v>
      </c>
      <c r="AF296" t="str">
        <f ca="1">IFERROR(__xludf.DUMMYFUNCTION("""COMPUTED_VALUE"""),"#N/A")</f>
        <v>#N/A</v>
      </c>
      <c r="AG296" t="str">
        <f ca="1">IFERROR(__xludf.DUMMYFUNCTION("""COMPUTED_VALUE"""),"#N/A")</f>
        <v>#N/A</v>
      </c>
      <c r="AH296" t="str">
        <f ca="1">IFERROR(__xludf.DUMMYFUNCTION("""COMPUTED_VALUE"""),"C2336")</f>
        <v>C2336</v>
      </c>
      <c r="AI296" t="str">
        <f ca="1">IFERROR(__xludf.DUMMYFUNCTION("""COMPUTED_VALUE"""),"son")</f>
        <v>son</v>
      </c>
      <c r="AJ296" t="str">
        <f ca="1">IFERROR(__xludf.DUMMYFUNCTION("""COMPUTED_VALUE"""),"P0301")</f>
        <v>P0301</v>
      </c>
      <c r="AK296" t="str">
        <f ca="1">IFERROR(__xludf.DUMMYFUNCTION("""COMPUTED_VALUE"""),"Petrus, filius Petri Bruni")</f>
        <v>Petrus, filius Petri Bruni</v>
      </c>
      <c r="AM296" t="str">
        <f ca="1">IFERROR(__xludf.DUMMYFUNCTION("""COMPUTED_VALUE"""),"#VALUE!")</f>
        <v>#VALUE!</v>
      </c>
      <c r="AO296" t="str">
        <f ca="1">IFERROR(__xludf.DUMMYFUNCTION("""COMPUTED_VALUE"""),"#VALUE!")</f>
        <v>#VALUE!</v>
      </c>
      <c r="AQ296" t="str">
        <f ca="1">IFERROR(__xludf.DUMMYFUNCTION("""COMPUTED_VALUE"""),"#VALUE!")</f>
        <v>#VALUE!</v>
      </c>
      <c r="AS296" t="str">
        <f ca="1">IFERROR(__xludf.DUMMYFUNCTION("""COMPUTED_VALUE"""),"#VALUE!")</f>
        <v>#VALUE!</v>
      </c>
      <c r="AU296" t="str">
        <f ca="1">IFERROR(__xludf.DUMMYFUNCTION("""COMPUTED_VALUE"""),"#VALUE!")</f>
        <v>#VALUE!</v>
      </c>
      <c r="AW296" t="str">
        <f ca="1">IFERROR(__xludf.DUMMYFUNCTION("""COMPUTED_VALUE"""),"#VALUE!")</f>
        <v>#VALUE!</v>
      </c>
      <c r="AY296" t="str">
        <f ca="1">IFERROR(__xludf.DUMMYFUNCTION("""COMPUTED_VALUE"""),"#VALUE!")</f>
        <v>#VALUE!</v>
      </c>
      <c r="BA296" t="str">
        <f ca="1">IFERROR(__xludf.DUMMYFUNCTION("""COMPUTED_VALUE"""),"#VALUE!")</f>
        <v>#VALUE!</v>
      </c>
      <c r="BC296" t="str">
        <f ca="1">IFERROR(__xludf.DUMMYFUNCTION("""COMPUTED_VALUE"""),"#VALUE!")</f>
        <v>#VALUE!</v>
      </c>
      <c r="BE296" t="str">
        <f ca="1">IFERROR(__xludf.DUMMYFUNCTION("""COMPUTED_VALUE"""),"#VALUE!")</f>
        <v>#VALUE!</v>
      </c>
      <c r="BG296" t="str">
        <f ca="1">IFERROR(__xludf.DUMMYFUNCTION("""COMPUTED_VALUE"""),"#VALUE!")</f>
        <v>#VALUE!</v>
      </c>
      <c r="BI296" t="str">
        <f ca="1">IFERROR(__xludf.DUMMYFUNCTION("""COMPUTED_VALUE"""),"#VALUE!")</f>
        <v>#VALUE!</v>
      </c>
      <c r="BK296" t="str">
        <f ca="1">IFERROR(__xludf.DUMMYFUNCTION("""COMPUTED_VALUE"""),"#VALUE!")</f>
        <v>#VALUE!</v>
      </c>
      <c r="BM296" t="str">
        <f ca="1">IFERROR(__xludf.DUMMYFUNCTION("""COMPUTED_VALUE"""),"#VALUE!")</f>
        <v>#VALUE!</v>
      </c>
      <c r="BO296" t="str">
        <f ca="1">IFERROR(__xludf.DUMMYFUNCTION("""COMPUTED_VALUE"""),"#VALUE!")</f>
        <v>#VALUE!</v>
      </c>
      <c r="BQ296" t="str">
        <f ca="1">IFERROR(__xludf.DUMMYFUNCTION("""COMPUTED_VALUE"""),"#VALUE!")</f>
        <v>#VALUE!</v>
      </c>
      <c r="BS296" t="str">
        <f ca="1">IFERROR(__xludf.DUMMYFUNCTION("""COMPUTED_VALUE"""),"#VALUE!")</f>
        <v>#VALUE!</v>
      </c>
      <c r="BU296" t="str">
        <f ca="1">IFERROR(__xludf.DUMMYFUNCTION("""COMPUTED_VALUE"""),"#VALUE!")</f>
        <v>#VALUE!</v>
      </c>
      <c r="BW296" t="str">
        <f ca="1">IFERROR(__xludf.DUMMYFUNCTION("""COMPUTED_VALUE"""),"#VALUE!")</f>
        <v>#VALUE!</v>
      </c>
      <c r="BY296" t="str">
        <f ca="1">IFERROR(__xludf.DUMMYFUNCTION("""COMPUTED_VALUE"""),"#VALUE!")</f>
        <v>#VALUE!</v>
      </c>
      <c r="CA296" t="str">
        <f ca="1">IFERROR(__xludf.DUMMYFUNCTION("""COMPUTED_VALUE"""),"#VALUE!")</f>
        <v>#VALUE!</v>
      </c>
      <c r="CC296" t="str">
        <f ca="1">IFERROR(__xludf.DUMMYFUNCTION("""COMPUTED_VALUE"""),"#VALUE!")</f>
        <v>#VALUE!</v>
      </c>
      <c r="CE296" t="str">
        <f ca="1">IFERROR(__xludf.DUMMYFUNCTION("""COMPUTED_VALUE"""),"#VALUE!")</f>
        <v>#VALUE!</v>
      </c>
      <c r="CG296" t="str">
        <f ca="1">IFERROR(__xludf.DUMMYFUNCTION("""COMPUTED_VALUE"""),"#VALUE!")</f>
        <v>#VALUE!</v>
      </c>
      <c r="CI296" t="str">
        <f ca="1">IFERROR(__xludf.DUMMYFUNCTION("""COMPUTED_VALUE"""),"#VALUE!")</f>
        <v>#VALUE!</v>
      </c>
      <c r="CK296" t="str">
        <f ca="1">IFERROR(__xludf.DUMMYFUNCTION("""COMPUTED_VALUE"""),"#VALUE!")</f>
        <v>#VALUE!</v>
      </c>
      <c r="CS296" t="str">
        <f ca="1">IFERROR(__xludf.DUMMYFUNCTION("""COMPUTED_VALUE"""),"#VALUE!")</f>
        <v>#VALUE!</v>
      </c>
      <c r="CU296" t="str">
        <f ca="1">IFERROR(__xludf.DUMMYFUNCTION("""COMPUTED_VALUE"""),"#VALUE!")</f>
        <v>#VALUE!</v>
      </c>
      <c r="CW296" t="str">
        <f ca="1">IFERROR(__xludf.DUMMYFUNCTION("""COMPUTED_VALUE"""),"#VALUE!")</f>
        <v>#VALUE!</v>
      </c>
      <c r="CY296" t="str">
        <f ca="1">IFERROR(__xludf.DUMMYFUNCTION("""COMPUTED_VALUE"""),"#VALUE!")</f>
        <v>#VALUE!</v>
      </c>
      <c r="DC296" t="str">
        <f ca="1">IFERROR(__xludf.DUMMYFUNCTION("""COMPUTED_VALUE"""),"#VALUE!")</f>
        <v>#VALUE!</v>
      </c>
      <c r="DE296" t="str">
        <f ca="1">IFERROR(__xludf.DUMMYFUNCTION("""COMPUTED_VALUE"""),"#VALUE!")</f>
        <v>#VALUE!</v>
      </c>
      <c r="DI296" t="str">
        <f ca="1">IFERROR(__xludf.DUMMYFUNCTION("""COMPUTED_VALUE"""),"#VALUE!")</f>
        <v>#VALUE!</v>
      </c>
      <c r="DJ296" t="str">
        <f ca="1">IFERROR(__xludf.DUMMYFUNCTION("""COMPUTED_VALUE"""),"#VALUE!")</f>
        <v>#VALUE!</v>
      </c>
      <c r="DL296" t="str">
        <f ca="1">IFERROR(__xludf.DUMMYFUNCTION("""COMPUTED_VALUE"""),"Davor Salihović")</f>
        <v>Davor Salihović</v>
      </c>
    </row>
    <row r="297" spans="1:116" ht="13.2" x14ac:dyDescent="0.25">
      <c r="A297" t="str">
        <f ca="1">IFERROR(__xludf.DUMMYFUNCTION("""COMPUTED_VALUE"""),"P0303")</f>
        <v>P0303</v>
      </c>
      <c r="B297" t="str">
        <f ca="1">IFERROR(__xludf.DUMMYFUNCTION("""COMPUTED_VALUE"""),"Beatrix de Oddo")</f>
        <v>Beatrix de Oddo</v>
      </c>
      <c r="D297" t="str">
        <f ca="1">IFERROR(__xludf.DUMMYFUNCTION("""COMPUTED_VALUE"""),"#VALUE!")</f>
        <v>#VALUE!</v>
      </c>
      <c r="E297" t="str">
        <f ca="1">IFERROR(__xludf.DUMMYFUNCTION("""COMPUTED_VALUE"""),"Beatrix")</f>
        <v>Beatrix</v>
      </c>
      <c r="J297" t="str">
        <f ca="1">IFERROR(__xludf.DUMMYFUNCTION("""COMPUTED_VALUE"""),"de")</f>
        <v>de</v>
      </c>
      <c r="K297" t="str">
        <f ca="1">IFERROR(__xludf.DUMMYFUNCTION("""COMPUTED_VALUE"""),"Oddo")</f>
        <v>Oddo</v>
      </c>
      <c r="L297" t="str">
        <f ca="1">IFERROR(__xludf.DUMMYFUNCTION("""COMPUTED_VALUE"""),"de Oddo")</f>
        <v>de Oddo</v>
      </c>
      <c r="Q297" t="str">
        <f ca="1">IFERROR(__xludf.DUMMYFUNCTION("""COMPUTED_VALUE"""),"mater Villelmi de Oddo")</f>
        <v>mater Villelmi de Oddo</v>
      </c>
      <c r="S297" t="str">
        <f ca="1">IFERROR(__xludf.DUMMYFUNCTION("""COMPUTED_VALUE"""),"Latin")</f>
        <v>Latin</v>
      </c>
      <c r="T297" t="str">
        <f ca="1">IFERROR(__xludf.DUMMYFUNCTION("""COMPUTED_VALUE"""),"definite")</f>
        <v>definite</v>
      </c>
      <c r="U297" t="str">
        <f ca="1">IFERROR(__xludf.DUMMYFUNCTION("""COMPUTED_VALUE"""),"C2552")</f>
        <v>C2552</v>
      </c>
      <c r="V297" t="str">
        <f ca="1">IFERROR(__xludf.DUMMYFUNCTION("""COMPUTED_VALUE"""),"female")</f>
        <v>female</v>
      </c>
      <c r="Z297" t="str">
        <f ca="1">IFERROR(__xludf.DUMMYFUNCTION("""COMPUTED_VALUE"""),"193, 198, 202, 203, 205, 207, 215, 219, 243")</f>
        <v>193, 198, 202, 203, 205, 207, 215, 219, 243</v>
      </c>
      <c r="AA297" t="str">
        <f ca="1">IFERROR(__xludf.DUMMYFUNCTION("""COMPUTED_VALUE"""),"d")</f>
        <v>d</v>
      </c>
      <c r="AB297" t="str">
        <f ca="1">IFERROR(__xludf.DUMMYFUNCTION("""COMPUTED_VALUE"""),"suspect")</f>
        <v>suspect</v>
      </c>
      <c r="AD297" t="str">
        <f ca="1">IFERROR(__xludf.DUMMYFUNCTION("""COMPUTED_VALUE"""),"C3287")</f>
        <v>C3287</v>
      </c>
      <c r="AE297" t="str">
        <f ca="1">IFERROR(__xludf.DUMMYFUNCTION("""COMPUTED_VALUE"""),"alive")</f>
        <v>alive</v>
      </c>
      <c r="AF297" t="str">
        <f ca="1">IFERROR(__xludf.DUMMYFUNCTION("""COMPUTED_VALUE"""),"C1753")</f>
        <v>C1753</v>
      </c>
      <c r="AG297" t="str">
        <f ca="1">IFERROR(__xludf.DUMMYFUNCTION("""COMPUTED_VALUE"""),"1335-01-20")</f>
        <v>1335-01-20</v>
      </c>
      <c r="AI297" t="str">
        <f ca="1">IFERROR(__xludf.DUMMYFUNCTION("""COMPUTED_VALUE"""),"#VALUE!")</f>
        <v>#VALUE!</v>
      </c>
      <c r="AK297" t="str">
        <f ca="1">IFERROR(__xludf.DUMMYFUNCTION("""COMPUTED_VALUE"""),"#VALUE!")</f>
        <v>#VALUE!</v>
      </c>
      <c r="AM297" t="str">
        <f ca="1">IFERROR(__xludf.DUMMYFUNCTION("""COMPUTED_VALUE"""),"#VALUE!")</f>
        <v>#VALUE!</v>
      </c>
      <c r="AO297" t="str">
        <f ca="1">IFERROR(__xludf.DUMMYFUNCTION("""COMPUTED_VALUE"""),"#VALUE!")</f>
        <v>#VALUE!</v>
      </c>
      <c r="AQ297" t="str">
        <f ca="1">IFERROR(__xludf.DUMMYFUNCTION("""COMPUTED_VALUE"""),"#VALUE!")</f>
        <v>#VALUE!</v>
      </c>
      <c r="AS297" t="str">
        <f ca="1">IFERROR(__xludf.DUMMYFUNCTION("""COMPUTED_VALUE"""),"#VALUE!")</f>
        <v>#VALUE!</v>
      </c>
      <c r="AU297" t="str">
        <f ca="1">IFERROR(__xludf.DUMMYFUNCTION("""COMPUTED_VALUE"""),"#VALUE!")</f>
        <v>#VALUE!</v>
      </c>
      <c r="AW297" t="str">
        <f ca="1">IFERROR(__xludf.DUMMYFUNCTION("""COMPUTED_VALUE"""),"#VALUE!")</f>
        <v>#VALUE!</v>
      </c>
      <c r="AY297" t="str">
        <f ca="1">IFERROR(__xludf.DUMMYFUNCTION("""COMPUTED_VALUE"""),"#VALUE!")</f>
        <v>#VALUE!</v>
      </c>
      <c r="BA297" t="str">
        <f ca="1">IFERROR(__xludf.DUMMYFUNCTION("""COMPUTED_VALUE"""),"#VALUE!")</f>
        <v>#VALUE!</v>
      </c>
      <c r="BC297" t="str">
        <f ca="1">IFERROR(__xludf.DUMMYFUNCTION("""COMPUTED_VALUE"""),"#VALUE!")</f>
        <v>#VALUE!</v>
      </c>
      <c r="BE297" t="str">
        <f ca="1">IFERROR(__xludf.DUMMYFUNCTION("""COMPUTED_VALUE"""),"#VALUE!")</f>
        <v>#VALUE!</v>
      </c>
      <c r="BG297" t="str">
        <f ca="1">IFERROR(__xludf.DUMMYFUNCTION("""COMPUTED_VALUE"""),"#VALUE!")</f>
        <v>#VALUE!</v>
      </c>
      <c r="BI297" t="str">
        <f ca="1">IFERROR(__xludf.DUMMYFUNCTION("""COMPUTED_VALUE"""),"#VALUE!")</f>
        <v>#VALUE!</v>
      </c>
      <c r="BK297" t="str">
        <f ca="1">IFERROR(__xludf.DUMMYFUNCTION("""COMPUTED_VALUE"""),"#VALUE!")</f>
        <v>#VALUE!</v>
      </c>
      <c r="BM297" t="str">
        <f ca="1">IFERROR(__xludf.DUMMYFUNCTION("""COMPUTED_VALUE"""),"#VALUE!")</f>
        <v>#VALUE!</v>
      </c>
      <c r="BO297" t="str">
        <f ca="1">IFERROR(__xludf.DUMMYFUNCTION("""COMPUTED_VALUE"""),"#VALUE!")</f>
        <v>#VALUE!</v>
      </c>
      <c r="BQ297" t="str">
        <f ca="1">IFERROR(__xludf.DUMMYFUNCTION("""COMPUTED_VALUE"""),"#VALUE!")</f>
        <v>#VALUE!</v>
      </c>
      <c r="BS297" t="str">
        <f ca="1">IFERROR(__xludf.DUMMYFUNCTION("""COMPUTED_VALUE"""),"#VALUE!")</f>
        <v>#VALUE!</v>
      </c>
      <c r="BU297" t="str">
        <f ca="1">IFERROR(__xludf.DUMMYFUNCTION("""COMPUTED_VALUE"""),"#VALUE!")</f>
        <v>#VALUE!</v>
      </c>
      <c r="BW297" t="str">
        <f ca="1">IFERROR(__xludf.DUMMYFUNCTION("""COMPUTED_VALUE"""),"#VALUE!")</f>
        <v>#VALUE!</v>
      </c>
      <c r="BY297" t="str">
        <f ca="1">IFERROR(__xludf.DUMMYFUNCTION("""COMPUTED_VALUE"""),"#VALUE!")</f>
        <v>#VALUE!</v>
      </c>
      <c r="CA297" t="str">
        <f ca="1">IFERROR(__xludf.DUMMYFUNCTION("""COMPUTED_VALUE"""),"#VALUE!")</f>
        <v>#VALUE!</v>
      </c>
      <c r="CC297" t="str">
        <f ca="1">IFERROR(__xludf.DUMMYFUNCTION("""COMPUTED_VALUE"""),"#VALUE!")</f>
        <v>#VALUE!</v>
      </c>
      <c r="CD297" t="str">
        <f ca="1">IFERROR(__xludf.DUMMYFUNCTION("""COMPUTED_VALUE"""),"C3598")</f>
        <v>C3598</v>
      </c>
      <c r="CE297" t="str">
        <f ca="1">IFERROR(__xludf.DUMMYFUNCTION("""COMPUTED_VALUE"""),"location of congregation")</f>
        <v>location of congregation</v>
      </c>
      <c r="CF297" t="str">
        <f ca="1">IFERROR(__xludf.DUMMYFUNCTION("""COMPUTED_VALUE"""),"L0032#L0101#L0104#L0108#L0105")</f>
        <v>L0032#L0101#L0104#L0108#L0105</v>
      </c>
      <c r="CG297" t="str">
        <f ca="1">IFERROR(__xludf.DUMMYFUNCTION("""COMPUTED_VALUE"""),"domus Villelmi de Oddo #domus Villelmi de Oddo #domus Beatricis de Oddo #domus Petri de Oddo #domus de Rossetis")</f>
        <v>domus Villelmi de Oddo #domus Villelmi de Oddo #domus Beatricis de Oddo #domus Petri de Oddo #domus de Rossetis</v>
      </c>
      <c r="CI297" t="str">
        <f ca="1">IFERROR(__xludf.DUMMYFUNCTION("""COMPUTED_VALUE"""),"#VALUE!")</f>
        <v>#VALUE!</v>
      </c>
      <c r="CJ297" t="str">
        <f ca="1">IFERROR(__xludf.DUMMYFUNCTION("""COMPUTED_VALUE"""),"P0105")</f>
        <v>P0105</v>
      </c>
      <c r="CK297" t="str">
        <f ca="1">IFERROR(__xludf.DUMMYFUNCTION("""COMPUTED_VALUE"""),"Villelminus de Oddo")</f>
        <v>Villelminus de Oddo</v>
      </c>
      <c r="CS297" t="str">
        <f ca="1">IFERROR(__xludf.DUMMYFUNCTION("""COMPUTED_VALUE"""),"#VALUE!")</f>
        <v>#VALUE!</v>
      </c>
      <c r="CU297" t="str">
        <f ca="1">IFERROR(__xludf.DUMMYFUNCTION("""COMPUTED_VALUE"""),"#VALUE!")</f>
        <v>#VALUE!</v>
      </c>
      <c r="CW297" t="str">
        <f ca="1">IFERROR(__xludf.DUMMYFUNCTION("""COMPUTED_VALUE"""),"#VALUE!")</f>
        <v>#VALUE!</v>
      </c>
      <c r="CY297" t="str">
        <f ca="1">IFERROR(__xludf.DUMMYFUNCTION("""COMPUTED_VALUE"""),"#VALUE!")</f>
        <v>#VALUE!</v>
      </c>
      <c r="DC297" t="str">
        <f ca="1">IFERROR(__xludf.DUMMYFUNCTION("""COMPUTED_VALUE"""),"#VALUE!")</f>
        <v>#VALUE!</v>
      </c>
      <c r="DE297" t="str">
        <f ca="1">IFERROR(__xludf.DUMMYFUNCTION("""COMPUTED_VALUE"""),"#VALUE!")</f>
        <v>#VALUE!</v>
      </c>
      <c r="DF297" t="str">
        <f ca="1">IFERROR(__xludf.DUMMYFUNCTION("""COMPUTED_VALUE"""),"y")</f>
        <v>y</v>
      </c>
      <c r="DG297" t="str">
        <f ca="1">IFERROR(__xludf.DUMMYFUNCTION("""COMPUTED_VALUE"""),"219")</f>
        <v>219</v>
      </c>
      <c r="DH297" t="str">
        <f ca="1">IFERROR(__xludf.DUMMYFUNCTION("""COMPUTED_VALUE"""),"L0032#L0101#L0104#L0108#L0105")</f>
        <v>L0032#L0101#L0104#L0108#L0105</v>
      </c>
      <c r="DI297" t="str">
        <f ca="1">IFERROR(__xludf.DUMMYFUNCTION("""COMPUTED_VALUE"""),"domus Villelmi de Oddo #domus Villelmi de Oddo #domus Beatricis de Oddo #domus Petri de Oddo #domus de Rossetis")</f>
        <v>domus Villelmi de Oddo #domus Villelmi de Oddo #domus Beatricis de Oddo #domus Petri de Oddo #domus de Rossetis</v>
      </c>
      <c r="DJ297" t="str">
        <f ca="1">IFERROR(__xludf.DUMMYFUNCTION("""COMPUTED_VALUE"""),"domus #domus #domus #domus #domus")</f>
        <v>domus #domus #domus #domus #domus</v>
      </c>
      <c r="DL297" t="str">
        <f ca="1">IFERROR(__xludf.DUMMYFUNCTION("""COMPUTED_VALUE"""),"Davor Salihović")</f>
        <v>Davor Salihović</v>
      </c>
    </row>
    <row r="298" spans="1:116" ht="13.2" x14ac:dyDescent="0.25">
      <c r="A298" t="str">
        <f ca="1">IFERROR(__xludf.DUMMYFUNCTION("""COMPUTED_VALUE"""),"P0304")</f>
        <v>P0304</v>
      </c>
      <c r="B298" t="str">
        <f ca="1">IFERROR(__xludf.DUMMYFUNCTION("""COMPUTED_VALUE"""),"Aleysina, uxor Petri Burgi")</f>
        <v>Aleysina, uxor Petri Burgi</v>
      </c>
      <c r="D298" t="str">
        <f ca="1">IFERROR(__xludf.DUMMYFUNCTION("""COMPUTED_VALUE"""),"#VALUE!")</f>
        <v>#VALUE!</v>
      </c>
      <c r="E298" t="str">
        <f ca="1">IFERROR(__xludf.DUMMYFUNCTION("""COMPUTED_VALUE"""),"Aleysina")</f>
        <v>Aleysina</v>
      </c>
      <c r="Q298" t="str">
        <f ca="1">IFERROR(__xludf.DUMMYFUNCTION("""COMPUTED_VALUE"""),"uxor Petri Burgi")</f>
        <v>uxor Petri Burgi</v>
      </c>
      <c r="S298" t="str">
        <f ca="1">IFERROR(__xludf.DUMMYFUNCTION("""COMPUTED_VALUE"""),"Latin")</f>
        <v>Latin</v>
      </c>
      <c r="T298" t="str">
        <f ca="1">IFERROR(__xludf.DUMMYFUNCTION("""COMPUTED_VALUE"""),"definite")</f>
        <v>definite</v>
      </c>
      <c r="U298" t="str">
        <f ca="1">IFERROR(__xludf.DUMMYFUNCTION("""COMPUTED_VALUE"""),"C2552")</f>
        <v>C2552</v>
      </c>
      <c r="V298" t="str">
        <f ca="1">IFERROR(__xludf.DUMMYFUNCTION("""COMPUTED_VALUE"""),"female")</f>
        <v>female</v>
      </c>
      <c r="Z298" t="str">
        <f ca="1">IFERROR(__xludf.DUMMYFUNCTION("""COMPUTED_VALUE"""),"193, 196, 197, 200, 215, 227, 228, 233, 248")</f>
        <v>193, 196, 197, 200, 215, 227, 228, 233, 248</v>
      </c>
      <c r="AA298" t="str">
        <f ca="1">IFERROR(__xludf.DUMMYFUNCTION("""COMPUTED_VALUE"""),"d")</f>
        <v>d</v>
      </c>
      <c r="AB298" t="str">
        <f ca="1">IFERROR(__xludf.DUMMYFUNCTION("""COMPUTED_VALUE"""),"suspect")</f>
        <v>suspect</v>
      </c>
      <c r="AD298" t="str">
        <f ca="1">IFERROR(__xludf.DUMMYFUNCTION("""COMPUTED_VALUE"""),"C3287")</f>
        <v>C3287</v>
      </c>
      <c r="AE298" t="str">
        <f ca="1">IFERROR(__xludf.DUMMYFUNCTION("""COMPUTED_VALUE"""),"alive")</f>
        <v>alive</v>
      </c>
      <c r="AF298" t="str">
        <f ca="1">IFERROR(__xludf.DUMMYFUNCTION("""COMPUTED_VALUE"""),"C1753")</f>
        <v>C1753</v>
      </c>
      <c r="AG298" t="str">
        <f ca="1">IFERROR(__xludf.DUMMYFUNCTION("""COMPUTED_VALUE"""),"1335-01-20")</f>
        <v>1335-01-20</v>
      </c>
      <c r="AI298" t="str">
        <f ca="1">IFERROR(__xludf.DUMMYFUNCTION("""COMPUTED_VALUE"""),"#VALUE!")</f>
        <v>#VALUE!</v>
      </c>
      <c r="AK298" t="str">
        <f ca="1">IFERROR(__xludf.DUMMYFUNCTION("""COMPUTED_VALUE"""),"#VALUE!")</f>
        <v>#VALUE!</v>
      </c>
      <c r="AM298" t="str">
        <f ca="1">IFERROR(__xludf.DUMMYFUNCTION("""COMPUTED_VALUE"""),"#VALUE!")</f>
        <v>#VALUE!</v>
      </c>
      <c r="AO298" t="str">
        <f ca="1">IFERROR(__xludf.DUMMYFUNCTION("""COMPUTED_VALUE"""),"#VALUE!")</f>
        <v>#VALUE!</v>
      </c>
      <c r="AQ298" t="str">
        <f ca="1">IFERROR(__xludf.DUMMYFUNCTION("""COMPUTED_VALUE"""),"#VALUE!")</f>
        <v>#VALUE!</v>
      </c>
      <c r="AS298" t="str">
        <f ca="1">IFERROR(__xludf.DUMMYFUNCTION("""COMPUTED_VALUE"""),"#VALUE!")</f>
        <v>#VALUE!</v>
      </c>
      <c r="AU298" t="str">
        <f ca="1">IFERROR(__xludf.DUMMYFUNCTION("""COMPUTED_VALUE"""),"#VALUE!")</f>
        <v>#VALUE!</v>
      </c>
      <c r="AW298" t="str">
        <f ca="1">IFERROR(__xludf.DUMMYFUNCTION("""COMPUTED_VALUE"""),"#VALUE!")</f>
        <v>#VALUE!</v>
      </c>
      <c r="AY298" t="str">
        <f ca="1">IFERROR(__xludf.DUMMYFUNCTION("""COMPUTED_VALUE"""),"#VALUE!")</f>
        <v>#VALUE!</v>
      </c>
      <c r="BA298" t="str">
        <f ca="1">IFERROR(__xludf.DUMMYFUNCTION("""COMPUTED_VALUE"""),"#VALUE!")</f>
        <v>#VALUE!</v>
      </c>
      <c r="BC298" t="str">
        <f ca="1">IFERROR(__xludf.DUMMYFUNCTION("""COMPUTED_VALUE"""),"#VALUE!")</f>
        <v>#VALUE!</v>
      </c>
      <c r="BE298" t="str">
        <f ca="1">IFERROR(__xludf.DUMMYFUNCTION("""COMPUTED_VALUE"""),"#VALUE!")</f>
        <v>#VALUE!</v>
      </c>
      <c r="BG298" t="str">
        <f ca="1">IFERROR(__xludf.DUMMYFUNCTION("""COMPUTED_VALUE"""),"#VALUE!")</f>
        <v>#VALUE!</v>
      </c>
      <c r="BI298" t="str">
        <f ca="1">IFERROR(__xludf.DUMMYFUNCTION("""COMPUTED_VALUE"""),"#VALUE!")</f>
        <v>#VALUE!</v>
      </c>
      <c r="BK298" t="str">
        <f ca="1">IFERROR(__xludf.DUMMYFUNCTION("""COMPUTED_VALUE"""),"#VALUE!")</f>
        <v>#VALUE!</v>
      </c>
      <c r="BM298" t="str">
        <f ca="1">IFERROR(__xludf.DUMMYFUNCTION("""COMPUTED_VALUE"""),"#VALUE!")</f>
        <v>#VALUE!</v>
      </c>
      <c r="BO298" t="str">
        <f ca="1">IFERROR(__xludf.DUMMYFUNCTION("""COMPUTED_VALUE"""),"#VALUE!")</f>
        <v>#VALUE!</v>
      </c>
      <c r="BQ298" t="str">
        <f ca="1">IFERROR(__xludf.DUMMYFUNCTION("""COMPUTED_VALUE"""),"#VALUE!")</f>
        <v>#VALUE!</v>
      </c>
      <c r="BS298" t="str">
        <f ca="1">IFERROR(__xludf.DUMMYFUNCTION("""COMPUTED_VALUE"""),"#VALUE!")</f>
        <v>#VALUE!</v>
      </c>
      <c r="BU298" t="str">
        <f ca="1">IFERROR(__xludf.DUMMYFUNCTION("""COMPUTED_VALUE"""),"#VALUE!")</f>
        <v>#VALUE!</v>
      </c>
      <c r="BW298" t="str">
        <f ca="1">IFERROR(__xludf.DUMMYFUNCTION("""COMPUTED_VALUE"""),"#VALUE!")</f>
        <v>#VALUE!</v>
      </c>
      <c r="BY298" t="str">
        <f ca="1">IFERROR(__xludf.DUMMYFUNCTION("""COMPUTED_VALUE"""),"#VALUE!")</f>
        <v>#VALUE!</v>
      </c>
      <c r="CA298" t="str">
        <f ca="1">IFERROR(__xludf.DUMMYFUNCTION("""COMPUTED_VALUE"""),"#VALUE!")</f>
        <v>#VALUE!</v>
      </c>
      <c r="CC298" t="str">
        <f ca="1">IFERROR(__xludf.DUMMYFUNCTION("""COMPUTED_VALUE"""),"#VALUE!")</f>
        <v>#VALUE!</v>
      </c>
      <c r="CD298" t="str">
        <f ca="1">IFERROR(__xludf.DUMMYFUNCTION("""COMPUTED_VALUE"""),"C3598")</f>
        <v>C3598</v>
      </c>
      <c r="CE298" t="str">
        <f ca="1">IFERROR(__xludf.DUMMYFUNCTION("""COMPUTED_VALUE"""),"location of congregation")</f>
        <v>location of congregation</v>
      </c>
      <c r="CF298" t="str">
        <f ca="1">IFERROR(__xludf.DUMMYFUNCTION("""COMPUTED_VALUE"""),"L0080#L0132#L0032")</f>
        <v>L0080#L0132#L0032</v>
      </c>
      <c r="CG298" t="str">
        <f ca="1">IFERROR(__xludf.DUMMYFUNCTION("""COMPUTED_VALUE"""),"domus Petrii Burgi #domus Aleysine Burgi #domus Villelmi de Oddo")</f>
        <v>domus Petrii Burgi #domus Aleysine Burgi #domus Villelmi de Oddo</v>
      </c>
      <c r="CI298" t="str">
        <f ca="1">IFERROR(__xludf.DUMMYFUNCTION("""COMPUTED_VALUE"""),"#VALUE!")</f>
        <v>#VALUE!</v>
      </c>
      <c r="CJ298" t="str">
        <f ca="1">IFERROR(__xludf.DUMMYFUNCTION("""COMPUTED_VALUE"""),"P0156")</f>
        <v>P0156</v>
      </c>
      <c r="CK298" t="str">
        <f ca="1">IFERROR(__xludf.DUMMYFUNCTION("""COMPUTED_VALUE"""),"Petrus Burgi")</f>
        <v>Petrus Burgi</v>
      </c>
      <c r="CS298" t="str">
        <f ca="1">IFERROR(__xludf.DUMMYFUNCTION("""COMPUTED_VALUE"""),"#VALUE!")</f>
        <v>#VALUE!</v>
      </c>
      <c r="CU298" t="str">
        <f ca="1">IFERROR(__xludf.DUMMYFUNCTION("""COMPUTED_VALUE"""),"#VALUE!")</f>
        <v>#VALUE!</v>
      </c>
      <c r="CW298" t="str">
        <f ca="1">IFERROR(__xludf.DUMMYFUNCTION("""COMPUTED_VALUE"""),"#VALUE!")</f>
        <v>#VALUE!</v>
      </c>
      <c r="CY298" t="str">
        <f ca="1">IFERROR(__xludf.DUMMYFUNCTION("""COMPUTED_VALUE"""),"#VALUE!")</f>
        <v>#VALUE!</v>
      </c>
      <c r="DC298" t="str">
        <f ca="1">IFERROR(__xludf.DUMMYFUNCTION("""COMPUTED_VALUE"""),"#VALUE!")</f>
        <v>#VALUE!</v>
      </c>
      <c r="DE298" t="str">
        <f ca="1">IFERROR(__xludf.DUMMYFUNCTION("""COMPUTED_VALUE"""),"#VALUE!")</f>
        <v>#VALUE!</v>
      </c>
      <c r="DF298" t="str">
        <f ca="1">IFERROR(__xludf.DUMMYFUNCTION("""COMPUTED_VALUE"""),"y")</f>
        <v>y</v>
      </c>
      <c r="DG298" t="str">
        <f ca="1">IFERROR(__xludf.DUMMYFUNCTION("""COMPUTED_VALUE"""),"227-228")</f>
        <v>227-228</v>
      </c>
      <c r="DH298" t="str">
        <f ca="1">IFERROR(__xludf.DUMMYFUNCTION("""COMPUTED_VALUE"""),"L0080#L0132#L0032")</f>
        <v>L0080#L0132#L0032</v>
      </c>
      <c r="DI298" t="str">
        <f ca="1">IFERROR(__xludf.DUMMYFUNCTION("""COMPUTED_VALUE"""),"domus Petrii Burgi #domus Aleysine Burgi #domus Villelmi de Oddo")</f>
        <v>domus Petrii Burgi #domus Aleysine Burgi #domus Villelmi de Oddo</v>
      </c>
      <c r="DJ298" t="str">
        <f ca="1">IFERROR(__xludf.DUMMYFUNCTION("""COMPUTED_VALUE"""),"domus #domus #domus")</f>
        <v>domus #domus #domus</v>
      </c>
      <c r="DL298" t="str">
        <f ca="1">IFERROR(__xludf.DUMMYFUNCTION("""COMPUTED_VALUE"""),"Davor Salihović")</f>
        <v>Davor Salihović</v>
      </c>
    </row>
    <row r="299" spans="1:116" ht="13.2" x14ac:dyDescent="0.25">
      <c r="A299" t="str">
        <f ca="1">IFERROR(__xludf.DUMMYFUNCTION("""COMPUTED_VALUE"""),"P0305")</f>
        <v>P0305</v>
      </c>
      <c r="B299" t="str">
        <f ca="1">IFERROR(__xludf.DUMMYFUNCTION("""COMPUTED_VALUE"""),"Villelmus, frater Diderii Oacy")</f>
        <v>Villelmus, frater Diderii Oacy</v>
      </c>
      <c r="D299" t="str">
        <f ca="1">IFERROR(__xludf.DUMMYFUNCTION("""COMPUTED_VALUE"""),"#VALUE!")</f>
        <v>#VALUE!</v>
      </c>
      <c r="E299" t="str">
        <f ca="1">IFERROR(__xludf.DUMMYFUNCTION("""COMPUTED_VALUE"""),"Villelmus")</f>
        <v>Villelmus</v>
      </c>
      <c r="Q299" t="str">
        <f ca="1">IFERROR(__xludf.DUMMYFUNCTION("""COMPUTED_VALUE"""),"frater Diderii Oacy")</f>
        <v>frater Diderii Oacy</v>
      </c>
      <c r="S299" t="str">
        <f ca="1">IFERROR(__xludf.DUMMYFUNCTION("""COMPUTED_VALUE"""),"Latin")</f>
        <v>Latin</v>
      </c>
      <c r="T299" t="str">
        <f ca="1">IFERROR(__xludf.DUMMYFUNCTION("""COMPUTED_VALUE"""),"definite")</f>
        <v>definite</v>
      </c>
      <c r="U299" t="str">
        <f ca="1">IFERROR(__xludf.DUMMYFUNCTION("""COMPUTED_VALUE"""),"C2553")</f>
        <v>C2553</v>
      </c>
      <c r="V299" t="str">
        <f ca="1">IFERROR(__xludf.DUMMYFUNCTION("""COMPUTED_VALUE"""),"male")</f>
        <v>male</v>
      </c>
      <c r="Z299" t="str">
        <f ca="1">IFERROR(__xludf.DUMMYFUNCTION("""COMPUTED_VALUE"""),"193")</f>
        <v>193</v>
      </c>
      <c r="AA299" t="str">
        <f ca="1">IFERROR(__xludf.DUMMYFUNCTION("""COMPUTED_VALUE"""),"d")</f>
        <v>d</v>
      </c>
      <c r="AB299" t="str">
        <f ca="1">IFERROR(__xludf.DUMMYFUNCTION("""COMPUTED_VALUE"""),"suspect")</f>
        <v>suspect</v>
      </c>
      <c r="AE299" t="str">
        <f ca="1">IFERROR(__xludf.DUMMYFUNCTION("""COMPUTED_VALUE"""),"#VALUE!")</f>
        <v>#VALUE!</v>
      </c>
      <c r="AF299" t="str">
        <f ca="1">IFERROR(__xludf.DUMMYFUNCTION("""COMPUTED_VALUE"""),"#N/A")</f>
        <v>#N/A</v>
      </c>
      <c r="AG299" t="str">
        <f ca="1">IFERROR(__xludf.DUMMYFUNCTION("""COMPUTED_VALUE"""),"#N/A")</f>
        <v>#N/A</v>
      </c>
      <c r="AI299" t="str">
        <f ca="1">IFERROR(__xludf.DUMMYFUNCTION("""COMPUTED_VALUE"""),"#VALUE!")</f>
        <v>#VALUE!</v>
      </c>
      <c r="AK299" t="str">
        <f ca="1">IFERROR(__xludf.DUMMYFUNCTION("""COMPUTED_VALUE"""),"#VALUE!")</f>
        <v>#VALUE!</v>
      </c>
      <c r="AM299" t="str">
        <f ca="1">IFERROR(__xludf.DUMMYFUNCTION("""COMPUTED_VALUE"""),"#VALUE!")</f>
        <v>#VALUE!</v>
      </c>
      <c r="AO299" t="str">
        <f ca="1">IFERROR(__xludf.DUMMYFUNCTION("""COMPUTED_VALUE"""),"#VALUE!")</f>
        <v>#VALUE!</v>
      </c>
      <c r="AQ299" t="str">
        <f ca="1">IFERROR(__xludf.DUMMYFUNCTION("""COMPUTED_VALUE"""),"#VALUE!")</f>
        <v>#VALUE!</v>
      </c>
      <c r="AS299" t="str">
        <f ca="1">IFERROR(__xludf.DUMMYFUNCTION("""COMPUTED_VALUE"""),"#VALUE!")</f>
        <v>#VALUE!</v>
      </c>
      <c r="AU299" t="str">
        <f ca="1">IFERROR(__xludf.DUMMYFUNCTION("""COMPUTED_VALUE"""),"#VALUE!")</f>
        <v>#VALUE!</v>
      </c>
      <c r="AW299" t="str">
        <f ca="1">IFERROR(__xludf.DUMMYFUNCTION("""COMPUTED_VALUE"""),"#VALUE!")</f>
        <v>#VALUE!</v>
      </c>
      <c r="AY299" t="str">
        <f ca="1">IFERROR(__xludf.DUMMYFUNCTION("""COMPUTED_VALUE"""),"#VALUE!")</f>
        <v>#VALUE!</v>
      </c>
      <c r="BA299" t="str">
        <f ca="1">IFERROR(__xludf.DUMMYFUNCTION("""COMPUTED_VALUE"""),"#VALUE!")</f>
        <v>#VALUE!</v>
      </c>
      <c r="BC299" t="str">
        <f ca="1">IFERROR(__xludf.DUMMYFUNCTION("""COMPUTED_VALUE"""),"#VALUE!")</f>
        <v>#VALUE!</v>
      </c>
      <c r="BE299" t="str">
        <f ca="1">IFERROR(__xludf.DUMMYFUNCTION("""COMPUTED_VALUE"""),"#VALUE!")</f>
        <v>#VALUE!</v>
      </c>
      <c r="BG299" t="str">
        <f ca="1">IFERROR(__xludf.DUMMYFUNCTION("""COMPUTED_VALUE"""),"#VALUE!")</f>
        <v>#VALUE!</v>
      </c>
      <c r="BI299" t="str">
        <f ca="1">IFERROR(__xludf.DUMMYFUNCTION("""COMPUTED_VALUE"""),"#VALUE!")</f>
        <v>#VALUE!</v>
      </c>
      <c r="BK299" t="str">
        <f ca="1">IFERROR(__xludf.DUMMYFUNCTION("""COMPUTED_VALUE"""),"#VALUE!")</f>
        <v>#VALUE!</v>
      </c>
      <c r="BM299" t="str">
        <f ca="1">IFERROR(__xludf.DUMMYFUNCTION("""COMPUTED_VALUE"""),"#VALUE!")</f>
        <v>#VALUE!</v>
      </c>
      <c r="BO299" t="str">
        <f ca="1">IFERROR(__xludf.DUMMYFUNCTION("""COMPUTED_VALUE"""),"#VALUE!")</f>
        <v>#VALUE!</v>
      </c>
      <c r="BQ299" t="str">
        <f ca="1">IFERROR(__xludf.DUMMYFUNCTION("""COMPUTED_VALUE"""),"#VALUE!")</f>
        <v>#VALUE!</v>
      </c>
      <c r="BS299" t="str">
        <f ca="1">IFERROR(__xludf.DUMMYFUNCTION("""COMPUTED_VALUE"""),"#VALUE!")</f>
        <v>#VALUE!</v>
      </c>
      <c r="BU299" t="str">
        <f ca="1">IFERROR(__xludf.DUMMYFUNCTION("""COMPUTED_VALUE"""),"#VALUE!")</f>
        <v>#VALUE!</v>
      </c>
      <c r="BW299" t="str">
        <f ca="1">IFERROR(__xludf.DUMMYFUNCTION("""COMPUTED_VALUE"""),"#VALUE!")</f>
        <v>#VALUE!</v>
      </c>
      <c r="BY299" t="str">
        <f ca="1">IFERROR(__xludf.DUMMYFUNCTION("""COMPUTED_VALUE"""),"#VALUE!")</f>
        <v>#VALUE!</v>
      </c>
      <c r="CA299" t="str">
        <f ca="1">IFERROR(__xludf.DUMMYFUNCTION("""COMPUTED_VALUE"""),"#VALUE!")</f>
        <v>#VALUE!</v>
      </c>
      <c r="CC299" t="str">
        <f ca="1">IFERROR(__xludf.DUMMYFUNCTION("""COMPUTED_VALUE"""),"#VALUE!")</f>
        <v>#VALUE!</v>
      </c>
      <c r="CD299" t="str">
        <f ca="1">IFERROR(__xludf.DUMMYFUNCTION("""COMPUTED_VALUE"""),"C3598")</f>
        <v>C3598</v>
      </c>
      <c r="CE299" t="str">
        <f ca="1">IFERROR(__xludf.DUMMYFUNCTION("""COMPUTED_VALUE"""),"location of congregation")</f>
        <v>location of congregation</v>
      </c>
      <c r="CF299" t="str">
        <f ca="1">IFERROR(__xludf.DUMMYFUNCTION("""COMPUTED_VALUE"""),"L0080")</f>
        <v>L0080</v>
      </c>
      <c r="CG299" t="str">
        <f ca="1">IFERROR(__xludf.DUMMYFUNCTION("""COMPUTED_VALUE"""),"domus Petrii Burgi")</f>
        <v>domus Petrii Burgi</v>
      </c>
      <c r="CI299" t="str">
        <f ca="1">IFERROR(__xludf.DUMMYFUNCTION("""COMPUTED_VALUE"""),"#VALUE!")</f>
        <v>#VALUE!</v>
      </c>
      <c r="CK299" t="str">
        <f ca="1">IFERROR(__xludf.DUMMYFUNCTION("""COMPUTED_VALUE"""),"#VALUE!")</f>
        <v>#VALUE!</v>
      </c>
      <c r="CS299" t="str">
        <f ca="1">IFERROR(__xludf.DUMMYFUNCTION("""COMPUTED_VALUE"""),"#VALUE!")</f>
        <v>#VALUE!</v>
      </c>
      <c r="CU299" t="str">
        <f ca="1">IFERROR(__xludf.DUMMYFUNCTION("""COMPUTED_VALUE"""),"#VALUE!")</f>
        <v>#VALUE!</v>
      </c>
      <c r="CW299" t="str">
        <f ca="1">IFERROR(__xludf.DUMMYFUNCTION("""COMPUTED_VALUE"""),"#VALUE!")</f>
        <v>#VALUE!</v>
      </c>
      <c r="CY299" t="str">
        <f ca="1">IFERROR(__xludf.DUMMYFUNCTION("""COMPUTED_VALUE"""),"#VALUE!")</f>
        <v>#VALUE!</v>
      </c>
      <c r="DC299" t="str">
        <f ca="1">IFERROR(__xludf.DUMMYFUNCTION("""COMPUTED_VALUE"""),"#VALUE!")</f>
        <v>#VALUE!</v>
      </c>
      <c r="DE299" t="str">
        <f ca="1">IFERROR(__xludf.DUMMYFUNCTION("""COMPUTED_VALUE"""),"#VALUE!")</f>
        <v>#VALUE!</v>
      </c>
      <c r="DH299" t="str">
        <f ca="1">IFERROR(__xludf.DUMMYFUNCTION("""COMPUTED_VALUE"""),"L0080")</f>
        <v>L0080</v>
      </c>
      <c r="DI299" t="str">
        <f ca="1">IFERROR(__xludf.DUMMYFUNCTION("""COMPUTED_VALUE"""),"domus Petrii Burgi")</f>
        <v>domus Petrii Burgi</v>
      </c>
      <c r="DJ299" t="str">
        <f ca="1">IFERROR(__xludf.DUMMYFUNCTION("""COMPUTED_VALUE"""),"domus")</f>
        <v>domus</v>
      </c>
      <c r="DL299" t="str">
        <f ca="1">IFERROR(__xludf.DUMMYFUNCTION("""COMPUTED_VALUE"""),"Davor Salihović")</f>
        <v>Davor Salihović</v>
      </c>
    </row>
    <row r="300" spans="1:116" ht="13.2" x14ac:dyDescent="0.25">
      <c r="A300" t="str">
        <f ca="1">IFERROR(__xludf.DUMMYFUNCTION("""COMPUTED_VALUE"""),"P0306")</f>
        <v>P0306</v>
      </c>
      <c r="B300" t="str">
        <f ca="1">IFERROR(__xludf.DUMMYFUNCTION("""COMPUTED_VALUE"""),"Diderius Oacy")</f>
        <v>Diderius Oacy</v>
      </c>
      <c r="D300" t="str">
        <f ca="1">IFERROR(__xludf.DUMMYFUNCTION("""COMPUTED_VALUE"""),"#VALUE!")</f>
        <v>#VALUE!</v>
      </c>
      <c r="E300" t="str">
        <f ca="1">IFERROR(__xludf.DUMMYFUNCTION("""COMPUTED_VALUE"""),"Diderius")</f>
        <v>Diderius</v>
      </c>
      <c r="K300" t="str">
        <f ca="1">IFERROR(__xludf.DUMMYFUNCTION("""COMPUTED_VALUE"""),"Oacy")</f>
        <v>Oacy</v>
      </c>
      <c r="L300" t="str">
        <f ca="1">IFERROR(__xludf.DUMMYFUNCTION("""COMPUTED_VALUE"""),"Oacy")</f>
        <v>Oacy</v>
      </c>
      <c r="S300" t="str">
        <f ca="1">IFERROR(__xludf.DUMMYFUNCTION("""COMPUTED_VALUE"""),"Latin")</f>
        <v>Latin</v>
      </c>
      <c r="T300" t="str">
        <f ca="1">IFERROR(__xludf.DUMMYFUNCTION("""COMPUTED_VALUE"""),"definite")</f>
        <v>definite</v>
      </c>
      <c r="U300" t="str">
        <f ca="1">IFERROR(__xludf.DUMMYFUNCTION("""COMPUTED_VALUE"""),"C2553")</f>
        <v>C2553</v>
      </c>
      <c r="V300" t="str">
        <f ca="1">IFERROR(__xludf.DUMMYFUNCTION("""COMPUTED_VALUE"""),"male")</f>
        <v>male</v>
      </c>
      <c r="Z300" t="str">
        <f ca="1">IFERROR(__xludf.DUMMYFUNCTION("""COMPUTED_VALUE"""),"193")</f>
        <v>193</v>
      </c>
      <c r="AA300" t="str">
        <f ca="1">IFERROR(__xludf.DUMMYFUNCTION("""COMPUTED_VALUE"""),"d")</f>
        <v>d</v>
      </c>
      <c r="AB300" t="str">
        <f ca="1">IFERROR(__xludf.DUMMYFUNCTION("""COMPUTED_VALUE"""),"NA")</f>
        <v>NA</v>
      </c>
      <c r="AE300" t="str">
        <f ca="1">IFERROR(__xludf.DUMMYFUNCTION("""COMPUTED_VALUE"""),"#VALUE!")</f>
        <v>#VALUE!</v>
      </c>
      <c r="AF300" t="str">
        <f ca="1">IFERROR(__xludf.DUMMYFUNCTION("""COMPUTED_VALUE"""),"#N/A")</f>
        <v>#N/A</v>
      </c>
      <c r="AG300" t="str">
        <f ca="1">IFERROR(__xludf.DUMMYFUNCTION("""COMPUTED_VALUE"""),"#N/A")</f>
        <v>#N/A</v>
      </c>
      <c r="AH300" t="str">
        <f ca="1">IFERROR(__xludf.DUMMYFUNCTION("""COMPUTED_VALUE"""),"C2337")</f>
        <v>C2337</v>
      </c>
      <c r="AI300" t="str">
        <f ca="1">IFERROR(__xludf.DUMMYFUNCTION("""COMPUTED_VALUE"""),"brother")</f>
        <v>brother</v>
      </c>
      <c r="AJ300" t="str">
        <f ca="1">IFERROR(__xludf.DUMMYFUNCTION("""COMPUTED_VALUE"""),"P0305")</f>
        <v>P0305</v>
      </c>
      <c r="AK300" t="str">
        <f ca="1">IFERROR(__xludf.DUMMYFUNCTION("""COMPUTED_VALUE"""),"Villelmus, frater Diderii Oacy")</f>
        <v>Villelmus, frater Diderii Oacy</v>
      </c>
      <c r="AM300" t="str">
        <f ca="1">IFERROR(__xludf.DUMMYFUNCTION("""COMPUTED_VALUE"""),"#VALUE!")</f>
        <v>#VALUE!</v>
      </c>
      <c r="AO300" t="str">
        <f ca="1">IFERROR(__xludf.DUMMYFUNCTION("""COMPUTED_VALUE"""),"#VALUE!")</f>
        <v>#VALUE!</v>
      </c>
      <c r="AQ300" t="str">
        <f ca="1">IFERROR(__xludf.DUMMYFUNCTION("""COMPUTED_VALUE"""),"#VALUE!")</f>
        <v>#VALUE!</v>
      </c>
      <c r="AS300" t="str">
        <f ca="1">IFERROR(__xludf.DUMMYFUNCTION("""COMPUTED_VALUE"""),"#VALUE!")</f>
        <v>#VALUE!</v>
      </c>
      <c r="AU300" t="str">
        <f ca="1">IFERROR(__xludf.DUMMYFUNCTION("""COMPUTED_VALUE"""),"#VALUE!")</f>
        <v>#VALUE!</v>
      </c>
      <c r="AW300" t="str">
        <f ca="1">IFERROR(__xludf.DUMMYFUNCTION("""COMPUTED_VALUE"""),"#VALUE!")</f>
        <v>#VALUE!</v>
      </c>
      <c r="AY300" t="str">
        <f ca="1">IFERROR(__xludf.DUMMYFUNCTION("""COMPUTED_VALUE"""),"#VALUE!")</f>
        <v>#VALUE!</v>
      </c>
      <c r="BA300" t="str">
        <f ca="1">IFERROR(__xludf.DUMMYFUNCTION("""COMPUTED_VALUE"""),"#VALUE!")</f>
        <v>#VALUE!</v>
      </c>
      <c r="BC300" t="str">
        <f ca="1">IFERROR(__xludf.DUMMYFUNCTION("""COMPUTED_VALUE"""),"#VALUE!")</f>
        <v>#VALUE!</v>
      </c>
      <c r="BE300" t="str">
        <f ca="1">IFERROR(__xludf.DUMMYFUNCTION("""COMPUTED_VALUE"""),"#VALUE!")</f>
        <v>#VALUE!</v>
      </c>
      <c r="BG300" t="str">
        <f ca="1">IFERROR(__xludf.DUMMYFUNCTION("""COMPUTED_VALUE"""),"#VALUE!")</f>
        <v>#VALUE!</v>
      </c>
      <c r="BI300" t="str">
        <f ca="1">IFERROR(__xludf.DUMMYFUNCTION("""COMPUTED_VALUE"""),"#VALUE!")</f>
        <v>#VALUE!</v>
      </c>
      <c r="BK300" t="str">
        <f ca="1">IFERROR(__xludf.DUMMYFUNCTION("""COMPUTED_VALUE"""),"#VALUE!")</f>
        <v>#VALUE!</v>
      </c>
      <c r="BM300" t="str">
        <f ca="1">IFERROR(__xludf.DUMMYFUNCTION("""COMPUTED_VALUE"""),"#VALUE!")</f>
        <v>#VALUE!</v>
      </c>
      <c r="BO300" t="str">
        <f ca="1">IFERROR(__xludf.DUMMYFUNCTION("""COMPUTED_VALUE"""),"#VALUE!")</f>
        <v>#VALUE!</v>
      </c>
      <c r="BQ300" t="str">
        <f ca="1">IFERROR(__xludf.DUMMYFUNCTION("""COMPUTED_VALUE"""),"#VALUE!")</f>
        <v>#VALUE!</v>
      </c>
      <c r="BS300" t="str">
        <f ca="1">IFERROR(__xludf.DUMMYFUNCTION("""COMPUTED_VALUE"""),"#VALUE!")</f>
        <v>#VALUE!</v>
      </c>
      <c r="BU300" t="str">
        <f ca="1">IFERROR(__xludf.DUMMYFUNCTION("""COMPUTED_VALUE"""),"#VALUE!")</f>
        <v>#VALUE!</v>
      </c>
      <c r="BW300" t="str">
        <f ca="1">IFERROR(__xludf.DUMMYFUNCTION("""COMPUTED_VALUE"""),"#VALUE!")</f>
        <v>#VALUE!</v>
      </c>
      <c r="BY300" t="str">
        <f ca="1">IFERROR(__xludf.DUMMYFUNCTION("""COMPUTED_VALUE"""),"#VALUE!")</f>
        <v>#VALUE!</v>
      </c>
      <c r="CA300" t="str">
        <f ca="1">IFERROR(__xludf.DUMMYFUNCTION("""COMPUTED_VALUE"""),"#VALUE!")</f>
        <v>#VALUE!</v>
      </c>
      <c r="CC300" t="str">
        <f ca="1">IFERROR(__xludf.DUMMYFUNCTION("""COMPUTED_VALUE"""),"#VALUE!")</f>
        <v>#VALUE!</v>
      </c>
      <c r="CE300" t="str">
        <f ca="1">IFERROR(__xludf.DUMMYFUNCTION("""COMPUTED_VALUE"""),"#VALUE!")</f>
        <v>#VALUE!</v>
      </c>
      <c r="CG300" t="str">
        <f ca="1">IFERROR(__xludf.DUMMYFUNCTION("""COMPUTED_VALUE"""),"#VALUE!")</f>
        <v>#VALUE!</v>
      </c>
      <c r="CI300" t="str">
        <f ca="1">IFERROR(__xludf.DUMMYFUNCTION("""COMPUTED_VALUE"""),"#VALUE!")</f>
        <v>#VALUE!</v>
      </c>
      <c r="CK300" t="str">
        <f ca="1">IFERROR(__xludf.DUMMYFUNCTION("""COMPUTED_VALUE"""),"#VALUE!")</f>
        <v>#VALUE!</v>
      </c>
      <c r="CS300" t="str">
        <f ca="1">IFERROR(__xludf.DUMMYFUNCTION("""COMPUTED_VALUE"""),"#VALUE!")</f>
        <v>#VALUE!</v>
      </c>
      <c r="CU300" t="str">
        <f ca="1">IFERROR(__xludf.DUMMYFUNCTION("""COMPUTED_VALUE"""),"#VALUE!")</f>
        <v>#VALUE!</v>
      </c>
      <c r="CW300" t="str">
        <f ca="1">IFERROR(__xludf.DUMMYFUNCTION("""COMPUTED_VALUE"""),"#VALUE!")</f>
        <v>#VALUE!</v>
      </c>
      <c r="CY300" t="str">
        <f ca="1">IFERROR(__xludf.DUMMYFUNCTION("""COMPUTED_VALUE"""),"#VALUE!")</f>
        <v>#VALUE!</v>
      </c>
      <c r="DC300" t="str">
        <f ca="1">IFERROR(__xludf.DUMMYFUNCTION("""COMPUTED_VALUE"""),"#VALUE!")</f>
        <v>#VALUE!</v>
      </c>
      <c r="DE300" t="str">
        <f ca="1">IFERROR(__xludf.DUMMYFUNCTION("""COMPUTED_VALUE"""),"#VALUE!")</f>
        <v>#VALUE!</v>
      </c>
      <c r="DI300" t="str">
        <f ca="1">IFERROR(__xludf.DUMMYFUNCTION("""COMPUTED_VALUE"""),"#VALUE!")</f>
        <v>#VALUE!</v>
      </c>
      <c r="DJ300" t="str">
        <f ca="1">IFERROR(__xludf.DUMMYFUNCTION("""COMPUTED_VALUE"""),"#VALUE!")</f>
        <v>#VALUE!</v>
      </c>
      <c r="DL300" t="str">
        <f ca="1">IFERROR(__xludf.DUMMYFUNCTION("""COMPUTED_VALUE"""),"Davor Salihović")</f>
        <v>Davor Salihović</v>
      </c>
    </row>
    <row r="301" spans="1:116" ht="13.2" x14ac:dyDescent="0.25">
      <c r="A301" t="str">
        <f ca="1">IFERROR(__xludf.DUMMYFUNCTION("""COMPUTED_VALUE"""),"P0307")</f>
        <v>P0307</v>
      </c>
      <c r="B301" t="str">
        <f ca="1">IFERROR(__xludf.DUMMYFUNCTION("""COMPUTED_VALUE"""),"Aleyseta Filiola")</f>
        <v>Aleyseta Filiola</v>
      </c>
      <c r="D301" t="str">
        <f ca="1">IFERROR(__xludf.DUMMYFUNCTION("""COMPUTED_VALUE"""),"#VALUE!")</f>
        <v>#VALUE!</v>
      </c>
      <c r="E301" t="str">
        <f ca="1">IFERROR(__xludf.DUMMYFUNCTION("""COMPUTED_VALUE"""),"Aleyseta")</f>
        <v>Aleyseta</v>
      </c>
      <c r="K301" t="str">
        <f ca="1">IFERROR(__xludf.DUMMYFUNCTION("""COMPUTED_VALUE"""),"Filiola")</f>
        <v>Filiola</v>
      </c>
      <c r="L301" t="str">
        <f ca="1">IFERROR(__xludf.DUMMYFUNCTION("""COMPUTED_VALUE"""),"Filiola")</f>
        <v>Filiola</v>
      </c>
      <c r="P301" t="str">
        <f ca="1">IFERROR(__xludf.DUMMYFUNCTION("""COMPUTED_VALUE"""),"de Brosa")</f>
        <v>de Brosa</v>
      </c>
      <c r="Q301" t="str">
        <f ca="1">IFERROR(__xludf.DUMMYFUNCTION("""COMPUTED_VALUE"""),"filia Broxie")</f>
        <v>filia Broxie</v>
      </c>
      <c r="S301" t="str">
        <f ca="1">IFERROR(__xludf.DUMMYFUNCTION("""COMPUTED_VALUE"""),"Latin")</f>
        <v>Latin</v>
      </c>
      <c r="T301" t="str">
        <f ca="1">IFERROR(__xludf.DUMMYFUNCTION("""COMPUTED_VALUE"""),"definite")</f>
        <v>definite</v>
      </c>
      <c r="U301" t="str">
        <f ca="1">IFERROR(__xludf.DUMMYFUNCTION("""COMPUTED_VALUE"""),"C2552")</f>
        <v>C2552</v>
      </c>
      <c r="V301" t="str">
        <f ca="1">IFERROR(__xludf.DUMMYFUNCTION("""COMPUTED_VALUE"""),"female")</f>
        <v>female</v>
      </c>
      <c r="Z301" t="str">
        <f ca="1">IFERROR(__xludf.DUMMYFUNCTION("""COMPUTED_VALUE"""),"193, 196, 197, 199, 200, 216, 221, 222, 223, 228, 237, 255")</f>
        <v>193, 196, 197, 199, 200, 216, 221, 222, 223, 228, 237, 255</v>
      </c>
      <c r="AA301" t="str">
        <f ca="1">IFERROR(__xludf.DUMMYFUNCTION("""COMPUTED_VALUE"""),"d")</f>
        <v>d</v>
      </c>
      <c r="AB301" t="str">
        <f ca="1">IFERROR(__xludf.DUMMYFUNCTION("""COMPUTED_VALUE"""),"suspect")</f>
        <v>suspect</v>
      </c>
      <c r="AD301" t="str">
        <f ca="1">IFERROR(__xludf.DUMMYFUNCTION("""COMPUTED_VALUE"""),"C3287")</f>
        <v>C3287</v>
      </c>
      <c r="AE301" t="str">
        <f ca="1">IFERROR(__xludf.DUMMYFUNCTION("""COMPUTED_VALUE"""),"alive")</f>
        <v>alive</v>
      </c>
      <c r="AF301" t="str">
        <f ca="1">IFERROR(__xludf.DUMMYFUNCTION("""COMPUTED_VALUE"""),"C1753")</f>
        <v>C1753</v>
      </c>
      <c r="AG301" t="str">
        <f ca="1">IFERROR(__xludf.DUMMYFUNCTION("""COMPUTED_VALUE"""),"1335-01-20")</f>
        <v>1335-01-20</v>
      </c>
      <c r="AH301" t="str">
        <f ca="1">IFERROR(__xludf.DUMMYFUNCTION("""COMPUTED_VALUE"""),"C2341")</f>
        <v>C2341</v>
      </c>
      <c r="AI301" t="str">
        <f ca="1">IFERROR(__xludf.DUMMYFUNCTION("""COMPUTED_VALUE"""),"mother")</f>
        <v>mother</v>
      </c>
      <c r="AJ301" t="str">
        <f ca="1">IFERROR(__xludf.DUMMYFUNCTION("""COMPUTED_VALUE"""),"P0308")</f>
        <v>P0308</v>
      </c>
      <c r="AK301" t="str">
        <f ca="1">IFERROR(__xludf.DUMMYFUNCTION("""COMPUTED_VALUE"""),"Broxia")</f>
        <v>Broxia</v>
      </c>
      <c r="AL301" t="str">
        <f ca="1">IFERROR(__xludf.DUMMYFUNCTION("""COMPUTED_VALUE"""),"C1414")</f>
        <v>C1414</v>
      </c>
      <c r="AM301" t="str">
        <f ca="1">IFERROR(__xludf.DUMMYFUNCTION("""COMPUTED_VALUE"""),"friend")</f>
        <v>friend</v>
      </c>
      <c r="AN301" t="str">
        <f ca="1">IFERROR(__xludf.DUMMYFUNCTION("""COMPUTED_VALUE"""),"P0373")</f>
        <v>P0373</v>
      </c>
      <c r="AO301" t="str">
        <f ca="1">IFERROR(__xludf.DUMMYFUNCTION("""COMPUTED_VALUE"""),"quedam amica Aleysete, de Villa Nova")</f>
        <v>quedam amica Aleysete, de Villa Nova</v>
      </c>
      <c r="AP301" t="str">
        <f ca="1">IFERROR(__xludf.DUMMYFUNCTION("""COMPUTED_VALUE"""),"C1414")</f>
        <v>C1414</v>
      </c>
      <c r="AQ301" t="str">
        <f ca="1">IFERROR(__xludf.DUMMYFUNCTION("""COMPUTED_VALUE"""),"friend")</f>
        <v>friend</v>
      </c>
      <c r="AR301" t="str">
        <f ca="1">IFERROR(__xludf.DUMMYFUNCTION("""COMPUTED_VALUE"""),"P0384")</f>
        <v>P0384</v>
      </c>
      <c r="AS301" t="str">
        <f ca="1">IFERROR(__xludf.DUMMYFUNCTION("""COMPUTED_VALUE"""),"Colonba, amica Aleysete Filiole")</f>
        <v>Colonba, amica Aleysete Filiole</v>
      </c>
      <c r="AU301" t="str">
        <f ca="1">IFERROR(__xludf.DUMMYFUNCTION("""COMPUTED_VALUE"""),"#VALUE!")</f>
        <v>#VALUE!</v>
      </c>
      <c r="AW301" t="str">
        <f ca="1">IFERROR(__xludf.DUMMYFUNCTION("""COMPUTED_VALUE"""),"#VALUE!")</f>
        <v>#VALUE!</v>
      </c>
      <c r="AY301" t="str">
        <f ca="1">IFERROR(__xludf.DUMMYFUNCTION("""COMPUTED_VALUE"""),"#VALUE!")</f>
        <v>#VALUE!</v>
      </c>
      <c r="BA301" t="str">
        <f ca="1">IFERROR(__xludf.DUMMYFUNCTION("""COMPUTED_VALUE"""),"#VALUE!")</f>
        <v>#VALUE!</v>
      </c>
      <c r="BC301" t="str">
        <f ca="1">IFERROR(__xludf.DUMMYFUNCTION("""COMPUTED_VALUE"""),"#VALUE!")</f>
        <v>#VALUE!</v>
      </c>
      <c r="BE301" t="str">
        <f ca="1">IFERROR(__xludf.DUMMYFUNCTION("""COMPUTED_VALUE"""),"#VALUE!")</f>
        <v>#VALUE!</v>
      </c>
      <c r="BG301" t="str">
        <f ca="1">IFERROR(__xludf.DUMMYFUNCTION("""COMPUTED_VALUE"""),"#VALUE!")</f>
        <v>#VALUE!</v>
      </c>
      <c r="BI301" t="str">
        <f ca="1">IFERROR(__xludf.DUMMYFUNCTION("""COMPUTED_VALUE"""),"#VALUE!")</f>
        <v>#VALUE!</v>
      </c>
      <c r="BK301" t="str">
        <f ca="1">IFERROR(__xludf.DUMMYFUNCTION("""COMPUTED_VALUE"""),"#VALUE!")</f>
        <v>#VALUE!</v>
      </c>
      <c r="BM301" t="str">
        <f ca="1">IFERROR(__xludf.DUMMYFUNCTION("""COMPUTED_VALUE"""),"#VALUE!")</f>
        <v>#VALUE!</v>
      </c>
      <c r="BO301" t="str">
        <f ca="1">IFERROR(__xludf.DUMMYFUNCTION("""COMPUTED_VALUE"""),"#VALUE!")</f>
        <v>#VALUE!</v>
      </c>
      <c r="BQ301" t="str">
        <f ca="1">IFERROR(__xludf.DUMMYFUNCTION("""COMPUTED_VALUE"""),"#VALUE!")</f>
        <v>#VALUE!</v>
      </c>
      <c r="BS301" t="str">
        <f ca="1">IFERROR(__xludf.DUMMYFUNCTION("""COMPUTED_VALUE"""),"#VALUE!")</f>
        <v>#VALUE!</v>
      </c>
      <c r="BU301" t="str">
        <f ca="1">IFERROR(__xludf.DUMMYFUNCTION("""COMPUTED_VALUE"""),"#VALUE!")</f>
        <v>#VALUE!</v>
      </c>
      <c r="BW301" t="str">
        <f ca="1">IFERROR(__xludf.DUMMYFUNCTION("""COMPUTED_VALUE"""),"#VALUE!")</f>
        <v>#VALUE!</v>
      </c>
      <c r="BY301" t="str">
        <f ca="1">IFERROR(__xludf.DUMMYFUNCTION("""COMPUTED_VALUE"""),"#VALUE!")</f>
        <v>#VALUE!</v>
      </c>
      <c r="CA301" t="str">
        <f ca="1">IFERROR(__xludf.DUMMYFUNCTION("""COMPUTED_VALUE"""),"#VALUE!")</f>
        <v>#VALUE!</v>
      </c>
      <c r="CC301" t="str">
        <f ca="1">IFERROR(__xludf.DUMMYFUNCTION("""COMPUTED_VALUE"""),"#VALUE!")</f>
        <v>#VALUE!</v>
      </c>
      <c r="CD301" t="str">
        <f ca="1">IFERROR(__xludf.DUMMYFUNCTION("""COMPUTED_VALUE"""),"C3598")</f>
        <v>C3598</v>
      </c>
      <c r="CE301" t="str">
        <f ca="1">IFERROR(__xludf.DUMMYFUNCTION("""COMPUTED_VALUE"""),"location of congregation")</f>
        <v>location of congregation</v>
      </c>
      <c r="CF301" t="str">
        <f ca="1">IFERROR(__xludf.DUMMYFUNCTION("""COMPUTED_VALUE"""),"L0080#L0079#L0076#L0132")</f>
        <v>L0080#L0079#L0076#L0132</v>
      </c>
      <c r="CG301" t="str">
        <f ca="1">IFERROR(__xludf.DUMMYFUNCTION("""COMPUTED_VALUE"""),"domus Petrii Burgi #domus Martinii Dominici #domus Iohannis Torenchi #domus Aleysine Burgi")</f>
        <v>domus Petrii Burgi #domus Martinii Dominici #domus Iohannis Torenchi #domus Aleysine Burgi</v>
      </c>
      <c r="CI301" t="str">
        <f ca="1">IFERROR(__xludf.DUMMYFUNCTION("""COMPUTED_VALUE"""),"#VALUE!")</f>
        <v>#VALUE!</v>
      </c>
      <c r="CJ301" t="str">
        <f ca="1">IFERROR(__xludf.DUMMYFUNCTION("""COMPUTED_VALUE"""),"P0208")</f>
        <v>P0208</v>
      </c>
      <c r="CK301" t="str">
        <f ca="1">IFERROR(__xludf.DUMMYFUNCTION("""COMPUTED_VALUE"""),"Martinus Dominici")</f>
        <v>Martinus Dominici</v>
      </c>
      <c r="CL301" t="str">
        <f ca="1">IFERROR(__xludf.DUMMYFUNCTION("""COMPUTED_VALUE"""),"de")</f>
        <v>de</v>
      </c>
      <c r="CO301" t="str">
        <f ca="1">IFERROR(__xludf.DUMMYFUNCTION("""COMPUTED_VALUE"""),"Brosa")</f>
        <v>Brosa</v>
      </c>
      <c r="CS301" t="str">
        <f ca="1">IFERROR(__xludf.DUMMYFUNCTION("""COMPUTED_VALUE"""),"#VALUE!")</f>
        <v>#VALUE!</v>
      </c>
      <c r="CU301" t="str">
        <f ca="1">IFERROR(__xludf.DUMMYFUNCTION("""COMPUTED_VALUE"""),"#VALUE!")</f>
        <v>#VALUE!</v>
      </c>
      <c r="CW301" t="str">
        <f ca="1">IFERROR(__xludf.DUMMYFUNCTION("""COMPUTED_VALUE"""),"#VALUE!")</f>
        <v>#VALUE!</v>
      </c>
      <c r="CY301" t="str">
        <f ca="1">IFERROR(__xludf.DUMMYFUNCTION("""COMPUTED_VALUE"""),"#VALUE!")</f>
        <v>#VALUE!</v>
      </c>
      <c r="DC301" t="str">
        <f ca="1">IFERROR(__xludf.DUMMYFUNCTION("""COMPUTED_VALUE"""),"#VALUE!")</f>
        <v>#VALUE!</v>
      </c>
      <c r="DE301" t="str">
        <f ca="1">IFERROR(__xludf.DUMMYFUNCTION("""COMPUTED_VALUE"""),"#VALUE!")</f>
        <v>#VALUE!</v>
      </c>
      <c r="DF301" t="str">
        <f ca="1">IFERROR(__xludf.DUMMYFUNCTION("""COMPUTED_VALUE"""),"y")</f>
        <v>y</v>
      </c>
      <c r="DG301" t="str">
        <f ca="1">IFERROR(__xludf.DUMMYFUNCTION("""COMPUTED_VALUE"""),"222-223")</f>
        <v>222-223</v>
      </c>
      <c r="DH301" t="str">
        <f ca="1">IFERROR(__xludf.DUMMYFUNCTION("""COMPUTED_VALUE"""),"L0080#L0079#L0076#L0132")</f>
        <v>L0080#L0079#L0076#L0132</v>
      </c>
      <c r="DI301" t="str">
        <f ca="1">IFERROR(__xludf.DUMMYFUNCTION("""COMPUTED_VALUE"""),"domus Petrii Burgi #domus Martinii Dominici #domus Iohannis Torenchi #domus Aleysine Burgi")</f>
        <v>domus Petrii Burgi #domus Martinii Dominici #domus Iohannis Torenchi #domus Aleysine Burgi</v>
      </c>
      <c r="DJ301" t="str">
        <f ca="1">IFERROR(__xludf.DUMMYFUNCTION("""COMPUTED_VALUE"""),"domus #domus #domus #domus")</f>
        <v>domus #domus #domus #domus</v>
      </c>
      <c r="DL301" t="str">
        <f ca="1">IFERROR(__xludf.DUMMYFUNCTION("""COMPUTED_VALUE"""),"Davor Salihović")</f>
        <v>Davor Salihović</v>
      </c>
    </row>
    <row r="302" spans="1:116" ht="13.2" x14ac:dyDescent="0.25">
      <c r="A302" t="str">
        <f ca="1">IFERROR(__xludf.DUMMYFUNCTION("""COMPUTED_VALUE"""),"P0308")</f>
        <v>P0308</v>
      </c>
      <c r="B302" t="str">
        <f ca="1">IFERROR(__xludf.DUMMYFUNCTION("""COMPUTED_VALUE"""),"Broxia")</f>
        <v>Broxia</v>
      </c>
      <c r="D302" t="str">
        <f ca="1">IFERROR(__xludf.DUMMYFUNCTION("""COMPUTED_VALUE"""),"#VALUE!")</f>
        <v>#VALUE!</v>
      </c>
      <c r="E302" t="str">
        <f ca="1">IFERROR(__xludf.DUMMYFUNCTION("""COMPUTED_VALUE"""),"Broxia")</f>
        <v>Broxia</v>
      </c>
      <c r="S302" t="str">
        <f ca="1">IFERROR(__xludf.DUMMYFUNCTION("""COMPUTED_VALUE"""),"Latin")</f>
        <v>Latin</v>
      </c>
      <c r="T302" t="str">
        <f ca="1">IFERROR(__xludf.DUMMYFUNCTION("""COMPUTED_VALUE"""),"definite")</f>
        <v>definite</v>
      </c>
      <c r="U302" t="str">
        <f ca="1">IFERROR(__xludf.DUMMYFUNCTION("""COMPUTED_VALUE"""),"C2552")</f>
        <v>C2552</v>
      </c>
      <c r="V302" t="str">
        <f ca="1">IFERROR(__xludf.DUMMYFUNCTION("""COMPUTED_VALUE"""),"female")</f>
        <v>female</v>
      </c>
      <c r="Z302" t="str">
        <f ca="1">IFERROR(__xludf.DUMMYFUNCTION("""COMPUTED_VALUE"""),"193, 196")</f>
        <v>193, 196</v>
      </c>
      <c r="AA302" t="str">
        <f ca="1">IFERROR(__xludf.DUMMYFUNCTION("""COMPUTED_VALUE"""),"d")</f>
        <v>d</v>
      </c>
      <c r="AB302" t="str">
        <f ca="1">IFERROR(__xludf.DUMMYFUNCTION("""COMPUTED_VALUE"""),"NA")</f>
        <v>NA</v>
      </c>
      <c r="AE302" t="str">
        <f ca="1">IFERROR(__xludf.DUMMYFUNCTION("""COMPUTED_VALUE"""),"#VALUE!")</f>
        <v>#VALUE!</v>
      </c>
      <c r="AF302" t="str">
        <f ca="1">IFERROR(__xludf.DUMMYFUNCTION("""COMPUTED_VALUE"""),"#N/A")</f>
        <v>#N/A</v>
      </c>
      <c r="AG302" t="str">
        <f ca="1">IFERROR(__xludf.DUMMYFUNCTION("""COMPUTED_VALUE"""),"#N/A")</f>
        <v>#N/A</v>
      </c>
      <c r="AI302" t="str">
        <f ca="1">IFERROR(__xludf.DUMMYFUNCTION("""COMPUTED_VALUE"""),"#VALUE!")</f>
        <v>#VALUE!</v>
      </c>
      <c r="AK302" t="str">
        <f ca="1">IFERROR(__xludf.DUMMYFUNCTION("""COMPUTED_VALUE"""),"#VALUE!")</f>
        <v>#VALUE!</v>
      </c>
      <c r="AM302" t="str">
        <f ca="1">IFERROR(__xludf.DUMMYFUNCTION("""COMPUTED_VALUE"""),"#VALUE!")</f>
        <v>#VALUE!</v>
      </c>
      <c r="AO302" t="str">
        <f ca="1">IFERROR(__xludf.DUMMYFUNCTION("""COMPUTED_VALUE"""),"#VALUE!")</f>
        <v>#VALUE!</v>
      </c>
      <c r="AQ302" t="str">
        <f ca="1">IFERROR(__xludf.DUMMYFUNCTION("""COMPUTED_VALUE"""),"#VALUE!")</f>
        <v>#VALUE!</v>
      </c>
      <c r="AS302" t="str">
        <f ca="1">IFERROR(__xludf.DUMMYFUNCTION("""COMPUTED_VALUE"""),"#VALUE!")</f>
        <v>#VALUE!</v>
      </c>
      <c r="AU302" t="str">
        <f ca="1">IFERROR(__xludf.DUMMYFUNCTION("""COMPUTED_VALUE"""),"#VALUE!")</f>
        <v>#VALUE!</v>
      </c>
      <c r="AW302" t="str">
        <f ca="1">IFERROR(__xludf.DUMMYFUNCTION("""COMPUTED_VALUE"""),"#VALUE!")</f>
        <v>#VALUE!</v>
      </c>
      <c r="AY302" t="str">
        <f ca="1">IFERROR(__xludf.DUMMYFUNCTION("""COMPUTED_VALUE"""),"#VALUE!")</f>
        <v>#VALUE!</v>
      </c>
      <c r="BA302" t="str">
        <f ca="1">IFERROR(__xludf.DUMMYFUNCTION("""COMPUTED_VALUE"""),"#VALUE!")</f>
        <v>#VALUE!</v>
      </c>
      <c r="BC302" t="str">
        <f ca="1">IFERROR(__xludf.DUMMYFUNCTION("""COMPUTED_VALUE"""),"#VALUE!")</f>
        <v>#VALUE!</v>
      </c>
      <c r="BE302" t="str">
        <f ca="1">IFERROR(__xludf.DUMMYFUNCTION("""COMPUTED_VALUE"""),"#VALUE!")</f>
        <v>#VALUE!</v>
      </c>
      <c r="BG302" t="str">
        <f ca="1">IFERROR(__xludf.DUMMYFUNCTION("""COMPUTED_VALUE"""),"#VALUE!")</f>
        <v>#VALUE!</v>
      </c>
      <c r="BI302" t="str">
        <f ca="1">IFERROR(__xludf.DUMMYFUNCTION("""COMPUTED_VALUE"""),"#VALUE!")</f>
        <v>#VALUE!</v>
      </c>
      <c r="BK302" t="str">
        <f ca="1">IFERROR(__xludf.DUMMYFUNCTION("""COMPUTED_VALUE"""),"#VALUE!")</f>
        <v>#VALUE!</v>
      </c>
      <c r="BM302" t="str">
        <f ca="1">IFERROR(__xludf.DUMMYFUNCTION("""COMPUTED_VALUE"""),"#VALUE!")</f>
        <v>#VALUE!</v>
      </c>
      <c r="BO302" t="str">
        <f ca="1">IFERROR(__xludf.DUMMYFUNCTION("""COMPUTED_VALUE"""),"#VALUE!")</f>
        <v>#VALUE!</v>
      </c>
      <c r="BQ302" t="str">
        <f ca="1">IFERROR(__xludf.DUMMYFUNCTION("""COMPUTED_VALUE"""),"#VALUE!")</f>
        <v>#VALUE!</v>
      </c>
      <c r="BS302" t="str">
        <f ca="1">IFERROR(__xludf.DUMMYFUNCTION("""COMPUTED_VALUE"""),"#VALUE!")</f>
        <v>#VALUE!</v>
      </c>
      <c r="BU302" t="str">
        <f ca="1">IFERROR(__xludf.DUMMYFUNCTION("""COMPUTED_VALUE"""),"#VALUE!")</f>
        <v>#VALUE!</v>
      </c>
      <c r="BW302" t="str">
        <f ca="1">IFERROR(__xludf.DUMMYFUNCTION("""COMPUTED_VALUE"""),"#VALUE!")</f>
        <v>#VALUE!</v>
      </c>
      <c r="BY302" t="str">
        <f ca="1">IFERROR(__xludf.DUMMYFUNCTION("""COMPUTED_VALUE"""),"#VALUE!")</f>
        <v>#VALUE!</v>
      </c>
      <c r="CA302" t="str">
        <f ca="1">IFERROR(__xludf.DUMMYFUNCTION("""COMPUTED_VALUE"""),"#VALUE!")</f>
        <v>#VALUE!</v>
      </c>
      <c r="CC302" t="str">
        <f ca="1">IFERROR(__xludf.DUMMYFUNCTION("""COMPUTED_VALUE"""),"#VALUE!")</f>
        <v>#VALUE!</v>
      </c>
      <c r="CE302" t="str">
        <f ca="1">IFERROR(__xludf.DUMMYFUNCTION("""COMPUTED_VALUE"""),"#VALUE!")</f>
        <v>#VALUE!</v>
      </c>
      <c r="CG302" t="str">
        <f ca="1">IFERROR(__xludf.DUMMYFUNCTION("""COMPUTED_VALUE"""),"#VALUE!")</f>
        <v>#VALUE!</v>
      </c>
      <c r="CI302" t="str">
        <f ca="1">IFERROR(__xludf.DUMMYFUNCTION("""COMPUTED_VALUE"""),"#VALUE!")</f>
        <v>#VALUE!</v>
      </c>
      <c r="CK302" t="str">
        <f ca="1">IFERROR(__xludf.DUMMYFUNCTION("""COMPUTED_VALUE"""),"#VALUE!")</f>
        <v>#VALUE!</v>
      </c>
      <c r="CS302" t="str">
        <f ca="1">IFERROR(__xludf.DUMMYFUNCTION("""COMPUTED_VALUE"""),"#VALUE!")</f>
        <v>#VALUE!</v>
      </c>
      <c r="CU302" t="str">
        <f ca="1">IFERROR(__xludf.DUMMYFUNCTION("""COMPUTED_VALUE"""),"#VALUE!")</f>
        <v>#VALUE!</v>
      </c>
      <c r="CW302" t="str">
        <f ca="1">IFERROR(__xludf.DUMMYFUNCTION("""COMPUTED_VALUE"""),"#VALUE!")</f>
        <v>#VALUE!</v>
      </c>
      <c r="CY302" t="str">
        <f ca="1">IFERROR(__xludf.DUMMYFUNCTION("""COMPUTED_VALUE"""),"#VALUE!")</f>
        <v>#VALUE!</v>
      </c>
      <c r="DC302" t="str">
        <f ca="1">IFERROR(__xludf.DUMMYFUNCTION("""COMPUTED_VALUE"""),"#VALUE!")</f>
        <v>#VALUE!</v>
      </c>
      <c r="DE302" t="str">
        <f ca="1">IFERROR(__xludf.DUMMYFUNCTION("""COMPUTED_VALUE"""),"#VALUE!")</f>
        <v>#VALUE!</v>
      </c>
      <c r="DI302" t="str">
        <f ca="1">IFERROR(__xludf.DUMMYFUNCTION("""COMPUTED_VALUE"""),"#VALUE!")</f>
        <v>#VALUE!</v>
      </c>
      <c r="DJ302" t="str">
        <f ca="1">IFERROR(__xludf.DUMMYFUNCTION("""COMPUTED_VALUE"""),"#VALUE!")</f>
        <v>#VALUE!</v>
      </c>
      <c r="DL302" t="str">
        <f ca="1">IFERROR(__xludf.DUMMYFUNCTION("""COMPUTED_VALUE"""),"Davor Salihović")</f>
        <v>Davor Salihović</v>
      </c>
    </row>
    <row r="303" spans="1:116" ht="13.2" x14ac:dyDescent="0.25">
      <c r="A303" t="str">
        <f ca="1">IFERROR(__xludf.DUMMYFUNCTION("""COMPUTED_VALUE"""),"P0309")</f>
        <v>P0309</v>
      </c>
      <c r="B303" t="str">
        <f ca="1">IFERROR(__xludf.DUMMYFUNCTION("""COMPUTED_VALUE"""),"Martinus Ferrerius")</f>
        <v>Martinus Ferrerius</v>
      </c>
      <c r="D303" t="str">
        <f ca="1">IFERROR(__xludf.DUMMYFUNCTION("""COMPUTED_VALUE"""),"#VALUE!")</f>
        <v>#VALUE!</v>
      </c>
      <c r="E303" t="str">
        <f ca="1">IFERROR(__xludf.DUMMYFUNCTION("""COMPUTED_VALUE"""),"Martinus")</f>
        <v>Martinus</v>
      </c>
      <c r="K303" t="str">
        <f ca="1">IFERROR(__xludf.DUMMYFUNCTION("""COMPUTED_VALUE"""),"Ferrerius")</f>
        <v>Ferrerius</v>
      </c>
      <c r="L303" t="str">
        <f ca="1">IFERROR(__xludf.DUMMYFUNCTION("""COMPUTED_VALUE"""),"Ferrerius")</f>
        <v>Ferrerius</v>
      </c>
      <c r="S303" t="str">
        <f ca="1">IFERROR(__xludf.DUMMYFUNCTION("""COMPUTED_VALUE"""),"Latin")</f>
        <v>Latin</v>
      </c>
      <c r="T303" t="str">
        <f ca="1">IFERROR(__xludf.DUMMYFUNCTION("""COMPUTED_VALUE"""),"definite")</f>
        <v>definite</v>
      </c>
      <c r="U303" t="str">
        <f ca="1">IFERROR(__xludf.DUMMYFUNCTION("""COMPUTED_VALUE"""),"C2553")</f>
        <v>C2553</v>
      </c>
      <c r="V303" t="str">
        <f ca="1">IFERROR(__xludf.DUMMYFUNCTION("""COMPUTED_VALUE"""),"male")</f>
        <v>male</v>
      </c>
      <c r="Z303" t="str">
        <f ca="1">IFERROR(__xludf.DUMMYFUNCTION("""COMPUTED_VALUE"""),"194")</f>
        <v>194</v>
      </c>
      <c r="AA303" t="str">
        <f ca="1">IFERROR(__xludf.DUMMYFUNCTION("""COMPUTED_VALUE"""),"d")</f>
        <v>d</v>
      </c>
      <c r="AB303" t="str">
        <f ca="1">IFERROR(__xludf.DUMMYFUNCTION("""COMPUTED_VALUE"""),"NA")</f>
        <v>NA</v>
      </c>
      <c r="AD303" t="str">
        <f ca="1">IFERROR(__xludf.DUMMYFUNCTION("""COMPUTED_VALUE"""),"C3287")</f>
        <v>C3287</v>
      </c>
      <c r="AE303" t="str">
        <f ca="1">IFERROR(__xludf.DUMMYFUNCTION("""COMPUTED_VALUE"""),"alive")</f>
        <v>alive</v>
      </c>
      <c r="AF303" t="str">
        <f ca="1">IFERROR(__xludf.DUMMYFUNCTION("""COMPUTED_VALUE"""),"C1753")</f>
        <v>C1753</v>
      </c>
      <c r="AG303" t="str">
        <f ca="1">IFERROR(__xludf.DUMMYFUNCTION("""COMPUTED_VALUE"""),"1335-01-20")</f>
        <v>1335-01-20</v>
      </c>
      <c r="AI303" t="str">
        <f ca="1">IFERROR(__xludf.DUMMYFUNCTION("""COMPUTED_VALUE"""),"#VALUE!")</f>
        <v>#VALUE!</v>
      </c>
      <c r="AK303" t="str">
        <f ca="1">IFERROR(__xludf.DUMMYFUNCTION("""COMPUTED_VALUE"""),"#VALUE!")</f>
        <v>#VALUE!</v>
      </c>
      <c r="AM303" t="str">
        <f ca="1">IFERROR(__xludf.DUMMYFUNCTION("""COMPUTED_VALUE"""),"#VALUE!")</f>
        <v>#VALUE!</v>
      </c>
      <c r="AO303" t="str">
        <f ca="1">IFERROR(__xludf.DUMMYFUNCTION("""COMPUTED_VALUE"""),"#VALUE!")</f>
        <v>#VALUE!</v>
      </c>
      <c r="AQ303" t="str">
        <f ca="1">IFERROR(__xludf.DUMMYFUNCTION("""COMPUTED_VALUE"""),"#VALUE!")</f>
        <v>#VALUE!</v>
      </c>
      <c r="AS303" t="str">
        <f ca="1">IFERROR(__xludf.DUMMYFUNCTION("""COMPUTED_VALUE"""),"#VALUE!")</f>
        <v>#VALUE!</v>
      </c>
      <c r="AU303" t="str">
        <f ca="1">IFERROR(__xludf.DUMMYFUNCTION("""COMPUTED_VALUE"""),"#VALUE!")</f>
        <v>#VALUE!</v>
      </c>
      <c r="AW303" t="str">
        <f ca="1">IFERROR(__xludf.DUMMYFUNCTION("""COMPUTED_VALUE"""),"#VALUE!")</f>
        <v>#VALUE!</v>
      </c>
      <c r="AY303" t="str">
        <f ca="1">IFERROR(__xludf.DUMMYFUNCTION("""COMPUTED_VALUE"""),"#VALUE!")</f>
        <v>#VALUE!</v>
      </c>
      <c r="BA303" t="str">
        <f ca="1">IFERROR(__xludf.DUMMYFUNCTION("""COMPUTED_VALUE"""),"#VALUE!")</f>
        <v>#VALUE!</v>
      </c>
      <c r="BC303" t="str">
        <f ca="1">IFERROR(__xludf.DUMMYFUNCTION("""COMPUTED_VALUE"""),"#VALUE!")</f>
        <v>#VALUE!</v>
      </c>
      <c r="BE303" t="str">
        <f ca="1">IFERROR(__xludf.DUMMYFUNCTION("""COMPUTED_VALUE"""),"#VALUE!")</f>
        <v>#VALUE!</v>
      </c>
      <c r="BG303" t="str">
        <f ca="1">IFERROR(__xludf.DUMMYFUNCTION("""COMPUTED_VALUE"""),"#VALUE!")</f>
        <v>#VALUE!</v>
      </c>
      <c r="BI303" t="str">
        <f ca="1">IFERROR(__xludf.DUMMYFUNCTION("""COMPUTED_VALUE"""),"#VALUE!")</f>
        <v>#VALUE!</v>
      </c>
      <c r="BK303" t="str">
        <f ca="1">IFERROR(__xludf.DUMMYFUNCTION("""COMPUTED_VALUE"""),"#VALUE!")</f>
        <v>#VALUE!</v>
      </c>
      <c r="BM303" t="str">
        <f ca="1">IFERROR(__xludf.DUMMYFUNCTION("""COMPUTED_VALUE"""),"#VALUE!")</f>
        <v>#VALUE!</v>
      </c>
      <c r="BO303" t="str">
        <f ca="1">IFERROR(__xludf.DUMMYFUNCTION("""COMPUTED_VALUE"""),"#VALUE!")</f>
        <v>#VALUE!</v>
      </c>
      <c r="BQ303" t="str">
        <f ca="1">IFERROR(__xludf.DUMMYFUNCTION("""COMPUTED_VALUE"""),"#VALUE!")</f>
        <v>#VALUE!</v>
      </c>
      <c r="BS303" t="str">
        <f ca="1">IFERROR(__xludf.DUMMYFUNCTION("""COMPUTED_VALUE"""),"#VALUE!")</f>
        <v>#VALUE!</v>
      </c>
      <c r="BU303" t="str">
        <f ca="1">IFERROR(__xludf.DUMMYFUNCTION("""COMPUTED_VALUE"""),"#VALUE!")</f>
        <v>#VALUE!</v>
      </c>
      <c r="BW303" t="str">
        <f ca="1">IFERROR(__xludf.DUMMYFUNCTION("""COMPUTED_VALUE"""),"#VALUE!")</f>
        <v>#VALUE!</v>
      </c>
      <c r="BY303" t="str">
        <f ca="1">IFERROR(__xludf.DUMMYFUNCTION("""COMPUTED_VALUE"""),"#VALUE!")</f>
        <v>#VALUE!</v>
      </c>
      <c r="CA303" t="str">
        <f ca="1">IFERROR(__xludf.DUMMYFUNCTION("""COMPUTED_VALUE"""),"#VALUE!")</f>
        <v>#VALUE!</v>
      </c>
      <c r="CC303" t="str">
        <f ca="1">IFERROR(__xludf.DUMMYFUNCTION("""COMPUTED_VALUE"""),"#VALUE!")</f>
        <v>#VALUE!</v>
      </c>
      <c r="CE303" t="str">
        <f ca="1">IFERROR(__xludf.DUMMYFUNCTION("""COMPUTED_VALUE"""),"#VALUE!")</f>
        <v>#VALUE!</v>
      </c>
      <c r="CG303" t="str">
        <f ca="1">IFERROR(__xludf.DUMMYFUNCTION("""COMPUTED_VALUE"""),"#VALUE!")</f>
        <v>#VALUE!</v>
      </c>
      <c r="CI303" t="str">
        <f ca="1">IFERROR(__xludf.DUMMYFUNCTION("""COMPUTED_VALUE"""),"#VALUE!")</f>
        <v>#VALUE!</v>
      </c>
      <c r="CK303" t="str">
        <f ca="1">IFERROR(__xludf.DUMMYFUNCTION("""COMPUTED_VALUE"""),"#VALUE!")</f>
        <v>#VALUE!</v>
      </c>
      <c r="CS303" t="str">
        <f ca="1">IFERROR(__xludf.DUMMYFUNCTION("""COMPUTED_VALUE"""),"#VALUE!")</f>
        <v>#VALUE!</v>
      </c>
      <c r="CU303" t="str">
        <f ca="1">IFERROR(__xludf.DUMMYFUNCTION("""COMPUTED_VALUE"""),"#VALUE!")</f>
        <v>#VALUE!</v>
      </c>
      <c r="CW303" t="str">
        <f ca="1">IFERROR(__xludf.DUMMYFUNCTION("""COMPUTED_VALUE"""),"#VALUE!")</f>
        <v>#VALUE!</v>
      </c>
      <c r="CY303" t="str">
        <f ca="1">IFERROR(__xludf.DUMMYFUNCTION("""COMPUTED_VALUE"""),"#VALUE!")</f>
        <v>#VALUE!</v>
      </c>
      <c r="DC303" t="str">
        <f ca="1">IFERROR(__xludf.DUMMYFUNCTION("""COMPUTED_VALUE"""),"#VALUE!")</f>
        <v>#VALUE!</v>
      </c>
      <c r="DE303" t="str">
        <f ca="1">IFERROR(__xludf.DUMMYFUNCTION("""COMPUTED_VALUE"""),"#VALUE!")</f>
        <v>#VALUE!</v>
      </c>
      <c r="DI303" t="str">
        <f ca="1">IFERROR(__xludf.DUMMYFUNCTION("""COMPUTED_VALUE"""),"#VALUE!")</f>
        <v>#VALUE!</v>
      </c>
      <c r="DJ303" t="str">
        <f ca="1">IFERROR(__xludf.DUMMYFUNCTION("""COMPUTED_VALUE"""),"#VALUE!")</f>
        <v>#VALUE!</v>
      </c>
      <c r="DL303" t="str">
        <f ca="1">IFERROR(__xludf.DUMMYFUNCTION("""COMPUTED_VALUE"""),"Davor Salihović")</f>
        <v>Davor Salihović</v>
      </c>
    </row>
    <row r="304" spans="1:116" ht="13.2" x14ac:dyDescent="0.25">
      <c r="A304" t="str">
        <f ca="1">IFERROR(__xludf.DUMMYFUNCTION("""COMPUTED_VALUE"""),"P0310")</f>
        <v>P0310</v>
      </c>
      <c r="B304" t="str">
        <f ca="1">IFERROR(__xludf.DUMMYFUNCTION("""COMPUTED_VALUE"""),"Caterina")</f>
        <v>Caterina</v>
      </c>
      <c r="D304" t="str">
        <f ca="1">IFERROR(__xludf.DUMMYFUNCTION("""COMPUTED_VALUE"""),"#VALUE!")</f>
        <v>#VALUE!</v>
      </c>
      <c r="E304" t="str">
        <f ca="1">IFERROR(__xludf.DUMMYFUNCTION("""COMPUTED_VALUE"""),"Caterina")</f>
        <v>Caterina</v>
      </c>
      <c r="S304" t="str">
        <f ca="1">IFERROR(__xludf.DUMMYFUNCTION("""COMPUTED_VALUE"""),"Latin")</f>
        <v>Latin</v>
      </c>
      <c r="T304" t="str">
        <f ca="1">IFERROR(__xludf.DUMMYFUNCTION("""COMPUTED_VALUE"""),"indefinite")</f>
        <v>indefinite</v>
      </c>
      <c r="U304" t="str">
        <f ca="1">IFERROR(__xludf.DUMMYFUNCTION("""COMPUTED_VALUE"""),"C2552")</f>
        <v>C2552</v>
      </c>
      <c r="V304" t="str">
        <f ca="1">IFERROR(__xludf.DUMMYFUNCTION("""COMPUTED_VALUE"""),"female")</f>
        <v>female</v>
      </c>
      <c r="Z304" t="str">
        <f ca="1">IFERROR(__xludf.DUMMYFUNCTION("""COMPUTED_VALUE"""),"194")</f>
        <v>194</v>
      </c>
      <c r="AA304" t="str">
        <f ca="1">IFERROR(__xludf.DUMMYFUNCTION("""COMPUTED_VALUE"""),"d")</f>
        <v>d</v>
      </c>
      <c r="AB304" t="str">
        <f ca="1">IFERROR(__xludf.DUMMYFUNCTION("""COMPUTED_VALUE"""),"suspect")</f>
        <v>suspect</v>
      </c>
      <c r="AC304" t="str">
        <f ca="1">IFERROR(__xludf.DUMMYFUNCTION("""COMPUTED_VALUE"""),"y")</f>
        <v>y</v>
      </c>
      <c r="AD304" t="str">
        <f ca="1">IFERROR(__xludf.DUMMYFUNCTION("""COMPUTED_VALUE"""),"C3288")</f>
        <v>C3288</v>
      </c>
      <c r="AE304" t="str">
        <f ca="1">IFERROR(__xludf.DUMMYFUNCTION("""COMPUTED_VALUE"""),"dead")</f>
        <v>dead</v>
      </c>
      <c r="AF304" t="str">
        <f ca="1">IFERROR(__xludf.DUMMYFUNCTION("""COMPUTED_VALUE"""),"C1749")</f>
        <v>C1749</v>
      </c>
      <c r="AG304" t="str">
        <f ca="1">IFERROR(__xludf.DUMMYFUNCTION("""COMPUTED_VALUE"""),"1335-01-20")</f>
        <v>1335-01-20</v>
      </c>
      <c r="AI304" t="str">
        <f ca="1">IFERROR(__xludf.DUMMYFUNCTION("""COMPUTED_VALUE"""),"#VALUE!")</f>
        <v>#VALUE!</v>
      </c>
      <c r="AK304" t="str">
        <f ca="1">IFERROR(__xludf.DUMMYFUNCTION("""COMPUTED_VALUE"""),"#VALUE!")</f>
        <v>#VALUE!</v>
      </c>
      <c r="AM304" t="str">
        <f ca="1">IFERROR(__xludf.DUMMYFUNCTION("""COMPUTED_VALUE"""),"#VALUE!")</f>
        <v>#VALUE!</v>
      </c>
      <c r="AO304" t="str">
        <f ca="1">IFERROR(__xludf.DUMMYFUNCTION("""COMPUTED_VALUE"""),"#VALUE!")</f>
        <v>#VALUE!</v>
      </c>
      <c r="AQ304" t="str">
        <f ca="1">IFERROR(__xludf.DUMMYFUNCTION("""COMPUTED_VALUE"""),"#VALUE!")</f>
        <v>#VALUE!</v>
      </c>
      <c r="AS304" t="str">
        <f ca="1">IFERROR(__xludf.DUMMYFUNCTION("""COMPUTED_VALUE"""),"#VALUE!")</f>
        <v>#VALUE!</v>
      </c>
      <c r="AU304" t="str">
        <f ca="1">IFERROR(__xludf.DUMMYFUNCTION("""COMPUTED_VALUE"""),"#VALUE!")</f>
        <v>#VALUE!</v>
      </c>
      <c r="AW304" t="str">
        <f ca="1">IFERROR(__xludf.DUMMYFUNCTION("""COMPUTED_VALUE"""),"#VALUE!")</f>
        <v>#VALUE!</v>
      </c>
      <c r="AY304" t="str">
        <f ca="1">IFERROR(__xludf.DUMMYFUNCTION("""COMPUTED_VALUE"""),"#VALUE!")</f>
        <v>#VALUE!</v>
      </c>
      <c r="BA304" t="str">
        <f ca="1">IFERROR(__xludf.DUMMYFUNCTION("""COMPUTED_VALUE"""),"#VALUE!")</f>
        <v>#VALUE!</v>
      </c>
      <c r="BC304" t="str">
        <f ca="1">IFERROR(__xludf.DUMMYFUNCTION("""COMPUTED_VALUE"""),"#VALUE!")</f>
        <v>#VALUE!</v>
      </c>
      <c r="BE304" t="str">
        <f ca="1">IFERROR(__xludf.DUMMYFUNCTION("""COMPUTED_VALUE"""),"#VALUE!")</f>
        <v>#VALUE!</v>
      </c>
      <c r="BG304" t="str">
        <f ca="1">IFERROR(__xludf.DUMMYFUNCTION("""COMPUTED_VALUE"""),"#VALUE!")</f>
        <v>#VALUE!</v>
      </c>
      <c r="BI304" t="str">
        <f ca="1">IFERROR(__xludf.DUMMYFUNCTION("""COMPUTED_VALUE"""),"#VALUE!")</f>
        <v>#VALUE!</v>
      </c>
      <c r="BK304" t="str">
        <f ca="1">IFERROR(__xludf.DUMMYFUNCTION("""COMPUTED_VALUE"""),"#VALUE!")</f>
        <v>#VALUE!</v>
      </c>
      <c r="BM304" t="str">
        <f ca="1">IFERROR(__xludf.DUMMYFUNCTION("""COMPUTED_VALUE"""),"#VALUE!")</f>
        <v>#VALUE!</v>
      </c>
      <c r="BO304" t="str">
        <f ca="1">IFERROR(__xludf.DUMMYFUNCTION("""COMPUTED_VALUE"""),"#VALUE!")</f>
        <v>#VALUE!</v>
      </c>
      <c r="BQ304" t="str">
        <f ca="1">IFERROR(__xludf.DUMMYFUNCTION("""COMPUTED_VALUE"""),"#VALUE!")</f>
        <v>#VALUE!</v>
      </c>
      <c r="BS304" t="str">
        <f ca="1">IFERROR(__xludf.DUMMYFUNCTION("""COMPUTED_VALUE"""),"#VALUE!")</f>
        <v>#VALUE!</v>
      </c>
      <c r="BU304" t="str">
        <f ca="1">IFERROR(__xludf.DUMMYFUNCTION("""COMPUTED_VALUE"""),"#VALUE!")</f>
        <v>#VALUE!</v>
      </c>
      <c r="BW304" t="str">
        <f ca="1">IFERROR(__xludf.DUMMYFUNCTION("""COMPUTED_VALUE"""),"#VALUE!")</f>
        <v>#VALUE!</v>
      </c>
      <c r="BY304" t="str">
        <f ca="1">IFERROR(__xludf.DUMMYFUNCTION("""COMPUTED_VALUE"""),"#VALUE!")</f>
        <v>#VALUE!</v>
      </c>
      <c r="CA304" t="str">
        <f ca="1">IFERROR(__xludf.DUMMYFUNCTION("""COMPUTED_VALUE"""),"#VALUE!")</f>
        <v>#VALUE!</v>
      </c>
      <c r="CC304" t="str">
        <f ca="1">IFERROR(__xludf.DUMMYFUNCTION("""COMPUTED_VALUE"""),"#VALUE!")</f>
        <v>#VALUE!</v>
      </c>
      <c r="CE304" t="str">
        <f ca="1">IFERROR(__xludf.DUMMYFUNCTION("""COMPUTED_VALUE"""),"#VALUE!")</f>
        <v>#VALUE!</v>
      </c>
      <c r="CG304" t="str">
        <f ca="1">IFERROR(__xludf.DUMMYFUNCTION("""COMPUTED_VALUE"""),"#VALUE!")</f>
        <v>#VALUE!</v>
      </c>
      <c r="CI304" t="str">
        <f ca="1">IFERROR(__xludf.DUMMYFUNCTION("""COMPUTED_VALUE"""),"#VALUE!")</f>
        <v>#VALUE!</v>
      </c>
      <c r="CK304" t="str">
        <f ca="1">IFERROR(__xludf.DUMMYFUNCTION("""COMPUTED_VALUE"""),"#VALUE!")</f>
        <v>#VALUE!</v>
      </c>
      <c r="CS304" t="str">
        <f ca="1">IFERROR(__xludf.DUMMYFUNCTION("""COMPUTED_VALUE"""),"#VALUE!")</f>
        <v>#VALUE!</v>
      </c>
      <c r="CU304" t="str">
        <f ca="1">IFERROR(__xludf.DUMMYFUNCTION("""COMPUTED_VALUE"""),"#VALUE!")</f>
        <v>#VALUE!</v>
      </c>
      <c r="CV304" t="str">
        <f ca="1">IFERROR(__xludf.DUMMYFUNCTION("""COMPUTED_VALUE"""),"L0002")</f>
        <v>L0002</v>
      </c>
      <c r="CW304" t="str">
        <f ca="1">IFERROR(__xludf.DUMMYFUNCTION("""COMPUTED_VALUE"""),"Coazze")</f>
        <v>Coazze</v>
      </c>
      <c r="CY304" t="str">
        <f ca="1">IFERROR(__xludf.DUMMYFUNCTION("""COMPUTED_VALUE"""),"#VALUE!")</f>
        <v>#VALUE!</v>
      </c>
      <c r="DC304" t="str">
        <f ca="1">IFERROR(__xludf.DUMMYFUNCTION("""COMPUTED_VALUE"""),"#VALUE!")</f>
        <v>#VALUE!</v>
      </c>
      <c r="DE304" t="str">
        <f ca="1">IFERROR(__xludf.DUMMYFUNCTION("""COMPUTED_VALUE"""),"#VALUE!")</f>
        <v>#VALUE!</v>
      </c>
      <c r="DI304" t="str">
        <f ca="1">IFERROR(__xludf.DUMMYFUNCTION("""COMPUTED_VALUE"""),"#VALUE!")</f>
        <v>#VALUE!</v>
      </c>
      <c r="DJ304" t="str">
        <f ca="1">IFERROR(__xludf.DUMMYFUNCTION("""COMPUTED_VALUE"""),"#VALUE!")</f>
        <v>#VALUE!</v>
      </c>
      <c r="DL304" t="str">
        <f ca="1">IFERROR(__xludf.DUMMYFUNCTION("""COMPUTED_VALUE"""),"Davor Salihović")</f>
        <v>Davor Salihović</v>
      </c>
    </row>
    <row r="305" spans="1:116" ht="13.2" x14ac:dyDescent="0.25">
      <c r="A305" t="str">
        <f ca="1">IFERROR(__xludf.DUMMYFUNCTION("""COMPUTED_VALUE"""),"P0311")</f>
        <v>P0311</v>
      </c>
      <c r="B305" t="str">
        <f ca="1">IFERROR(__xludf.DUMMYFUNCTION("""COMPUTED_VALUE"""),"Coletus, filius Villelmeti Dominici")</f>
        <v>Coletus, filius Villelmeti Dominici</v>
      </c>
      <c r="D305" t="str">
        <f ca="1">IFERROR(__xludf.DUMMYFUNCTION("""COMPUTED_VALUE"""),"#VALUE!")</f>
        <v>#VALUE!</v>
      </c>
      <c r="E305" t="str">
        <f ca="1">IFERROR(__xludf.DUMMYFUNCTION("""COMPUTED_VALUE"""),"Coletus")</f>
        <v>Coletus</v>
      </c>
      <c r="F305" t="str">
        <f ca="1">IFERROR(__xludf.DUMMYFUNCTION("""COMPUTED_VALUE"""),"Roletus")</f>
        <v>Roletus</v>
      </c>
      <c r="Q305" t="str">
        <f ca="1">IFERROR(__xludf.DUMMYFUNCTION("""COMPUTED_VALUE"""),"filius Villelmeti Dominici")</f>
        <v>filius Villelmeti Dominici</v>
      </c>
      <c r="S305" t="str">
        <f ca="1">IFERROR(__xludf.DUMMYFUNCTION("""COMPUTED_VALUE"""),"Latin")</f>
        <v>Latin</v>
      </c>
      <c r="T305" t="str">
        <f ca="1">IFERROR(__xludf.DUMMYFUNCTION("""COMPUTED_VALUE"""),"definite")</f>
        <v>definite</v>
      </c>
      <c r="U305" t="str">
        <f ca="1">IFERROR(__xludf.DUMMYFUNCTION("""COMPUTED_VALUE"""),"C2553")</f>
        <v>C2553</v>
      </c>
      <c r="V305" t="str">
        <f ca="1">IFERROR(__xludf.DUMMYFUNCTION("""COMPUTED_VALUE"""),"male")</f>
        <v>male</v>
      </c>
      <c r="Z305" t="str">
        <f ca="1">IFERROR(__xludf.DUMMYFUNCTION("""COMPUTED_VALUE"""),"194, 196")</f>
        <v>194, 196</v>
      </c>
      <c r="AA305" t="str">
        <f ca="1">IFERROR(__xludf.DUMMYFUNCTION("""COMPUTED_VALUE"""),"d")</f>
        <v>d</v>
      </c>
      <c r="AB305" t="str">
        <f ca="1">IFERROR(__xludf.DUMMYFUNCTION("""COMPUTED_VALUE"""),"suspect")</f>
        <v>suspect</v>
      </c>
      <c r="AC305" t="str">
        <f ca="1">IFERROR(__xludf.DUMMYFUNCTION("""COMPUTED_VALUE"""),"y")</f>
        <v>y</v>
      </c>
      <c r="AD305" t="str">
        <f ca="1">IFERROR(__xludf.DUMMYFUNCTION("""COMPUTED_VALUE"""),"C3288")</f>
        <v>C3288</v>
      </c>
      <c r="AE305" t="str">
        <f ca="1">IFERROR(__xludf.DUMMYFUNCTION("""COMPUTED_VALUE"""),"dead")</f>
        <v>dead</v>
      </c>
      <c r="AF305" t="str">
        <f ca="1">IFERROR(__xludf.DUMMYFUNCTION("""COMPUTED_VALUE"""),"C1749")</f>
        <v>C1749</v>
      </c>
      <c r="AG305" t="str">
        <f ca="1">IFERROR(__xludf.DUMMYFUNCTION("""COMPUTED_VALUE"""),"1335-01-20")</f>
        <v>1335-01-20</v>
      </c>
      <c r="AH305" t="str">
        <f ca="1">IFERROR(__xludf.DUMMYFUNCTION("""COMPUTED_VALUE"""),"C2337")</f>
        <v>C2337</v>
      </c>
      <c r="AI305" t="str">
        <f ca="1">IFERROR(__xludf.DUMMYFUNCTION("""COMPUTED_VALUE"""),"brother")</f>
        <v>brother</v>
      </c>
      <c r="AJ305" t="str">
        <f ca="1">IFERROR(__xludf.DUMMYFUNCTION("""COMPUTED_VALUE"""),"P0208")</f>
        <v>P0208</v>
      </c>
      <c r="AK305" t="str">
        <f ca="1">IFERROR(__xludf.DUMMYFUNCTION("""COMPUTED_VALUE"""),"Martinus Dominici")</f>
        <v>Martinus Dominici</v>
      </c>
      <c r="AM305" t="str">
        <f ca="1">IFERROR(__xludf.DUMMYFUNCTION("""COMPUTED_VALUE"""),"#VALUE!")</f>
        <v>#VALUE!</v>
      </c>
      <c r="AO305" t="str">
        <f ca="1">IFERROR(__xludf.DUMMYFUNCTION("""COMPUTED_VALUE"""),"#VALUE!")</f>
        <v>#VALUE!</v>
      </c>
      <c r="AQ305" t="str">
        <f ca="1">IFERROR(__xludf.DUMMYFUNCTION("""COMPUTED_VALUE"""),"#VALUE!")</f>
        <v>#VALUE!</v>
      </c>
      <c r="AS305" t="str">
        <f ca="1">IFERROR(__xludf.DUMMYFUNCTION("""COMPUTED_VALUE"""),"#VALUE!")</f>
        <v>#VALUE!</v>
      </c>
      <c r="AU305" t="str">
        <f ca="1">IFERROR(__xludf.DUMMYFUNCTION("""COMPUTED_VALUE"""),"#VALUE!")</f>
        <v>#VALUE!</v>
      </c>
      <c r="AW305" t="str">
        <f ca="1">IFERROR(__xludf.DUMMYFUNCTION("""COMPUTED_VALUE"""),"#VALUE!")</f>
        <v>#VALUE!</v>
      </c>
      <c r="AY305" t="str">
        <f ca="1">IFERROR(__xludf.DUMMYFUNCTION("""COMPUTED_VALUE"""),"#VALUE!")</f>
        <v>#VALUE!</v>
      </c>
      <c r="BA305" t="str">
        <f ca="1">IFERROR(__xludf.DUMMYFUNCTION("""COMPUTED_VALUE"""),"#VALUE!")</f>
        <v>#VALUE!</v>
      </c>
      <c r="BC305" t="str">
        <f ca="1">IFERROR(__xludf.DUMMYFUNCTION("""COMPUTED_VALUE"""),"#VALUE!")</f>
        <v>#VALUE!</v>
      </c>
      <c r="BE305" t="str">
        <f ca="1">IFERROR(__xludf.DUMMYFUNCTION("""COMPUTED_VALUE"""),"#VALUE!")</f>
        <v>#VALUE!</v>
      </c>
      <c r="BG305" t="str">
        <f ca="1">IFERROR(__xludf.DUMMYFUNCTION("""COMPUTED_VALUE"""),"#VALUE!")</f>
        <v>#VALUE!</v>
      </c>
      <c r="BI305" t="str">
        <f ca="1">IFERROR(__xludf.DUMMYFUNCTION("""COMPUTED_VALUE"""),"#VALUE!")</f>
        <v>#VALUE!</v>
      </c>
      <c r="BK305" t="str">
        <f ca="1">IFERROR(__xludf.DUMMYFUNCTION("""COMPUTED_VALUE"""),"#VALUE!")</f>
        <v>#VALUE!</v>
      </c>
      <c r="BM305" t="str">
        <f ca="1">IFERROR(__xludf.DUMMYFUNCTION("""COMPUTED_VALUE"""),"#VALUE!")</f>
        <v>#VALUE!</v>
      </c>
      <c r="BO305" t="str">
        <f ca="1">IFERROR(__xludf.DUMMYFUNCTION("""COMPUTED_VALUE"""),"#VALUE!")</f>
        <v>#VALUE!</v>
      </c>
      <c r="BQ305" t="str">
        <f ca="1">IFERROR(__xludf.DUMMYFUNCTION("""COMPUTED_VALUE"""),"#VALUE!")</f>
        <v>#VALUE!</v>
      </c>
      <c r="BS305" t="str">
        <f ca="1">IFERROR(__xludf.DUMMYFUNCTION("""COMPUTED_VALUE"""),"#VALUE!")</f>
        <v>#VALUE!</v>
      </c>
      <c r="BU305" t="str">
        <f ca="1">IFERROR(__xludf.DUMMYFUNCTION("""COMPUTED_VALUE"""),"#VALUE!")</f>
        <v>#VALUE!</v>
      </c>
      <c r="BW305" t="str">
        <f ca="1">IFERROR(__xludf.DUMMYFUNCTION("""COMPUTED_VALUE"""),"#VALUE!")</f>
        <v>#VALUE!</v>
      </c>
      <c r="BY305" t="str">
        <f ca="1">IFERROR(__xludf.DUMMYFUNCTION("""COMPUTED_VALUE"""),"#VALUE!")</f>
        <v>#VALUE!</v>
      </c>
      <c r="CA305" t="str">
        <f ca="1">IFERROR(__xludf.DUMMYFUNCTION("""COMPUTED_VALUE"""),"#VALUE!")</f>
        <v>#VALUE!</v>
      </c>
      <c r="CC305" t="str">
        <f ca="1">IFERROR(__xludf.DUMMYFUNCTION("""COMPUTED_VALUE"""),"#VALUE!")</f>
        <v>#VALUE!</v>
      </c>
      <c r="CE305" t="str">
        <f ca="1">IFERROR(__xludf.DUMMYFUNCTION("""COMPUTED_VALUE"""),"#VALUE!")</f>
        <v>#VALUE!</v>
      </c>
      <c r="CG305" t="str">
        <f ca="1">IFERROR(__xludf.DUMMYFUNCTION("""COMPUTED_VALUE"""),"#VALUE!")</f>
        <v>#VALUE!</v>
      </c>
      <c r="CI305" t="str">
        <f ca="1">IFERROR(__xludf.DUMMYFUNCTION("""COMPUTED_VALUE"""),"#VALUE!")</f>
        <v>#VALUE!</v>
      </c>
      <c r="CK305" t="str">
        <f ca="1">IFERROR(__xludf.DUMMYFUNCTION("""COMPUTED_VALUE"""),"#VALUE!")</f>
        <v>#VALUE!</v>
      </c>
      <c r="CS305" t="str">
        <f ca="1">IFERROR(__xludf.DUMMYFUNCTION("""COMPUTED_VALUE"""),"#VALUE!")</f>
        <v>#VALUE!</v>
      </c>
      <c r="CU305" t="str">
        <f ca="1">IFERROR(__xludf.DUMMYFUNCTION("""COMPUTED_VALUE"""),"#VALUE!")</f>
        <v>#VALUE!</v>
      </c>
      <c r="CW305" t="str">
        <f ca="1">IFERROR(__xludf.DUMMYFUNCTION("""COMPUTED_VALUE"""),"#VALUE!")</f>
        <v>#VALUE!</v>
      </c>
      <c r="CY305" t="str">
        <f ca="1">IFERROR(__xludf.DUMMYFUNCTION("""COMPUTED_VALUE"""),"#VALUE!")</f>
        <v>#VALUE!</v>
      </c>
      <c r="DC305" t="str">
        <f ca="1">IFERROR(__xludf.DUMMYFUNCTION("""COMPUTED_VALUE"""),"#VALUE!")</f>
        <v>#VALUE!</v>
      </c>
      <c r="DE305" t="str">
        <f ca="1">IFERROR(__xludf.DUMMYFUNCTION("""COMPUTED_VALUE"""),"#VALUE!")</f>
        <v>#VALUE!</v>
      </c>
      <c r="DI305" t="str">
        <f ca="1">IFERROR(__xludf.DUMMYFUNCTION("""COMPUTED_VALUE"""),"#VALUE!")</f>
        <v>#VALUE!</v>
      </c>
      <c r="DJ305" t="str">
        <f ca="1">IFERROR(__xludf.DUMMYFUNCTION("""COMPUTED_VALUE"""),"#VALUE!")</f>
        <v>#VALUE!</v>
      </c>
      <c r="DK305" t="str">
        <f ca="1">IFERROR(__xludf.DUMMYFUNCTION("""COMPUTED_VALUE"""),"Roletus version must be a lapsus by Merlo.")</f>
        <v>Roletus version must be a lapsus by Merlo.</v>
      </c>
      <c r="DL305" t="str">
        <f ca="1">IFERROR(__xludf.DUMMYFUNCTION("""COMPUTED_VALUE"""),"Davor Salihović")</f>
        <v>Davor Salihović</v>
      </c>
    </row>
    <row r="306" spans="1:116" ht="13.2" x14ac:dyDescent="0.25">
      <c r="A306" t="str">
        <f ca="1">IFERROR(__xludf.DUMMYFUNCTION("""COMPUTED_VALUE"""),"P0312")</f>
        <v>P0312</v>
      </c>
      <c r="B306" t="str">
        <f ca="1">IFERROR(__xludf.DUMMYFUNCTION("""COMPUTED_VALUE"""),"Laurencius, socius Martini Pastre")</f>
        <v>Laurencius, socius Martini Pastre</v>
      </c>
      <c r="D306" t="str">
        <f ca="1">IFERROR(__xludf.DUMMYFUNCTION("""COMPUTED_VALUE"""),"#VALUE!")</f>
        <v>#VALUE!</v>
      </c>
      <c r="E306" t="str">
        <f ca="1">IFERROR(__xludf.DUMMYFUNCTION("""COMPUTED_VALUE"""),"Laurencius")</f>
        <v>Laurencius</v>
      </c>
      <c r="Q306" t="str">
        <f ca="1">IFERROR(__xludf.DUMMYFUNCTION("""COMPUTED_VALUE"""),"socius Martini Pastre")</f>
        <v>socius Martini Pastre</v>
      </c>
      <c r="S306" t="str">
        <f ca="1">IFERROR(__xludf.DUMMYFUNCTION("""COMPUTED_VALUE"""),"Latin")</f>
        <v>Latin</v>
      </c>
      <c r="T306" t="str">
        <f ca="1">IFERROR(__xludf.DUMMYFUNCTION("""COMPUTED_VALUE"""),"definite")</f>
        <v>definite</v>
      </c>
      <c r="U306" t="str">
        <f ca="1">IFERROR(__xludf.DUMMYFUNCTION("""COMPUTED_VALUE"""),"C2553")</f>
        <v>C2553</v>
      </c>
      <c r="V306" t="str">
        <f ca="1">IFERROR(__xludf.DUMMYFUNCTION("""COMPUTED_VALUE"""),"male")</f>
        <v>male</v>
      </c>
      <c r="Z306" t="str">
        <f ca="1">IFERROR(__xludf.DUMMYFUNCTION("""COMPUTED_VALUE"""),"194, 215, 240")</f>
        <v>194, 215, 240</v>
      </c>
      <c r="AA306" t="str">
        <f ca="1">IFERROR(__xludf.DUMMYFUNCTION("""COMPUTED_VALUE"""),"d")</f>
        <v>d</v>
      </c>
      <c r="AB306" t="str">
        <f ca="1">IFERROR(__xludf.DUMMYFUNCTION("""COMPUTED_VALUE"""),"suspect")</f>
        <v>suspect</v>
      </c>
      <c r="AE306" t="str">
        <f ca="1">IFERROR(__xludf.DUMMYFUNCTION("""COMPUTED_VALUE"""),"#VALUE!")</f>
        <v>#VALUE!</v>
      </c>
      <c r="AF306" t="str">
        <f ca="1">IFERROR(__xludf.DUMMYFUNCTION("""COMPUTED_VALUE"""),"#N/A")</f>
        <v>#N/A</v>
      </c>
      <c r="AG306" t="str">
        <f ca="1">IFERROR(__xludf.DUMMYFUNCTION("""COMPUTED_VALUE"""),"#N/A")</f>
        <v>#N/A</v>
      </c>
      <c r="AH306" t="str">
        <f ca="1">IFERROR(__xludf.DUMMYFUNCTION("""COMPUTED_VALUE"""),"C2358")</f>
        <v>C2358</v>
      </c>
      <c r="AI306" t="str">
        <f ca="1">IFERROR(__xludf.DUMMYFUNCTION("""COMPUTED_VALUE"""),"associate")</f>
        <v>associate</v>
      </c>
      <c r="AJ306" t="str">
        <f ca="1">IFERROR(__xludf.DUMMYFUNCTION("""COMPUTED_VALUE"""),"P0183")</f>
        <v>P0183</v>
      </c>
      <c r="AK306" t="str">
        <f ca="1">IFERROR(__xludf.DUMMYFUNCTION("""COMPUTED_VALUE"""),"Martinus Pastre")</f>
        <v>Martinus Pastre</v>
      </c>
      <c r="AM306" t="str">
        <f ca="1">IFERROR(__xludf.DUMMYFUNCTION("""COMPUTED_VALUE"""),"#VALUE!")</f>
        <v>#VALUE!</v>
      </c>
      <c r="AO306" t="str">
        <f ca="1">IFERROR(__xludf.DUMMYFUNCTION("""COMPUTED_VALUE"""),"#VALUE!")</f>
        <v>#VALUE!</v>
      </c>
      <c r="AQ306" t="str">
        <f ca="1">IFERROR(__xludf.DUMMYFUNCTION("""COMPUTED_VALUE"""),"#VALUE!")</f>
        <v>#VALUE!</v>
      </c>
      <c r="AS306" t="str">
        <f ca="1">IFERROR(__xludf.DUMMYFUNCTION("""COMPUTED_VALUE"""),"#VALUE!")</f>
        <v>#VALUE!</v>
      </c>
      <c r="AU306" t="str">
        <f ca="1">IFERROR(__xludf.DUMMYFUNCTION("""COMPUTED_VALUE"""),"#VALUE!")</f>
        <v>#VALUE!</v>
      </c>
      <c r="AW306" t="str">
        <f ca="1">IFERROR(__xludf.DUMMYFUNCTION("""COMPUTED_VALUE"""),"#VALUE!")</f>
        <v>#VALUE!</v>
      </c>
      <c r="AY306" t="str">
        <f ca="1">IFERROR(__xludf.DUMMYFUNCTION("""COMPUTED_VALUE"""),"#VALUE!")</f>
        <v>#VALUE!</v>
      </c>
      <c r="BA306" t="str">
        <f ca="1">IFERROR(__xludf.DUMMYFUNCTION("""COMPUTED_VALUE"""),"#VALUE!")</f>
        <v>#VALUE!</v>
      </c>
      <c r="BC306" t="str">
        <f ca="1">IFERROR(__xludf.DUMMYFUNCTION("""COMPUTED_VALUE"""),"#VALUE!")</f>
        <v>#VALUE!</v>
      </c>
      <c r="BE306" t="str">
        <f ca="1">IFERROR(__xludf.DUMMYFUNCTION("""COMPUTED_VALUE"""),"#VALUE!")</f>
        <v>#VALUE!</v>
      </c>
      <c r="BG306" t="str">
        <f ca="1">IFERROR(__xludf.DUMMYFUNCTION("""COMPUTED_VALUE"""),"#VALUE!")</f>
        <v>#VALUE!</v>
      </c>
      <c r="BI306" t="str">
        <f ca="1">IFERROR(__xludf.DUMMYFUNCTION("""COMPUTED_VALUE"""),"#VALUE!")</f>
        <v>#VALUE!</v>
      </c>
      <c r="BK306" t="str">
        <f ca="1">IFERROR(__xludf.DUMMYFUNCTION("""COMPUTED_VALUE"""),"#VALUE!")</f>
        <v>#VALUE!</v>
      </c>
      <c r="BM306" t="str">
        <f ca="1">IFERROR(__xludf.DUMMYFUNCTION("""COMPUTED_VALUE"""),"#VALUE!")</f>
        <v>#VALUE!</v>
      </c>
      <c r="BO306" t="str">
        <f ca="1">IFERROR(__xludf.DUMMYFUNCTION("""COMPUTED_VALUE"""),"#VALUE!")</f>
        <v>#VALUE!</v>
      </c>
      <c r="BQ306" t="str">
        <f ca="1">IFERROR(__xludf.DUMMYFUNCTION("""COMPUTED_VALUE"""),"#VALUE!")</f>
        <v>#VALUE!</v>
      </c>
      <c r="BS306" t="str">
        <f ca="1">IFERROR(__xludf.DUMMYFUNCTION("""COMPUTED_VALUE"""),"#VALUE!")</f>
        <v>#VALUE!</v>
      </c>
      <c r="BU306" t="str">
        <f ca="1">IFERROR(__xludf.DUMMYFUNCTION("""COMPUTED_VALUE"""),"#VALUE!")</f>
        <v>#VALUE!</v>
      </c>
      <c r="BW306" t="str">
        <f ca="1">IFERROR(__xludf.DUMMYFUNCTION("""COMPUTED_VALUE"""),"#VALUE!")</f>
        <v>#VALUE!</v>
      </c>
      <c r="BY306" t="str">
        <f ca="1">IFERROR(__xludf.DUMMYFUNCTION("""COMPUTED_VALUE"""),"#VALUE!")</f>
        <v>#VALUE!</v>
      </c>
      <c r="CA306" t="str">
        <f ca="1">IFERROR(__xludf.DUMMYFUNCTION("""COMPUTED_VALUE"""),"#VALUE!")</f>
        <v>#VALUE!</v>
      </c>
      <c r="CC306" t="str">
        <f ca="1">IFERROR(__xludf.DUMMYFUNCTION("""COMPUTED_VALUE"""),"#VALUE!")</f>
        <v>#VALUE!</v>
      </c>
      <c r="CD306" t="str">
        <f ca="1">IFERROR(__xludf.DUMMYFUNCTION("""COMPUTED_VALUE"""),"C3598")</f>
        <v>C3598</v>
      </c>
      <c r="CE306" t="str">
        <f ca="1">IFERROR(__xludf.DUMMYFUNCTION("""COMPUTED_VALUE"""),"location of congregation")</f>
        <v>location of congregation</v>
      </c>
      <c r="CF306" t="str">
        <f ca="1">IFERROR(__xludf.DUMMYFUNCTION("""COMPUTED_VALUE"""),"L0082#L0115")</f>
        <v>L0082#L0115</v>
      </c>
      <c r="CG306" t="str">
        <f ca="1">IFERROR(__xludf.DUMMYFUNCTION("""COMPUTED_VALUE"""),"domus Iacobi Bernardi de Villanova #domus Agnessone de Rosseto")</f>
        <v>domus Iacobi Bernardi de Villanova #domus Agnessone de Rosseto</v>
      </c>
      <c r="CI306" t="str">
        <f ca="1">IFERROR(__xludf.DUMMYFUNCTION("""COMPUTED_VALUE"""),"#VALUE!")</f>
        <v>#VALUE!</v>
      </c>
      <c r="CK306" t="str">
        <f ca="1">IFERROR(__xludf.DUMMYFUNCTION("""COMPUTED_VALUE"""),"#VALUE!")</f>
        <v>#VALUE!</v>
      </c>
      <c r="CS306" t="str">
        <f ca="1">IFERROR(__xludf.DUMMYFUNCTION("""COMPUTED_VALUE"""),"#VALUE!")</f>
        <v>#VALUE!</v>
      </c>
      <c r="CU306" t="str">
        <f ca="1">IFERROR(__xludf.DUMMYFUNCTION("""COMPUTED_VALUE"""),"#VALUE!")</f>
        <v>#VALUE!</v>
      </c>
      <c r="CW306" t="str">
        <f ca="1">IFERROR(__xludf.DUMMYFUNCTION("""COMPUTED_VALUE"""),"#VALUE!")</f>
        <v>#VALUE!</v>
      </c>
      <c r="CX306" t="str">
        <f ca="1">IFERROR(__xludf.DUMMYFUNCTION("""COMPUTED_VALUE"""),"C3198")</f>
        <v>C3198</v>
      </c>
      <c r="CY306" t="str">
        <f ca="1">IFERROR(__xludf.DUMMYFUNCTION("""COMPUTED_VALUE"""),"socius Valdensis")</f>
        <v>socius Valdensis</v>
      </c>
      <c r="DA306" t="str">
        <f ca="1">IFERROR(__xludf.DUMMYFUNCTION("""COMPUTED_VALUE"""),"dissident minister")</f>
        <v>dissident minister</v>
      </c>
      <c r="DC306" t="str">
        <f ca="1">IFERROR(__xludf.DUMMYFUNCTION("""COMPUTED_VALUE"""),"#VALUE!")</f>
        <v>#VALUE!</v>
      </c>
      <c r="DD306" t="str">
        <f ca="1">IFERROR(__xludf.DUMMYFUNCTION("""COMPUTED_VALUE"""),"C3198")</f>
        <v>C3198</v>
      </c>
      <c r="DE306" t="str">
        <f ca="1">IFERROR(__xludf.DUMMYFUNCTION("""COMPUTED_VALUE"""),"socius Valdensis")</f>
        <v>socius Valdensis</v>
      </c>
      <c r="DH306" t="str">
        <f ca="1">IFERROR(__xludf.DUMMYFUNCTION("""COMPUTED_VALUE"""),"L0082#L0115")</f>
        <v>L0082#L0115</v>
      </c>
      <c r="DI306" t="str">
        <f ca="1">IFERROR(__xludf.DUMMYFUNCTION("""COMPUTED_VALUE"""),"domus Iacobi Bernardi de Villanova #domus Agnessone de Rosseto")</f>
        <v>domus Iacobi Bernardi de Villanova #domus Agnessone de Rosseto</v>
      </c>
      <c r="DJ306" t="str">
        <f ca="1">IFERROR(__xludf.DUMMYFUNCTION("""COMPUTED_VALUE"""),"domus #domus")</f>
        <v>domus #domus</v>
      </c>
      <c r="DL306" t="str">
        <f ca="1">IFERROR(__xludf.DUMMYFUNCTION("""COMPUTED_VALUE"""),"Davor Salihović")</f>
        <v>Davor Salihović</v>
      </c>
    </row>
    <row r="307" spans="1:116" ht="13.2" x14ac:dyDescent="0.25">
      <c r="A307" t="str">
        <f ca="1">IFERROR(__xludf.DUMMYFUNCTION("""COMPUTED_VALUE"""),"P0313")</f>
        <v>P0313</v>
      </c>
      <c r="B307" t="str">
        <f ca="1">IFERROR(__xludf.DUMMYFUNCTION("""COMPUTED_VALUE"""),"Micheletus Capitani")</f>
        <v>Micheletus Capitani</v>
      </c>
      <c r="D307" t="str">
        <f ca="1">IFERROR(__xludf.DUMMYFUNCTION("""COMPUTED_VALUE"""),"#VALUE!")</f>
        <v>#VALUE!</v>
      </c>
      <c r="E307" t="str">
        <f ca="1">IFERROR(__xludf.DUMMYFUNCTION("""COMPUTED_VALUE"""),"Micheletus")</f>
        <v>Micheletus</v>
      </c>
      <c r="K307" t="str">
        <f ca="1">IFERROR(__xludf.DUMMYFUNCTION("""COMPUTED_VALUE"""),"Capitani")</f>
        <v>Capitani</v>
      </c>
      <c r="L307" t="str">
        <f ca="1">IFERROR(__xludf.DUMMYFUNCTION("""COMPUTED_VALUE"""),"Capitani")</f>
        <v>Capitani</v>
      </c>
      <c r="S307" t="str">
        <f ca="1">IFERROR(__xludf.DUMMYFUNCTION("""COMPUTED_VALUE"""),"Latin")</f>
        <v>Latin</v>
      </c>
      <c r="T307" t="str">
        <f ca="1">IFERROR(__xludf.DUMMYFUNCTION("""COMPUTED_VALUE"""),"definite")</f>
        <v>definite</v>
      </c>
      <c r="U307" t="str">
        <f ca="1">IFERROR(__xludf.DUMMYFUNCTION("""COMPUTED_VALUE"""),"C2553")</f>
        <v>C2553</v>
      </c>
      <c r="V307" t="str">
        <f ca="1">IFERROR(__xludf.DUMMYFUNCTION("""COMPUTED_VALUE"""),"male")</f>
        <v>male</v>
      </c>
      <c r="Z307" t="str">
        <f ca="1">IFERROR(__xludf.DUMMYFUNCTION("""COMPUTED_VALUE"""),"195")</f>
        <v>195</v>
      </c>
      <c r="AA307" t="str">
        <f ca="1">IFERROR(__xludf.DUMMYFUNCTION("""COMPUTED_VALUE"""),"d")</f>
        <v>d</v>
      </c>
      <c r="AB307" t="str">
        <f ca="1">IFERROR(__xludf.DUMMYFUNCTION("""COMPUTED_VALUE"""),"NA")</f>
        <v>NA</v>
      </c>
      <c r="AD307" t="str">
        <f ca="1">IFERROR(__xludf.DUMMYFUNCTION("""COMPUTED_VALUE"""),"C3287")</f>
        <v>C3287</v>
      </c>
      <c r="AE307" t="str">
        <f ca="1">IFERROR(__xludf.DUMMYFUNCTION("""COMPUTED_VALUE"""),"alive")</f>
        <v>alive</v>
      </c>
      <c r="AF307" t="str">
        <f ca="1">IFERROR(__xludf.DUMMYFUNCTION("""COMPUTED_VALUE"""),"C1753")</f>
        <v>C1753</v>
      </c>
      <c r="AG307" t="str">
        <f ca="1">IFERROR(__xludf.DUMMYFUNCTION("""COMPUTED_VALUE"""),"1335-01-20")</f>
        <v>1335-01-20</v>
      </c>
      <c r="AI307" t="str">
        <f ca="1">IFERROR(__xludf.DUMMYFUNCTION("""COMPUTED_VALUE"""),"#VALUE!")</f>
        <v>#VALUE!</v>
      </c>
      <c r="AK307" t="str">
        <f ca="1">IFERROR(__xludf.DUMMYFUNCTION("""COMPUTED_VALUE"""),"#VALUE!")</f>
        <v>#VALUE!</v>
      </c>
      <c r="AM307" t="str">
        <f ca="1">IFERROR(__xludf.DUMMYFUNCTION("""COMPUTED_VALUE"""),"#VALUE!")</f>
        <v>#VALUE!</v>
      </c>
      <c r="AO307" t="str">
        <f ca="1">IFERROR(__xludf.DUMMYFUNCTION("""COMPUTED_VALUE"""),"#VALUE!")</f>
        <v>#VALUE!</v>
      </c>
      <c r="AQ307" t="str">
        <f ca="1">IFERROR(__xludf.DUMMYFUNCTION("""COMPUTED_VALUE"""),"#VALUE!")</f>
        <v>#VALUE!</v>
      </c>
      <c r="AS307" t="str">
        <f ca="1">IFERROR(__xludf.DUMMYFUNCTION("""COMPUTED_VALUE"""),"#VALUE!")</f>
        <v>#VALUE!</v>
      </c>
      <c r="AU307" t="str">
        <f ca="1">IFERROR(__xludf.DUMMYFUNCTION("""COMPUTED_VALUE"""),"#VALUE!")</f>
        <v>#VALUE!</v>
      </c>
      <c r="AW307" t="str">
        <f ca="1">IFERROR(__xludf.DUMMYFUNCTION("""COMPUTED_VALUE"""),"#VALUE!")</f>
        <v>#VALUE!</v>
      </c>
      <c r="AY307" t="str">
        <f ca="1">IFERROR(__xludf.DUMMYFUNCTION("""COMPUTED_VALUE"""),"#VALUE!")</f>
        <v>#VALUE!</v>
      </c>
      <c r="BA307" t="str">
        <f ca="1">IFERROR(__xludf.DUMMYFUNCTION("""COMPUTED_VALUE"""),"#VALUE!")</f>
        <v>#VALUE!</v>
      </c>
      <c r="BC307" t="str">
        <f ca="1">IFERROR(__xludf.DUMMYFUNCTION("""COMPUTED_VALUE"""),"#VALUE!")</f>
        <v>#VALUE!</v>
      </c>
      <c r="BE307" t="str">
        <f ca="1">IFERROR(__xludf.DUMMYFUNCTION("""COMPUTED_VALUE"""),"#VALUE!")</f>
        <v>#VALUE!</v>
      </c>
      <c r="BG307" t="str">
        <f ca="1">IFERROR(__xludf.DUMMYFUNCTION("""COMPUTED_VALUE"""),"#VALUE!")</f>
        <v>#VALUE!</v>
      </c>
      <c r="BI307" t="str">
        <f ca="1">IFERROR(__xludf.DUMMYFUNCTION("""COMPUTED_VALUE"""),"#VALUE!")</f>
        <v>#VALUE!</v>
      </c>
      <c r="BK307" t="str">
        <f ca="1">IFERROR(__xludf.DUMMYFUNCTION("""COMPUTED_VALUE"""),"#VALUE!")</f>
        <v>#VALUE!</v>
      </c>
      <c r="BM307" t="str">
        <f ca="1">IFERROR(__xludf.DUMMYFUNCTION("""COMPUTED_VALUE"""),"#VALUE!")</f>
        <v>#VALUE!</v>
      </c>
      <c r="BO307" t="str">
        <f ca="1">IFERROR(__xludf.DUMMYFUNCTION("""COMPUTED_VALUE"""),"#VALUE!")</f>
        <v>#VALUE!</v>
      </c>
      <c r="BQ307" t="str">
        <f ca="1">IFERROR(__xludf.DUMMYFUNCTION("""COMPUTED_VALUE"""),"#VALUE!")</f>
        <v>#VALUE!</v>
      </c>
      <c r="BS307" t="str">
        <f ca="1">IFERROR(__xludf.DUMMYFUNCTION("""COMPUTED_VALUE"""),"#VALUE!")</f>
        <v>#VALUE!</v>
      </c>
      <c r="BU307" t="str">
        <f ca="1">IFERROR(__xludf.DUMMYFUNCTION("""COMPUTED_VALUE"""),"#VALUE!")</f>
        <v>#VALUE!</v>
      </c>
      <c r="BW307" t="str">
        <f ca="1">IFERROR(__xludf.DUMMYFUNCTION("""COMPUTED_VALUE"""),"#VALUE!")</f>
        <v>#VALUE!</v>
      </c>
      <c r="BY307" t="str">
        <f ca="1">IFERROR(__xludf.DUMMYFUNCTION("""COMPUTED_VALUE"""),"#VALUE!")</f>
        <v>#VALUE!</v>
      </c>
      <c r="CA307" t="str">
        <f ca="1">IFERROR(__xludf.DUMMYFUNCTION("""COMPUTED_VALUE"""),"#VALUE!")</f>
        <v>#VALUE!</v>
      </c>
      <c r="CC307" t="str">
        <f ca="1">IFERROR(__xludf.DUMMYFUNCTION("""COMPUTED_VALUE"""),"#VALUE!")</f>
        <v>#VALUE!</v>
      </c>
      <c r="CE307" t="str">
        <f ca="1">IFERROR(__xludf.DUMMYFUNCTION("""COMPUTED_VALUE"""),"#VALUE!")</f>
        <v>#VALUE!</v>
      </c>
      <c r="CG307" t="str">
        <f ca="1">IFERROR(__xludf.DUMMYFUNCTION("""COMPUTED_VALUE"""),"#VALUE!")</f>
        <v>#VALUE!</v>
      </c>
      <c r="CI307" t="str">
        <f ca="1">IFERROR(__xludf.DUMMYFUNCTION("""COMPUTED_VALUE"""),"#VALUE!")</f>
        <v>#VALUE!</v>
      </c>
      <c r="CK307" t="str">
        <f ca="1">IFERROR(__xludf.DUMMYFUNCTION("""COMPUTED_VALUE"""),"#VALUE!")</f>
        <v>#VALUE!</v>
      </c>
      <c r="CS307" t="str">
        <f ca="1">IFERROR(__xludf.DUMMYFUNCTION("""COMPUTED_VALUE"""),"#VALUE!")</f>
        <v>#VALUE!</v>
      </c>
      <c r="CU307" t="str">
        <f ca="1">IFERROR(__xludf.DUMMYFUNCTION("""COMPUTED_VALUE"""),"#VALUE!")</f>
        <v>#VALUE!</v>
      </c>
      <c r="CW307" t="str">
        <f ca="1">IFERROR(__xludf.DUMMYFUNCTION("""COMPUTED_VALUE"""),"#VALUE!")</f>
        <v>#VALUE!</v>
      </c>
      <c r="CY307" t="str">
        <f ca="1">IFERROR(__xludf.DUMMYFUNCTION("""COMPUTED_VALUE"""),"#VALUE!")</f>
        <v>#VALUE!</v>
      </c>
      <c r="DC307" t="str">
        <f ca="1">IFERROR(__xludf.DUMMYFUNCTION("""COMPUTED_VALUE"""),"#VALUE!")</f>
        <v>#VALUE!</v>
      </c>
      <c r="DE307" t="str">
        <f ca="1">IFERROR(__xludf.DUMMYFUNCTION("""COMPUTED_VALUE"""),"#VALUE!")</f>
        <v>#VALUE!</v>
      </c>
      <c r="DI307" t="str">
        <f ca="1">IFERROR(__xludf.DUMMYFUNCTION("""COMPUTED_VALUE"""),"#VALUE!")</f>
        <v>#VALUE!</v>
      </c>
      <c r="DJ307" t="str">
        <f ca="1">IFERROR(__xludf.DUMMYFUNCTION("""COMPUTED_VALUE"""),"#VALUE!")</f>
        <v>#VALUE!</v>
      </c>
      <c r="DL307" t="str">
        <f ca="1">IFERROR(__xludf.DUMMYFUNCTION("""COMPUTED_VALUE"""),"Davor Salihović")</f>
        <v>Davor Salihović</v>
      </c>
    </row>
    <row r="308" spans="1:116" ht="13.2" x14ac:dyDescent="0.25">
      <c r="A308" t="str">
        <f ca="1">IFERROR(__xludf.DUMMYFUNCTION("""COMPUTED_VALUE"""),"P0314")</f>
        <v>P0314</v>
      </c>
      <c r="B308" t="str">
        <f ca="1">IFERROR(__xludf.DUMMYFUNCTION("""COMPUTED_VALUE"""),"Robertus de Aprili de Barono")</f>
        <v>Robertus de Aprili de Barono</v>
      </c>
      <c r="D308" t="str">
        <f ca="1">IFERROR(__xludf.DUMMYFUNCTION("""COMPUTED_VALUE"""),"#VALUE!")</f>
        <v>#VALUE!</v>
      </c>
      <c r="E308" t="str">
        <f ca="1">IFERROR(__xludf.DUMMYFUNCTION("""COMPUTED_VALUE"""),"Robertus")</f>
        <v>Robertus</v>
      </c>
      <c r="G308" t="str">
        <f ca="1">IFERROR(__xludf.DUMMYFUNCTION("""COMPUTED_VALUE"""),"de")</f>
        <v>de</v>
      </c>
      <c r="H308" t="str">
        <f ca="1">IFERROR(__xludf.DUMMYFUNCTION("""COMPUTED_VALUE"""),"Aprili")</f>
        <v>Aprili</v>
      </c>
      <c r="I308" t="str">
        <f ca="1">IFERROR(__xludf.DUMMYFUNCTION("""COMPUTED_VALUE"""),"de Aprili")</f>
        <v>de Aprili</v>
      </c>
      <c r="J308" t="str">
        <f ca="1">IFERROR(__xludf.DUMMYFUNCTION("""COMPUTED_VALUE"""),"de")</f>
        <v>de</v>
      </c>
      <c r="K308" t="str">
        <f ca="1">IFERROR(__xludf.DUMMYFUNCTION("""COMPUTED_VALUE"""),"Barono")</f>
        <v>Barono</v>
      </c>
      <c r="L308" t="str">
        <f ca="1">IFERROR(__xludf.DUMMYFUNCTION("""COMPUTED_VALUE"""),"de Barono")</f>
        <v>de Barono</v>
      </c>
      <c r="P308" t="str">
        <f ca="1">IFERROR(__xludf.DUMMYFUNCTION("""COMPUTED_VALUE"""),"de Salvagio")</f>
        <v>de Salvagio</v>
      </c>
      <c r="S308" t="str">
        <f ca="1">IFERROR(__xludf.DUMMYFUNCTION("""COMPUTED_VALUE"""),"Latin")</f>
        <v>Latin</v>
      </c>
      <c r="T308" t="str">
        <f ca="1">IFERROR(__xludf.DUMMYFUNCTION("""COMPUTED_VALUE"""),"definite")</f>
        <v>definite</v>
      </c>
      <c r="U308" t="str">
        <f ca="1">IFERROR(__xludf.DUMMYFUNCTION("""COMPUTED_VALUE"""),"C2553")</f>
        <v>C2553</v>
      </c>
      <c r="V308" t="str">
        <f ca="1">IFERROR(__xludf.DUMMYFUNCTION("""COMPUTED_VALUE"""),"male")</f>
        <v>male</v>
      </c>
      <c r="Z308" t="str">
        <f ca="1">IFERROR(__xludf.DUMMYFUNCTION("""COMPUTED_VALUE"""),"195, 198")</f>
        <v>195, 198</v>
      </c>
      <c r="AA308" t="str">
        <f ca="1">IFERROR(__xludf.DUMMYFUNCTION("""COMPUTED_VALUE"""),"d")</f>
        <v>d</v>
      </c>
      <c r="AB308" t="str">
        <f ca="1">IFERROR(__xludf.DUMMYFUNCTION("""COMPUTED_VALUE"""),"suspect")</f>
        <v>suspect</v>
      </c>
      <c r="AD308" t="str">
        <f ca="1">IFERROR(__xludf.DUMMYFUNCTION("""COMPUTED_VALUE"""),"C3287")</f>
        <v>C3287</v>
      </c>
      <c r="AE308" t="str">
        <f ca="1">IFERROR(__xludf.DUMMYFUNCTION("""COMPUTED_VALUE"""),"alive")</f>
        <v>alive</v>
      </c>
      <c r="AF308" t="str">
        <f ca="1">IFERROR(__xludf.DUMMYFUNCTION("""COMPUTED_VALUE"""),"C1753")</f>
        <v>C1753</v>
      </c>
      <c r="AG308" t="str">
        <f ca="1">IFERROR(__xludf.DUMMYFUNCTION("""COMPUTED_VALUE"""),"1335-01-20")</f>
        <v>1335-01-20</v>
      </c>
      <c r="AI308" t="str">
        <f ca="1">IFERROR(__xludf.DUMMYFUNCTION("""COMPUTED_VALUE"""),"#VALUE!")</f>
        <v>#VALUE!</v>
      </c>
      <c r="AK308" t="str">
        <f ca="1">IFERROR(__xludf.DUMMYFUNCTION("""COMPUTED_VALUE"""),"#VALUE!")</f>
        <v>#VALUE!</v>
      </c>
      <c r="AM308" t="str">
        <f ca="1">IFERROR(__xludf.DUMMYFUNCTION("""COMPUTED_VALUE"""),"#VALUE!")</f>
        <v>#VALUE!</v>
      </c>
      <c r="AO308" t="str">
        <f ca="1">IFERROR(__xludf.DUMMYFUNCTION("""COMPUTED_VALUE"""),"#VALUE!")</f>
        <v>#VALUE!</v>
      </c>
      <c r="AQ308" t="str">
        <f ca="1">IFERROR(__xludf.DUMMYFUNCTION("""COMPUTED_VALUE"""),"#VALUE!")</f>
        <v>#VALUE!</v>
      </c>
      <c r="AS308" t="str">
        <f ca="1">IFERROR(__xludf.DUMMYFUNCTION("""COMPUTED_VALUE"""),"#VALUE!")</f>
        <v>#VALUE!</v>
      </c>
      <c r="AU308" t="str">
        <f ca="1">IFERROR(__xludf.DUMMYFUNCTION("""COMPUTED_VALUE"""),"#VALUE!")</f>
        <v>#VALUE!</v>
      </c>
      <c r="AW308" t="str">
        <f ca="1">IFERROR(__xludf.DUMMYFUNCTION("""COMPUTED_VALUE"""),"#VALUE!")</f>
        <v>#VALUE!</v>
      </c>
      <c r="AY308" t="str">
        <f ca="1">IFERROR(__xludf.DUMMYFUNCTION("""COMPUTED_VALUE"""),"#VALUE!")</f>
        <v>#VALUE!</v>
      </c>
      <c r="BA308" t="str">
        <f ca="1">IFERROR(__xludf.DUMMYFUNCTION("""COMPUTED_VALUE"""),"#VALUE!")</f>
        <v>#VALUE!</v>
      </c>
      <c r="BC308" t="str">
        <f ca="1">IFERROR(__xludf.DUMMYFUNCTION("""COMPUTED_VALUE"""),"#VALUE!")</f>
        <v>#VALUE!</v>
      </c>
      <c r="BE308" t="str">
        <f ca="1">IFERROR(__xludf.DUMMYFUNCTION("""COMPUTED_VALUE"""),"#VALUE!")</f>
        <v>#VALUE!</v>
      </c>
      <c r="BG308" t="str">
        <f ca="1">IFERROR(__xludf.DUMMYFUNCTION("""COMPUTED_VALUE"""),"#VALUE!")</f>
        <v>#VALUE!</v>
      </c>
      <c r="BI308" t="str">
        <f ca="1">IFERROR(__xludf.DUMMYFUNCTION("""COMPUTED_VALUE"""),"#VALUE!")</f>
        <v>#VALUE!</v>
      </c>
      <c r="BK308" t="str">
        <f ca="1">IFERROR(__xludf.DUMMYFUNCTION("""COMPUTED_VALUE"""),"#VALUE!")</f>
        <v>#VALUE!</v>
      </c>
      <c r="BM308" t="str">
        <f ca="1">IFERROR(__xludf.DUMMYFUNCTION("""COMPUTED_VALUE"""),"#VALUE!")</f>
        <v>#VALUE!</v>
      </c>
      <c r="BO308" t="str">
        <f ca="1">IFERROR(__xludf.DUMMYFUNCTION("""COMPUTED_VALUE"""),"#VALUE!")</f>
        <v>#VALUE!</v>
      </c>
      <c r="BQ308" t="str">
        <f ca="1">IFERROR(__xludf.DUMMYFUNCTION("""COMPUTED_VALUE"""),"#VALUE!")</f>
        <v>#VALUE!</v>
      </c>
      <c r="BS308" t="str">
        <f ca="1">IFERROR(__xludf.DUMMYFUNCTION("""COMPUTED_VALUE"""),"#VALUE!")</f>
        <v>#VALUE!</v>
      </c>
      <c r="BU308" t="str">
        <f ca="1">IFERROR(__xludf.DUMMYFUNCTION("""COMPUTED_VALUE"""),"#VALUE!")</f>
        <v>#VALUE!</v>
      </c>
      <c r="BW308" t="str">
        <f ca="1">IFERROR(__xludf.DUMMYFUNCTION("""COMPUTED_VALUE"""),"#VALUE!")</f>
        <v>#VALUE!</v>
      </c>
      <c r="BY308" t="str">
        <f ca="1">IFERROR(__xludf.DUMMYFUNCTION("""COMPUTED_VALUE"""),"#VALUE!")</f>
        <v>#VALUE!</v>
      </c>
      <c r="CA308" t="str">
        <f ca="1">IFERROR(__xludf.DUMMYFUNCTION("""COMPUTED_VALUE"""),"#VALUE!")</f>
        <v>#VALUE!</v>
      </c>
      <c r="CC308" t="str">
        <f ca="1">IFERROR(__xludf.DUMMYFUNCTION("""COMPUTED_VALUE"""),"#VALUE!")</f>
        <v>#VALUE!</v>
      </c>
      <c r="CD308" t="str">
        <f ca="1">IFERROR(__xludf.DUMMYFUNCTION("""COMPUTED_VALUE"""),"C3598")</f>
        <v>C3598</v>
      </c>
      <c r="CE308" t="str">
        <f ca="1">IFERROR(__xludf.DUMMYFUNCTION("""COMPUTED_VALUE"""),"location of congregation")</f>
        <v>location of congregation</v>
      </c>
      <c r="CF308" t="str">
        <f ca="1">IFERROR(__xludf.DUMMYFUNCTION("""COMPUTED_VALUE"""),"L0094")</f>
        <v>L0094</v>
      </c>
      <c r="CG308" t="str">
        <f ca="1">IFERROR(__xludf.DUMMYFUNCTION("""COMPUTED_VALUE"""),"domus Roberti de Aprili de Selvaggio")</f>
        <v>domus Roberti de Aprili de Selvaggio</v>
      </c>
      <c r="CI308" t="str">
        <f ca="1">IFERROR(__xludf.DUMMYFUNCTION("""COMPUTED_VALUE"""),"#VALUE!")</f>
        <v>#VALUE!</v>
      </c>
      <c r="CK308" t="str">
        <f ca="1">IFERROR(__xludf.DUMMYFUNCTION("""COMPUTED_VALUE"""),"#VALUE!")</f>
        <v>#VALUE!</v>
      </c>
      <c r="CN308" t="str">
        <f ca="1">IFERROR(__xludf.DUMMYFUNCTION("""COMPUTED_VALUE"""),"de")</f>
        <v>de</v>
      </c>
      <c r="CO308" t="str">
        <f ca="1">IFERROR(__xludf.DUMMYFUNCTION("""COMPUTED_VALUE"""),"Salvagio")</f>
        <v>Salvagio</v>
      </c>
      <c r="CR308" t="str">
        <f ca="1">IFERROR(__xludf.DUMMYFUNCTION("""COMPUTED_VALUE"""),"L0063")</f>
        <v>L0063</v>
      </c>
      <c r="CS308" t="str">
        <f ca="1">IFERROR(__xludf.DUMMYFUNCTION("""COMPUTED_VALUE"""),"Selvaggio")</f>
        <v>Selvaggio</v>
      </c>
      <c r="CU308" t="str">
        <f ca="1">IFERROR(__xludf.DUMMYFUNCTION("""COMPUTED_VALUE"""),"#VALUE!")</f>
        <v>#VALUE!</v>
      </c>
      <c r="CW308" t="str">
        <f ca="1">IFERROR(__xludf.DUMMYFUNCTION("""COMPUTED_VALUE"""),"#VALUE!")</f>
        <v>#VALUE!</v>
      </c>
      <c r="CY308" t="str">
        <f ca="1">IFERROR(__xludf.DUMMYFUNCTION("""COMPUTED_VALUE"""),"#VALUE!")</f>
        <v>#VALUE!</v>
      </c>
      <c r="DC308" t="str">
        <f ca="1">IFERROR(__xludf.DUMMYFUNCTION("""COMPUTED_VALUE"""),"#VALUE!")</f>
        <v>#VALUE!</v>
      </c>
      <c r="DE308" t="str">
        <f ca="1">IFERROR(__xludf.DUMMYFUNCTION("""COMPUTED_VALUE"""),"#VALUE!")</f>
        <v>#VALUE!</v>
      </c>
      <c r="DF308" t="str">
        <f ca="1">IFERROR(__xludf.DUMMYFUNCTION("""COMPUTED_VALUE"""),"y")</f>
        <v>y</v>
      </c>
      <c r="DG308" t="str">
        <f ca="1">IFERROR(__xludf.DUMMYFUNCTION("""COMPUTED_VALUE"""),"195")</f>
        <v>195</v>
      </c>
      <c r="DH308" t="str">
        <f ca="1">IFERROR(__xludf.DUMMYFUNCTION("""COMPUTED_VALUE"""),"L0094")</f>
        <v>L0094</v>
      </c>
      <c r="DI308" t="str">
        <f ca="1">IFERROR(__xludf.DUMMYFUNCTION("""COMPUTED_VALUE"""),"domus Roberti de Aprili de Selvaggio")</f>
        <v>domus Roberti de Aprili de Selvaggio</v>
      </c>
      <c r="DJ308" t="str">
        <f ca="1">IFERROR(__xludf.DUMMYFUNCTION("""COMPUTED_VALUE"""),"domus")</f>
        <v>domus</v>
      </c>
      <c r="DL308" t="str">
        <f ca="1">IFERROR(__xludf.DUMMYFUNCTION("""COMPUTED_VALUE"""),"Davor Salihović")</f>
        <v>Davor Salihović</v>
      </c>
    </row>
    <row r="309" spans="1:116" ht="13.2" x14ac:dyDescent="0.25">
      <c r="A309" t="str">
        <f ca="1">IFERROR(__xludf.DUMMYFUNCTION("""COMPUTED_VALUE"""),"P0315")</f>
        <v>P0315</v>
      </c>
      <c r="B309" t="str">
        <f ca="1">IFERROR(__xludf.DUMMYFUNCTION("""COMPUTED_VALUE"""),"Martinus")</f>
        <v>Martinus</v>
      </c>
      <c r="C309" t="str">
        <f ca="1">IFERROR(__xludf.DUMMYFUNCTION("""COMPUTED_VALUE"""),"C3519")</f>
        <v>C3519</v>
      </c>
      <c r="D309" t="str">
        <f ca="1">IFERROR(__xludf.DUMMYFUNCTION("""COMPUTED_VALUE"""),"seygnor")</f>
        <v>seygnor</v>
      </c>
      <c r="E309" t="str">
        <f ca="1">IFERROR(__xludf.DUMMYFUNCTION("""COMPUTED_VALUE"""),"Martinus")</f>
        <v>Martinus</v>
      </c>
      <c r="S309" t="str">
        <f ca="1">IFERROR(__xludf.DUMMYFUNCTION("""COMPUTED_VALUE"""),"Latin")</f>
        <v>Latin</v>
      </c>
      <c r="T309" t="str">
        <f ca="1">IFERROR(__xludf.DUMMYFUNCTION("""COMPUTED_VALUE"""),"indefinite")</f>
        <v>indefinite</v>
      </c>
      <c r="U309" t="str">
        <f ca="1">IFERROR(__xludf.DUMMYFUNCTION("""COMPUTED_VALUE"""),"C2553")</f>
        <v>C2553</v>
      </c>
      <c r="V309" t="str">
        <f ca="1">IFERROR(__xludf.DUMMYFUNCTION("""COMPUTED_VALUE"""),"male")</f>
        <v>male</v>
      </c>
      <c r="Z309" t="str">
        <f ca="1">IFERROR(__xludf.DUMMYFUNCTION("""COMPUTED_VALUE"""),"195, 212, 213, 218, 226, 229, 230, 232, 233, 235, 249")</f>
        <v>195, 212, 213, 218, 226, 229, 230, 232, 233, 235, 249</v>
      </c>
      <c r="AA309" t="str">
        <f ca="1">IFERROR(__xludf.DUMMYFUNCTION("""COMPUTED_VALUE"""),"d")</f>
        <v>d</v>
      </c>
      <c r="AB309" t="str">
        <f ca="1">IFERROR(__xludf.DUMMYFUNCTION("""COMPUTED_VALUE"""),"NA")</f>
        <v>NA</v>
      </c>
      <c r="AE309" t="str">
        <f ca="1">IFERROR(__xludf.DUMMYFUNCTION("""COMPUTED_VALUE"""),"#VALUE!")</f>
        <v>#VALUE!</v>
      </c>
      <c r="AF309" t="str">
        <f ca="1">IFERROR(__xludf.DUMMYFUNCTION("""COMPUTED_VALUE"""),"#N/A")</f>
        <v>#N/A</v>
      </c>
      <c r="AG309" t="str">
        <f ca="1">IFERROR(__xludf.DUMMYFUNCTION("""COMPUTED_VALUE"""),"#N/A")</f>
        <v>#N/A</v>
      </c>
      <c r="AI309" t="str">
        <f ca="1">IFERROR(__xludf.DUMMYFUNCTION("""COMPUTED_VALUE"""),"#VALUE!")</f>
        <v>#VALUE!</v>
      </c>
      <c r="AK309" t="str">
        <f ca="1">IFERROR(__xludf.DUMMYFUNCTION("""COMPUTED_VALUE"""),"#VALUE!")</f>
        <v>#VALUE!</v>
      </c>
      <c r="AM309" t="str">
        <f ca="1">IFERROR(__xludf.DUMMYFUNCTION("""COMPUTED_VALUE"""),"#VALUE!")</f>
        <v>#VALUE!</v>
      </c>
      <c r="AO309" t="str">
        <f ca="1">IFERROR(__xludf.DUMMYFUNCTION("""COMPUTED_VALUE"""),"#VALUE!")</f>
        <v>#VALUE!</v>
      </c>
      <c r="AQ309" t="str">
        <f ca="1">IFERROR(__xludf.DUMMYFUNCTION("""COMPUTED_VALUE"""),"#VALUE!")</f>
        <v>#VALUE!</v>
      </c>
      <c r="AS309" t="str">
        <f ca="1">IFERROR(__xludf.DUMMYFUNCTION("""COMPUTED_VALUE"""),"#VALUE!")</f>
        <v>#VALUE!</v>
      </c>
      <c r="AU309" t="str">
        <f ca="1">IFERROR(__xludf.DUMMYFUNCTION("""COMPUTED_VALUE"""),"#VALUE!")</f>
        <v>#VALUE!</v>
      </c>
      <c r="AW309" t="str">
        <f ca="1">IFERROR(__xludf.DUMMYFUNCTION("""COMPUTED_VALUE"""),"#VALUE!")</f>
        <v>#VALUE!</v>
      </c>
      <c r="AY309" t="str">
        <f ca="1">IFERROR(__xludf.DUMMYFUNCTION("""COMPUTED_VALUE"""),"#VALUE!")</f>
        <v>#VALUE!</v>
      </c>
      <c r="BA309" t="str">
        <f ca="1">IFERROR(__xludf.DUMMYFUNCTION("""COMPUTED_VALUE"""),"#VALUE!")</f>
        <v>#VALUE!</v>
      </c>
      <c r="BC309" t="str">
        <f ca="1">IFERROR(__xludf.DUMMYFUNCTION("""COMPUTED_VALUE"""),"#VALUE!")</f>
        <v>#VALUE!</v>
      </c>
      <c r="BE309" t="str">
        <f ca="1">IFERROR(__xludf.DUMMYFUNCTION("""COMPUTED_VALUE"""),"#VALUE!")</f>
        <v>#VALUE!</v>
      </c>
      <c r="BG309" t="str">
        <f ca="1">IFERROR(__xludf.DUMMYFUNCTION("""COMPUTED_VALUE"""),"#VALUE!")</f>
        <v>#VALUE!</v>
      </c>
      <c r="BI309" t="str">
        <f ca="1">IFERROR(__xludf.DUMMYFUNCTION("""COMPUTED_VALUE"""),"#VALUE!")</f>
        <v>#VALUE!</v>
      </c>
      <c r="BK309" t="str">
        <f ca="1">IFERROR(__xludf.DUMMYFUNCTION("""COMPUTED_VALUE"""),"#VALUE!")</f>
        <v>#VALUE!</v>
      </c>
      <c r="BM309" t="str">
        <f ca="1">IFERROR(__xludf.DUMMYFUNCTION("""COMPUTED_VALUE"""),"#VALUE!")</f>
        <v>#VALUE!</v>
      </c>
      <c r="BO309" t="str">
        <f ca="1">IFERROR(__xludf.DUMMYFUNCTION("""COMPUTED_VALUE"""),"#VALUE!")</f>
        <v>#VALUE!</v>
      </c>
      <c r="BQ309" t="str">
        <f ca="1">IFERROR(__xludf.DUMMYFUNCTION("""COMPUTED_VALUE"""),"#VALUE!")</f>
        <v>#VALUE!</v>
      </c>
      <c r="BS309" t="str">
        <f ca="1">IFERROR(__xludf.DUMMYFUNCTION("""COMPUTED_VALUE"""),"#VALUE!")</f>
        <v>#VALUE!</v>
      </c>
      <c r="BU309" t="str">
        <f ca="1">IFERROR(__xludf.DUMMYFUNCTION("""COMPUTED_VALUE"""),"#VALUE!")</f>
        <v>#VALUE!</v>
      </c>
      <c r="BW309" t="str">
        <f ca="1">IFERROR(__xludf.DUMMYFUNCTION("""COMPUTED_VALUE"""),"#VALUE!")</f>
        <v>#VALUE!</v>
      </c>
      <c r="BY309" t="str">
        <f ca="1">IFERROR(__xludf.DUMMYFUNCTION("""COMPUTED_VALUE"""),"#VALUE!")</f>
        <v>#VALUE!</v>
      </c>
      <c r="CA309" t="str">
        <f ca="1">IFERROR(__xludf.DUMMYFUNCTION("""COMPUTED_VALUE"""),"#VALUE!")</f>
        <v>#VALUE!</v>
      </c>
      <c r="CC309" t="str">
        <f ca="1">IFERROR(__xludf.DUMMYFUNCTION("""COMPUTED_VALUE"""),"#VALUE!")</f>
        <v>#VALUE!</v>
      </c>
      <c r="CD309" t="str">
        <f ca="1">IFERROR(__xludf.DUMMYFUNCTION("""COMPUTED_VALUE"""),"C3598")</f>
        <v>C3598</v>
      </c>
      <c r="CE309" t="str">
        <f ca="1">IFERROR(__xludf.DUMMYFUNCTION("""COMPUTED_VALUE"""),"location of congregation")</f>
        <v>location of congregation</v>
      </c>
      <c r="CF309" t="str">
        <f ca="1">IFERROR(__xludf.DUMMYFUNCTION("""COMPUTED_VALUE"""),"L0114#L0116#L0130#L0133#L0096#L0069#L0065#L0080#L0137")</f>
        <v>L0114#L0116#L0130#L0133#L0096#L0069#L0065#L0080#L0137</v>
      </c>
      <c r="CG309" t="str">
        <f ca="1">IFERROR(__xludf.DUMMYFUNCTION("""COMPUTED_VALUE"""),"domus Henrieti de Mondino #domus Iohannis Borrelli de Iacobina #domus Iacobete de Mondino #domus Sandrie Torenchi #domus Iohannis de Bonaudo #domus Iohannis Martini #domus Iohannis de Castagno de Giaveno #domus Petrii Burgi #domus Petri de Facio")</f>
        <v>domus Henrieti de Mondino #domus Iohannis Borrelli de Iacobina #domus Iacobete de Mondino #domus Sandrie Torenchi #domus Iohannis de Bonaudo #domus Iohannis Martini #domus Iohannis de Castagno de Giaveno #domus Petrii Burgi #domus Petri de Facio</v>
      </c>
      <c r="CI309" t="str">
        <f ca="1">IFERROR(__xludf.DUMMYFUNCTION("""COMPUTED_VALUE"""),"#VALUE!")</f>
        <v>#VALUE!</v>
      </c>
      <c r="CK309" t="str">
        <f ca="1">IFERROR(__xludf.DUMMYFUNCTION("""COMPUTED_VALUE"""),"#VALUE!")</f>
        <v>#VALUE!</v>
      </c>
      <c r="CS309" t="str">
        <f ca="1">IFERROR(__xludf.DUMMYFUNCTION("""COMPUTED_VALUE"""),"#VALUE!")</f>
        <v>#VALUE!</v>
      </c>
      <c r="CU309" t="str">
        <f ca="1">IFERROR(__xludf.DUMMYFUNCTION("""COMPUTED_VALUE"""),"#VALUE!")</f>
        <v>#VALUE!</v>
      </c>
      <c r="CW309" t="str">
        <f ca="1">IFERROR(__xludf.DUMMYFUNCTION("""COMPUTED_VALUE"""),"#VALUE!")</f>
        <v>#VALUE!</v>
      </c>
      <c r="CX309" t="str">
        <f ca="1">IFERROR(__xludf.DUMMYFUNCTION("""COMPUTED_VALUE"""),"C3197")</f>
        <v>C3197</v>
      </c>
      <c r="CY309" t="str">
        <f ca="1">IFERROR(__xludf.DUMMYFUNCTION("""COMPUTED_VALUE"""),"Valdensis")</f>
        <v>Valdensis</v>
      </c>
      <c r="DA309" t="str">
        <f ca="1">IFERROR(__xludf.DUMMYFUNCTION("""COMPUTED_VALUE"""),"dissident minister")</f>
        <v>dissident minister</v>
      </c>
      <c r="DC309" t="str">
        <f ca="1">IFERROR(__xludf.DUMMYFUNCTION("""COMPUTED_VALUE"""),"#VALUE!")</f>
        <v>#VALUE!</v>
      </c>
      <c r="DD309" t="str">
        <f ca="1">IFERROR(__xludf.DUMMYFUNCTION("""COMPUTED_VALUE"""),"C3197")</f>
        <v>C3197</v>
      </c>
      <c r="DE309" t="str">
        <f ca="1">IFERROR(__xludf.DUMMYFUNCTION("""COMPUTED_VALUE"""),"Valdensis")</f>
        <v>Valdensis</v>
      </c>
      <c r="DH309" t="str">
        <f ca="1">IFERROR(__xludf.DUMMYFUNCTION("""COMPUTED_VALUE"""),"L0114#L0116#L0130#L0133#L0096#L0069#L0065#L0080#L0137")</f>
        <v>L0114#L0116#L0130#L0133#L0096#L0069#L0065#L0080#L0137</v>
      </c>
      <c r="DI309" t="str">
        <f ca="1">IFERROR(__xludf.DUMMYFUNCTION("""COMPUTED_VALUE"""),"domus Henrieti de Mondino #domus Iohannis Borrelli de Iacobina #domus Iacobete de Mondino #domus Sandrie Torenchi #domus Iohannis de Bonaudo #domus Iohannis Martini #domus Iohannis de Castagno de Giaveno #domus Petrii Burgi #domus Petri de Facio")</f>
        <v>domus Henrieti de Mondino #domus Iohannis Borrelli de Iacobina #domus Iacobete de Mondino #domus Sandrie Torenchi #domus Iohannis de Bonaudo #domus Iohannis Martini #domus Iohannis de Castagno de Giaveno #domus Petrii Burgi #domus Petri de Facio</v>
      </c>
      <c r="DJ309" t="str">
        <f ca="1">IFERROR(__xludf.DUMMYFUNCTION("""COMPUTED_VALUE"""),"domus #domus #domus #domus #domus #domus #domus #domus #domus")</f>
        <v>domus #domus #domus #domus #domus #domus #domus #domus #domus</v>
      </c>
      <c r="DK309" t="str">
        <f ca="1">IFERROR(__xludf.DUMMYFUNCTION("""COMPUTED_VALUE"""),"Probably one of the two Martins the Valdensians.")</f>
        <v>Probably one of the two Martins the Valdensians.</v>
      </c>
      <c r="DL309" t="str">
        <f ca="1">IFERROR(__xludf.DUMMYFUNCTION("""COMPUTED_VALUE"""),"Davor Salihović")</f>
        <v>Davor Salihović</v>
      </c>
    </row>
    <row r="310" spans="1:116" ht="13.2" x14ac:dyDescent="0.25">
      <c r="A310" t="str">
        <f ca="1">IFERROR(__xludf.DUMMYFUNCTION("""COMPUTED_VALUE"""),"P0316")</f>
        <v>P0316</v>
      </c>
      <c r="B310" t="str">
        <f ca="1">IFERROR(__xludf.DUMMYFUNCTION("""COMPUTED_VALUE"""),"socius Francisci")</f>
        <v>socius Francisci</v>
      </c>
      <c r="D310" t="str">
        <f ca="1">IFERROR(__xludf.DUMMYFUNCTION("""COMPUTED_VALUE"""),"#VALUE!")</f>
        <v>#VALUE!</v>
      </c>
      <c r="E310" t="str">
        <f ca="1">IFERROR(__xludf.DUMMYFUNCTION("""COMPUTED_VALUE"""),"socius Francisci")</f>
        <v>socius Francisci</v>
      </c>
      <c r="Q310" t="str">
        <f ca="1">IFERROR(__xludf.DUMMYFUNCTION("""COMPUTED_VALUE"""),"socius Francisci")</f>
        <v>socius Francisci</v>
      </c>
      <c r="S310" t="str">
        <f ca="1">IFERROR(__xludf.DUMMYFUNCTION("""COMPUTED_VALUE"""),"Latin")</f>
        <v>Latin</v>
      </c>
      <c r="T310" t="str">
        <f ca="1">IFERROR(__xludf.DUMMYFUNCTION("""COMPUTED_VALUE"""),"indefinite")</f>
        <v>indefinite</v>
      </c>
      <c r="U310" t="str">
        <f ca="1">IFERROR(__xludf.DUMMYFUNCTION("""COMPUTED_VALUE"""),"C2553")</f>
        <v>C2553</v>
      </c>
      <c r="V310" t="str">
        <f ca="1">IFERROR(__xludf.DUMMYFUNCTION("""COMPUTED_VALUE"""),"male")</f>
        <v>male</v>
      </c>
      <c r="Z310" t="str">
        <f ca="1">IFERROR(__xludf.DUMMYFUNCTION("""COMPUTED_VALUE"""),"195")</f>
        <v>195</v>
      </c>
      <c r="AA310" t="str">
        <f ca="1">IFERROR(__xludf.DUMMYFUNCTION("""COMPUTED_VALUE"""),"d")</f>
        <v>d</v>
      </c>
      <c r="AB310" t="str">
        <f ca="1">IFERROR(__xludf.DUMMYFUNCTION("""COMPUTED_VALUE"""),"NA")</f>
        <v>NA</v>
      </c>
      <c r="AE310" t="str">
        <f ca="1">IFERROR(__xludf.DUMMYFUNCTION("""COMPUTED_VALUE"""),"#VALUE!")</f>
        <v>#VALUE!</v>
      </c>
      <c r="AF310" t="str">
        <f ca="1">IFERROR(__xludf.DUMMYFUNCTION("""COMPUTED_VALUE"""),"#N/A")</f>
        <v>#N/A</v>
      </c>
      <c r="AG310" t="str">
        <f ca="1">IFERROR(__xludf.DUMMYFUNCTION("""COMPUTED_VALUE"""),"#N/A")</f>
        <v>#N/A</v>
      </c>
      <c r="AI310" t="str">
        <f ca="1">IFERROR(__xludf.DUMMYFUNCTION("""COMPUTED_VALUE"""),"#VALUE!")</f>
        <v>#VALUE!</v>
      </c>
      <c r="AK310" t="str">
        <f ca="1">IFERROR(__xludf.DUMMYFUNCTION("""COMPUTED_VALUE"""),"#VALUE!")</f>
        <v>#VALUE!</v>
      </c>
      <c r="AM310" t="str">
        <f ca="1">IFERROR(__xludf.DUMMYFUNCTION("""COMPUTED_VALUE"""),"#VALUE!")</f>
        <v>#VALUE!</v>
      </c>
      <c r="AO310" t="str">
        <f ca="1">IFERROR(__xludf.DUMMYFUNCTION("""COMPUTED_VALUE"""),"#VALUE!")</f>
        <v>#VALUE!</v>
      </c>
      <c r="AQ310" t="str">
        <f ca="1">IFERROR(__xludf.DUMMYFUNCTION("""COMPUTED_VALUE"""),"#VALUE!")</f>
        <v>#VALUE!</v>
      </c>
      <c r="AS310" t="str">
        <f ca="1">IFERROR(__xludf.DUMMYFUNCTION("""COMPUTED_VALUE"""),"#VALUE!")</f>
        <v>#VALUE!</v>
      </c>
      <c r="AU310" t="str">
        <f ca="1">IFERROR(__xludf.DUMMYFUNCTION("""COMPUTED_VALUE"""),"#VALUE!")</f>
        <v>#VALUE!</v>
      </c>
      <c r="AW310" t="str">
        <f ca="1">IFERROR(__xludf.DUMMYFUNCTION("""COMPUTED_VALUE"""),"#VALUE!")</f>
        <v>#VALUE!</v>
      </c>
      <c r="AY310" t="str">
        <f ca="1">IFERROR(__xludf.DUMMYFUNCTION("""COMPUTED_VALUE"""),"#VALUE!")</f>
        <v>#VALUE!</v>
      </c>
      <c r="BA310" t="str">
        <f ca="1">IFERROR(__xludf.DUMMYFUNCTION("""COMPUTED_VALUE"""),"#VALUE!")</f>
        <v>#VALUE!</v>
      </c>
      <c r="BC310" t="str">
        <f ca="1">IFERROR(__xludf.DUMMYFUNCTION("""COMPUTED_VALUE"""),"#VALUE!")</f>
        <v>#VALUE!</v>
      </c>
      <c r="BE310" t="str">
        <f ca="1">IFERROR(__xludf.DUMMYFUNCTION("""COMPUTED_VALUE"""),"#VALUE!")</f>
        <v>#VALUE!</v>
      </c>
      <c r="BG310" t="str">
        <f ca="1">IFERROR(__xludf.DUMMYFUNCTION("""COMPUTED_VALUE"""),"#VALUE!")</f>
        <v>#VALUE!</v>
      </c>
      <c r="BI310" t="str">
        <f ca="1">IFERROR(__xludf.DUMMYFUNCTION("""COMPUTED_VALUE"""),"#VALUE!")</f>
        <v>#VALUE!</v>
      </c>
      <c r="BK310" t="str">
        <f ca="1">IFERROR(__xludf.DUMMYFUNCTION("""COMPUTED_VALUE"""),"#VALUE!")</f>
        <v>#VALUE!</v>
      </c>
      <c r="BM310" t="str">
        <f ca="1">IFERROR(__xludf.DUMMYFUNCTION("""COMPUTED_VALUE"""),"#VALUE!")</f>
        <v>#VALUE!</v>
      </c>
      <c r="BO310" t="str">
        <f ca="1">IFERROR(__xludf.DUMMYFUNCTION("""COMPUTED_VALUE"""),"#VALUE!")</f>
        <v>#VALUE!</v>
      </c>
      <c r="BQ310" t="str">
        <f ca="1">IFERROR(__xludf.DUMMYFUNCTION("""COMPUTED_VALUE"""),"#VALUE!")</f>
        <v>#VALUE!</v>
      </c>
      <c r="BS310" t="str">
        <f ca="1">IFERROR(__xludf.DUMMYFUNCTION("""COMPUTED_VALUE"""),"#VALUE!")</f>
        <v>#VALUE!</v>
      </c>
      <c r="BU310" t="str">
        <f ca="1">IFERROR(__xludf.DUMMYFUNCTION("""COMPUTED_VALUE"""),"#VALUE!")</f>
        <v>#VALUE!</v>
      </c>
      <c r="BW310" t="str">
        <f ca="1">IFERROR(__xludf.DUMMYFUNCTION("""COMPUTED_VALUE"""),"#VALUE!")</f>
        <v>#VALUE!</v>
      </c>
      <c r="BY310" t="str">
        <f ca="1">IFERROR(__xludf.DUMMYFUNCTION("""COMPUTED_VALUE"""),"#VALUE!")</f>
        <v>#VALUE!</v>
      </c>
      <c r="CA310" t="str">
        <f ca="1">IFERROR(__xludf.DUMMYFUNCTION("""COMPUTED_VALUE"""),"#VALUE!")</f>
        <v>#VALUE!</v>
      </c>
      <c r="CC310" t="str">
        <f ca="1">IFERROR(__xludf.DUMMYFUNCTION("""COMPUTED_VALUE"""),"#VALUE!")</f>
        <v>#VALUE!</v>
      </c>
      <c r="CE310" t="str">
        <f ca="1">IFERROR(__xludf.DUMMYFUNCTION("""COMPUTED_VALUE"""),"#VALUE!")</f>
        <v>#VALUE!</v>
      </c>
      <c r="CG310" t="str">
        <f ca="1">IFERROR(__xludf.DUMMYFUNCTION("""COMPUTED_VALUE"""),"#VALUE!")</f>
        <v>#VALUE!</v>
      </c>
      <c r="CI310" t="str">
        <f ca="1">IFERROR(__xludf.DUMMYFUNCTION("""COMPUTED_VALUE"""),"#VALUE!")</f>
        <v>#VALUE!</v>
      </c>
      <c r="CK310" t="str">
        <f ca="1">IFERROR(__xludf.DUMMYFUNCTION("""COMPUTED_VALUE"""),"#VALUE!")</f>
        <v>#VALUE!</v>
      </c>
      <c r="CS310" t="str">
        <f ca="1">IFERROR(__xludf.DUMMYFUNCTION("""COMPUTED_VALUE"""),"#VALUE!")</f>
        <v>#VALUE!</v>
      </c>
      <c r="CU310" t="str">
        <f ca="1">IFERROR(__xludf.DUMMYFUNCTION("""COMPUTED_VALUE"""),"#VALUE!")</f>
        <v>#VALUE!</v>
      </c>
      <c r="CW310" t="str">
        <f ca="1">IFERROR(__xludf.DUMMYFUNCTION("""COMPUTED_VALUE"""),"#VALUE!")</f>
        <v>#VALUE!</v>
      </c>
      <c r="CY310" t="str">
        <f ca="1">IFERROR(__xludf.DUMMYFUNCTION("""COMPUTED_VALUE"""),"#VALUE!")</f>
        <v>#VALUE!</v>
      </c>
      <c r="DC310" t="str">
        <f ca="1">IFERROR(__xludf.DUMMYFUNCTION("""COMPUTED_VALUE"""),"#VALUE!")</f>
        <v>#VALUE!</v>
      </c>
      <c r="DE310" t="str">
        <f ca="1">IFERROR(__xludf.DUMMYFUNCTION("""COMPUTED_VALUE"""),"#VALUE!")</f>
        <v>#VALUE!</v>
      </c>
      <c r="DI310" t="str">
        <f ca="1">IFERROR(__xludf.DUMMYFUNCTION("""COMPUTED_VALUE"""),"#VALUE!")</f>
        <v>#VALUE!</v>
      </c>
      <c r="DJ310" t="str">
        <f ca="1">IFERROR(__xludf.DUMMYFUNCTION("""COMPUTED_VALUE"""),"#VALUE!")</f>
        <v>#VALUE!</v>
      </c>
      <c r="DK310" t="str">
        <f ca="1">IFERROR(__xludf.DUMMYFUNCTION("""COMPUTED_VALUE"""),"One of the two associates of Francis the Valdensian, either Peyretus or Poncetus")</f>
        <v>One of the two associates of Francis the Valdensian, either Peyretus or Poncetus</v>
      </c>
      <c r="DL310" t="str">
        <f ca="1">IFERROR(__xludf.DUMMYFUNCTION("""COMPUTED_VALUE"""),"Davor Salihović")</f>
        <v>Davor Salihović</v>
      </c>
    </row>
    <row r="311" spans="1:116" ht="13.2" x14ac:dyDescent="0.25">
      <c r="A311" t="str">
        <f ca="1">IFERROR(__xludf.DUMMYFUNCTION("""COMPUTED_VALUE"""),"P0317")</f>
        <v>P0317</v>
      </c>
      <c r="B311" t="str">
        <f ca="1">IFERROR(__xludf.DUMMYFUNCTION("""COMPUTED_VALUE"""),"Villelmus Oyaca")</f>
        <v>Villelmus Oyaca</v>
      </c>
      <c r="D311" t="str">
        <f ca="1">IFERROR(__xludf.DUMMYFUNCTION("""COMPUTED_VALUE"""),"#VALUE!")</f>
        <v>#VALUE!</v>
      </c>
      <c r="E311" t="str">
        <f ca="1">IFERROR(__xludf.DUMMYFUNCTION("""COMPUTED_VALUE"""),"Villelmus")</f>
        <v>Villelmus</v>
      </c>
      <c r="F311" t="str">
        <f ca="1">IFERROR(__xludf.DUMMYFUNCTION("""COMPUTED_VALUE"""),"Villelminus")</f>
        <v>Villelminus</v>
      </c>
      <c r="K311" t="str">
        <f ca="1">IFERROR(__xludf.DUMMYFUNCTION("""COMPUTED_VALUE"""),"Oyaca")</f>
        <v>Oyaca</v>
      </c>
      <c r="L311" t="str">
        <f ca="1">IFERROR(__xludf.DUMMYFUNCTION("""COMPUTED_VALUE"""),"Oyaca")</f>
        <v>Oyaca</v>
      </c>
      <c r="S311" t="str">
        <f ca="1">IFERROR(__xludf.DUMMYFUNCTION("""COMPUTED_VALUE"""),"Latin")</f>
        <v>Latin</v>
      </c>
      <c r="T311" t="str">
        <f ca="1">IFERROR(__xludf.DUMMYFUNCTION("""COMPUTED_VALUE"""),"definite")</f>
        <v>definite</v>
      </c>
      <c r="U311" t="str">
        <f ca="1">IFERROR(__xludf.DUMMYFUNCTION("""COMPUTED_VALUE"""),"C2553")</f>
        <v>C2553</v>
      </c>
      <c r="V311" t="str">
        <f ca="1">IFERROR(__xludf.DUMMYFUNCTION("""COMPUTED_VALUE"""),"male")</f>
        <v>male</v>
      </c>
      <c r="Z311" t="str">
        <f ca="1">IFERROR(__xludf.DUMMYFUNCTION("""COMPUTED_VALUE"""),"196, 197, 200, 221, 222, 227, 228, 237, 240, 253")</f>
        <v>196, 197, 200, 221, 222, 227, 228, 237, 240, 253</v>
      </c>
      <c r="AA311" t="str">
        <f ca="1">IFERROR(__xludf.DUMMYFUNCTION("""COMPUTED_VALUE"""),"d")</f>
        <v>d</v>
      </c>
      <c r="AB311" t="str">
        <f ca="1">IFERROR(__xludf.DUMMYFUNCTION("""COMPUTED_VALUE"""),"suspect")</f>
        <v>suspect</v>
      </c>
      <c r="AD311" t="str">
        <f ca="1">IFERROR(__xludf.DUMMYFUNCTION("""COMPUTED_VALUE"""),"C3287")</f>
        <v>C3287</v>
      </c>
      <c r="AE311" t="str">
        <f ca="1">IFERROR(__xludf.DUMMYFUNCTION("""COMPUTED_VALUE"""),"alive")</f>
        <v>alive</v>
      </c>
      <c r="AF311" t="str">
        <f ca="1">IFERROR(__xludf.DUMMYFUNCTION("""COMPUTED_VALUE"""),"C1753")</f>
        <v>C1753</v>
      </c>
      <c r="AG311" t="str">
        <f ca="1">IFERROR(__xludf.DUMMYFUNCTION("""COMPUTED_VALUE"""),"1335-01-20")</f>
        <v>1335-01-20</v>
      </c>
      <c r="AI311" t="str">
        <f ca="1">IFERROR(__xludf.DUMMYFUNCTION("""COMPUTED_VALUE"""),"#VALUE!")</f>
        <v>#VALUE!</v>
      </c>
      <c r="AK311" t="str">
        <f ca="1">IFERROR(__xludf.DUMMYFUNCTION("""COMPUTED_VALUE"""),"#VALUE!")</f>
        <v>#VALUE!</v>
      </c>
      <c r="AM311" t="str">
        <f ca="1">IFERROR(__xludf.DUMMYFUNCTION("""COMPUTED_VALUE"""),"#VALUE!")</f>
        <v>#VALUE!</v>
      </c>
      <c r="AO311" t="str">
        <f ca="1">IFERROR(__xludf.DUMMYFUNCTION("""COMPUTED_VALUE"""),"#VALUE!")</f>
        <v>#VALUE!</v>
      </c>
      <c r="AQ311" t="str">
        <f ca="1">IFERROR(__xludf.DUMMYFUNCTION("""COMPUTED_VALUE"""),"#VALUE!")</f>
        <v>#VALUE!</v>
      </c>
      <c r="AS311" t="str">
        <f ca="1">IFERROR(__xludf.DUMMYFUNCTION("""COMPUTED_VALUE"""),"#VALUE!")</f>
        <v>#VALUE!</v>
      </c>
      <c r="AU311" t="str">
        <f ca="1">IFERROR(__xludf.DUMMYFUNCTION("""COMPUTED_VALUE"""),"#VALUE!")</f>
        <v>#VALUE!</v>
      </c>
      <c r="AW311" t="str">
        <f ca="1">IFERROR(__xludf.DUMMYFUNCTION("""COMPUTED_VALUE"""),"#VALUE!")</f>
        <v>#VALUE!</v>
      </c>
      <c r="AY311" t="str">
        <f ca="1">IFERROR(__xludf.DUMMYFUNCTION("""COMPUTED_VALUE"""),"#VALUE!")</f>
        <v>#VALUE!</v>
      </c>
      <c r="BA311" t="str">
        <f ca="1">IFERROR(__xludf.DUMMYFUNCTION("""COMPUTED_VALUE"""),"#VALUE!")</f>
        <v>#VALUE!</v>
      </c>
      <c r="BC311" t="str">
        <f ca="1">IFERROR(__xludf.DUMMYFUNCTION("""COMPUTED_VALUE"""),"#VALUE!")</f>
        <v>#VALUE!</v>
      </c>
      <c r="BE311" t="str">
        <f ca="1">IFERROR(__xludf.DUMMYFUNCTION("""COMPUTED_VALUE"""),"#VALUE!")</f>
        <v>#VALUE!</v>
      </c>
      <c r="BG311" t="str">
        <f ca="1">IFERROR(__xludf.DUMMYFUNCTION("""COMPUTED_VALUE"""),"#VALUE!")</f>
        <v>#VALUE!</v>
      </c>
      <c r="BI311" t="str">
        <f ca="1">IFERROR(__xludf.DUMMYFUNCTION("""COMPUTED_VALUE"""),"#VALUE!")</f>
        <v>#VALUE!</v>
      </c>
      <c r="BK311" t="str">
        <f ca="1">IFERROR(__xludf.DUMMYFUNCTION("""COMPUTED_VALUE"""),"#VALUE!")</f>
        <v>#VALUE!</v>
      </c>
      <c r="BM311" t="str">
        <f ca="1">IFERROR(__xludf.DUMMYFUNCTION("""COMPUTED_VALUE"""),"#VALUE!")</f>
        <v>#VALUE!</v>
      </c>
      <c r="BO311" t="str">
        <f ca="1">IFERROR(__xludf.DUMMYFUNCTION("""COMPUTED_VALUE"""),"#VALUE!")</f>
        <v>#VALUE!</v>
      </c>
      <c r="BQ311" t="str">
        <f ca="1">IFERROR(__xludf.DUMMYFUNCTION("""COMPUTED_VALUE"""),"#VALUE!")</f>
        <v>#VALUE!</v>
      </c>
      <c r="BS311" t="str">
        <f ca="1">IFERROR(__xludf.DUMMYFUNCTION("""COMPUTED_VALUE"""),"#VALUE!")</f>
        <v>#VALUE!</v>
      </c>
      <c r="BU311" t="str">
        <f ca="1">IFERROR(__xludf.DUMMYFUNCTION("""COMPUTED_VALUE"""),"#VALUE!")</f>
        <v>#VALUE!</v>
      </c>
      <c r="BW311" t="str">
        <f ca="1">IFERROR(__xludf.DUMMYFUNCTION("""COMPUTED_VALUE"""),"#VALUE!")</f>
        <v>#VALUE!</v>
      </c>
      <c r="BY311" t="str">
        <f ca="1">IFERROR(__xludf.DUMMYFUNCTION("""COMPUTED_VALUE"""),"#VALUE!")</f>
        <v>#VALUE!</v>
      </c>
      <c r="CA311" t="str">
        <f ca="1">IFERROR(__xludf.DUMMYFUNCTION("""COMPUTED_VALUE"""),"#VALUE!")</f>
        <v>#VALUE!</v>
      </c>
      <c r="CC311" t="str">
        <f ca="1">IFERROR(__xludf.DUMMYFUNCTION("""COMPUTED_VALUE"""),"#VALUE!")</f>
        <v>#VALUE!</v>
      </c>
      <c r="CD311" t="str">
        <f ca="1">IFERROR(__xludf.DUMMYFUNCTION("""COMPUTED_VALUE"""),"C3598")</f>
        <v>C3598</v>
      </c>
      <c r="CE311" t="str">
        <f ca="1">IFERROR(__xludf.DUMMYFUNCTION("""COMPUTED_VALUE"""),"location of congregation")</f>
        <v>location of congregation</v>
      </c>
      <c r="CF311" t="str">
        <f ca="1">IFERROR(__xludf.DUMMYFUNCTION("""COMPUTED_VALUE"""),"L0080#L0121#L0132#L0079#L0143")</f>
        <v>L0080#L0121#L0132#L0079#L0143</v>
      </c>
      <c r="CG311" t="str">
        <f ca="1">IFERROR(__xludf.DUMMYFUNCTION("""COMPUTED_VALUE"""),"domus Petrii Burgi #domus Broxie, uxoris Iacobi Bernardi #domus Aleysine Burgi #domus Martinii Dominici #domus Iohannis de Oddo")</f>
        <v>domus Petrii Burgi #domus Broxie, uxoris Iacobi Bernardi #domus Aleysine Burgi #domus Martinii Dominici #domus Iohannis de Oddo</v>
      </c>
      <c r="CI311" t="str">
        <f ca="1">IFERROR(__xludf.DUMMYFUNCTION("""COMPUTED_VALUE"""),"#VALUE!")</f>
        <v>#VALUE!</v>
      </c>
      <c r="CK311" t="str">
        <f ca="1">IFERROR(__xludf.DUMMYFUNCTION("""COMPUTED_VALUE"""),"#VALUE!")</f>
        <v>#VALUE!</v>
      </c>
      <c r="CS311" t="str">
        <f ca="1">IFERROR(__xludf.DUMMYFUNCTION("""COMPUTED_VALUE"""),"#VALUE!")</f>
        <v>#VALUE!</v>
      </c>
      <c r="CU311" t="str">
        <f ca="1">IFERROR(__xludf.DUMMYFUNCTION("""COMPUTED_VALUE"""),"#VALUE!")</f>
        <v>#VALUE!</v>
      </c>
      <c r="CW311" t="str">
        <f ca="1">IFERROR(__xludf.DUMMYFUNCTION("""COMPUTED_VALUE"""),"#VALUE!")</f>
        <v>#VALUE!</v>
      </c>
      <c r="CY311" t="str">
        <f ca="1">IFERROR(__xludf.DUMMYFUNCTION("""COMPUTED_VALUE"""),"#VALUE!")</f>
        <v>#VALUE!</v>
      </c>
      <c r="DC311" t="str">
        <f ca="1">IFERROR(__xludf.DUMMYFUNCTION("""COMPUTED_VALUE"""),"#VALUE!")</f>
        <v>#VALUE!</v>
      </c>
      <c r="DE311" t="str">
        <f ca="1">IFERROR(__xludf.DUMMYFUNCTION("""COMPUTED_VALUE"""),"#VALUE!")</f>
        <v>#VALUE!</v>
      </c>
      <c r="DH311" t="str">
        <f ca="1">IFERROR(__xludf.DUMMYFUNCTION("""COMPUTED_VALUE"""),"L0080#L0121#L0132#L0079#L0143")</f>
        <v>L0080#L0121#L0132#L0079#L0143</v>
      </c>
      <c r="DI311" t="str">
        <f ca="1">IFERROR(__xludf.DUMMYFUNCTION("""COMPUTED_VALUE"""),"domus Petrii Burgi #domus Broxie, uxoris Iacobi Bernardi #domus Aleysine Burgi #domus Martinii Dominici #domus Iohannis de Oddo")</f>
        <v>domus Petrii Burgi #domus Broxie, uxoris Iacobi Bernardi #domus Aleysine Burgi #domus Martinii Dominici #domus Iohannis de Oddo</v>
      </c>
      <c r="DJ311" t="str">
        <f ca="1">IFERROR(__xludf.DUMMYFUNCTION("""COMPUTED_VALUE"""),"domus #domus #domus #domus #domus")</f>
        <v>domus #domus #domus #domus #domus</v>
      </c>
      <c r="DL311" t="str">
        <f ca="1">IFERROR(__xludf.DUMMYFUNCTION("""COMPUTED_VALUE"""),"Davor Salihović")</f>
        <v>Davor Salihović</v>
      </c>
    </row>
    <row r="312" spans="1:116" ht="13.2" x14ac:dyDescent="0.25">
      <c r="A312" t="str">
        <f ca="1">IFERROR(__xludf.DUMMYFUNCTION("""COMPUTED_VALUE"""),"P0318")</f>
        <v>P0318</v>
      </c>
      <c r="B312" t="str">
        <f ca="1">IFERROR(__xludf.DUMMYFUNCTION("""COMPUTED_VALUE"""),"Petrus de Bonaudo")</f>
        <v>Petrus de Bonaudo</v>
      </c>
      <c r="D312" t="str">
        <f ca="1">IFERROR(__xludf.DUMMYFUNCTION("""COMPUTED_VALUE"""),"#VALUE!")</f>
        <v>#VALUE!</v>
      </c>
      <c r="E312" t="str">
        <f ca="1">IFERROR(__xludf.DUMMYFUNCTION("""COMPUTED_VALUE"""),"Petrus")</f>
        <v>Petrus</v>
      </c>
      <c r="J312" t="str">
        <f ca="1">IFERROR(__xludf.DUMMYFUNCTION("""COMPUTED_VALUE"""),"de")</f>
        <v>de</v>
      </c>
      <c r="K312" t="str">
        <f ca="1">IFERROR(__xludf.DUMMYFUNCTION("""COMPUTED_VALUE"""),"Bonaudo")</f>
        <v>Bonaudo</v>
      </c>
      <c r="L312" t="str">
        <f ca="1">IFERROR(__xludf.DUMMYFUNCTION("""COMPUTED_VALUE"""),"de Bonaudo")</f>
        <v>de Bonaudo</v>
      </c>
      <c r="Q312" t="str">
        <f ca="1">IFERROR(__xludf.DUMMYFUNCTION("""COMPUTED_VALUE"""),"filius Iohannis de Bonaudo")</f>
        <v>filius Iohannis de Bonaudo</v>
      </c>
      <c r="S312" t="str">
        <f ca="1">IFERROR(__xludf.DUMMYFUNCTION("""COMPUTED_VALUE"""),"Latin")</f>
        <v>Latin</v>
      </c>
      <c r="T312" t="str">
        <f ca="1">IFERROR(__xludf.DUMMYFUNCTION("""COMPUTED_VALUE"""),"definite")</f>
        <v>definite</v>
      </c>
      <c r="U312" t="str">
        <f ca="1">IFERROR(__xludf.DUMMYFUNCTION("""COMPUTED_VALUE"""),"C2553")</f>
        <v>C2553</v>
      </c>
      <c r="V312" t="str">
        <f ca="1">IFERROR(__xludf.DUMMYFUNCTION("""COMPUTED_VALUE"""),"male")</f>
        <v>male</v>
      </c>
      <c r="Z312" t="str">
        <f ca="1">IFERROR(__xludf.DUMMYFUNCTION("""COMPUTED_VALUE"""),"196, 198, 216, 223, 230, 247")</f>
        <v>196, 198, 216, 223, 230, 247</v>
      </c>
      <c r="AA312" t="str">
        <f ca="1">IFERROR(__xludf.DUMMYFUNCTION("""COMPUTED_VALUE"""),"d")</f>
        <v>d</v>
      </c>
      <c r="AB312" t="str">
        <f ca="1">IFERROR(__xludf.DUMMYFUNCTION("""COMPUTED_VALUE"""),"suspect")</f>
        <v>suspect</v>
      </c>
      <c r="AD312" t="str">
        <f ca="1">IFERROR(__xludf.DUMMYFUNCTION("""COMPUTED_VALUE"""),"C3287")</f>
        <v>C3287</v>
      </c>
      <c r="AE312" t="str">
        <f ca="1">IFERROR(__xludf.DUMMYFUNCTION("""COMPUTED_VALUE"""),"alive")</f>
        <v>alive</v>
      </c>
      <c r="AF312" t="str">
        <f ca="1">IFERROR(__xludf.DUMMYFUNCTION("""COMPUTED_VALUE"""),"C1753")</f>
        <v>C1753</v>
      </c>
      <c r="AG312" t="str">
        <f ca="1">IFERROR(__xludf.DUMMYFUNCTION("""COMPUTED_VALUE"""),"1335-01-20")</f>
        <v>1335-01-20</v>
      </c>
      <c r="AH312" t="str">
        <f ca="1">IFERROR(__xludf.DUMMYFUNCTION("""COMPUTED_VALUE"""),"C2336")</f>
        <v>C2336</v>
      </c>
      <c r="AI312" t="str">
        <f ca="1">IFERROR(__xludf.DUMMYFUNCTION("""COMPUTED_VALUE"""),"son")</f>
        <v>son</v>
      </c>
      <c r="AJ312" t="str">
        <f ca="1">IFERROR(__xludf.DUMMYFUNCTION("""COMPUTED_VALUE"""),"P0319")</f>
        <v>P0319</v>
      </c>
      <c r="AK312" t="str">
        <f ca="1">IFERROR(__xludf.DUMMYFUNCTION("""COMPUTED_VALUE"""),"Boxius, filius Petri de Bonaudo")</f>
        <v>Boxius, filius Petri de Bonaudo</v>
      </c>
      <c r="AL312" t="str">
        <f ca="1">IFERROR(__xludf.DUMMYFUNCTION("""COMPUTED_VALUE"""),"C0147")</f>
        <v>C0147</v>
      </c>
      <c r="AM312" t="str">
        <f ca="1">IFERROR(__xludf.DUMMYFUNCTION("""COMPUTED_VALUE"""),"warrantor")</f>
        <v>warrantor</v>
      </c>
      <c r="AN312" t="str">
        <f ca="1">IFERROR(__xludf.DUMMYFUNCTION("""COMPUTED_VALUE"""),"P0043")</f>
        <v>P0043</v>
      </c>
      <c r="AO312" t="str">
        <f ca="1">IFERROR(__xludf.DUMMYFUNCTION("""COMPUTED_VALUE"""),"Iohannes de Bonaudo")</f>
        <v>Iohannes de Bonaudo</v>
      </c>
      <c r="AQ312" t="str">
        <f ca="1">IFERROR(__xludf.DUMMYFUNCTION("""COMPUTED_VALUE"""),"#VALUE!")</f>
        <v>#VALUE!</v>
      </c>
      <c r="AS312" t="str">
        <f ca="1">IFERROR(__xludf.DUMMYFUNCTION("""COMPUTED_VALUE"""),"#VALUE!")</f>
        <v>#VALUE!</v>
      </c>
      <c r="AU312" t="str">
        <f ca="1">IFERROR(__xludf.DUMMYFUNCTION("""COMPUTED_VALUE"""),"#VALUE!")</f>
        <v>#VALUE!</v>
      </c>
      <c r="AW312" t="str">
        <f ca="1">IFERROR(__xludf.DUMMYFUNCTION("""COMPUTED_VALUE"""),"#VALUE!")</f>
        <v>#VALUE!</v>
      </c>
      <c r="AY312" t="str">
        <f ca="1">IFERROR(__xludf.DUMMYFUNCTION("""COMPUTED_VALUE"""),"#VALUE!")</f>
        <v>#VALUE!</v>
      </c>
      <c r="BA312" t="str">
        <f ca="1">IFERROR(__xludf.DUMMYFUNCTION("""COMPUTED_VALUE"""),"#VALUE!")</f>
        <v>#VALUE!</v>
      </c>
      <c r="BC312" t="str">
        <f ca="1">IFERROR(__xludf.DUMMYFUNCTION("""COMPUTED_VALUE"""),"#VALUE!")</f>
        <v>#VALUE!</v>
      </c>
      <c r="BE312" t="str">
        <f ca="1">IFERROR(__xludf.DUMMYFUNCTION("""COMPUTED_VALUE"""),"#VALUE!")</f>
        <v>#VALUE!</v>
      </c>
      <c r="BG312" t="str">
        <f ca="1">IFERROR(__xludf.DUMMYFUNCTION("""COMPUTED_VALUE"""),"#VALUE!")</f>
        <v>#VALUE!</v>
      </c>
      <c r="BI312" t="str">
        <f ca="1">IFERROR(__xludf.DUMMYFUNCTION("""COMPUTED_VALUE"""),"#VALUE!")</f>
        <v>#VALUE!</v>
      </c>
      <c r="BK312" t="str">
        <f ca="1">IFERROR(__xludf.DUMMYFUNCTION("""COMPUTED_VALUE"""),"#VALUE!")</f>
        <v>#VALUE!</v>
      </c>
      <c r="BM312" t="str">
        <f ca="1">IFERROR(__xludf.DUMMYFUNCTION("""COMPUTED_VALUE"""),"#VALUE!")</f>
        <v>#VALUE!</v>
      </c>
      <c r="BO312" t="str">
        <f ca="1">IFERROR(__xludf.DUMMYFUNCTION("""COMPUTED_VALUE"""),"#VALUE!")</f>
        <v>#VALUE!</v>
      </c>
      <c r="BQ312" t="str">
        <f ca="1">IFERROR(__xludf.DUMMYFUNCTION("""COMPUTED_VALUE"""),"#VALUE!")</f>
        <v>#VALUE!</v>
      </c>
      <c r="BS312" t="str">
        <f ca="1">IFERROR(__xludf.DUMMYFUNCTION("""COMPUTED_VALUE"""),"#VALUE!")</f>
        <v>#VALUE!</v>
      </c>
      <c r="BU312" t="str">
        <f ca="1">IFERROR(__xludf.DUMMYFUNCTION("""COMPUTED_VALUE"""),"#VALUE!")</f>
        <v>#VALUE!</v>
      </c>
      <c r="BW312" t="str">
        <f ca="1">IFERROR(__xludf.DUMMYFUNCTION("""COMPUTED_VALUE"""),"#VALUE!")</f>
        <v>#VALUE!</v>
      </c>
      <c r="BY312" t="str">
        <f ca="1">IFERROR(__xludf.DUMMYFUNCTION("""COMPUTED_VALUE"""),"#VALUE!")</f>
        <v>#VALUE!</v>
      </c>
      <c r="CA312" t="str">
        <f ca="1">IFERROR(__xludf.DUMMYFUNCTION("""COMPUTED_VALUE"""),"#VALUE!")</f>
        <v>#VALUE!</v>
      </c>
      <c r="CC312" t="str">
        <f ca="1">IFERROR(__xludf.DUMMYFUNCTION("""COMPUTED_VALUE"""),"#VALUE!")</f>
        <v>#VALUE!</v>
      </c>
      <c r="CD312" t="str">
        <f ca="1">IFERROR(__xludf.DUMMYFUNCTION("""COMPUTED_VALUE"""),"C3598")</f>
        <v>C3598</v>
      </c>
      <c r="CE312" t="str">
        <f ca="1">IFERROR(__xludf.DUMMYFUNCTION("""COMPUTED_VALUE"""),"location of congregation")</f>
        <v>location of congregation</v>
      </c>
      <c r="CF312" t="str">
        <f ca="1">IFERROR(__xludf.DUMMYFUNCTION("""COMPUTED_VALUE"""),"L0080#L0079#L0096#L0097#L0066#L0032#L0117")</f>
        <v>L0080#L0079#L0096#L0097#L0066#L0032#L0117</v>
      </c>
      <c r="CG312" t="str">
        <f ca="1">IFERROR(__xludf.DUMMYFUNCTION("""COMPUTED_VALUE"""),"domus Petrii Burgi #domus Martinii Dominici #domus Iohannis de Bonaudo #domus Iohannis Borrellati #domus Bernardi de Rosseto #domus Villelmi de Oddo #domus Michaelis de Fomia")</f>
        <v>domus Petrii Burgi #domus Martinii Dominici #domus Iohannis de Bonaudo #domus Iohannis Borrellati #domus Bernardi de Rosseto #domus Villelmi de Oddo #domus Michaelis de Fomia</v>
      </c>
      <c r="CH312" t="str">
        <f ca="1">IFERROR(__xludf.DUMMYFUNCTION("""COMPUTED_VALUE"""),"P0043")</f>
        <v>P0043</v>
      </c>
      <c r="CI312" t="str">
        <f ca="1">IFERROR(__xludf.DUMMYFUNCTION("""COMPUTED_VALUE"""),"Iohannes de Bonaudo")</f>
        <v>Iohannes de Bonaudo</v>
      </c>
      <c r="CJ312" t="str">
        <f ca="1">IFERROR(__xludf.DUMMYFUNCTION("""COMPUTED_VALUE"""),"P0040")</f>
        <v>P0040</v>
      </c>
      <c r="CK312" t="str">
        <f ca="1">IFERROR(__xludf.DUMMYFUNCTION("""COMPUTED_VALUE"""),"Petrus de Rosseto")</f>
        <v>Petrus de Rosseto</v>
      </c>
      <c r="CS312" t="str">
        <f ca="1">IFERROR(__xludf.DUMMYFUNCTION("""COMPUTED_VALUE"""),"#VALUE!")</f>
        <v>#VALUE!</v>
      </c>
      <c r="CU312" t="str">
        <f ca="1">IFERROR(__xludf.DUMMYFUNCTION("""COMPUTED_VALUE"""),"#VALUE!")</f>
        <v>#VALUE!</v>
      </c>
      <c r="CW312" t="str">
        <f ca="1">IFERROR(__xludf.DUMMYFUNCTION("""COMPUTED_VALUE"""),"#VALUE!")</f>
        <v>#VALUE!</v>
      </c>
      <c r="CY312" t="str">
        <f ca="1">IFERROR(__xludf.DUMMYFUNCTION("""COMPUTED_VALUE"""),"#VALUE!")</f>
        <v>#VALUE!</v>
      </c>
      <c r="DC312" t="str">
        <f ca="1">IFERROR(__xludf.DUMMYFUNCTION("""COMPUTED_VALUE"""),"#VALUE!")</f>
        <v>#VALUE!</v>
      </c>
      <c r="DE312" t="str">
        <f ca="1">IFERROR(__xludf.DUMMYFUNCTION("""COMPUTED_VALUE"""),"#VALUE!")</f>
        <v>#VALUE!</v>
      </c>
      <c r="DF312" t="str">
        <f ca="1">IFERROR(__xludf.DUMMYFUNCTION("""COMPUTED_VALUE"""),"y")</f>
        <v>y</v>
      </c>
      <c r="DG312" t="str">
        <f ca="1">IFERROR(__xludf.DUMMYFUNCTION("""COMPUTED_VALUE"""),"230")</f>
        <v>230</v>
      </c>
      <c r="DH312" t="str">
        <f ca="1">IFERROR(__xludf.DUMMYFUNCTION("""COMPUTED_VALUE"""),"L0080#L0079#L0096#L0097#L0066#L0032#L0117")</f>
        <v>L0080#L0079#L0096#L0097#L0066#L0032#L0117</v>
      </c>
      <c r="DI312" t="str">
        <f ca="1">IFERROR(__xludf.DUMMYFUNCTION("""COMPUTED_VALUE"""),"domus Petrii Burgi #domus Martinii Dominici #domus Iohannis de Bonaudo #domus Iohannis Borrellati #domus Bernardi de Rosseto #domus Villelmi de Oddo #domus Michaelis de Fomia")</f>
        <v>domus Petrii Burgi #domus Martinii Dominici #domus Iohannis de Bonaudo #domus Iohannis Borrellati #domus Bernardi de Rosseto #domus Villelmi de Oddo #domus Michaelis de Fomia</v>
      </c>
      <c r="DJ312" t="str">
        <f ca="1">IFERROR(__xludf.DUMMYFUNCTION("""COMPUTED_VALUE"""),"domus #domus #domus #domus #domus #domus #domus")</f>
        <v>domus #domus #domus #domus #domus #domus #domus</v>
      </c>
      <c r="DL312" t="str">
        <f ca="1">IFERROR(__xludf.DUMMYFUNCTION("""COMPUTED_VALUE"""),"Davor Salihović")</f>
        <v>Davor Salihović</v>
      </c>
    </row>
    <row r="313" spans="1:116" ht="13.2" x14ac:dyDescent="0.25">
      <c r="A313" t="str">
        <f ca="1">IFERROR(__xludf.DUMMYFUNCTION("""COMPUTED_VALUE"""),"P0319")</f>
        <v>P0319</v>
      </c>
      <c r="B313" t="str">
        <f ca="1">IFERROR(__xludf.DUMMYFUNCTION("""COMPUTED_VALUE"""),"Boxius, filius Petri de Bonaudo")</f>
        <v>Boxius, filius Petri de Bonaudo</v>
      </c>
      <c r="D313" t="str">
        <f ca="1">IFERROR(__xludf.DUMMYFUNCTION("""COMPUTED_VALUE"""),"#VALUE!")</f>
        <v>#VALUE!</v>
      </c>
      <c r="E313" t="str">
        <f ca="1">IFERROR(__xludf.DUMMYFUNCTION("""COMPUTED_VALUE"""),"Boxius")</f>
        <v>Boxius</v>
      </c>
      <c r="Q313" t="str">
        <f ca="1">IFERROR(__xludf.DUMMYFUNCTION("""COMPUTED_VALUE"""),"filius Petri de Bonaudo")</f>
        <v>filius Petri de Bonaudo</v>
      </c>
      <c r="S313" t="str">
        <f ca="1">IFERROR(__xludf.DUMMYFUNCTION("""COMPUTED_VALUE"""),"Latin")</f>
        <v>Latin</v>
      </c>
      <c r="T313" t="str">
        <f ca="1">IFERROR(__xludf.DUMMYFUNCTION("""COMPUTED_VALUE"""),"definite")</f>
        <v>definite</v>
      </c>
      <c r="U313" t="str">
        <f ca="1">IFERROR(__xludf.DUMMYFUNCTION("""COMPUTED_VALUE"""),"C2553")</f>
        <v>C2553</v>
      </c>
      <c r="V313" t="str">
        <f ca="1">IFERROR(__xludf.DUMMYFUNCTION("""COMPUTED_VALUE"""),"male")</f>
        <v>male</v>
      </c>
      <c r="Z313" t="str">
        <f ca="1">IFERROR(__xludf.DUMMYFUNCTION("""COMPUTED_VALUE"""),"196, 216, 223, 247")</f>
        <v>196, 216, 223, 247</v>
      </c>
      <c r="AA313" t="str">
        <f ca="1">IFERROR(__xludf.DUMMYFUNCTION("""COMPUTED_VALUE"""),"d")</f>
        <v>d</v>
      </c>
      <c r="AB313" t="str">
        <f ca="1">IFERROR(__xludf.DUMMYFUNCTION("""COMPUTED_VALUE"""),"suspect")</f>
        <v>suspect</v>
      </c>
      <c r="AD313" t="str">
        <f ca="1">IFERROR(__xludf.DUMMYFUNCTION("""COMPUTED_VALUE"""),"C3287")</f>
        <v>C3287</v>
      </c>
      <c r="AE313" t="str">
        <f ca="1">IFERROR(__xludf.DUMMYFUNCTION("""COMPUTED_VALUE"""),"alive")</f>
        <v>alive</v>
      </c>
      <c r="AF313" t="str">
        <f ca="1">IFERROR(__xludf.DUMMYFUNCTION("""COMPUTED_VALUE"""),"C1753")</f>
        <v>C1753</v>
      </c>
      <c r="AG313" t="str">
        <f ca="1">IFERROR(__xludf.DUMMYFUNCTION("""COMPUTED_VALUE"""),"1335-01-20")</f>
        <v>1335-01-20</v>
      </c>
      <c r="AI313" t="str">
        <f ca="1">IFERROR(__xludf.DUMMYFUNCTION("""COMPUTED_VALUE"""),"#VALUE!")</f>
        <v>#VALUE!</v>
      </c>
      <c r="AK313" t="str">
        <f ca="1">IFERROR(__xludf.DUMMYFUNCTION("""COMPUTED_VALUE"""),"#VALUE!")</f>
        <v>#VALUE!</v>
      </c>
      <c r="AM313" t="str">
        <f ca="1">IFERROR(__xludf.DUMMYFUNCTION("""COMPUTED_VALUE"""),"#VALUE!")</f>
        <v>#VALUE!</v>
      </c>
      <c r="AO313" t="str">
        <f ca="1">IFERROR(__xludf.DUMMYFUNCTION("""COMPUTED_VALUE"""),"#VALUE!")</f>
        <v>#VALUE!</v>
      </c>
      <c r="AQ313" t="str">
        <f ca="1">IFERROR(__xludf.DUMMYFUNCTION("""COMPUTED_VALUE"""),"#VALUE!")</f>
        <v>#VALUE!</v>
      </c>
      <c r="AS313" t="str">
        <f ca="1">IFERROR(__xludf.DUMMYFUNCTION("""COMPUTED_VALUE"""),"#VALUE!")</f>
        <v>#VALUE!</v>
      </c>
      <c r="AU313" t="str">
        <f ca="1">IFERROR(__xludf.DUMMYFUNCTION("""COMPUTED_VALUE"""),"#VALUE!")</f>
        <v>#VALUE!</v>
      </c>
      <c r="AW313" t="str">
        <f ca="1">IFERROR(__xludf.DUMMYFUNCTION("""COMPUTED_VALUE"""),"#VALUE!")</f>
        <v>#VALUE!</v>
      </c>
      <c r="AY313" t="str">
        <f ca="1">IFERROR(__xludf.DUMMYFUNCTION("""COMPUTED_VALUE"""),"#VALUE!")</f>
        <v>#VALUE!</v>
      </c>
      <c r="BA313" t="str">
        <f ca="1">IFERROR(__xludf.DUMMYFUNCTION("""COMPUTED_VALUE"""),"#VALUE!")</f>
        <v>#VALUE!</v>
      </c>
      <c r="BC313" t="str">
        <f ca="1">IFERROR(__xludf.DUMMYFUNCTION("""COMPUTED_VALUE"""),"#VALUE!")</f>
        <v>#VALUE!</v>
      </c>
      <c r="BE313" t="str">
        <f ca="1">IFERROR(__xludf.DUMMYFUNCTION("""COMPUTED_VALUE"""),"#VALUE!")</f>
        <v>#VALUE!</v>
      </c>
      <c r="BG313" t="str">
        <f ca="1">IFERROR(__xludf.DUMMYFUNCTION("""COMPUTED_VALUE"""),"#VALUE!")</f>
        <v>#VALUE!</v>
      </c>
      <c r="BI313" t="str">
        <f ca="1">IFERROR(__xludf.DUMMYFUNCTION("""COMPUTED_VALUE"""),"#VALUE!")</f>
        <v>#VALUE!</v>
      </c>
      <c r="BK313" t="str">
        <f ca="1">IFERROR(__xludf.DUMMYFUNCTION("""COMPUTED_VALUE"""),"#VALUE!")</f>
        <v>#VALUE!</v>
      </c>
      <c r="BM313" t="str">
        <f ca="1">IFERROR(__xludf.DUMMYFUNCTION("""COMPUTED_VALUE"""),"#VALUE!")</f>
        <v>#VALUE!</v>
      </c>
      <c r="BO313" t="str">
        <f ca="1">IFERROR(__xludf.DUMMYFUNCTION("""COMPUTED_VALUE"""),"#VALUE!")</f>
        <v>#VALUE!</v>
      </c>
      <c r="BQ313" t="str">
        <f ca="1">IFERROR(__xludf.DUMMYFUNCTION("""COMPUTED_VALUE"""),"#VALUE!")</f>
        <v>#VALUE!</v>
      </c>
      <c r="BS313" t="str">
        <f ca="1">IFERROR(__xludf.DUMMYFUNCTION("""COMPUTED_VALUE"""),"#VALUE!")</f>
        <v>#VALUE!</v>
      </c>
      <c r="BU313" t="str">
        <f ca="1">IFERROR(__xludf.DUMMYFUNCTION("""COMPUTED_VALUE"""),"#VALUE!")</f>
        <v>#VALUE!</v>
      </c>
      <c r="BW313" t="str">
        <f ca="1">IFERROR(__xludf.DUMMYFUNCTION("""COMPUTED_VALUE"""),"#VALUE!")</f>
        <v>#VALUE!</v>
      </c>
      <c r="BY313" t="str">
        <f ca="1">IFERROR(__xludf.DUMMYFUNCTION("""COMPUTED_VALUE"""),"#VALUE!")</f>
        <v>#VALUE!</v>
      </c>
      <c r="CA313" t="str">
        <f ca="1">IFERROR(__xludf.DUMMYFUNCTION("""COMPUTED_VALUE"""),"#VALUE!")</f>
        <v>#VALUE!</v>
      </c>
      <c r="CC313" t="str">
        <f ca="1">IFERROR(__xludf.DUMMYFUNCTION("""COMPUTED_VALUE"""),"#VALUE!")</f>
        <v>#VALUE!</v>
      </c>
      <c r="CD313" t="str">
        <f ca="1">IFERROR(__xludf.DUMMYFUNCTION("""COMPUTED_VALUE"""),"C3598")</f>
        <v>C3598</v>
      </c>
      <c r="CE313" t="str">
        <f ca="1">IFERROR(__xludf.DUMMYFUNCTION("""COMPUTED_VALUE"""),"location of congregation")</f>
        <v>location of congregation</v>
      </c>
      <c r="CF313" t="str">
        <f ca="1">IFERROR(__xludf.DUMMYFUNCTION("""COMPUTED_VALUE"""),"L0080#L0032")</f>
        <v>L0080#L0032</v>
      </c>
      <c r="CG313" t="str">
        <f ca="1">IFERROR(__xludf.DUMMYFUNCTION("""COMPUTED_VALUE"""),"domus Petrii Burgi #domus Villelmi de Oddo")</f>
        <v>domus Petrii Burgi #domus Villelmi de Oddo</v>
      </c>
      <c r="CI313" t="str">
        <f ca="1">IFERROR(__xludf.DUMMYFUNCTION("""COMPUTED_VALUE"""),"#VALUE!")</f>
        <v>#VALUE!</v>
      </c>
      <c r="CK313" t="str">
        <f ca="1">IFERROR(__xludf.DUMMYFUNCTION("""COMPUTED_VALUE"""),"#VALUE!")</f>
        <v>#VALUE!</v>
      </c>
      <c r="CS313" t="str">
        <f ca="1">IFERROR(__xludf.DUMMYFUNCTION("""COMPUTED_VALUE"""),"#VALUE!")</f>
        <v>#VALUE!</v>
      </c>
      <c r="CU313" t="str">
        <f ca="1">IFERROR(__xludf.DUMMYFUNCTION("""COMPUTED_VALUE"""),"#VALUE!")</f>
        <v>#VALUE!</v>
      </c>
      <c r="CW313" t="str">
        <f ca="1">IFERROR(__xludf.DUMMYFUNCTION("""COMPUTED_VALUE"""),"#VALUE!")</f>
        <v>#VALUE!</v>
      </c>
      <c r="CY313" t="str">
        <f ca="1">IFERROR(__xludf.DUMMYFUNCTION("""COMPUTED_VALUE"""),"#VALUE!")</f>
        <v>#VALUE!</v>
      </c>
      <c r="DC313" t="str">
        <f ca="1">IFERROR(__xludf.DUMMYFUNCTION("""COMPUTED_VALUE"""),"#VALUE!")</f>
        <v>#VALUE!</v>
      </c>
      <c r="DE313" t="str">
        <f ca="1">IFERROR(__xludf.DUMMYFUNCTION("""COMPUTED_VALUE"""),"#VALUE!")</f>
        <v>#VALUE!</v>
      </c>
      <c r="DH313" t="str">
        <f ca="1">IFERROR(__xludf.DUMMYFUNCTION("""COMPUTED_VALUE"""),"L0080#L0032")</f>
        <v>L0080#L0032</v>
      </c>
      <c r="DI313" t="str">
        <f ca="1">IFERROR(__xludf.DUMMYFUNCTION("""COMPUTED_VALUE"""),"domus Petrii Burgi #domus Villelmi de Oddo")</f>
        <v>domus Petrii Burgi #domus Villelmi de Oddo</v>
      </c>
      <c r="DJ313" t="str">
        <f ca="1">IFERROR(__xludf.DUMMYFUNCTION("""COMPUTED_VALUE"""),"domus #domus")</f>
        <v>domus #domus</v>
      </c>
      <c r="DL313" t="str">
        <f ca="1">IFERROR(__xludf.DUMMYFUNCTION("""COMPUTED_VALUE"""),"Davor Salihović")</f>
        <v>Davor Salihović</v>
      </c>
    </row>
    <row r="314" spans="1:116" ht="13.2" x14ac:dyDescent="0.25">
      <c r="A314" t="str">
        <f ca="1">IFERROR(__xludf.DUMMYFUNCTION("""COMPUTED_VALUE"""),"P0320")</f>
        <v>P0320</v>
      </c>
      <c r="B314" t="str">
        <f ca="1">IFERROR(__xludf.DUMMYFUNCTION("""COMPUTED_VALUE"""),"Iohannonus, socius Martini Pastre")</f>
        <v>Iohannonus, socius Martini Pastre</v>
      </c>
      <c r="D314" t="str">
        <f ca="1">IFERROR(__xludf.DUMMYFUNCTION("""COMPUTED_VALUE"""),"#VALUE!")</f>
        <v>#VALUE!</v>
      </c>
      <c r="E314" t="str">
        <f ca="1">IFERROR(__xludf.DUMMYFUNCTION("""COMPUTED_VALUE"""),"Iohannonus")</f>
        <v>Iohannonus</v>
      </c>
      <c r="Q314" t="str">
        <f ca="1">IFERROR(__xludf.DUMMYFUNCTION("""COMPUTED_VALUE"""),"socius Martini Pastre")</f>
        <v>socius Martini Pastre</v>
      </c>
      <c r="S314" t="str">
        <f ca="1">IFERROR(__xludf.DUMMYFUNCTION("""COMPUTED_VALUE"""),"Latin")</f>
        <v>Latin</v>
      </c>
      <c r="T314" t="str">
        <f ca="1">IFERROR(__xludf.DUMMYFUNCTION("""COMPUTED_VALUE"""),"definite")</f>
        <v>definite</v>
      </c>
      <c r="U314" t="str">
        <f ca="1">IFERROR(__xludf.DUMMYFUNCTION("""COMPUTED_VALUE"""),"C2553")</f>
        <v>C2553</v>
      </c>
      <c r="V314" t="str">
        <f ca="1">IFERROR(__xludf.DUMMYFUNCTION("""COMPUTED_VALUE"""),"male")</f>
        <v>male</v>
      </c>
      <c r="Z314" t="str">
        <f ca="1">IFERROR(__xludf.DUMMYFUNCTION("""COMPUTED_VALUE"""),"196, 201, 204, 206, 228, 241, 242, 243, 249, 250")</f>
        <v>196, 201, 204, 206, 228, 241, 242, 243, 249, 250</v>
      </c>
      <c r="AA314" t="str">
        <f ca="1">IFERROR(__xludf.DUMMYFUNCTION("""COMPUTED_VALUE"""),"d")</f>
        <v>d</v>
      </c>
      <c r="AB314" t="str">
        <f ca="1">IFERROR(__xludf.DUMMYFUNCTION("""COMPUTED_VALUE"""),"suspect")</f>
        <v>suspect</v>
      </c>
      <c r="AE314" t="str">
        <f ca="1">IFERROR(__xludf.DUMMYFUNCTION("""COMPUTED_VALUE"""),"#VALUE!")</f>
        <v>#VALUE!</v>
      </c>
      <c r="AF314" t="str">
        <f ca="1">IFERROR(__xludf.DUMMYFUNCTION("""COMPUTED_VALUE"""),"#N/A")</f>
        <v>#N/A</v>
      </c>
      <c r="AG314" t="str">
        <f ca="1">IFERROR(__xludf.DUMMYFUNCTION("""COMPUTED_VALUE"""),"#N/A")</f>
        <v>#N/A</v>
      </c>
      <c r="AH314" t="str">
        <f ca="1">IFERROR(__xludf.DUMMYFUNCTION("""COMPUTED_VALUE"""),"C2358")</f>
        <v>C2358</v>
      </c>
      <c r="AI314" t="str">
        <f ca="1">IFERROR(__xludf.DUMMYFUNCTION("""COMPUTED_VALUE"""),"associate")</f>
        <v>associate</v>
      </c>
      <c r="AJ314" t="str">
        <f ca="1">IFERROR(__xludf.DUMMYFUNCTION("""COMPUTED_VALUE"""),"P0183")</f>
        <v>P0183</v>
      </c>
      <c r="AK314" t="str">
        <f ca="1">IFERROR(__xludf.DUMMYFUNCTION("""COMPUTED_VALUE"""),"Martinus Pastre")</f>
        <v>Martinus Pastre</v>
      </c>
      <c r="AM314" t="str">
        <f ca="1">IFERROR(__xludf.DUMMYFUNCTION("""COMPUTED_VALUE"""),"#VALUE!")</f>
        <v>#VALUE!</v>
      </c>
      <c r="AO314" t="str">
        <f ca="1">IFERROR(__xludf.DUMMYFUNCTION("""COMPUTED_VALUE"""),"#VALUE!")</f>
        <v>#VALUE!</v>
      </c>
      <c r="AQ314" t="str">
        <f ca="1">IFERROR(__xludf.DUMMYFUNCTION("""COMPUTED_VALUE"""),"#VALUE!")</f>
        <v>#VALUE!</v>
      </c>
      <c r="AS314" t="str">
        <f ca="1">IFERROR(__xludf.DUMMYFUNCTION("""COMPUTED_VALUE"""),"#VALUE!")</f>
        <v>#VALUE!</v>
      </c>
      <c r="AU314" t="str">
        <f ca="1">IFERROR(__xludf.DUMMYFUNCTION("""COMPUTED_VALUE"""),"#VALUE!")</f>
        <v>#VALUE!</v>
      </c>
      <c r="AW314" t="str">
        <f ca="1">IFERROR(__xludf.DUMMYFUNCTION("""COMPUTED_VALUE"""),"#VALUE!")</f>
        <v>#VALUE!</v>
      </c>
      <c r="AY314" t="str">
        <f ca="1">IFERROR(__xludf.DUMMYFUNCTION("""COMPUTED_VALUE"""),"#VALUE!")</f>
        <v>#VALUE!</v>
      </c>
      <c r="BA314" t="str">
        <f ca="1">IFERROR(__xludf.DUMMYFUNCTION("""COMPUTED_VALUE"""),"#VALUE!")</f>
        <v>#VALUE!</v>
      </c>
      <c r="BC314" t="str">
        <f ca="1">IFERROR(__xludf.DUMMYFUNCTION("""COMPUTED_VALUE"""),"#VALUE!")</f>
        <v>#VALUE!</v>
      </c>
      <c r="BE314" t="str">
        <f ca="1">IFERROR(__xludf.DUMMYFUNCTION("""COMPUTED_VALUE"""),"#VALUE!")</f>
        <v>#VALUE!</v>
      </c>
      <c r="BG314" t="str">
        <f ca="1">IFERROR(__xludf.DUMMYFUNCTION("""COMPUTED_VALUE"""),"#VALUE!")</f>
        <v>#VALUE!</v>
      </c>
      <c r="BI314" t="str">
        <f ca="1">IFERROR(__xludf.DUMMYFUNCTION("""COMPUTED_VALUE"""),"#VALUE!")</f>
        <v>#VALUE!</v>
      </c>
      <c r="BK314" t="str">
        <f ca="1">IFERROR(__xludf.DUMMYFUNCTION("""COMPUTED_VALUE"""),"#VALUE!")</f>
        <v>#VALUE!</v>
      </c>
      <c r="BM314" t="str">
        <f ca="1">IFERROR(__xludf.DUMMYFUNCTION("""COMPUTED_VALUE"""),"#VALUE!")</f>
        <v>#VALUE!</v>
      </c>
      <c r="BO314" t="str">
        <f ca="1">IFERROR(__xludf.DUMMYFUNCTION("""COMPUTED_VALUE"""),"#VALUE!")</f>
        <v>#VALUE!</v>
      </c>
      <c r="BQ314" t="str">
        <f ca="1">IFERROR(__xludf.DUMMYFUNCTION("""COMPUTED_VALUE"""),"#VALUE!")</f>
        <v>#VALUE!</v>
      </c>
      <c r="BS314" t="str">
        <f ca="1">IFERROR(__xludf.DUMMYFUNCTION("""COMPUTED_VALUE"""),"#VALUE!")</f>
        <v>#VALUE!</v>
      </c>
      <c r="BU314" t="str">
        <f ca="1">IFERROR(__xludf.DUMMYFUNCTION("""COMPUTED_VALUE"""),"#VALUE!")</f>
        <v>#VALUE!</v>
      </c>
      <c r="BW314" t="str">
        <f ca="1">IFERROR(__xludf.DUMMYFUNCTION("""COMPUTED_VALUE"""),"#VALUE!")</f>
        <v>#VALUE!</v>
      </c>
      <c r="BY314" t="str">
        <f ca="1">IFERROR(__xludf.DUMMYFUNCTION("""COMPUTED_VALUE"""),"#VALUE!")</f>
        <v>#VALUE!</v>
      </c>
      <c r="CA314" t="str">
        <f ca="1">IFERROR(__xludf.DUMMYFUNCTION("""COMPUTED_VALUE"""),"#VALUE!")</f>
        <v>#VALUE!</v>
      </c>
      <c r="CC314" t="str">
        <f ca="1">IFERROR(__xludf.DUMMYFUNCTION("""COMPUTED_VALUE"""),"#VALUE!")</f>
        <v>#VALUE!</v>
      </c>
      <c r="CD314" t="str">
        <f ca="1">IFERROR(__xludf.DUMMYFUNCTION("""COMPUTED_VALUE"""),"C3598")</f>
        <v>C3598</v>
      </c>
      <c r="CE314" t="str">
        <f ca="1">IFERROR(__xludf.DUMMYFUNCTION("""COMPUTED_VALUE"""),"location of congregation")</f>
        <v>location of congregation</v>
      </c>
      <c r="CF314" t="str">
        <f ca="1">IFERROR(__xludf.DUMMYFUNCTION("""COMPUTED_VALUE"""),"L0080#L0096#L0098#L0097#L0116#L0132#L0032#L0071")</f>
        <v>L0080#L0096#L0098#L0097#L0116#L0132#L0032#L0071</v>
      </c>
      <c r="CG314" t="str">
        <f ca="1">IFERROR(__xludf.DUMMYFUNCTION("""COMPUTED_VALUE"""),"domus Petrii Burgi #domus Iohannis de Bonaudo #domus Michaelis Planche #domus Iohannis Borrellati #domus Iohannis Borrelli de Iacobina #domus Aleysine Burgi #domus Villelmi de Oddo #domus Iohannis Mulini de Sala")</f>
        <v>domus Petrii Burgi #domus Iohannis de Bonaudo #domus Michaelis Planche #domus Iohannis Borrellati #domus Iohannis Borrelli de Iacobina #domus Aleysine Burgi #domus Villelmi de Oddo #domus Iohannis Mulini de Sala</v>
      </c>
      <c r="CI314" t="str">
        <f ca="1">IFERROR(__xludf.DUMMYFUNCTION("""COMPUTED_VALUE"""),"#VALUE!")</f>
        <v>#VALUE!</v>
      </c>
      <c r="CK314" t="str">
        <f ca="1">IFERROR(__xludf.DUMMYFUNCTION("""COMPUTED_VALUE"""),"#VALUE!")</f>
        <v>#VALUE!</v>
      </c>
      <c r="CS314" t="str">
        <f ca="1">IFERROR(__xludf.DUMMYFUNCTION("""COMPUTED_VALUE"""),"#VALUE!")</f>
        <v>#VALUE!</v>
      </c>
      <c r="CU314" t="str">
        <f ca="1">IFERROR(__xludf.DUMMYFUNCTION("""COMPUTED_VALUE"""),"#VALUE!")</f>
        <v>#VALUE!</v>
      </c>
      <c r="CW314" t="str">
        <f ca="1">IFERROR(__xludf.DUMMYFUNCTION("""COMPUTED_VALUE"""),"#VALUE!")</f>
        <v>#VALUE!</v>
      </c>
      <c r="CX314" t="str">
        <f ca="1">IFERROR(__xludf.DUMMYFUNCTION("""COMPUTED_VALUE"""),"C3198")</f>
        <v>C3198</v>
      </c>
      <c r="CY314" t="str">
        <f ca="1">IFERROR(__xludf.DUMMYFUNCTION("""COMPUTED_VALUE"""),"socius Valdensis")</f>
        <v>socius Valdensis</v>
      </c>
      <c r="DA314" t="str">
        <f ca="1">IFERROR(__xludf.DUMMYFUNCTION("""COMPUTED_VALUE"""),"dissident minister")</f>
        <v>dissident minister</v>
      </c>
      <c r="DC314" t="str">
        <f ca="1">IFERROR(__xludf.DUMMYFUNCTION("""COMPUTED_VALUE"""),"#VALUE!")</f>
        <v>#VALUE!</v>
      </c>
      <c r="DD314" t="str">
        <f ca="1">IFERROR(__xludf.DUMMYFUNCTION("""COMPUTED_VALUE"""),"C3198")</f>
        <v>C3198</v>
      </c>
      <c r="DE314" t="str">
        <f ca="1">IFERROR(__xludf.DUMMYFUNCTION("""COMPUTED_VALUE"""),"socius Valdensis")</f>
        <v>socius Valdensis</v>
      </c>
      <c r="DH314" t="str">
        <f ca="1">IFERROR(__xludf.DUMMYFUNCTION("""COMPUTED_VALUE"""),"L0080#L0096#L0098#L0097#L0116#L0132#L0032#L0071")</f>
        <v>L0080#L0096#L0098#L0097#L0116#L0132#L0032#L0071</v>
      </c>
      <c r="DI314" t="str">
        <f ca="1">IFERROR(__xludf.DUMMYFUNCTION("""COMPUTED_VALUE"""),"domus Petrii Burgi #domus Iohannis de Bonaudo #domus Michaelis Planche #domus Iohannis Borrellati #domus Iohannis Borrelli de Iacobina #domus Aleysine Burgi #domus Villelmi de Oddo #domus Iohannis Mulini de Sala")</f>
        <v>domus Petrii Burgi #domus Iohannis de Bonaudo #domus Michaelis Planche #domus Iohannis Borrellati #domus Iohannis Borrelli de Iacobina #domus Aleysine Burgi #domus Villelmi de Oddo #domus Iohannis Mulini de Sala</v>
      </c>
      <c r="DJ314" t="str">
        <f ca="1">IFERROR(__xludf.DUMMYFUNCTION("""COMPUTED_VALUE"""),"domus #domus #domus #domus #domus #domus #domus #domus")</f>
        <v>domus #domus #domus #domus #domus #domus #domus #domus</v>
      </c>
      <c r="DL314" t="str">
        <f ca="1">IFERROR(__xludf.DUMMYFUNCTION("""COMPUTED_VALUE"""),"Davor Salihović")</f>
        <v>Davor Salihović</v>
      </c>
    </row>
    <row r="315" spans="1:116" ht="13.2" x14ac:dyDescent="0.25">
      <c r="A315" t="str">
        <f ca="1">IFERROR(__xludf.DUMMYFUNCTION("""COMPUTED_VALUE"""),"P0321")</f>
        <v>P0321</v>
      </c>
      <c r="B315" t="str">
        <f ca="1">IFERROR(__xludf.DUMMYFUNCTION("""COMPUTED_VALUE"""),"Galiçona de Sala")</f>
        <v>Galiçona de Sala</v>
      </c>
      <c r="D315" t="str">
        <f ca="1">IFERROR(__xludf.DUMMYFUNCTION("""COMPUTED_VALUE"""),"#VALUE!")</f>
        <v>#VALUE!</v>
      </c>
      <c r="E315" t="str">
        <f ca="1">IFERROR(__xludf.DUMMYFUNCTION("""COMPUTED_VALUE"""),"Galiçona")</f>
        <v>Galiçona</v>
      </c>
      <c r="J315" t="str">
        <f ca="1">IFERROR(__xludf.DUMMYFUNCTION("""COMPUTED_VALUE"""),"de")</f>
        <v>de</v>
      </c>
      <c r="K315" t="str">
        <f ca="1">IFERROR(__xludf.DUMMYFUNCTION("""COMPUTED_VALUE"""),"Sala")</f>
        <v>Sala</v>
      </c>
      <c r="L315" t="str">
        <f ca="1">IFERROR(__xludf.DUMMYFUNCTION("""COMPUTED_VALUE"""),"de Sala")</f>
        <v>de Sala</v>
      </c>
      <c r="S315" t="str">
        <f ca="1">IFERROR(__xludf.DUMMYFUNCTION("""COMPUTED_VALUE"""),"Latin")</f>
        <v>Latin</v>
      </c>
      <c r="T315" t="str">
        <f ca="1">IFERROR(__xludf.DUMMYFUNCTION("""COMPUTED_VALUE"""),"indefinite")</f>
        <v>indefinite</v>
      </c>
      <c r="U315" t="str">
        <f ca="1">IFERROR(__xludf.DUMMYFUNCTION("""COMPUTED_VALUE"""),"C2552")</f>
        <v>C2552</v>
      </c>
      <c r="V315" t="str">
        <f ca="1">IFERROR(__xludf.DUMMYFUNCTION("""COMPUTED_VALUE"""),"female")</f>
        <v>female</v>
      </c>
      <c r="Z315" t="str">
        <f ca="1">IFERROR(__xludf.DUMMYFUNCTION("""COMPUTED_VALUE"""),"196")</f>
        <v>196</v>
      </c>
      <c r="AA315" t="str">
        <f ca="1">IFERROR(__xludf.DUMMYFUNCTION("""COMPUTED_VALUE"""),"d")</f>
        <v>d</v>
      </c>
      <c r="AB315" t="str">
        <f ca="1">IFERROR(__xludf.DUMMYFUNCTION("""COMPUTED_VALUE"""),"suspect")</f>
        <v>suspect</v>
      </c>
      <c r="AE315" t="str">
        <f ca="1">IFERROR(__xludf.DUMMYFUNCTION("""COMPUTED_VALUE"""),"#VALUE!")</f>
        <v>#VALUE!</v>
      </c>
      <c r="AF315" t="str">
        <f ca="1">IFERROR(__xludf.DUMMYFUNCTION("""COMPUTED_VALUE"""),"#N/A")</f>
        <v>#N/A</v>
      </c>
      <c r="AG315" t="str">
        <f ca="1">IFERROR(__xludf.DUMMYFUNCTION("""COMPUTED_VALUE"""),"#N/A")</f>
        <v>#N/A</v>
      </c>
      <c r="AI315" t="str">
        <f ca="1">IFERROR(__xludf.DUMMYFUNCTION("""COMPUTED_VALUE"""),"#VALUE!")</f>
        <v>#VALUE!</v>
      </c>
      <c r="AK315" t="str">
        <f ca="1">IFERROR(__xludf.DUMMYFUNCTION("""COMPUTED_VALUE"""),"#VALUE!")</f>
        <v>#VALUE!</v>
      </c>
      <c r="AM315" t="str">
        <f ca="1">IFERROR(__xludf.DUMMYFUNCTION("""COMPUTED_VALUE"""),"#VALUE!")</f>
        <v>#VALUE!</v>
      </c>
      <c r="AO315" t="str">
        <f ca="1">IFERROR(__xludf.DUMMYFUNCTION("""COMPUTED_VALUE"""),"#VALUE!")</f>
        <v>#VALUE!</v>
      </c>
      <c r="AQ315" t="str">
        <f ca="1">IFERROR(__xludf.DUMMYFUNCTION("""COMPUTED_VALUE"""),"#VALUE!")</f>
        <v>#VALUE!</v>
      </c>
      <c r="AS315" t="str">
        <f ca="1">IFERROR(__xludf.DUMMYFUNCTION("""COMPUTED_VALUE"""),"#VALUE!")</f>
        <v>#VALUE!</v>
      </c>
      <c r="AU315" t="str">
        <f ca="1">IFERROR(__xludf.DUMMYFUNCTION("""COMPUTED_VALUE"""),"#VALUE!")</f>
        <v>#VALUE!</v>
      </c>
      <c r="AW315" t="str">
        <f ca="1">IFERROR(__xludf.DUMMYFUNCTION("""COMPUTED_VALUE"""),"#VALUE!")</f>
        <v>#VALUE!</v>
      </c>
      <c r="AY315" t="str">
        <f ca="1">IFERROR(__xludf.DUMMYFUNCTION("""COMPUTED_VALUE"""),"#VALUE!")</f>
        <v>#VALUE!</v>
      </c>
      <c r="BA315" t="str">
        <f ca="1">IFERROR(__xludf.DUMMYFUNCTION("""COMPUTED_VALUE"""),"#VALUE!")</f>
        <v>#VALUE!</v>
      </c>
      <c r="BC315" t="str">
        <f ca="1">IFERROR(__xludf.DUMMYFUNCTION("""COMPUTED_VALUE"""),"#VALUE!")</f>
        <v>#VALUE!</v>
      </c>
      <c r="BE315" t="str">
        <f ca="1">IFERROR(__xludf.DUMMYFUNCTION("""COMPUTED_VALUE"""),"#VALUE!")</f>
        <v>#VALUE!</v>
      </c>
      <c r="BG315" t="str">
        <f ca="1">IFERROR(__xludf.DUMMYFUNCTION("""COMPUTED_VALUE"""),"#VALUE!")</f>
        <v>#VALUE!</v>
      </c>
      <c r="BI315" t="str">
        <f ca="1">IFERROR(__xludf.DUMMYFUNCTION("""COMPUTED_VALUE"""),"#VALUE!")</f>
        <v>#VALUE!</v>
      </c>
      <c r="BK315" t="str">
        <f ca="1">IFERROR(__xludf.DUMMYFUNCTION("""COMPUTED_VALUE"""),"#VALUE!")</f>
        <v>#VALUE!</v>
      </c>
      <c r="BM315" t="str">
        <f ca="1">IFERROR(__xludf.DUMMYFUNCTION("""COMPUTED_VALUE"""),"#VALUE!")</f>
        <v>#VALUE!</v>
      </c>
      <c r="BO315" t="str">
        <f ca="1">IFERROR(__xludf.DUMMYFUNCTION("""COMPUTED_VALUE"""),"#VALUE!")</f>
        <v>#VALUE!</v>
      </c>
      <c r="BQ315" t="str">
        <f ca="1">IFERROR(__xludf.DUMMYFUNCTION("""COMPUTED_VALUE"""),"#VALUE!")</f>
        <v>#VALUE!</v>
      </c>
      <c r="BS315" t="str">
        <f ca="1">IFERROR(__xludf.DUMMYFUNCTION("""COMPUTED_VALUE"""),"#VALUE!")</f>
        <v>#VALUE!</v>
      </c>
      <c r="BU315" t="str">
        <f ca="1">IFERROR(__xludf.DUMMYFUNCTION("""COMPUTED_VALUE"""),"#VALUE!")</f>
        <v>#VALUE!</v>
      </c>
      <c r="BW315" t="str">
        <f ca="1">IFERROR(__xludf.DUMMYFUNCTION("""COMPUTED_VALUE"""),"#VALUE!")</f>
        <v>#VALUE!</v>
      </c>
      <c r="BY315" t="str">
        <f ca="1">IFERROR(__xludf.DUMMYFUNCTION("""COMPUTED_VALUE"""),"#VALUE!")</f>
        <v>#VALUE!</v>
      </c>
      <c r="CA315" t="str">
        <f ca="1">IFERROR(__xludf.DUMMYFUNCTION("""COMPUTED_VALUE"""),"#VALUE!")</f>
        <v>#VALUE!</v>
      </c>
      <c r="CC315" t="str">
        <f ca="1">IFERROR(__xludf.DUMMYFUNCTION("""COMPUTED_VALUE"""),"#VALUE!")</f>
        <v>#VALUE!</v>
      </c>
      <c r="CD315" t="str">
        <f ca="1">IFERROR(__xludf.DUMMYFUNCTION("""COMPUTED_VALUE"""),"C3598")</f>
        <v>C3598</v>
      </c>
      <c r="CE315" t="str">
        <f ca="1">IFERROR(__xludf.DUMMYFUNCTION("""COMPUTED_VALUE"""),"location of congregation")</f>
        <v>location of congregation</v>
      </c>
      <c r="CF315" t="str">
        <f ca="1">IFERROR(__xludf.DUMMYFUNCTION("""COMPUTED_VALUE"""),"L0080")</f>
        <v>L0080</v>
      </c>
      <c r="CG315" t="str">
        <f ca="1">IFERROR(__xludf.DUMMYFUNCTION("""COMPUTED_VALUE"""),"domus Petrii Burgi")</f>
        <v>domus Petrii Burgi</v>
      </c>
      <c r="CI315" t="str">
        <f ca="1">IFERROR(__xludf.DUMMYFUNCTION("""COMPUTED_VALUE"""),"#VALUE!")</f>
        <v>#VALUE!</v>
      </c>
      <c r="CK315" t="str">
        <f ca="1">IFERROR(__xludf.DUMMYFUNCTION("""COMPUTED_VALUE"""),"#VALUE!")</f>
        <v>#VALUE!</v>
      </c>
      <c r="CS315" t="str">
        <f ca="1">IFERROR(__xludf.DUMMYFUNCTION("""COMPUTED_VALUE"""),"#VALUE!")</f>
        <v>#VALUE!</v>
      </c>
      <c r="CU315" t="str">
        <f ca="1">IFERROR(__xludf.DUMMYFUNCTION("""COMPUTED_VALUE"""),"#VALUE!")</f>
        <v>#VALUE!</v>
      </c>
      <c r="CW315" t="str">
        <f ca="1">IFERROR(__xludf.DUMMYFUNCTION("""COMPUTED_VALUE"""),"#VALUE!")</f>
        <v>#VALUE!</v>
      </c>
      <c r="CY315" t="str">
        <f ca="1">IFERROR(__xludf.DUMMYFUNCTION("""COMPUTED_VALUE"""),"#VALUE!")</f>
        <v>#VALUE!</v>
      </c>
      <c r="DC315" t="str">
        <f ca="1">IFERROR(__xludf.DUMMYFUNCTION("""COMPUTED_VALUE"""),"#VALUE!")</f>
        <v>#VALUE!</v>
      </c>
      <c r="DE315" t="str">
        <f ca="1">IFERROR(__xludf.DUMMYFUNCTION("""COMPUTED_VALUE"""),"#VALUE!")</f>
        <v>#VALUE!</v>
      </c>
      <c r="DH315" t="str">
        <f ca="1">IFERROR(__xludf.DUMMYFUNCTION("""COMPUTED_VALUE"""),"L0080")</f>
        <v>L0080</v>
      </c>
      <c r="DI315" t="str">
        <f ca="1">IFERROR(__xludf.DUMMYFUNCTION("""COMPUTED_VALUE"""),"domus Petrii Burgi")</f>
        <v>domus Petrii Burgi</v>
      </c>
      <c r="DJ315" t="str">
        <f ca="1">IFERROR(__xludf.DUMMYFUNCTION("""COMPUTED_VALUE"""),"domus")</f>
        <v>domus</v>
      </c>
      <c r="DL315" t="str">
        <f ca="1">IFERROR(__xludf.DUMMYFUNCTION("""COMPUTED_VALUE"""),"Davor Salihović")</f>
        <v>Davor Salihović</v>
      </c>
    </row>
    <row r="316" spans="1:116" ht="13.2" x14ac:dyDescent="0.25">
      <c r="A316" t="str">
        <f ca="1">IFERROR(__xludf.DUMMYFUNCTION("""COMPUTED_VALUE"""),"P0322")</f>
        <v>P0322</v>
      </c>
      <c r="B316" t="str">
        <f ca="1">IFERROR(__xludf.DUMMYFUNCTION("""COMPUTED_VALUE"""),"Agnessina, uxor Stephani Borgi")</f>
        <v>Agnessina, uxor Stephani Borgi</v>
      </c>
      <c r="D316" t="str">
        <f ca="1">IFERROR(__xludf.DUMMYFUNCTION("""COMPUTED_VALUE"""),"#VALUE!")</f>
        <v>#VALUE!</v>
      </c>
      <c r="E316" t="str">
        <f ca="1">IFERROR(__xludf.DUMMYFUNCTION("""COMPUTED_VALUE"""),"Agnessina")</f>
        <v>Agnessina</v>
      </c>
      <c r="Q316" t="str">
        <f ca="1">IFERROR(__xludf.DUMMYFUNCTION("""COMPUTED_VALUE"""),"uxor Stephani Borgi")</f>
        <v>uxor Stephani Borgi</v>
      </c>
      <c r="S316" t="str">
        <f ca="1">IFERROR(__xludf.DUMMYFUNCTION("""COMPUTED_VALUE"""),"Latin")</f>
        <v>Latin</v>
      </c>
      <c r="T316" t="str">
        <f ca="1">IFERROR(__xludf.DUMMYFUNCTION("""COMPUTED_VALUE"""),"definite")</f>
        <v>definite</v>
      </c>
      <c r="U316" t="str">
        <f ca="1">IFERROR(__xludf.DUMMYFUNCTION("""COMPUTED_VALUE"""),"C2552")</f>
        <v>C2552</v>
      </c>
      <c r="V316" t="str">
        <f ca="1">IFERROR(__xludf.DUMMYFUNCTION("""COMPUTED_VALUE"""),"female")</f>
        <v>female</v>
      </c>
      <c r="Z316" t="str">
        <f ca="1">IFERROR(__xludf.DUMMYFUNCTION("""COMPUTED_VALUE"""),"196, 197, 200, 227, 228, 229, 249")</f>
        <v>196, 197, 200, 227, 228, 229, 249</v>
      </c>
      <c r="AA316" t="str">
        <f ca="1">IFERROR(__xludf.DUMMYFUNCTION("""COMPUTED_VALUE"""),"d")</f>
        <v>d</v>
      </c>
      <c r="AB316" t="str">
        <f ca="1">IFERROR(__xludf.DUMMYFUNCTION("""COMPUTED_VALUE"""),"suspect")</f>
        <v>suspect</v>
      </c>
      <c r="AD316" t="str">
        <f ca="1">IFERROR(__xludf.DUMMYFUNCTION("""COMPUTED_VALUE"""),"C3287")</f>
        <v>C3287</v>
      </c>
      <c r="AE316" t="str">
        <f ca="1">IFERROR(__xludf.DUMMYFUNCTION("""COMPUTED_VALUE"""),"alive")</f>
        <v>alive</v>
      </c>
      <c r="AF316" t="str">
        <f ca="1">IFERROR(__xludf.DUMMYFUNCTION("""COMPUTED_VALUE"""),"C1753")</f>
        <v>C1753</v>
      </c>
      <c r="AG316" t="str">
        <f ca="1">IFERROR(__xludf.DUMMYFUNCTION("""COMPUTED_VALUE"""),"1335-01-20")</f>
        <v>1335-01-20</v>
      </c>
      <c r="AI316" t="str">
        <f ca="1">IFERROR(__xludf.DUMMYFUNCTION("""COMPUTED_VALUE"""),"#VALUE!")</f>
        <v>#VALUE!</v>
      </c>
      <c r="AK316" t="str">
        <f ca="1">IFERROR(__xludf.DUMMYFUNCTION("""COMPUTED_VALUE"""),"#VALUE!")</f>
        <v>#VALUE!</v>
      </c>
      <c r="AM316" t="str">
        <f ca="1">IFERROR(__xludf.DUMMYFUNCTION("""COMPUTED_VALUE"""),"#VALUE!")</f>
        <v>#VALUE!</v>
      </c>
      <c r="AO316" t="str">
        <f ca="1">IFERROR(__xludf.DUMMYFUNCTION("""COMPUTED_VALUE"""),"#VALUE!")</f>
        <v>#VALUE!</v>
      </c>
      <c r="AQ316" t="str">
        <f ca="1">IFERROR(__xludf.DUMMYFUNCTION("""COMPUTED_VALUE"""),"#VALUE!")</f>
        <v>#VALUE!</v>
      </c>
      <c r="AS316" t="str">
        <f ca="1">IFERROR(__xludf.DUMMYFUNCTION("""COMPUTED_VALUE"""),"#VALUE!")</f>
        <v>#VALUE!</v>
      </c>
      <c r="AU316" t="str">
        <f ca="1">IFERROR(__xludf.DUMMYFUNCTION("""COMPUTED_VALUE"""),"#VALUE!")</f>
        <v>#VALUE!</v>
      </c>
      <c r="AW316" t="str">
        <f ca="1">IFERROR(__xludf.DUMMYFUNCTION("""COMPUTED_VALUE"""),"#VALUE!")</f>
        <v>#VALUE!</v>
      </c>
      <c r="AY316" t="str">
        <f ca="1">IFERROR(__xludf.DUMMYFUNCTION("""COMPUTED_VALUE"""),"#VALUE!")</f>
        <v>#VALUE!</v>
      </c>
      <c r="BA316" t="str">
        <f ca="1">IFERROR(__xludf.DUMMYFUNCTION("""COMPUTED_VALUE"""),"#VALUE!")</f>
        <v>#VALUE!</v>
      </c>
      <c r="BC316" t="str">
        <f ca="1">IFERROR(__xludf.DUMMYFUNCTION("""COMPUTED_VALUE"""),"#VALUE!")</f>
        <v>#VALUE!</v>
      </c>
      <c r="BE316" t="str">
        <f ca="1">IFERROR(__xludf.DUMMYFUNCTION("""COMPUTED_VALUE"""),"#VALUE!")</f>
        <v>#VALUE!</v>
      </c>
      <c r="BG316" t="str">
        <f ca="1">IFERROR(__xludf.DUMMYFUNCTION("""COMPUTED_VALUE"""),"#VALUE!")</f>
        <v>#VALUE!</v>
      </c>
      <c r="BI316" t="str">
        <f ca="1">IFERROR(__xludf.DUMMYFUNCTION("""COMPUTED_VALUE"""),"#VALUE!")</f>
        <v>#VALUE!</v>
      </c>
      <c r="BK316" t="str">
        <f ca="1">IFERROR(__xludf.DUMMYFUNCTION("""COMPUTED_VALUE"""),"#VALUE!")</f>
        <v>#VALUE!</v>
      </c>
      <c r="BM316" t="str">
        <f ca="1">IFERROR(__xludf.DUMMYFUNCTION("""COMPUTED_VALUE"""),"#VALUE!")</f>
        <v>#VALUE!</v>
      </c>
      <c r="BO316" t="str">
        <f ca="1">IFERROR(__xludf.DUMMYFUNCTION("""COMPUTED_VALUE"""),"#VALUE!")</f>
        <v>#VALUE!</v>
      </c>
      <c r="BQ316" t="str">
        <f ca="1">IFERROR(__xludf.DUMMYFUNCTION("""COMPUTED_VALUE"""),"#VALUE!")</f>
        <v>#VALUE!</v>
      </c>
      <c r="BS316" t="str">
        <f ca="1">IFERROR(__xludf.DUMMYFUNCTION("""COMPUTED_VALUE"""),"#VALUE!")</f>
        <v>#VALUE!</v>
      </c>
      <c r="BU316" t="str">
        <f ca="1">IFERROR(__xludf.DUMMYFUNCTION("""COMPUTED_VALUE"""),"#VALUE!")</f>
        <v>#VALUE!</v>
      </c>
      <c r="BW316" t="str">
        <f ca="1">IFERROR(__xludf.DUMMYFUNCTION("""COMPUTED_VALUE"""),"#VALUE!")</f>
        <v>#VALUE!</v>
      </c>
      <c r="BY316" t="str">
        <f ca="1">IFERROR(__xludf.DUMMYFUNCTION("""COMPUTED_VALUE"""),"#VALUE!")</f>
        <v>#VALUE!</v>
      </c>
      <c r="CA316" t="str">
        <f ca="1">IFERROR(__xludf.DUMMYFUNCTION("""COMPUTED_VALUE"""),"#VALUE!")</f>
        <v>#VALUE!</v>
      </c>
      <c r="CC316" t="str">
        <f ca="1">IFERROR(__xludf.DUMMYFUNCTION("""COMPUTED_VALUE"""),"#VALUE!")</f>
        <v>#VALUE!</v>
      </c>
      <c r="CD316" t="str">
        <f ca="1">IFERROR(__xludf.DUMMYFUNCTION("""COMPUTED_VALUE"""),"C3598")</f>
        <v>C3598</v>
      </c>
      <c r="CE316" t="str">
        <f ca="1">IFERROR(__xludf.DUMMYFUNCTION("""COMPUTED_VALUE"""),"location of congregation")</f>
        <v>location of congregation</v>
      </c>
      <c r="CF316" t="str">
        <f ca="1">IFERROR(__xludf.DUMMYFUNCTION("""COMPUTED_VALUE"""),"L0080#L0079#L0132")</f>
        <v>L0080#L0079#L0132</v>
      </c>
      <c r="CG316" t="str">
        <f ca="1">IFERROR(__xludf.DUMMYFUNCTION("""COMPUTED_VALUE"""),"domus Petrii Burgi #domus Martinii Dominici #domus Aleysine Burgi")</f>
        <v>domus Petrii Burgi #domus Martinii Dominici #domus Aleysine Burgi</v>
      </c>
      <c r="CI316" t="str">
        <f ca="1">IFERROR(__xludf.DUMMYFUNCTION("""COMPUTED_VALUE"""),"#VALUE!")</f>
        <v>#VALUE!</v>
      </c>
      <c r="CJ316" t="str">
        <f ca="1">IFERROR(__xludf.DUMMYFUNCTION("""COMPUTED_VALUE"""),"P0228#P0156")</f>
        <v>P0228#P0156</v>
      </c>
      <c r="CK316" t="str">
        <f ca="1">IFERROR(__xludf.DUMMYFUNCTION("""COMPUTED_VALUE"""),"Iohanna de Bruneto #Petrus Burgi")</f>
        <v>Iohanna de Bruneto #Petrus Burgi</v>
      </c>
      <c r="CS316" t="str">
        <f ca="1">IFERROR(__xludf.DUMMYFUNCTION("""COMPUTED_VALUE"""),"#VALUE!")</f>
        <v>#VALUE!</v>
      </c>
      <c r="CU316" t="str">
        <f ca="1">IFERROR(__xludf.DUMMYFUNCTION("""COMPUTED_VALUE"""),"#VALUE!")</f>
        <v>#VALUE!</v>
      </c>
      <c r="CW316" t="str">
        <f ca="1">IFERROR(__xludf.DUMMYFUNCTION("""COMPUTED_VALUE"""),"#VALUE!")</f>
        <v>#VALUE!</v>
      </c>
      <c r="CY316" t="str">
        <f ca="1">IFERROR(__xludf.DUMMYFUNCTION("""COMPUTED_VALUE"""),"#VALUE!")</f>
        <v>#VALUE!</v>
      </c>
      <c r="DC316" t="str">
        <f ca="1">IFERROR(__xludf.DUMMYFUNCTION("""COMPUTED_VALUE"""),"#VALUE!")</f>
        <v>#VALUE!</v>
      </c>
      <c r="DE316" t="str">
        <f ca="1">IFERROR(__xludf.DUMMYFUNCTION("""COMPUTED_VALUE"""),"#VALUE!")</f>
        <v>#VALUE!</v>
      </c>
      <c r="DF316" t="str">
        <f ca="1">IFERROR(__xludf.DUMMYFUNCTION("""COMPUTED_VALUE"""),"y")</f>
        <v>y</v>
      </c>
      <c r="DG316" t="str">
        <f ca="1">IFERROR(__xludf.DUMMYFUNCTION("""COMPUTED_VALUE"""),"228")</f>
        <v>228</v>
      </c>
      <c r="DH316" t="str">
        <f ca="1">IFERROR(__xludf.DUMMYFUNCTION("""COMPUTED_VALUE"""),"L0080#L0079#L0132")</f>
        <v>L0080#L0079#L0132</v>
      </c>
      <c r="DI316" t="str">
        <f ca="1">IFERROR(__xludf.DUMMYFUNCTION("""COMPUTED_VALUE"""),"domus Petrii Burgi #domus Martinii Dominici #domus Aleysine Burgi")</f>
        <v>domus Petrii Burgi #domus Martinii Dominici #domus Aleysine Burgi</v>
      </c>
      <c r="DJ316" t="str">
        <f ca="1">IFERROR(__xludf.DUMMYFUNCTION("""COMPUTED_VALUE"""),"domus #domus #domus")</f>
        <v>domus #domus #domus</v>
      </c>
      <c r="DL316" t="str">
        <f ca="1">IFERROR(__xludf.DUMMYFUNCTION("""COMPUTED_VALUE"""),"Davor Salihović")</f>
        <v>Davor Salihović</v>
      </c>
    </row>
    <row r="317" spans="1:116" ht="13.2" x14ac:dyDescent="0.25">
      <c r="A317" t="str">
        <f ca="1">IFERROR(__xludf.DUMMYFUNCTION("""COMPUTED_VALUE"""),"P0323")</f>
        <v>P0323</v>
      </c>
      <c r="B317" t="str">
        <f ca="1">IFERROR(__xludf.DUMMYFUNCTION("""COMPUTED_VALUE"""),"Marieta, uxor Villelmi Burgi")</f>
        <v>Marieta, uxor Villelmi Burgi</v>
      </c>
      <c r="D317" t="str">
        <f ca="1">IFERROR(__xludf.DUMMYFUNCTION("""COMPUTED_VALUE"""),"#VALUE!")</f>
        <v>#VALUE!</v>
      </c>
      <c r="E317" t="str">
        <f ca="1">IFERROR(__xludf.DUMMYFUNCTION("""COMPUTED_VALUE"""),"Marieta")</f>
        <v>Marieta</v>
      </c>
      <c r="Q317" t="str">
        <f ca="1">IFERROR(__xludf.DUMMYFUNCTION("""COMPUTED_VALUE"""),"uxor Villelmi Burgi")</f>
        <v>uxor Villelmi Burgi</v>
      </c>
      <c r="S317" t="str">
        <f ca="1">IFERROR(__xludf.DUMMYFUNCTION("""COMPUTED_VALUE"""),"Latin")</f>
        <v>Latin</v>
      </c>
      <c r="T317" t="str">
        <f ca="1">IFERROR(__xludf.DUMMYFUNCTION("""COMPUTED_VALUE"""),"definite")</f>
        <v>definite</v>
      </c>
      <c r="U317" t="str">
        <f ca="1">IFERROR(__xludf.DUMMYFUNCTION("""COMPUTED_VALUE"""),"C2552")</f>
        <v>C2552</v>
      </c>
      <c r="V317" t="str">
        <f ca="1">IFERROR(__xludf.DUMMYFUNCTION("""COMPUTED_VALUE"""),"female")</f>
        <v>female</v>
      </c>
      <c r="Z317" t="str">
        <f ca="1">IFERROR(__xludf.DUMMYFUNCTION("""COMPUTED_VALUE"""),"196, 200, 227")</f>
        <v>196, 200, 227</v>
      </c>
      <c r="AA317" t="str">
        <f ca="1">IFERROR(__xludf.DUMMYFUNCTION("""COMPUTED_VALUE"""),"d")</f>
        <v>d</v>
      </c>
      <c r="AB317" t="str">
        <f ca="1">IFERROR(__xludf.DUMMYFUNCTION("""COMPUTED_VALUE"""),"suspect")</f>
        <v>suspect</v>
      </c>
      <c r="AD317" t="str">
        <f ca="1">IFERROR(__xludf.DUMMYFUNCTION("""COMPUTED_VALUE"""),"C3287")</f>
        <v>C3287</v>
      </c>
      <c r="AE317" t="str">
        <f ca="1">IFERROR(__xludf.DUMMYFUNCTION("""COMPUTED_VALUE"""),"alive")</f>
        <v>alive</v>
      </c>
      <c r="AF317" t="str">
        <f ca="1">IFERROR(__xludf.DUMMYFUNCTION("""COMPUTED_VALUE"""),"C1753")</f>
        <v>C1753</v>
      </c>
      <c r="AG317" t="str">
        <f ca="1">IFERROR(__xludf.DUMMYFUNCTION("""COMPUTED_VALUE"""),"1335-01-20")</f>
        <v>1335-01-20</v>
      </c>
      <c r="AI317" t="str">
        <f ca="1">IFERROR(__xludf.DUMMYFUNCTION("""COMPUTED_VALUE"""),"#VALUE!")</f>
        <v>#VALUE!</v>
      </c>
      <c r="AK317" t="str">
        <f ca="1">IFERROR(__xludf.DUMMYFUNCTION("""COMPUTED_VALUE"""),"#VALUE!")</f>
        <v>#VALUE!</v>
      </c>
      <c r="AM317" t="str">
        <f ca="1">IFERROR(__xludf.DUMMYFUNCTION("""COMPUTED_VALUE"""),"#VALUE!")</f>
        <v>#VALUE!</v>
      </c>
      <c r="AO317" t="str">
        <f ca="1">IFERROR(__xludf.DUMMYFUNCTION("""COMPUTED_VALUE"""),"#VALUE!")</f>
        <v>#VALUE!</v>
      </c>
      <c r="AQ317" t="str">
        <f ca="1">IFERROR(__xludf.DUMMYFUNCTION("""COMPUTED_VALUE"""),"#VALUE!")</f>
        <v>#VALUE!</v>
      </c>
      <c r="AS317" t="str">
        <f ca="1">IFERROR(__xludf.DUMMYFUNCTION("""COMPUTED_VALUE"""),"#VALUE!")</f>
        <v>#VALUE!</v>
      </c>
      <c r="AU317" t="str">
        <f ca="1">IFERROR(__xludf.DUMMYFUNCTION("""COMPUTED_VALUE"""),"#VALUE!")</f>
        <v>#VALUE!</v>
      </c>
      <c r="AW317" t="str">
        <f ca="1">IFERROR(__xludf.DUMMYFUNCTION("""COMPUTED_VALUE"""),"#VALUE!")</f>
        <v>#VALUE!</v>
      </c>
      <c r="AY317" t="str">
        <f ca="1">IFERROR(__xludf.DUMMYFUNCTION("""COMPUTED_VALUE"""),"#VALUE!")</f>
        <v>#VALUE!</v>
      </c>
      <c r="BA317" t="str">
        <f ca="1">IFERROR(__xludf.DUMMYFUNCTION("""COMPUTED_VALUE"""),"#VALUE!")</f>
        <v>#VALUE!</v>
      </c>
      <c r="BC317" t="str">
        <f ca="1">IFERROR(__xludf.DUMMYFUNCTION("""COMPUTED_VALUE"""),"#VALUE!")</f>
        <v>#VALUE!</v>
      </c>
      <c r="BE317" t="str">
        <f ca="1">IFERROR(__xludf.DUMMYFUNCTION("""COMPUTED_VALUE"""),"#VALUE!")</f>
        <v>#VALUE!</v>
      </c>
      <c r="BG317" t="str">
        <f ca="1">IFERROR(__xludf.DUMMYFUNCTION("""COMPUTED_VALUE"""),"#VALUE!")</f>
        <v>#VALUE!</v>
      </c>
      <c r="BI317" t="str">
        <f ca="1">IFERROR(__xludf.DUMMYFUNCTION("""COMPUTED_VALUE"""),"#VALUE!")</f>
        <v>#VALUE!</v>
      </c>
      <c r="BK317" t="str">
        <f ca="1">IFERROR(__xludf.DUMMYFUNCTION("""COMPUTED_VALUE"""),"#VALUE!")</f>
        <v>#VALUE!</v>
      </c>
      <c r="BM317" t="str">
        <f ca="1">IFERROR(__xludf.DUMMYFUNCTION("""COMPUTED_VALUE"""),"#VALUE!")</f>
        <v>#VALUE!</v>
      </c>
      <c r="BO317" t="str">
        <f ca="1">IFERROR(__xludf.DUMMYFUNCTION("""COMPUTED_VALUE"""),"#VALUE!")</f>
        <v>#VALUE!</v>
      </c>
      <c r="BQ317" t="str">
        <f ca="1">IFERROR(__xludf.DUMMYFUNCTION("""COMPUTED_VALUE"""),"#VALUE!")</f>
        <v>#VALUE!</v>
      </c>
      <c r="BS317" t="str">
        <f ca="1">IFERROR(__xludf.DUMMYFUNCTION("""COMPUTED_VALUE"""),"#VALUE!")</f>
        <v>#VALUE!</v>
      </c>
      <c r="BU317" t="str">
        <f ca="1">IFERROR(__xludf.DUMMYFUNCTION("""COMPUTED_VALUE"""),"#VALUE!")</f>
        <v>#VALUE!</v>
      </c>
      <c r="BW317" t="str">
        <f ca="1">IFERROR(__xludf.DUMMYFUNCTION("""COMPUTED_VALUE"""),"#VALUE!")</f>
        <v>#VALUE!</v>
      </c>
      <c r="BY317" t="str">
        <f ca="1">IFERROR(__xludf.DUMMYFUNCTION("""COMPUTED_VALUE"""),"#VALUE!")</f>
        <v>#VALUE!</v>
      </c>
      <c r="CA317" t="str">
        <f ca="1">IFERROR(__xludf.DUMMYFUNCTION("""COMPUTED_VALUE"""),"#VALUE!")</f>
        <v>#VALUE!</v>
      </c>
      <c r="CC317" t="str">
        <f ca="1">IFERROR(__xludf.DUMMYFUNCTION("""COMPUTED_VALUE"""),"#VALUE!")</f>
        <v>#VALUE!</v>
      </c>
      <c r="CD317" t="str">
        <f ca="1">IFERROR(__xludf.DUMMYFUNCTION("""COMPUTED_VALUE"""),"C3598")</f>
        <v>C3598</v>
      </c>
      <c r="CE317" t="str">
        <f ca="1">IFERROR(__xludf.DUMMYFUNCTION("""COMPUTED_VALUE"""),"location of congregation")</f>
        <v>location of congregation</v>
      </c>
      <c r="CF317" t="str">
        <f ca="1">IFERROR(__xludf.DUMMYFUNCTION("""COMPUTED_VALUE"""),"L0080")</f>
        <v>L0080</v>
      </c>
      <c r="CG317" t="str">
        <f ca="1">IFERROR(__xludf.DUMMYFUNCTION("""COMPUTED_VALUE"""),"domus Petrii Burgi")</f>
        <v>domus Petrii Burgi</v>
      </c>
      <c r="CI317" t="str">
        <f ca="1">IFERROR(__xludf.DUMMYFUNCTION("""COMPUTED_VALUE"""),"#VALUE!")</f>
        <v>#VALUE!</v>
      </c>
      <c r="CK317" t="str">
        <f ca="1">IFERROR(__xludf.DUMMYFUNCTION("""COMPUTED_VALUE"""),"#VALUE!")</f>
        <v>#VALUE!</v>
      </c>
      <c r="CS317" t="str">
        <f ca="1">IFERROR(__xludf.DUMMYFUNCTION("""COMPUTED_VALUE"""),"#VALUE!")</f>
        <v>#VALUE!</v>
      </c>
      <c r="CU317" t="str">
        <f ca="1">IFERROR(__xludf.DUMMYFUNCTION("""COMPUTED_VALUE"""),"#VALUE!")</f>
        <v>#VALUE!</v>
      </c>
      <c r="CW317" t="str">
        <f ca="1">IFERROR(__xludf.DUMMYFUNCTION("""COMPUTED_VALUE"""),"#VALUE!")</f>
        <v>#VALUE!</v>
      </c>
      <c r="CY317" t="str">
        <f ca="1">IFERROR(__xludf.DUMMYFUNCTION("""COMPUTED_VALUE"""),"#VALUE!")</f>
        <v>#VALUE!</v>
      </c>
      <c r="DC317" t="str">
        <f ca="1">IFERROR(__xludf.DUMMYFUNCTION("""COMPUTED_VALUE"""),"#VALUE!")</f>
        <v>#VALUE!</v>
      </c>
      <c r="DE317" t="str">
        <f ca="1">IFERROR(__xludf.DUMMYFUNCTION("""COMPUTED_VALUE"""),"#VALUE!")</f>
        <v>#VALUE!</v>
      </c>
      <c r="DF317" t="str">
        <f ca="1">IFERROR(__xludf.DUMMYFUNCTION("""COMPUTED_VALUE"""),"y")</f>
        <v>y</v>
      </c>
      <c r="DG317" t="str">
        <f ca="1">IFERROR(__xludf.DUMMYFUNCTION("""COMPUTED_VALUE"""),"227")</f>
        <v>227</v>
      </c>
      <c r="DH317" t="str">
        <f ca="1">IFERROR(__xludf.DUMMYFUNCTION("""COMPUTED_VALUE"""),"L0080")</f>
        <v>L0080</v>
      </c>
      <c r="DI317" t="str">
        <f ca="1">IFERROR(__xludf.DUMMYFUNCTION("""COMPUTED_VALUE"""),"domus Petrii Burgi")</f>
        <v>domus Petrii Burgi</v>
      </c>
      <c r="DJ317" t="str">
        <f ca="1">IFERROR(__xludf.DUMMYFUNCTION("""COMPUTED_VALUE"""),"domus")</f>
        <v>domus</v>
      </c>
      <c r="DL317" t="str">
        <f ca="1">IFERROR(__xludf.DUMMYFUNCTION("""COMPUTED_VALUE"""),"Davor Salihović")</f>
        <v>Davor Salihović</v>
      </c>
    </row>
    <row r="318" spans="1:116" ht="13.2" x14ac:dyDescent="0.25">
      <c r="A318" t="str">
        <f ca="1">IFERROR(__xludf.DUMMYFUNCTION("""COMPUTED_VALUE"""),"P0324")</f>
        <v>P0324</v>
      </c>
      <c r="B318" t="str">
        <f ca="1">IFERROR(__xludf.DUMMYFUNCTION("""COMPUTED_VALUE"""),"Michael Burgi")</f>
        <v>Michael Burgi</v>
      </c>
      <c r="D318" t="str">
        <f ca="1">IFERROR(__xludf.DUMMYFUNCTION("""COMPUTED_VALUE"""),"#VALUE!")</f>
        <v>#VALUE!</v>
      </c>
      <c r="E318" t="str">
        <f ca="1">IFERROR(__xludf.DUMMYFUNCTION("""COMPUTED_VALUE"""),"Michael")</f>
        <v>Michael</v>
      </c>
      <c r="K318" t="str">
        <f ca="1">IFERROR(__xludf.DUMMYFUNCTION("""COMPUTED_VALUE"""),"Burgi")</f>
        <v>Burgi</v>
      </c>
      <c r="L318" t="str">
        <f ca="1">IFERROR(__xludf.DUMMYFUNCTION("""COMPUTED_VALUE"""),"Burgi")</f>
        <v>Burgi</v>
      </c>
      <c r="S318" t="str">
        <f ca="1">IFERROR(__xludf.DUMMYFUNCTION("""COMPUTED_VALUE"""),"Latin")</f>
        <v>Latin</v>
      </c>
      <c r="T318" t="str">
        <f ca="1">IFERROR(__xludf.DUMMYFUNCTION("""COMPUTED_VALUE"""),"definite")</f>
        <v>definite</v>
      </c>
      <c r="U318" t="str">
        <f ca="1">IFERROR(__xludf.DUMMYFUNCTION("""COMPUTED_VALUE"""),"C2553")</f>
        <v>C2553</v>
      </c>
      <c r="V318" t="str">
        <f ca="1">IFERROR(__xludf.DUMMYFUNCTION("""COMPUTED_VALUE"""),"male")</f>
        <v>male</v>
      </c>
      <c r="Z318" t="str">
        <f ca="1">IFERROR(__xludf.DUMMYFUNCTION("""COMPUTED_VALUE"""),"197, 200")</f>
        <v>197, 200</v>
      </c>
      <c r="AA318" t="str">
        <f ca="1">IFERROR(__xludf.DUMMYFUNCTION("""COMPUTED_VALUE"""),"d")</f>
        <v>d</v>
      </c>
      <c r="AB318" t="str">
        <f ca="1">IFERROR(__xludf.DUMMYFUNCTION("""COMPUTED_VALUE"""),"NA")</f>
        <v>NA</v>
      </c>
      <c r="AD318" t="str">
        <f ca="1">IFERROR(__xludf.DUMMYFUNCTION("""COMPUTED_VALUE"""),"C3287")</f>
        <v>C3287</v>
      </c>
      <c r="AE318" t="str">
        <f ca="1">IFERROR(__xludf.DUMMYFUNCTION("""COMPUTED_VALUE"""),"alive")</f>
        <v>alive</v>
      </c>
      <c r="AF318" t="str">
        <f ca="1">IFERROR(__xludf.DUMMYFUNCTION("""COMPUTED_VALUE"""),"C1753")</f>
        <v>C1753</v>
      </c>
      <c r="AG318" t="str">
        <f ca="1">IFERROR(__xludf.DUMMYFUNCTION("""COMPUTED_VALUE"""),"1335-01-20")</f>
        <v>1335-01-20</v>
      </c>
      <c r="AI318" t="str">
        <f ca="1">IFERROR(__xludf.DUMMYFUNCTION("""COMPUTED_VALUE"""),"#VALUE!")</f>
        <v>#VALUE!</v>
      </c>
      <c r="AK318" t="str">
        <f ca="1">IFERROR(__xludf.DUMMYFUNCTION("""COMPUTED_VALUE"""),"#VALUE!")</f>
        <v>#VALUE!</v>
      </c>
      <c r="AM318" t="str">
        <f ca="1">IFERROR(__xludf.DUMMYFUNCTION("""COMPUTED_VALUE"""),"#VALUE!")</f>
        <v>#VALUE!</v>
      </c>
      <c r="AO318" t="str">
        <f ca="1">IFERROR(__xludf.DUMMYFUNCTION("""COMPUTED_VALUE"""),"#VALUE!")</f>
        <v>#VALUE!</v>
      </c>
      <c r="AQ318" t="str">
        <f ca="1">IFERROR(__xludf.DUMMYFUNCTION("""COMPUTED_VALUE"""),"#VALUE!")</f>
        <v>#VALUE!</v>
      </c>
      <c r="AS318" t="str">
        <f ca="1">IFERROR(__xludf.DUMMYFUNCTION("""COMPUTED_VALUE"""),"#VALUE!")</f>
        <v>#VALUE!</v>
      </c>
      <c r="AU318" t="str">
        <f ca="1">IFERROR(__xludf.DUMMYFUNCTION("""COMPUTED_VALUE"""),"#VALUE!")</f>
        <v>#VALUE!</v>
      </c>
      <c r="AW318" t="str">
        <f ca="1">IFERROR(__xludf.DUMMYFUNCTION("""COMPUTED_VALUE"""),"#VALUE!")</f>
        <v>#VALUE!</v>
      </c>
      <c r="AY318" t="str">
        <f ca="1">IFERROR(__xludf.DUMMYFUNCTION("""COMPUTED_VALUE"""),"#VALUE!")</f>
        <v>#VALUE!</v>
      </c>
      <c r="BA318" t="str">
        <f ca="1">IFERROR(__xludf.DUMMYFUNCTION("""COMPUTED_VALUE"""),"#VALUE!")</f>
        <v>#VALUE!</v>
      </c>
      <c r="BC318" t="str">
        <f ca="1">IFERROR(__xludf.DUMMYFUNCTION("""COMPUTED_VALUE"""),"#VALUE!")</f>
        <v>#VALUE!</v>
      </c>
      <c r="BE318" t="str">
        <f ca="1">IFERROR(__xludf.DUMMYFUNCTION("""COMPUTED_VALUE"""),"#VALUE!")</f>
        <v>#VALUE!</v>
      </c>
      <c r="BG318" t="str">
        <f ca="1">IFERROR(__xludf.DUMMYFUNCTION("""COMPUTED_VALUE"""),"#VALUE!")</f>
        <v>#VALUE!</v>
      </c>
      <c r="BI318" t="str">
        <f ca="1">IFERROR(__xludf.DUMMYFUNCTION("""COMPUTED_VALUE"""),"#VALUE!")</f>
        <v>#VALUE!</v>
      </c>
      <c r="BK318" t="str">
        <f ca="1">IFERROR(__xludf.DUMMYFUNCTION("""COMPUTED_VALUE"""),"#VALUE!")</f>
        <v>#VALUE!</v>
      </c>
      <c r="BM318" t="str">
        <f ca="1">IFERROR(__xludf.DUMMYFUNCTION("""COMPUTED_VALUE"""),"#VALUE!")</f>
        <v>#VALUE!</v>
      </c>
      <c r="BO318" t="str">
        <f ca="1">IFERROR(__xludf.DUMMYFUNCTION("""COMPUTED_VALUE"""),"#VALUE!")</f>
        <v>#VALUE!</v>
      </c>
      <c r="BQ318" t="str">
        <f ca="1">IFERROR(__xludf.DUMMYFUNCTION("""COMPUTED_VALUE"""),"#VALUE!")</f>
        <v>#VALUE!</v>
      </c>
      <c r="BS318" t="str">
        <f ca="1">IFERROR(__xludf.DUMMYFUNCTION("""COMPUTED_VALUE"""),"#VALUE!")</f>
        <v>#VALUE!</v>
      </c>
      <c r="BU318" t="str">
        <f ca="1">IFERROR(__xludf.DUMMYFUNCTION("""COMPUTED_VALUE"""),"#VALUE!")</f>
        <v>#VALUE!</v>
      </c>
      <c r="BW318" t="str">
        <f ca="1">IFERROR(__xludf.DUMMYFUNCTION("""COMPUTED_VALUE"""),"#VALUE!")</f>
        <v>#VALUE!</v>
      </c>
      <c r="BY318" t="str">
        <f ca="1">IFERROR(__xludf.DUMMYFUNCTION("""COMPUTED_VALUE"""),"#VALUE!")</f>
        <v>#VALUE!</v>
      </c>
      <c r="CA318" t="str">
        <f ca="1">IFERROR(__xludf.DUMMYFUNCTION("""COMPUTED_VALUE"""),"#VALUE!")</f>
        <v>#VALUE!</v>
      </c>
      <c r="CC318" t="str">
        <f ca="1">IFERROR(__xludf.DUMMYFUNCTION("""COMPUTED_VALUE"""),"#VALUE!")</f>
        <v>#VALUE!</v>
      </c>
      <c r="CE318" t="str">
        <f ca="1">IFERROR(__xludf.DUMMYFUNCTION("""COMPUTED_VALUE"""),"#VALUE!")</f>
        <v>#VALUE!</v>
      </c>
      <c r="CG318" t="str">
        <f ca="1">IFERROR(__xludf.DUMMYFUNCTION("""COMPUTED_VALUE"""),"#VALUE!")</f>
        <v>#VALUE!</v>
      </c>
      <c r="CI318" t="str">
        <f ca="1">IFERROR(__xludf.DUMMYFUNCTION("""COMPUTED_VALUE"""),"#VALUE!")</f>
        <v>#VALUE!</v>
      </c>
      <c r="CK318" t="str">
        <f ca="1">IFERROR(__xludf.DUMMYFUNCTION("""COMPUTED_VALUE"""),"#VALUE!")</f>
        <v>#VALUE!</v>
      </c>
      <c r="CS318" t="str">
        <f ca="1">IFERROR(__xludf.DUMMYFUNCTION("""COMPUTED_VALUE"""),"#VALUE!")</f>
        <v>#VALUE!</v>
      </c>
      <c r="CU318" t="str">
        <f ca="1">IFERROR(__xludf.DUMMYFUNCTION("""COMPUTED_VALUE"""),"#VALUE!")</f>
        <v>#VALUE!</v>
      </c>
      <c r="CW318" t="str">
        <f ca="1">IFERROR(__xludf.DUMMYFUNCTION("""COMPUTED_VALUE"""),"#VALUE!")</f>
        <v>#VALUE!</v>
      </c>
      <c r="CY318" t="str">
        <f ca="1">IFERROR(__xludf.DUMMYFUNCTION("""COMPUTED_VALUE"""),"#VALUE!")</f>
        <v>#VALUE!</v>
      </c>
      <c r="DC318" t="str">
        <f ca="1">IFERROR(__xludf.DUMMYFUNCTION("""COMPUTED_VALUE"""),"#VALUE!")</f>
        <v>#VALUE!</v>
      </c>
      <c r="DE318" t="str">
        <f ca="1">IFERROR(__xludf.DUMMYFUNCTION("""COMPUTED_VALUE"""),"#VALUE!")</f>
        <v>#VALUE!</v>
      </c>
      <c r="DI318" t="str">
        <f ca="1">IFERROR(__xludf.DUMMYFUNCTION("""COMPUTED_VALUE"""),"#VALUE!")</f>
        <v>#VALUE!</v>
      </c>
      <c r="DJ318" t="str">
        <f ca="1">IFERROR(__xludf.DUMMYFUNCTION("""COMPUTED_VALUE"""),"#VALUE!")</f>
        <v>#VALUE!</v>
      </c>
      <c r="DL318" t="str">
        <f ca="1">IFERROR(__xludf.DUMMYFUNCTION("""COMPUTED_VALUE"""),"Davor Salihović")</f>
        <v>Davor Salihović</v>
      </c>
    </row>
    <row r="319" spans="1:116" ht="13.2" x14ac:dyDescent="0.25">
      <c r="A319" t="str">
        <f ca="1">IFERROR(__xludf.DUMMYFUNCTION("""COMPUTED_VALUE"""),"P0325")</f>
        <v>P0325</v>
      </c>
      <c r="B319" t="str">
        <f ca="1">IFERROR(__xludf.DUMMYFUNCTION("""COMPUTED_VALUE"""),"Stephanus Bet")</f>
        <v>Stephanus Bet</v>
      </c>
      <c r="D319" t="str">
        <f ca="1">IFERROR(__xludf.DUMMYFUNCTION("""COMPUTED_VALUE"""),"#VALUE!")</f>
        <v>#VALUE!</v>
      </c>
      <c r="E319" t="str">
        <f ca="1">IFERROR(__xludf.DUMMYFUNCTION("""COMPUTED_VALUE"""),"Stephanus")</f>
        <v>Stephanus</v>
      </c>
      <c r="K319" t="str">
        <f ca="1">IFERROR(__xludf.DUMMYFUNCTION("""COMPUTED_VALUE"""),"Bet")</f>
        <v>Bet</v>
      </c>
      <c r="L319" t="str">
        <f ca="1">IFERROR(__xludf.DUMMYFUNCTION("""COMPUTED_VALUE"""),"Bet")</f>
        <v>Bet</v>
      </c>
      <c r="S319" t="str">
        <f ca="1">IFERROR(__xludf.DUMMYFUNCTION("""COMPUTED_VALUE"""),"Latin")</f>
        <v>Latin</v>
      </c>
      <c r="T319" t="str">
        <f ca="1">IFERROR(__xludf.DUMMYFUNCTION("""COMPUTED_VALUE"""),"indefinite")</f>
        <v>indefinite</v>
      </c>
      <c r="U319" t="str">
        <f ca="1">IFERROR(__xludf.DUMMYFUNCTION("""COMPUTED_VALUE"""),"C2553")</f>
        <v>C2553</v>
      </c>
      <c r="V319" t="str">
        <f ca="1">IFERROR(__xludf.DUMMYFUNCTION("""COMPUTED_VALUE"""),"male")</f>
        <v>male</v>
      </c>
      <c r="Z319" t="str">
        <f ca="1">IFERROR(__xludf.DUMMYFUNCTION("""COMPUTED_VALUE"""),"197")</f>
        <v>197</v>
      </c>
      <c r="AA319" t="str">
        <f ca="1">IFERROR(__xludf.DUMMYFUNCTION("""COMPUTED_VALUE"""),"d")</f>
        <v>d</v>
      </c>
      <c r="AB319" t="str">
        <f ca="1">IFERROR(__xludf.DUMMYFUNCTION("""COMPUTED_VALUE"""),"suspect")</f>
        <v>suspect</v>
      </c>
      <c r="AE319" t="str">
        <f ca="1">IFERROR(__xludf.DUMMYFUNCTION("""COMPUTED_VALUE"""),"#VALUE!")</f>
        <v>#VALUE!</v>
      </c>
      <c r="AF319" t="str">
        <f ca="1">IFERROR(__xludf.DUMMYFUNCTION("""COMPUTED_VALUE"""),"#N/A")</f>
        <v>#N/A</v>
      </c>
      <c r="AG319" t="str">
        <f ca="1">IFERROR(__xludf.DUMMYFUNCTION("""COMPUTED_VALUE"""),"#N/A")</f>
        <v>#N/A</v>
      </c>
      <c r="AI319" t="str">
        <f ca="1">IFERROR(__xludf.DUMMYFUNCTION("""COMPUTED_VALUE"""),"#VALUE!")</f>
        <v>#VALUE!</v>
      </c>
      <c r="AK319" t="str">
        <f ca="1">IFERROR(__xludf.DUMMYFUNCTION("""COMPUTED_VALUE"""),"#VALUE!")</f>
        <v>#VALUE!</v>
      </c>
      <c r="AM319" t="str">
        <f ca="1">IFERROR(__xludf.DUMMYFUNCTION("""COMPUTED_VALUE"""),"#VALUE!")</f>
        <v>#VALUE!</v>
      </c>
      <c r="AO319" t="str">
        <f ca="1">IFERROR(__xludf.DUMMYFUNCTION("""COMPUTED_VALUE"""),"#VALUE!")</f>
        <v>#VALUE!</v>
      </c>
      <c r="AQ319" t="str">
        <f ca="1">IFERROR(__xludf.DUMMYFUNCTION("""COMPUTED_VALUE"""),"#VALUE!")</f>
        <v>#VALUE!</v>
      </c>
      <c r="AS319" t="str">
        <f ca="1">IFERROR(__xludf.DUMMYFUNCTION("""COMPUTED_VALUE"""),"#VALUE!")</f>
        <v>#VALUE!</v>
      </c>
      <c r="AU319" t="str">
        <f ca="1">IFERROR(__xludf.DUMMYFUNCTION("""COMPUTED_VALUE"""),"#VALUE!")</f>
        <v>#VALUE!</v>
      </c>
      <c r="AW319" t="str">
        <f ca="1">IFERROR(__xludf.DUMMYFUNCTION("""COMPUTED_VALUE"""),"#VALUE!")</f>
        <v>#VALUE!</v>
      </c>
      <c r="AY319" t="str">
        <f ca="1">IFERROR(__xludf.DUMMYFUNCTION("""COMPUTED_VALUE"""),"#VALUE!")</f>
        <v>#VALUE!</v>
      </c>
      <c r="BA319" t="str">
        <f ca="1">IFERROR(__xludf.DUMMYFUNCTION("""COMPUTED_VALUE"""),"#VALUE!")</f>
        <v>#VALUE!</v>
      </c>
      <c r="BC319" t="str">
        <f ca="1">IFERROR(__xludf.DUMMYFUNCTION("""COMPUTED_VALUE"""),"#VALUE!")</f>
        <v>#VALUE!</v>
      </c>
      <c r="BE319" t="str">
        <f ca="1">IFERROR(__xludf.DUMMYFUNCTION("""COMPUTED_VALUE"""),"#VALUE!")</f>
        <v>#VALUE!</v>
      </c>
      <c r="BG319" t="str">
        <f ca="1">IFERROR(__xludf.DUMMYFUNCTION("""COMPUTED_VALUE"""),"#VALUE!")</f>
        <v>#VALUE!</v>
      </c>
      <c r="BI319" t="str">
        <f ca="1">IFERROR(__xludf.DUMMYFUNCTION("""COMPUTED_VALUE"""),"#VALUE!")</f>
        <v>#VALUE!</v>
      </c>
      <c r="BK319" t="str">
        <f ca="1">IFERROR(__xludf.DUMMYFUNCTION("""COMPUTED_VALUE"""),"#VALUE!")</f>
        <v>#VALUE!</v>
      </c>
      <c r="BM319" t="str">
        <f ca="1">IFERROR(__xludf.DUMMYFUNCTION("""COMPUTED_VALUE"""),"#VALUE!")</f>
        <v>#VALUE!</v>
      </c>
      <c r="BO319" t="str">
        <f ca="1">IFERROR(__xludf.DUMMYFUNCTION("""COMPUTED_VALUE"""),"#VALUE!")</f>
        <v>#VALUE!</v>
      </c>
      <c r="BQ319" t="str">
        <f ca="1">IFERROR(__xludf.DUMMYFUNCTION("""COMPUTED_VALUE"""),"#VALUE!")</f>
        <v>#VALUE!</v>
      </c>
      <c r="BS319" t="str">
        <f ca="1">IFERROR(__xludf.DUMMYFUNCTION("""COMPUTED_VALUE"""),"#VALUE!")</f>
        <v>#VALUE!</v>
      </c>
      <c r="BU319" t="str">
        <f ca="1">IFERROR(__xludf.DUMMYFUNCTION("""COMPUTED_VALUE"""),"#VALUE!")</f>
        <v>#VALUE!</v>
      </c>
      <c r="BW319" t="str">
        <f ca="1">IFERROR(__xludf.DUMMYFUNCTION("""COMPUTED_VALUE"""),"#VALUE!")</f>
        <v>#VALUE!</v>
      </c>
      <c r="BY319" t="str">
        <f ca="1">IFERROR(__xludf.DUMMYFUNCTION("""COMPUTED_VALUE"""),"#VALUE!")</f>
        <v>#VALUE!</v>
      </c>
      <c r="CA319" t="str">
        <f ca="1">IFERROR(__xludf.DUMMYFUNCTION("""COMPUTED_VALUE"""),"#VALUE!")</f>
        <v>#VALUE!</v>
      </c>
      <c r="CC319" t="str">
        <f ca="1">IFERROR(__xludf.DUMMYFUNCTION("""COMPUTED_VALUE"""),"#VALUE!")</f>
        <v>#VALUE!</v>
      </c>
      <c r="CE319" t="str">
        <f ca="1">IFERROR(__xludf.DUMMYFUNCTION("""COMPUTED_VALUE"""),"#VALUE!")</f>
        <v>#VALUE!</v>
      </c>
      <c r="CG319" t="str">
        <f ca="1">IFERROR(__xludf.DUMMYFUNCTION("""COMPUTED_VALUE"""),"#VALUE!")</f>
        <v>#VALUE!</v>
      </c>
      <c r="CI319" t="str">
        <f ca="1">IFERROR(__xludf.DUMMYFUNCTION("""COMPUTED_VALUE"""),"#VALUE!")</f>
        <v>#VALUE!</v>
      </c>
      <c r="CK319" t="str">
        <f ca="1">IFERROR(__xludf.DUMMYFUNCTION("""COMPUTED_VALUE"""),"#VALUE!")</f>
        <v>#VALUE!</v>
      </c>
      <c r="CR319" t="str">
        <f ca="1">IFERROR(__xludf.DUMMYFUNCTION("""COMPUTED_VALUE"""),"L0063")</f>
        <v>L0063</v>
      </c>
      <c r="CS319" t="str">
        <f ca="1">IFERROR(__xludf.DUMMYFUNCTION("""COMPUTED_VALUE"""),"Selvaggio")</f>
        <v>Selvaggio</v>
      </c>
      <c r="CU319" t="str">
        <f ca="1">IFERROR(__xludf.DUMMYFUNCTION("""COMPUTED_VALUE"""),"#VALUE!")</f>
        <v>#VALUE!</v>
      </c>
      <c r="CW319" t="str">
        <f ca="1">IFERROR(__xludf.DUMMYFUNCTION("""COMPUTED_VALUE"""),"#VALUE!")</f>
        <v>#VALUE!</v>
      </c>
      <c r="CY319" t="str">
        <f ca="1">IFERROR(__xludf.DUMMYFUNCTION("""COMPUTED_VALUE"""),"#VALUE!")</f>
        <v>#VALUE!</v>
      </c>
      <c r="DC319" t="str">
        <f ca="1">IFERROR(__xludf.DUMMYFUNCTION("""COMPUTED_VALUE"""),"#VALUE!")</f>
        <v>#VALUE!</v>
      </c>
      <c r="DE319" t="str">
        <f ca="1">IFERROR(__xludf.DUMMYFUNCTION("""COMPUTED_VALUE"""),"#VALUE!")</f>
        <v>#VALUE!</v>
      </c>
      <c r="DI319" t="str">
        <f ca="1">IFERROR(__xludf.DUMMYFUNCTION("""COMPUTED_VALUE"""),"#VALUE!")</f>
        <v>#VALUE!</v>
      </c>
      <c r="DJ319" t="str">
        <f ca="1">IFERROR(__xludf.DUMMYFUNCTION("""COMPUTED_VALUE"""),"#VALUE!")</f>
        <v>#VALUE!</v>
      </c>
      <c r="DK319" t="str">
        <f ca="1">IFERROR(__xludf.DUMMYFUNCTION("""COMPUTED_VALUE"""),"Probably the same as Stephanus Vet/Vec")</f>
        <v>Probably the same as Stephanus Vet/Vec</v>
      </c>
      <c r="DL319" t="str">
        <f ca="1">IFERROR(__xludf.DUMMYFUNCTION("""COMPUTED_VALUE"""),"Davor Salihović")</f>
        <v>Davor Salihović</v>
      </c>
    </row>
    <row r="320" spans="1:116" ht="13.2" x14ac:dyDescent="0.25">
      <c r="A320" t="str">
        <f ca="1">IFERROR(__xludf.DUMMYFUNCTION("""COMPUTED_VALUE"""),"P0326")</f>
        <v>P0326</v>
      </c>
      <c r="B320" t="str">
        <f ca="1">IFERROR(__xludf.DUMMYFUNCTION("""COMPUTED_VALUE"""),"mater Aymoneti et Michaelis de Fomia")</f>
        <v>mater Aymoneti et Michaelis de Fomia</v>
      </c>
      <c r="D320" t="str">
        <f ca="1">IFERROR(__xludf.DUMMYFUNCTION("""COMPUTED_VALUE"""),"#VALUE!")</f>
        <v>#VALUE!</v>
      </c>
      <c r="E320" t="str">
        <f ca="1">IFERROR(__xludf.DUMMYFUNCTION("""COMPUTED_VALUE"""),"mater Aymoneti et Michaelis de Fomia")</f>
        <v>mater Aymoneti et Michaelis de Fomia</v>
      </c>
      <c r="Q320" t="str">
        <f ca="1">IFERROR(__xludf.DUMMYFUNCTION("""COMPUTED_VALUE"""),"mater Aymoneti et Michaelis de Fomia")</f>
        <v>mater Aymoneti et Michaelis de Fomia</v>
      </c>
      <c r="S320" t="str">
        <f ca="1">IFERROR(__xludf.DUMMYFUNCTION("""COMPUTED_VALUE"""),"Latin")</f>
        <v>Latin</v>
      </c>
      <c r="T320" t="str">
        <f ca="1">IFERROR(__xludf.DUMMYFUNCTION("""COMPUTED_VALUE"""),"definite")</f>
        <v>definite</v>
      </c>
      <c r="U320" t="str">
        <f ca="1">IFERROR(__xludf.DUMMYFUNCTION("""COMPUTED_VALUE"""),"C2552")</f>
        <v>C2552</v>
      </c>
      <c r="V320" t="str">
        <f ca="1">IFERROR(__xludf.DUMMYFUNCTION("""COMPUTED_VALUE"""),"female")</f>
        <v>female</v>
      </c>
      <c r="Z320" t="str">
        <f ca="1">IFERROR(__xludf.DUMMYFUNCTION("""COMPUTED_VALUE"""),"198")</f>
        <v>198</v>
      </c>
      <c r="AA320" t="str">
        <f ca="1">IFERROR(__xludf.DUMMYFUNCTION("""COMPUTED_VALUE"""),"d")</f>
        <v>d</v>
      </c>
      <c r="AB320" t="str">
        <f ca="1">IFERROR(__xludf.DUMMYFUNCTION("""COMPUTED_VALUE"""),"suspect")</f>
        <v>suspect</v>
      </c>
      <c r="AE320" t="str">
        <f ca="1">IFERROR(__xludf.DUMMYFUNCTION("""COMPUTED_VALUE"""),"#VALUE!")</f>
        <v>#VALUE!</v>
      </c>
      <c r="AF320" t="str">
        <f ca="1">IFERROR(__xludf.DUMMYFUNCTION("""COMPUTED_VALUE"""),"#N/A")</f>
        <v>#N/A</v>
      </c>
      <c r="AG320" t="str">
        <f ca="1">IFERROR(__xludf.DUMMYFUNCTION("""COMPUTED_VALUE"""),"#N/A")</f>
        <v>#N/A</v>
      </c>
      <c r="AI320" t="str">
        <f ca="1">IFERROR(__xludf.DUMMYFUNCTION("""COMPUTED_VALUE"""),"#VALUE!")</f>
        <v>#VALUE!</v>
      </c>
      <c r="AK320" t="str">
        <f ca="1">IFERROR(__xludf.DUMMYFUNCTION("""COMPUTED_VALUE"""),"#VALUE!")</f>
        <v>#VALUE!</v>
      </c>
      <c r="AM320" t="str">
        <f ca="1">IFERROR(__xludf.DUMMYFUNCTION("""COMPUTED_VALUE"""),"#VALUE!")</f>
        <v>#VALUE!</v>
      </c>
      <c r="AO320" t="str">
        <f ca="1">IFERROR(__xludf.DUMMYFUNCTION("""COMPUTED_VALUE"""),"#VALUE!")</f>
        <v>#VALUE!</v>
      </c>
      <c r="AQ320" t="str">
        <f ca="1">IFERROR(__xludf.DUMMYFUNCTION("""COMPUTED_VALUE"""),"#VALUE!")</f>
        <v>#VALUE!</v>
      </c>
      <c r="AS320" t="str">
        <f ca="1">IFERROR(__xludf.DUMMYFUNCTION("""COMPUTED_VALUE"""),"#VALUE!")</f>
        <v>#VALUE!</v>
      </c>
      <c r="AU320" t="str">
        <f ca="1">IFERROR(__xludf.DUMMYFUNCTION("""COMPUTED_VALUE"""),"#VALUE!")</f>
        <v>#VALUE!</v>
      </c>
      <c r="AW320" t="str">
        <f ca="1">IFERROR(__xludf.DUMMYFUNCTION("""COMPUTED_VALUE"""),"#VALUE!")</f>
        <v>#VALUE!</v>
      </c>
      <c r="AY320" t="str">
        <f ca="1">IFERROR(__xludf.DUMMYFUNCTION("""COMPUTED_VALUE"""),"#VALUE!")</f>
        <v>#VALUE!</v>
      </c>
      <c r="BA320" t="str">
        <f ca="1">IFERROR(__xludf.DUMMYFUNCTION("""COMPUTED_VALUE"""),"#VALUE!")</f>
        <v>#VALUE!</v>
      </c>
      <c r="BC320" t="str">
        <f ca="1">IFERROR(__xludf.DUMMYFUNCTION("""COMPUTED_VALUE"""),"#VALUE!")</f>
        <v>#VALUE!</v>
      </c>
      <c r="BE320" t="str">
        <f ca="1">IFERROR(__xludf.DUMMYFUNCTION("""COMPUTED_VALUE"""),"#VALUE!")</f>
        <v>#VALUE!</v>
      </c>
      <c r="BG320" t="str">
        <f ca="1">IFERROR(__xludf.DUMMYFUNCTION("""COMPUTED_VALUE"""),"#VALUE!")</f>
        <v>#VALUE!</v>
      </c>
      <c r="BI320" t="str">
        <f ca="1">IFERROR(__xludf.DUMMYFUNCTION("""COMPUTED_VALUE"""),"#VALUE!")</f>
        <v>#VALUE!</v>
      </c>
      <c r="BK320" t="str">
        <f ca="1">IFERROR(__xludf.DUMMYFUNCTION("""COMPUTED_VALUE"""),"#VALUE!")</f>
        <v>#VALUE!</v>
      </c>
      <c r="BM320" t="str">
        <f ca="1">IFERROR(__xludf.DUMMYFUNCTION("""COMPUTED_VALUE"""),"#VALUE!")</f>
        <v>#VALUE!</v>
      </c>
      <c r="BO320" t="str">
        <f ca="1">IFERROR(__xludf.DUMMYFUNCTION("""COMPUTED_VALUE"""),"#VALUE!")</f>
        <v>#VALUE!</v>
      </c>
      <c r="BQ320" t="str">
        <f ca="1">IFERROR(__xludf.DUMMYFUNCTION("""COMPUTED_VALUE"""),"#VALUE!")</f>
        <v>#VALUE!</v>
      </c>
      <c r="BS320" t="str">
        <f ca="1">IFERROR(__xludf.DUMMYFUNCTION("""COMPUTED_VALUE"""),"#VALUE!")</f>
        <v>#VALUE!</v>
      </c>
      <c r="BU320" t="str">
        <f ca="1">IFERROR(__xludf.DUMMYFUNCTION("""COMPUTED_VALUE"""),"#VALUE!")</f>
        <v>#VALUE!</v>
      </c>
      <c r="BW320" t="str">
        <f ca="1">IFERROR(__xludf.DUMMYFUNCTION("""COMPUTED_VALUE"""),"#VALUE!")</f>
        <v>#VALUE!</v>
      </c>
      <c r="BY320" t="str">
        <f ca="1">IFERROR(__xludf.DUMMYFUNCTION("""COMPUTED_VALUE"""),"#VALUE!")</f>
        <v>#VALUE!</v>
      </c>
      <c r="CA320" t="str">
        <f ca="1">IFERROR(__xludf.DUMMYFUNCTION("""COMPUTED_VALUE"""),"#VALUE!")</f>
        <v>#VALUE!</v>
      </c>
      <c r="CC320" t="str">
        <f ca="1">IFERROR(__xludf.DUMMYFUNCTION("""COMPUTED_VALUE"""),"#VALUE!")</f>
        <v>#VALUE!</v>
      </c>
      <c r="CD320" t="str">
        <f ca="1">IFERROR(__xludf.DUMMYFUNCTION("""COMPUTED_VALUE"""),"C3598")</f>
        <v>C3598</v>
      </c>
      <c r="CE320" t="str">
        <f ca="1">IFERROR(__xludf.DUMMYFUNCTION("""COMPUTED_VALUE"""),"location of congregation")</f>
        <v>location of congregation</v>
      </c>
      <c r="CF320" t="str">
        <f ca="1">IFERROR(__xludf.DUMMYFUNCTION("""COMPUTED_VALUE"""),"L0117")</f>
        <v>L0117</v>
      </c>
      <c r="CG320" t="str">
        <f ca="1">IFERROR(__xludf.DUMMYFUNCTION("""COMPUTED_VALUE"""),"domus Michaelis de Fomia")</f>
        <v>domus Michaelis de Fomia</v>
      </c>
      <c r="CI320" t="str">
        <f ca="1">IFERROR(__xludf.DUMMYFUNCTION("""COMPUTED_VALUE"""),"#VALUE!")</f>
        <v>#VALUE!</v>
      </c>
      <c r="CK320" t="str">
        <f ca="1">IFERROR(__xludf.DUMMYFUNCTION("""COMPUTED_VALUE"""),"#VALUE!")</f>
        <v>#VALUE!</v>
      </c>
      <c r="CS320" t="str">
        <f ca="1">IFERROR(__xludf.DUMMYFUNCTION("""COMPUTED_VALUE"""),"#VALUE!")</f>
        <v>#VALUE!</v>
      </c>
      <c r="CU320" t="str">
        <f ca="1">IFERROR(__xludf.DUMMYFUNCTION("""COMPUTED_VALUE"""),"#VALUE!")</f>
        <v>#VALUE!</v>
      </c>
      <c r="CW320" t="str">
        <f ca="1">IFERROR(__xludf.DUMMYFUNCTION("""COMPUTED_VALUE"""),"#VALUE!")</f>
        <v>#VALUE!</v>
      </c>
      <c r="CY320" t="str">
        <f ca="1">IFERROR(__xludf.DUMMYFUNCTION("""COMPUTED_VALUE"""),"#VALUE!")</f>
        <v>#VALUE!</v>
      </c>
      <c r="DC320" t="str">
        <f ca="1">IFERROR(__xludf.DUMMYFUNCTION("""COMPUTED_VALUE"""),"#VALUE!")</f>
        <v>#VALUE!</v>
      </c>
      <c r="DE320" t="str">
        <f ca="1">IFERROR(__xludf.DUMMYFUNCTION("""COMPUTED_VALUE"""),"#VALUE!")</f>
        <v>#VALUE!</v>
      </c>
      <c r="DH320" t="str">
        <f ca="1">IFERROR(__xludf.DUMMYFUNCTION("""COMPUTED_VALUE"""),"L0117")</f>
        <v>L0117</v>
      </c>
      <c r="DI320" t="str">
        <f ca="1">IFERROR(__xludf.DUMMYFUNCTION("""COMPUTED_VALUE"""),"domus Michaelis de Fomia")</f>
        <v>domus Michaelis de Fomia</v>
      </c>
      <c r="DJ320" t="str">
        <f ca="1">IFERROR(__xludf.DUMMYFUNCTION("""COMPUTED_VALUE"""),"domus")</f>
        <v>domus</v>
      </c>
      <c r="DL320" t="str">
        <f ca="1">IFERROR(__xludf.DUMMYFUNCTION("""COMPUTED_VALUE"""),"Davor Salihović")</f>
        <v>Davor Salihović</v>
      </c>
    </row>
    <row r="321" spans="1:116" ht="13.2" x14ac:dyDescent="0.25">
      <c r="A321" t="str">
        <f ca="1">IFERROR(__xludf.DUMMYFUNCTION("""COMPUTED_VALUE"""),"P0327")</f>
        <v>P0327</v>
      </c>
      <c r="B321" t="str">
        <f ca="1">IFERROR(__xludf.DUMMYFUNCTION("""COMPUTED_VALUE"""),"Petrus de Girauda")</f>
        <v>Petrus de Girauda</v>
      </c>
      <c r="D321" t="str">
        <f ca="1">IFERROR(__xludf.DUMMYFUNCTION("""COMPUTED_VALUE"""),"#VALUE!")</f>
        <v>#VALUE!</v>
      </c>
      <c r="E321" t="str">
        <f ca="1">IFERROR(__xludf.DUMMYFUNCTION("""COMPUTED_VALUE"""),"Petrus")</f>
        <v>Petrus</v>
      </c>
      <c r="J321" t="str">
        <f ca="1">IFERROR(__xludf.DUMMYFUNCTION("""COMPUTED_VALUE"""),"de")</f>
        <v>de</v>
      </c>
      <c r="K321" t="str">
        <f ca="1">IFERROR(__xludf.DUMMYFUNCTION("""COMPUTED_VALUE"""),"Girauda")</f>
        <v>Girauda</v>
      </c>
      <c r="L321" t="str">
        <f ca="1">IFERROR(__xludf.DUMMYFUNCTION("""COMPUTED_VALUE"""),"de Girauda")</f>
        <v>de Girauda</v>
      </c>
      <c r="S321" t="str">
        <f ca="1">IFERROR(__xludf.DUMMYFUNCTION("""COMPUTED_VALUE"""),"Latin")</f>
        <v>Latin</v>
      </c>
      <c r="T321" t="str">
        <f ca="1">IFERROR(__xludf.DUMMYFUNCTION("""COMPUTED_VALUE"""),"definite")</f>
        <v>definite</v>
      </c>
      <c r="U321" t="str">
        <f ca="1">IFERROR(__xludf.DUMMYFUNCTION("""COMPUTED_VALUE"""),"C2553")</f>
        <v>C2553</v>
      </c>
      <c r="V321" t="str">
        <f ca="1">IFERROR(__xludf.DUMMYFUNCTION("""COMPUTED_VALUE"""),"male")</f>
        <v>male</v>
      </c>
      <c r="Z321" t="str">
        <f ca="1">IFERROR(__xludf.DUMMYFUNCTION("""COMPUTED_VALUE"""),"198, 202, 218, 219, 247")</f>
        <v>198, 202, 218, 219, 247</v>
      </c>
      <c r="AA321" t="str">
        <f ca="1">IFERROR(__xludf.DUMMYFUNCTION("""COMPUTED_VALUE"""),"d")</f>
        <v>d</v>
      </c>
      <c r="AB321" t="str">
        <f ca="1">IFERROR(__xludf.DUMMYFUNCTION("""COMPUTED_VALUE"""),"suspect")</f>
        <v>suspect</v>
      </c>
      <c r="AD321" t="str">
        <f ca="1">IFERROR(__xludf.DUMMYFUNCTION("""COMPUTED_VALUE"""),"C3287")</f>
        <v>C3287</v>
      </c>
      <c r="AE321" t="str">
        <f ca="1">IFERROR(__xludf.DUMMYFUNCTION("""COMPUTED_VALUE"""),"alive")</f>
        <v>alive</v>
      </c>
      <c r="AF321" t="str">
        <f ca="1">IFERROR(__xludf.DUMMYFUNCTION("""COMPUTED_VALUE"""),"C1753")</f>
        <v>C1753</v>
      </c>
      <c r="AG321" t="str">
        <f ca="1">IFERROR(__xludf.DUMMYFUNCTION("""COMPUTED_VALUE"""),"1335-01-20")</f>
        <v>1335-01-20</v>
      </c>
      <c r="AI321" t="str">
        <f ca="1">IFERROR(__xludf.DUMMYFUNCTION("""COMPUTED_VALUE"""),"#VALUE!")</f>
        <v>#VALUE!</v>
      </c>
      <c r="AK321" t="str">
        <f ca="1">IFERROR(__xludf.DUMMYFUNCTION("""COMPUTED_VALUE"""),"#VALUE!")</f>
        <v>#VALUE!</v>
      </c>
      <c r="AM321" t="str">
        <f ca="1">IFERROR(__xludf.DUMMYFUNCTION("""COMPUTED_VALUE"""),"#VALUE!")</f>
        <v>#VALUE!</v>
      </c>
      <c r="AO321" t="str">
        <f ca="1">IFERROR(__xludf.DUMMYFUNCTION("""COMPUTED_VALUE"""),"#VALUE!")</f>
        <v>#VALUE!</v>
      </c>
      <c r="AQ321" t="str">
        <f ca="1">IFERROR(__xludf.DUMMYFUNCTION("""COMPUTED_VALUE"""),"#VALUE!")</f>
        <v>#VALUE!</v>
      </c>
      <c r="AS321" t="str">
        <f ca="1">IFERROR(__xludf.DUMMYFUNCTION("""COMPUTED_VALUE"""),"#VALUE!")</f>
        <v>#VALUE!</v>
      </c>
      <c r="AU321" t="str">
        <f ca="1">IFERROR(__xludf.DUMMYFUNCTION("""COMPUTED_VALUE"""),"#VALUE!")</f>
        <v>#VALUE!</v>
      </c>
      <c r="AW321" t="str">
        <f ca="1">IFERROR(__xludf.DUMMYFUNCTION("""COMPUTED_VALUE"""),"#VALUE!")</f>
        <v>#VALUE!</v>
      </c>
      <c r="AY321" t="str">
        <f ca="1">IFERROR(__xludf.DUMMYFUNCTION("""COMPUTED_VALUE"""),"#VALUE!")</f>
        <v>#VALUE!</v>
      </c>
      <c r="BA321" t="str">
        <f ca="1">IFERROR(__xludf.DUMMYFUNCTION("""COMPUTED_VALUE"""),"#VALUE!")</f>
        <v>#VALUE!</v>
      </c>
      <c r="BC321" t="str">
        <f ca="1">IFERROR(__xludf.DUMMYFUNCTION("""COMPUTED_VALUE"""),"#VALUE!")</f>
        <v>#VALUE!</v>
      </c>
      <c r="BE321" t="str">
        <f ca="1">IFERROR(__xludf.DUMMYFUNCTION("""COMPUTED_VALUE"""),"#VALUE!")</f>
        <v>#VALUE!</v>
      </c>
      <c r="BG321" t="str">
        <f ca="1">IFERROR(__xludf.DUMMYFUNCTION("""COMPUTED_VALUE"""),"#VALUE!")</f>
        <v>#VALUE!</v>
      </c>
      <c r="BI321" t="str">
        <f ca="1">IFERROR(__xludf.DUMMYFUNCTION("""COMPUTED_VALUE"""),"#VALUE!")</f>
        <v>#VALUE!</v>
      </c>
      <c r="BK321" t="str">
        <f ca="1">IFERROR(__xludf.DUMMYFUNCTION("""COMPUTED_VALUE"""),"#VALUE!")</f>
        <v>#VALUE!</v>
      </c>
      <c r="BM321" t="str">
        <f ca="1">IFERROR(__xludf.DUMMYFUNCTION("""COMPUTED_VALUE"""),"#VALUE!")</f>
        <v>#VALUE!</v>
      </c>
      <c r="BO321" t="str">
        <f ca="1">IFERROR(__xludf.DUMMYFUNCTION("""COMPUTED_VALUE"""),"#VALUE!")</f>
        <v>#VALUE!</v>
      </c>
      <c r="BQ321" t="str">
        <f ca="1">IFERROR(__xludf.DUMMYFUNCTION("""COMPUTED_VALUE"""),"#VALUE!")</f>
        <v>#VALUE!</v>
      </c>
      <c r="BS321" t="str">
        <f ca="1">IFERROR(__xludf.DUMMYFUNCTION("""COMPUTED_VALUE"""),"#VALUE!")</f>
        <v>#VALUE!</v>
      </c>
      <c r="BU321" t="str">
        <f ca="1">IFERROR(__xludf.DUMMYFUNCTION("""COMPUTED_VALUE"""),"#VALUE!")</f>
        <v>#VALUE!</v>
      </c>
      <c r="BW321" t="str">
        <f ca="1">IFERROR(__xludf.DUMMYFUNCTION("""COMPUTED_VALUE"""),"#VALUE!")</f>
        <v>#VALUE!</v>
      </c>
      <c r="BY321" t="str">
        <f ca="1">IFERROR(__xludf.DUMMYFUNCTION("""COMPUTED_VALUE"""),"#VALUE!")</f>
        <v>#VALUE!</v>
      </c>
      <c r="CA321" t="str">
        <f ca="1">IFERROR(__xludf.DUMMYFUNCTION("""COMPUTED_VALUE"""),"#VALUE!")</f>
        <v>#VALUE!</v>
      </c>
      <c r="CC321" t="str">
        <f ca="1">IFERROR(__xludf.DUMMYFUNCTION("""COMPUTED_VALUE"""),"#VALUE!")</f>
        <v>#VALUE!</v>
      </c>
      <c r="CD321" t="str">
        <f ca="1">IFERROR(__xludf.DUMMYFUNCTION("""COMPUTED_VALUE"""),"C3598")</f>
        <v>C3598</v>
      </c>
      <c r="CE321" t="str">
        <f ca="1">IFERROR(__xludf.DUMMYFUNCTION("""COMPUTED_VALUE"""),"location of congregation")</f>
        <v>location of congregation</v>
      </c>
      <c r="CF321" t="str">
        <f ca="1">IFERROR(__xludf.DUMMYFUNCTION("""COMPUTED_VALUE"""),"L0117#L0099#L0032")</f>
        <v>L0117#L0099#L0032</v>
      </c>
      <c r="CG321" t="str">
        <f ca="1">IFERROR(__xludf.DUMMYFUNCTION("""COMPUTED_VALUE"""),"domus Michaelis de Fomia #domus Aymoneti de Fomia #domus Villelmi de Oddo")</f>
        <v>domus Michaelis de Fomia #domus Aymoneti de Fomia #domus Villelmi de Oddo</v>
      </c>
      <c r="CI321" t="str">
        <f ca="1">IFERROR(__xludf.DUMMYFUNCTION("""COMPUTED_VALUE"""),"#VALUE!")</f>
        <v>#VALUE!</v>
      </c>
      <c r="CJ321" t="str">
        <f ca="1">IFERROR(__xludf.DUMMYFUNCTION("""COMPUTED_VALUE"""),"P0248")</f>
        <v>P0248</v>
      </c>
      <c r="CK321" t="str">
        <f ca="1">IFERROR(__xludf.DUMMYFUNCTION("""COMPUTED_VALUE"""),"Michael de Fomia")</f>
        <v>Michael de Fomia</v>
      </c>
      <c r="CR321" t="str">
        <f ca="1">IFERROR(__xludf.DUMMYFUNCTION("""COMPUTED_VALUE"""),"L0010")</f>
        <v>L0010</v>
      </c>
      <c r="CS321" t="str">
        <f ca="1">IFERROR(__xludf.DUMMYFUNCTION("""COMPUTED_VALUE"""),"Buffa")</f>
        <v>Buffa</v>
      </c>
      <c r="CU321" t="str">
        <f ca="1">IFERROR(__xludf.DUMMYFUNCTION("""COMPUTED_VALUE"""),"#VALUE!")</f>
        <v>#VALUE!</v>
      </c>
      <c r="CW321" t="str">
        <f ca="1">IFERROR(__xludf.DUMMYFUNCTION("""COMPUTED_VALUE"""),"#VALUE!")</f>
        <v>#VALUE!</v>
      </c>
      <c r="CY321" t="str">
        <f ca="1">IFERROR(__xludf.DUMMYFUNCTION("""COMPUTED_VALUE"""),"#VALUE!")</f>
        <v>#VALUE!</v>
      </c>
      <c r="DC321" t="str">
        <f ca="1">IFERROR(__xludf.DUMMYFUNCTION("""COMPUTED_VALUE"""),"#VALUE!")</f>
        <v>#VALUE!</v>
      </c>
      <c r="DE321" t="str">
        <f ca="1">IFERROR(__xludf.DUMMYFUNCTION("""COMPUTED_VALUE"""),"#VALUE!")</f>
        <v>#VALUE!</v>
      </c>
      <c r="DF321" t="str">
        <f ca="1">IFERROR(__xludf.DUMMYFUNCTION("""COMPUTED_VALUE"""),"y")</f>
        <v>y</v>
      </c>
      <c r="DG321" t="str">
        <f ca="1">IFERROR(__xludf.DUMMYFUNCTION("""COMPUTED_VALUE"""),"218-219")</f>
        <v>218-219</v>
      </c>
      <c r="DH321" t="str">
        <f ca="1">IFERROR(__xludf.DUMMYFUNCTION("""COMPUTED_VALUE"""),"L0117#L0099#L0032")</f>
        <v>L0117#L0099#L0032</v>
      </c>
      <c r="DI321" t="str">
        <f ca="1">IFERROR(__xludf.DUMMYFUNCTION("""COMPUTED_VALUE"""),"domus Michaelis de Fomia #domus Aymoneti de Fomia #domus Villelmi de Oddo")</f>
        <v>domus Michaelis de Fomia #domus Aymoneti de Fomia #domus Villelmi de Oddo</v>
      </c>
      <c r="DJ321" t="str">
        <f ca="1">IFERROR(__xludf.DUMMYFUNCTION("""COMPUTED_VALUE"""),"domus #domus #domus")</f>
        <v>domus #domus #domus</v>
      </c>
      <c r="DL321" t="str">
        <f ca="1">IFERROR(__xludf.DUMMYFUNCTION("""COMPUTED_VALUE"""),"Davor Salihović")</f>
        <v>Davor Salihović</v>
      </c>
    </row>
    <row r="322" spans="1:116" ht="13.2" x14ac:dyDescent="0.25">
      <c r="A322" t="str">
        <f ca="1">IFERROR(__xludf.DUMMYFUNCTION("""COMPUTED_VALUE"""),"P0328")</f>
        <v>P0328</v>
      </c>
      <c r="B322" t="str">
        <f ca="1">IFERROR(__xludf.DUMMYFUNCTION("""COMPUTED_VALUE"""),"Agnessona, filia Iohannis de Bonaudo")</f>
        <v>Agnessona, filia Iohannis de Bonaudo</v>
      </c>
      <c r="D322" t="str">
        <f ca="1">IFERROR(__xludf.DUMMYFUNCTION("""COMPUTED_VALUE"""),"#VALUE!")</f>
        <v>#VALUE!</v>
      </c>
      <c r="E322" t="str">
        <f ca="1">IFERROR(__xludf.DUMMYFUNCTION("""COMPUTED_VALUE"""),"Agnessona")</f>
        <v>Agnessona</v>
      </c>
      <c r="Q322" t="str">
        <f ca="1">IFERROR(__xludf.DUMMYFUNCTION("""COMPUTED_VALUE"""),"filia Iohannis de Bonaudo")</f>
        <v>filia Iohannis de Bonaudo</v>
      </c>
      <c r="S322" t="str">
        <f ca="1">IFERROR(__xludf.DUMMYFUNCTION("""COMPUTED_VALUE"""),"Latin")</f>
        <v>Latin</v>
      </c>
      <c r="T322" t="str">
        <f ca="1">IFERROR(__xludf.DUMMYFUNCTION("""COMPUTED_VALUE"""),"definite")</f>
        <v>definite</v>
      </c>
      <c r="U322" t="str">
        <f ca="1">IFERROR(__xludf.DUMMYFUNCTION("""COMPUTED_VALUE"""),"C2552")</f>
        <v>C2552</v>
      </c>
      <c r="V322" t="str">
        <f ca="1">IFERROR(__xludf.DUMMYFUNCTION("""COMPUTED_VALUE"""),"female")</f>
        <v>female</v>
      </c>
      <c r="Z322" t="str">
        <f ca="1">IFERROR(__xludf.DUMMYFUNCTION("""COMPUTED_VALUE"""),"198, 206")</f>
        <v>198, 206</v>
      </c>
      <c r="AA322" t="str">
        <f ca="1">IFERROR(__xludf.DUMMYFUNCTION("""COMPUTED_VALUE"""),"d")</f>
        <v>d</v>
      </c>
      <c r="AB322" t="str">
        <f ca="1">IFERROR(__xludf.DUMMYFUNCTION("""COMPUTED_VALUE"""),"suspect")</f>
        <v>suspect</v>
      </c>
      <c r="AE322" t="str">
        <f ca="1">IFERROR(__xludf.DUMMYFUNCTION("""COMPUTED_VALUE"""),"#VALUE!")</f>
        <v>#VALUE!</v>
      </c>
      <c r="AF322" t="str">
        <f ca="1">IFERROR(__xludf.DUMMYFUNCTION("""COMPUTED_VALUE"""),"#N/A")</f>
        <v>#N/A</v>
      </c>
      <c r="AG322" t="str">
        <f ca="1">IFERROR(__xludf.DUMMYFUNCTION("""COMPUTED_VALUE"""),"#N/A")</f>
        <v>#N/A</v>
      </c>
      <c r="AI322" t="str">
        <f ca="1">IFERROR(__xludf.DUMMYFUNCTION("""COMPUTED_VALUE"""),"#VALUE!")</f>
        <v>#VALUE!</v>
      </c>
      <c r="AK322" t="str">
        <f ca="1">IFERROR(__xludf.DUMMYFUNCTION("""COMPUTED_VALUE"""),"#VALUE!")</f>
        <v>#VALUE!</v>
      </c>
      <c r="AM322" t="str">
        <f ca="1">IFERROR(__xludf.DUMMYFUNCTION("""COMPUTED_VALUE"""),"#VALUE!")</f>
        <v>#VALUE!</v>
      </c>
      <c r="AO322" t="str">
        <f ca="1">IFERROR(__xludf.DUMMYFUNCTION("""COMPUTED_VALUE"""),"#VALUE!")</f>
        <v>#VALUE!</v>
      </c>
      <c r="AQ322" t="str">
        <f ca="1">IFERROR(__xludf.DUMMYFUNCTION("""COMPUTED_VALUE"""),"#VALUE!")</f>
        <v>#VALUE!</v>
      </c>
      <c r="AS322" t="str">
        <f ca="1">IFERROR(__xludf.DUMMYFUNCTION("""COMPUTED_VALUE"""),"#VALUE!")</f>
        <v>#VALUE!</v>
      </c>
      <c r="AU322" t="str">
        <f ca="1">IFERROR(__xludf.DUMMYFUNCTION("""COMPUTED_VALUE"""),"#VALUE!")</f>
        <v>#VALUE!</v>
      </c>
      <c r="AW322" t="str">
        <f ca="1">IFERROR(__xludf.DUMMYFUNCTION("""COMPUTED_VALUE"""),"#VALUE!")</f>
        <v>#VALUE!</v>
      </c>
      <c r="AY322" t="str">
        <f ca="1">IFERROR(__xludf.DUMMYFUNCTION("""COMPUTED_VALUE"""),"#VALUE!")</f>
        <v>#VALUE!</v>
      </c>
      <c r="BA322" t="str">
        <f ca="1">IFERROR(__xludf.DUMMYFUNCTION("""COMPUTED_VALUE"""),"#VALUE!")</f>
        <v>#VALUE!</v>
      </c>
      <c r="BC322" t="str">
        <f ca="1">IFERROR(__xludf.DUMMYFUNCTION("""COMPUTED_VALUE"""),"#VALUE!")</f>
        <v>#VALUE!</v>
      </c>
      <c r="BE322" t="str">
        <f ca="1">IFERROR(__xludf.DUMMYFUNCTION("""COMPUTED_VALUE"""),"#VALUE!")</f>
        <v>#VALUE!</v>
      </c>
      <c r="BG322" t="str">
        <f ca="1">IFERROR(__xludf.DUMMYFUNCTION("""COMPUTED_VALUE"""),"#VALUE!")</f>
        <v>#VALUE!</v>
      </c>
      <c r="BI322" t="str">
        <f ca="1">IFERROR(__xludf.DUMMYFUNCTION("""COMPUTED_VALUE"""),"#VALUE!")</f>
        <v>#VALUE!</v>
      </c>
      <c r="BK322" t="str">
        <f ca="1">IFERROR(__xludf.DUMMYFUNCTION("""COMPUTED_VALUE"""),"#VALUE!")</f>
        <v>#VALUE!</v>
      </c>
      <c r="BM322" t="str">
        <f ca="1">IFERROR(__xludf.DUMMYFUNCTION("""COMPUTED_VALUE"""),"#VALUE!")</f>
        <v>#VALUE!</v>
      </c>
      <c r="BO322" t="str">
        <f ca="1">IFERROR(__xludf.DUMMYFUNCTION("""COMPUTED_VALUE"""),"#VALUE!")</f>
        <v>#VALUE!</v>
      </c>
      <c r="BQ322" t="str">
        <f ca="1">IFERROR(__xludf.DUMMYFUNCTION("""COMPUTED_VALUE"""),"#VALUE!")</f>
        <v>#VALUE!</v>
      </c>
      <c r="BS322" t="str">
        <f ca="1">IFERROR(__xludf.DUMMYFUNCTION("""COMPUTED_VALUE"""),"#VALUE!")</f>
        <v>#VALUE!</v>
      </c>
      <c r="BU322" t="str">
        <f ca="1">IFERROR(__xludf.DUMMYFUNCTION("""COMPUTED_VALUE"""),"#VALUE!")</f>
        <v>#VALUE!</v>
      </c>
      <c r="BW322" t="str">
        <f ca="1">IFERROR(__xludf.DUMMYFUNCTION("""COMPUTED_VALUE"""),"#VALUE!")</f>
        <v>#VALUE!</v>
      </c>
      <c r="BY322" t="str">
        <f ca="1">IFERROR(__xludf.DUMMYFUNCTION("""COMPUTED_VALUE"""),"#VALUE!")</f>
        <v>#VALUE!</v>
      </c>
      <c r="CA322" t="str">
        <f ca="1">IFERROR(__xludf.DUMMYFUNCTION("""COMPUTED_VALUE"""),"#VALUE!")</f>
        <v>#VALUE!</v>
      </c>
      <c r="CC322" t="str">
        <f ca="1">IFERROR(__xludf.DUMMYFUNCTION("""COMPUTED_VALUE"""),"#VALUE!")</f>
        <v>#VALUE!</v>
      </c>
      <c r="CD322" t="str">
        <f ca="1">IFERROR(__xludf.DUMMYFUNCTION("""COMPUTED_VALUE"""),"C3598")</f>
        <v>C3598</v>
      </c>
      <c r="CE322" t="str">
        <f ca="1">IFERROR(__xludf.DUMMYFUNCTION("""COMPUTED_VALUE"""),"location of congregation")</f>
        <v>location of congregation</v>
      </c>
      <c r="CF322" t="str">
        <f ca="1">IFERROR(__xludf.DUMMYFUNCTION("""COMPUTED_VALUE"""),"L0032#L0096#L0097")</f>
        <v>L0032#L0096#L0097</v>
      </c>
      <c r="CG322" t="str">
        <f ca="1">IFERROR(__xludf.DUMMYFUNCTION("""COMPUTED_VALUE"""),"domus Villelmi de Oddo #domus Iohannis de Bonaudo #domus Iohannis Borrellati")</f>
        <v>domus Villelmi de Oddo #domus Iohannis de Bonaudo #domus Iohannis Borrellati</v>
      </c>
      <c r="CI322" t="str">
        <f ca="1">IFERROR(__xludf.DUMMYFUNCTION("""COMPUTED_VALUE"""),"#VALUE!")</f>
        <v>#VALUE!</v>
      </c>
      <c r="CK322" t="str">
        <f ca="1">IFERROR(__xludf.DUMMYFUNCTION("""COMPUTED_VALUE"""),"#VALUE!")</f>
        <v>#VALUE!</v>
      </c>
      <c r="CS322" t="str">
        <f ca="1">IFERROR(__xludf.DUMMYFUNCTION("""COMPUTED_VALUE"""),"#VALUE!")</f>
        <v>#VALUE!</v>
      </c>
      <c r="CU322" t="str">
        <f ca="1">IFERROR(__xludf.DUMMYFUNCTION("""COMPUTED_VALUE"""),"#VALUE!")</f>
        <v>#VALUE!</v>
      </c>
      <c r="CW322" t="str">
        <f ca="1">IFERROR(__xludf.DUMMYFUNCTION("""COMPUTED_VALUE"""),"#VALUE!")</f>
        <v>#VALUE!</v>
      </c>
      <c r="CY322" t="str">
        <f ca="1">IFERROR(__xludf.DUMMYFUNCTION("""COMPUTED_VALUE"""),"#VALUE!")</f>
        <v>#VALUE!</v>
      </c>
      <c r="DC322" t="str">
        <f ca="1">IFERROR(__xludf.DUMMYFUNCTION("""COMPUTED_VALUE"""),"#VALUE!")</f>
        <v>#VALUE!</v>
      </c>
      <c r="DE322" t="str">
        <f ca="1">IFERROR(__xludf.DUMMYFUNCTION("""COMPUTED_VALUE"""),"#VALUE!")</f>
        <v>#VALUE!</v>
      </c>
      <c r="DH322" t="str">
        <f ca="1">IFERROR(__xludf.DUMMYFUNCTION("""COMPUTED_VALUE"""),"L0032#L0096#L0097")</f>
        <v>L0032#L0096#L0097</v>
      </c>
      <c r="DI322" t="str">
        <f ca="1">IFERROR(__xludf.DUMMYFUNCTION("""COMPUTED_VALUE"""),"domus Villelmi de Oddo #domus Iohannis de Bonaudo #domus Iohannis Borrellati")</f>
        <v>domus Villelmi de Oddo #domus Iohannis de Bonaudo #domus Iohannis Borrellati</v>
      </c>
      <c r="DJ322" t="str">
        <f ca="1">IFERROR(__xludf.DUMMYFUNCTION("""COMPUTED_VALUE"""),"domus #domus #domus")</f>
        <v>domus #domus #domus</v>
      </c>
      <c r="DL322" t="str">
        <f ca="1">IFERROR(__xludf.DUMMYFUNCTION("""COMPUTED_VALUE"""),"Davor Salihović")</f>
        <v>Davor Salihović</v>
      </c>
    </row>
    <row r="323" spans="1:116" ht="13.2" x14ac:dyDescent="0.25">
      <c r="A323" t="str">
        <f ca="1">IFERROR(__xludf.DUMMYFUNCTION("""COMPUTED_VALUE"""),"P0329")</f>
        <v>P0329</v>
      </c>
      <c r="B323" t="str">
        <f ca="1">IFERROR(__xludf.DUMMYFUNCTION("""COMPUTED_VALUE"""),"Petrus de Oddo")</f>
        <v>Petrus de Oddo</v>
      </c>
      <c r="D323" t="str">
        <f ca="1">IFERROR(__xludf.DUMMYFUNCTION("""COMPUTED_VALUE"""),"#VALUE!")</f>
        <v>#VALUE!</v>
      </c>
      <c r="E323" t="str">
        <f ca="1">IFERROR(__xludf.DUMMYFUNCTION("""COMPUTED_VALUE"""),"Petrus")</f>
        <v>Petrus</v>
      </c>
      <c r="J323" t="str">
        <f ca="1">IFERROR(__xludf.DUMMYFUNCTION("""COMPUTED_VALUE"""),"de")</f>
        <v>de</v>
      </c>
      <c r="K323" t="str">
        <f ca="1">IFERROR(__xludf.DUMMYFUNCTION("""COMPUTED_VALUE"""),"Oddo")</f>
        <v>Oddo</v>
      </c>
      <c r="L323" t="str">
        <f ca="1">IFERROR(__xludf.DUMMYFUNCTION("""COMPUTED_VALUE"""),"de Oddo")</f>
        <v>de Oddo</v>
      </c>
      <c r="Q323" t="str">
        <f ca="1">IFERROR(__xludf.DUMMYFUNCTION("""COMPUTED_VALUE"""),"frater Villelmi de Oddo")</f>
        <v>frater Villelmi de Oddo</v>
      </c>
      <c r="S323" t="str">
        <f ca="1">IFERROR(__xludf.DUMMYFUNCTION("""COMPUTED_VALUE"""),"Latin")</f>
        <v>Latin</v>
      </c>
      <c r="T323" t="str">
        <f ca="1">IFERROR(__xludf.DUMMYFUNCTION("""COMPUTED_VALUE"""),"definite")</f>
        <v>definite</v>
      </c>
      <c r="U323" t="str">
        <f ca="1">IFERROR(__xludf.DUMMYFUNCTION("""COMPUTED_VALUE"""),"C2553")</f>
        <v>C2553</v>
      </c>
      <c r="V323" t="str">
        <f ca="1">IFERROR(__xludf.DUMMYFUNCTION("""COMPUTED_VALUE"""),"male")</f>
        <v>male</v>
      </c>
      <c r="Z323" t="str">
        <f ca="1">IFERROR(__xludf.DUMMYFUNCTION("""COMPUTED_VALUE"""),"198, 202, 203, 205, 207, 208, 209, 215, 219, 227, 243")</f>
        <v>198, 202, 203, 205, 207, 208, 209, 215, 219, 227, 243</v>
      </c>
      <c r="AA323" t="str">
        <f ca="1">IFERROR(__xludf.DUMMYFUNCTION("""COMPUTED_VALUE"""),"d")</f>
        <v>d</v>
      </c>
      <c r="AB323" t="str">
        <f ca="1">IFERROR(__xludf.DUMMYFUNCTION("""COMPUTED_VALUE"""),"suspect")</f>
        <v>suspect</v>
      </c>
      <c r="AD323" t="str">
        <f ca="1">IFERROR(__xludf.DUMMYFUNCTION("""COMPUTED_VALUE"""),"C3287")</f>
        <v>C3287</v>
      </c>
      <c r="AE323" t="str">
        <f ca="1">IFERROR(__xludf.DUMMYFUNCTION("""COMPUTED_VALUE"""),"alive")</f>
        <v>alive</v>
      </c>
      <c r="AF323" t="str">
        <f ca="1">IFERROR(__xludf.DUMMYFUNCTION("""COMPUTED_VALUE"""),"C1753")</f>
        <v>C1753</v>
      </c>
      <c r="AG323" t="str">
        <f ca="1">IFERROR(__xludf.DUMMYFUNCTION("""COMPUTED_VALUE"""),"1335-01-20")</f>
        <v>1335-01-20</v>
      </c>
      <c r="AH323" t="str">
        <f ca="1">IFERROR(__xludf.DUMMYFUNCTION("""COMPUTED_VALUE"""),"C2341")</f>
        <v>C2341</v>
      </c>
      <c r="AI323" t="str">
        <f ca="1">IFERROR(__xludf.DUMMYFUNCTION("""COMPUTED_VALUE"""),"mother")</f>
        <v>mother</v>
      </c>
      <c r="AJ323" t="str">
        <f ca="1">IFERROR(__xludf.DUMMYFUNCTION("""COMPUTED_VALUE"""),"P0303")</f>
        <v>P0303</v>
      </c>
      <c r="AK323" t="str">
        <f ca="1">IFERROR(__xludf.DUMMYFUNCTION("""COMPUTED_VALUE"""),"Beatrix de Oddo")</f>
        <v>Beatrix de Oddo</v>
      </c>
      <c r="AL323" t="str">
        <f ca="1">IFERROR(__xludf.DUMMYFUNCTION("""COMPUTED_VALUE"""),"C3041")</f>
        <v>C3041</v>
      </c>
      <c r="AM323" t="str">
        <f ca="1">IFERROR(__xludf.DUMMYFUNCTION("""COMPUTED_VALUE"""),"household")</f>
        <v>household</v>
      </c>
      <c r="AN323" t="str">
        <f ca="1">IFERROR(__xludf.DUMMYFUNCTION("""COMPUTED_VALUE"""),"G0055")</f>
        <v>G0055</v>
      </c>
      <c r="AO323" t="str">
        <f ca="1">IFERROR(__xludf.DUMMYFUNCTION("""COMPUTED_VALUE"""),"illi de domo Petri de Oddo")</f>
        <v>illi de domo Petri de Oddo</v>
      </c>
      <c r="AP323" t="str">
        <f ca="1">IFERROR(__xludf.DUMMYFUNCTION("""COMPUTED_VALUE"""),"C0147")</f>
        <v>C0147</v>
      </c>
      <c r="AQ323" t="str">
        <f ca="1">IFERROR(__xludf.DUMMYFUNCTION("""COMPUTED_VALUE"""),"warrantor")</f>
        <v>warrantor</v>
      </c>
      <c r="AR323" t="str">
        <f ca="1">IFERROR(__xludf.DUMMYFUNCTION("""COMPUTED_VALUE"""),"P0357")</f>
        <v>P0357</v>
      </c>
      <c r="AS323" t="str">
        <f ca="1">IFERROR(__xludf.DUMMYFUNCTION("""COMPUTED_VALUE"""),"Nicholetus Chemerii")</f>
        <v>Nicholetus Chemerii</v>
      </c>
      <c r="AU323" t="str">
        <f ca="1">IFERROR(__xludf.DUMMYFUNCTION("""COMPUTED_VALUE"""),"#VALUE!")</f>
        <v>#VALUE!</v>
      </c>
      <c r="AW323" t="str">
        <f ca="1">IFERROR(__xludf.DUMMYFUNCTION("""COMPUTED_VALUE"""),"#VALUE!")</f>
        <v>#VALUE!</v>
      </c>
      <c r="AY323" t="str">
        <f ca="1">IFERROR(__xludf.DUMMYFUNCTION("""COMPUTED_VALUE"""),"#VALUE!")</f>
        <v>#VALUE!</v>
      </c>
      <c r="BA323" t="str">
        <f ca="1">IFERROR(__xludf.DUMMYFUNCTION("""COMPUTED_VALUE"""),"#VALUE!")</f>
        <v>#VALUE!</v>
      </c>
      <c r="BC323" t="str">
        <f ca="1">IFERROR(__xludf.DUMMYFUNCTION("""COMPUTED_VALUE"""),"#VALUE!")</f>
        <v>#VALUE!</v>
      </c>
      <c r="BE323" t="str">
        <f ca="1">IFERROR(__xludf.DUMMYFUNCTION("""COMPUTED_VALUE"""),"#VALUE!")</f>
        <v>#VALUE!</v>
      </c>
      <c r="BG323" t="str">
        <f ca="1">IFERROR(__xludf.DUMMYFUNCTION("""COMPUTED_VALUE"""),"#VALUE!")</f>
        <v>#VALUE!</v>
      </c>
      <c r="BI323" t="str">
        <f ca="1">IFERROR(__xludf.DUMMYFUNCTION("""COMPUTED_VALUE"""),"#VALUE!")</f>
        <v>#VALUE!</v>
      </c>
      <c r="BK323" t="str">
        <f ca="1">IFERROR(__xludf.DUMMYFUNCTION("""COMPUTED_VALUE"""),"#VALUE!")</f>
        <v>#VALUE!</v>
      </c>
      <c r="BM323" t="str">
        <f ca="1">IFERROR(__xludf.DUMMYFUNCTION("""COMPUTED_VALUE"""),"#VALUE!")</f>
        <v>#VALUE!</v>
      </c>
      <c r="BO323" t="str">
        <f ca="1">IFERROR(__xludf.DUMMYFUNCTION("""COMPUTED_VALUE"""),"#VALUE!")</f>
        <v>#VALUE!</v>
      </c>
      <c r="BQ323" t="str">
        <f ca="1">IFERROR(__xludf.DUMMYFUNCTION("""COMPUTED_VALUE"""),"#VALUE!")</f>
        <v>#VALUE!</v>
      </c>
      <c r="BS323" t="str">
        <f ca="1">IFERROR(__xludf.DUMMYFUNCTION("""COMPUTED_VALUE"""),"#VALUE!")</f>
        <v>#VALUE!</v>
      </c>
      <c r="BU323" t="str">
        <f ca="1">IFERROR(__xludf.DUMMYFUNCTION("""COMPUTED_VALUE"""),"#VALUE!")</f>
        <v>#VALUE!</v>
      </c>
      <c r="BW323" t="str">
        <f ca="1">IFERROR(__xludf.DUMMYFUNCTION("""COMPUTED_VALUE"""),"#VALUE!")</f>
        <v>#VALUE!</v>
      </c>
      <c r="BY323" t="str">
        <f ca="1">IFERROR(__xludf.DUMMYFUNCTION("""COMPUTED_VALUE"""),"#VALUE!")</f>
        <v>#VALUE!</v>
      </c>
      <c r="CA323" t="str">
        <f ca="1">IFERROR(__xludf.DUMMYFUNCTION("""COMPUTED_VALUE"""),"#VALUE!")</f>
        <v>#VALUE!</v>
      </c>
      <c r="CC323" t="str">
        <f ca="1">IFERROR(__xludf.DUMMYFUNCTION("""COMPUTED_VALUE"""),"#VALUE!")</f>
        <v>#VALUE!</v>
      </c>
      <c r="CD323" t="str">
        <f ca="1">IFERROR(__xludf.DUMMYFUNCTION("""COMPUTED_VALUE"""),"C3598")</f>
        <v>C3598</v>
      </c>
      <c r="CE323" t="str">
        <f ca="1">IFERROR(__xludf.DUMMYFUNCTION("""COMPUTED_VALUE"""),"location of congregation")</f>
        <v>location of congregation</v>
      </c>
      <c r="CF323" t="str">
        <f ca="1">IFERROR(__xludf.DUMMYFUNCTION("""COMPUTED_VALUE"""),"L0032#L0101#L0104#L0108")</f>
        <v>L0032#L0101#L0104#L0108</v>
      </c>
      <c r="CG323" t="str">
        <f ca="1">IFERROR(__xludf.DUMMYFUNCTION("""COMPUTED_VALUE"""),"domus Villelmi de Oddo #domus Villelmi de Oddo #domus Beatricis de Oddo #domus Petri de Oddo")</f>
        <v>domus Villelmi de Oddo #domus Villelmi de Oddo #domus Beatricis de Oddo #domus Petri de Oddo</v>
      </c>
      <c r="CH323" t="str">
        <f ca="1">IFERROR(__xludf.DUMMYFUNCTION("""COMPUTED_VALUE"""),"P0357")</f>
        <v>P0357</v>
      </c>
      <c r="CI323" t="str">
        <f ca="1">IFERROR(__xludf.DUMMYFUNCTION("""COMPUTED_VALUE"""),"Nicholetus Chemerii")</f>
        <v>Nicholetus Chemerii</v>
      </c>
      <c r="CJ323" t="str">
        <f ca="1">IFERROR(__xludf.DUMMYFUNCTION("""COMPUTED_VALUE"""),"P0229")</f>
        <v>P0229</v>
      </c>
      <c r="CK323" t="str">
        <f ca="1">IFERROR(__xludf.DUMMYFUNCTION("""COMPUTED_VALUE"""),"Marguerita Borsseta")</f>
        <v>Marguerita Borsseta</v>
      </c>
      <c r="CS323" t="str">
        <f ca="1">IFERROR(__xludf.DUMMYFUNCTION("""COMPUTED_VALUE"""),"#VALUE!")</f>
        <v>#VALUE!</v>
      </c>
      <c r="CU323" t="str">
        <f ca="1">IFERROR(__xludf.DUMMYFUNCTION("""COMPUTED_VALUE"""),"#VALUE!")</f>
        <v>#VALUE!</v>
      </c>
      <c r="CW323" t="str">
        <f ca="1">IFERROR(__xludf.DUMMYFUNCTION("""COMPUTED_VALUE"""),"#VALUE!")</f>
        <v>#VALUE!</v>
      </c>
      <c r="CY323" t="str">
        <f ca="1">IFERROR(__xludf.DUMMYFUNCTION("""COMPUTED_VALUE"""),"#VALUE!")</f>
        <v>#VALUE!</v>
      </c>
      <c r="DC323" t="str">
        <f ca="1">IFERROR(__xludf.DUMMYFUNCTION("""COMPUTED_VALUE"""),"#VALUE!")</f>
        <v>#VALUE!</v>
      </c>
      <c r="DE323" t="str">
        <f ca="1">IFERROR(__xludf.DUMMYFUNCTION("""COMPUTED_VALUE"""),"#VALUE!")</f>
        <v>#VALUE!</v>
      </c>
      <c r="DF323" t="str">
        <f ca="1">IFERROR(__xludf.DUMMYFUNCTION("""COMPUTED_VALUE"""),"y")</f>
        <v>y</v>
      </c>
      <c r="DG323" t="str">
        <f ca="1">IFERROR(__xludf.DUMMYFUNCTION("""COMPUTED_VALUE"""),"207-208")</f>
        <v>207-208</v>
      </c>
      <c r="DH323" t="str">
        <f ca="1">IFERROR(__xludf.DUMMYFUNCTION("""COMPUTED_VALUE"""),"L0032#L0101#L0104#L0108")</f>
        <v>L0032#L0101#L0104#L0108</v>
      </c>
      <c r="DI323" t="str">
        <f ca="1">IFERROR(__xludf.DUMMYFUNCTION("""COMPUTED_VALUE"""),"domus Villelmi de Oddo #domus Villelmi de Oddo #domus Beatricis de Oddo #domus Petri de Oddo")</f>
        <v>domus Villelmi de Oddo #domus Villelmi de Oddo #domus Beatricis de Oddo #domus Petri de Oddo</v>
      </c>
      <c r="DJ323" t="str">
        <f ca="1">IFERROR(__xludf.DUMMYFUNCTION("""COMPUTED_VALUE"""),"domus #domus #domus #domus")</f>
        <v>domus #domus #domus #domus</v>
      </c>
      <c r="DL323" t="str">
        <f ca="1">IFERROR(__xludf.DUMMYFUNCTION("""COMPUTED_VALUE"""),"Davor Salihović")</f>
        <v>Davor Salihović</v>
      </c>
    </row>
    <row r="324" spans="1:116" ht="13.2" x14ac:dyDescent="0.25">
      <c r="A324" t="str">
        <f ca="1">IFERROR(__xludf.DUMMYFUNCTION("""COMPUTED_VALUE"""),"P0330")</f>
        <v>P0330</v>
      </c>
      <c r="B324" t="str">
        <f ca="1">IFERROR(__xludf.DUMMYFUNCTION("""COMPUTED_VALUE"""),"Anselmus, filius Iohannis de Bonaudo")</f>
        <v>Anselmus, filius Iohannis de Bonaudo</v>
      </c>
      <c r="D324" t="str">
        <f ca="1">IFERROR(__xludf.DUMMYFUNCTION("""COMPUTED_VALUE"""),"#VALUE!")</f>
        <v>#VALUE!</v>
      </c>
      <c r="E324" t="str">
        <f ca="1">IFERROR(__xludf.DUMMYFUNCTION("""COMPUTED_VALUE"""),"Anselmus")</f>
        <v>Anselmus</v>
      </c>
      <c r="Q324" t="str">
        <f ca="1">IFERROR(__xludf.DUMMYFUNCTION("""COMPUTED_VALUE"""),"filius Iohannis de Bonaudo")</f>
        <v>filius Iohannis de Bonaudo</v>
      </c>
      <c r="S324" t="str">
        <f ca="1">IFERROR(__xludf.DUMMYFUNCTION("""COMPUTED_VALUE"""),"Latin")</f>
        <v>Latin</v>
      </c>
      <c r="T324" t="str">
        <f ca="1">IFERROR(__xludf.DUMMYFUNCTION("""COMPUTED_VALUE"""),"definite")</f>
        <v>definite</v>
      </c>
      <c r="U324" t="str">
        <f ca="1">IFERROR(__xludf.DUMMYFUNCTION("""COMPUTED_VALUE"""),"C2553")</f>
        <v>C2553</v>
      </c>
      <c r="V324" t="str">
        <f ca="1">IFERROR(__xludf.DUMMYFUNCTION("""COMPUTED_VALUE"""),"male")</f>
        <v>male</v>
      </c>
      <c r="Z324" t="str">
        <f ca="1">IFERROR(__xludf.DUMMYFUNCTION("""COMPUTED_VALUE"""),"198, 219, 231")</f>
        <v>198, 219, 231</v>
      </c>
      <c r="AA324" t="str">
        <f ca="1">IFERROR(__xludf.DUMMYFUNCTION("""COMPUTED_VALUE"""),"d")</f>
        <v>d</v>
      </c>
      <c r="AB324" t="str">
        <f ca="1">IFERROR(__xludf.DUMMYFUNCTION("""COMPUTED_VALUE"""),"suspect")</f>
        <v>suspect</v>
      </c>
      <c r="AD324" t="str">
        <f ca="1">IFERROR(__xludf.DUMMYFUNCTION("""COMPUTED_VALUE"""),"C3287")</f>
        <v>C3287</v>
      </c>
      <c r="AE324" t="str">
        <f ca="1">IFERROR(__xludf.DUMMYFUNCTION("""COMPUTED_VALUE"""),"alive")</f>
        <v>alive</v>
      </c>
      <c r="AF324" t="str">
        <f ca="1">IFERROR(__xludf.DUMMYFUNCTION("""COMPUTED_VALUE"""),"C1753")</f>
        <v>C1753</v>
      </c>
      <c r="AG324" t="str">
        <f ca="1">IFERROR(__xludf.DUMMYFUNCTION("""COMPUTED_VALUE"""),"1335-01-20")</f>
        <v>1335-01-20</v>
      </c>
      <c r="AI324" t="str">
        <f ca="1">IFERROR(__xludf.DUMMYFUNCTION("""COMPUTED_VALUE"""),"#VALUE!")</f>
        <v>#VALUE!</v>
      </c>
      <c r="AK324" t="str">
        <f ca="1">IFERROR(__xludf.DUMMYFUNCTION("""COMPUTED_VALUE"""),"#VALUE!")</f>
        <v>#VALUE!</v>
      </c>
      <c r="AM324" t="str">
        <f ca="1">IFERROR(__xludf.DUMMYFUNCTION("""COMPUTED_VALUE"""),"#VALUE!")</f>
        <v>#VALUE!</v>
      </c>
      <c r="AO324" t="str">
        <f ca="1">IFERROR(__xludf.DUMMYFUNCTION("""COMPUTED_VALUE"""),"#VALUE!")</f>
        <v>#VALUE!</v>
      </c>
      <c r="AQ324" t="str">
        <f ca="1">IFERROR(__xludf.DUMMYFUNCTION("""COMPUTED_VALUE"""),"#VALUE!")</f>
        <v>#VALUE!</v>
      </c>
      <c r="AS324" t="str">
        <f ca="1">IFERROR(__xludf.DUMMYFUNCTION("""COMPUTED_VALUE"""),"#VALUE!")</f>
        <v>#VALUE!</v>
      </c>
      <c r="AU324" t="str">
        <f ca="1">IFERROR(__xludf.DUMMYFUNCTION("""COMPUTED_VALUE"""),"#VALUE!")</f>
        <v>#VALUE!</v>
      </c>
      <c r="AW324" t="str">
        <f ca="1">IFERROR(__xludf.DUMMYFUNCTION("""COMPUTED_VALUE"""),"#VALUE!")</f>
        <v>#VALUE!</v>
      </c>
      <c r="AY324" t="str">
        <f ca="1">IFERROR(__xludf.DUMMYFUNCTION("""COMPUTED_VALUE"""),"#VALUE!")</f>
        <v>#VALUE!</v>
      </c>
      <c r="BA324" t="str">
        <f ca="1">IFERROR(__xludf.DUMMYFUNCTION("""COMPUTED_VALUE"""),"#VALUE!")</f>
        <v>#VALUE!</v>
      </c>
      <c r="BC324" t="str">
        <f ca="1">IFERROR(__xludf.DUMMYFUNCTION("""COMPUTED_VALUE"""),"#VALUE!")</f>
        <v>#VALUE!</v>
      </c>
      <c r="BE324" t="str">
        <f ca="1">IFERROR(__xludf.DUMMYFUNCTION("""COMPUTED_VALUE"""),"#VALUE!")</f>
        <v>#VALUE!</v>
      </c>
      <c r="BG324" t="str">
        <f ca="1">IFERROR(__xludf.DUMMYFUNCTION("""COMPUTED_VALUE"""),"#VALUE!")</f>
        <v>#VALUE!</v>
      </c>
      <c r="BI324" t="str">
        <f ca="1">IFERROR(__xludf.DUMMYFUNCTION("""COMPUTED_VALUE"""),"#VALUE!")</f>
        <v>#VALUE!</v>
      </c>
      <c r="BK324" t="str">
        <f ca="1">IFERROR(__xludf.DUMMYFUNCTION("""COMPUTED_VALUE"""),"#VALUE!")</f>
        <v>#VALUE!</v>
      </c>
      <c r="BM324" t="str">
        <f ca="1">IFERROR(__xludf.DUMMYFUNCTION("""COMPUTED_VALUE"""),"#VALUE!")</f>
        <v>#VALUE!</v>
      </c>
      <c r="BO324" t="str">
        <f ca="1">IFERROR(__xludf.DUMMYFUNCTION("""COMPUTED_VALUE"""),"#VALUE!")</f>
        <v>#VALUE!</v>
      </c>
      <c r="BQ324" t="str">
        <f ca="1">IFERROR(__xludf.DUMMYFUNCTION("""COMPUTED_VALUE"""),"#VALUE!")</f>
        <v>#VALUE!</v>
      </c>
      <c r="BS324" t="str">
        <f ca="1">IFERROR(__xludf.DUMMYFUNCTION("""COMPUTED_VALUE"""),"#VALUE!")</f>
        <v>#VALUE!</v>
      </c>
      <c r="BU324" t="str">
        <f ca="1">IFERROR(__xludf.DUMMYFUNCTION("""COMPUTED_VALUE"""),"#VALUE!")</f>
        <v>#VALUE!</v>
      </c>
      <c r="BW324" t="str">
        <f ca="1">IFERROR(__xludf.DUMMYFUNCTION("""COMPUTED_VALUE"""),"#VALUE!")</f>
        <v>#VALUE!</v>
      </c>
      <c r="BY324" t="str">
        <f ca="1">IFERROR(__xludf.DUMMYFUNCTION("""COMPUTED_VALUE"""),"#VALUE!")</f>
        <v>#VALUE!</v>
      </c>
      <c r="CA324" t="str">
        <f ca="1">IFERROR(__xludf.DUMMYFUNCTION("""COMPUTED_VALUE"""),"#VALUE!")</f>
        <v>#VALUE!</v>
      </c>
      <c r="CC324" t="str">
        <f ca="1">IFERROR(__xludf.DUMMYFUNCTION("""COMPUTED_VALUE"""),"#VALUE!")</f>
        <v>#VALUE!</v>
      </c>
      <c r="CD324" t="str">
        <f ca="1">IFERROR(__xludf.DUMMYFUNCTION("""COMPUTED_VALUE"""),"C3598")</f>
        <v>C3598</v>
      </c>
      <c r="CE324" t="str">
        <f ca="1">IFERROR(__xludf.DUMMYFUNCTION("""COMPUTED_VALUE"""),"location of congregation")</f>
        <v>location of congregation</v>
      </c>
      <c r="CF324" t="str">
        <f ca="1">IFERROR(__xludf.DUMMYFUNCTION("""COMPUTED_VALUE"""),"L0096#L0117")</f>
        <v>L0096#L0117</v>
      </c>
      <c r="CG324" t="str">
        <f ca="1">IFERROR(__xludf.DUMMYFUNCTION("""COMPUTED_VALUE"""),"domus Iohannis de Bonaudo #domus Michaelis de Fomia")</f>
        <v>domus Iohannis de Bonaudo #domus Michaelis de Fomia</v>
      </c>
      <c r="CI324" t="str">
        <f ca="1">IFERROR(__xludf.DUMMYFUNCTION("""COMPUTED_VALUE"""),"#VALUE!")</f>
        <v>#VALUE!</v>
      </c>
      <c r="CK324" t="str">
        <f ca="1">IFERROR(__xludf.DUMMYFUNCTION("""COMPUTED_VALUE"""),"#VALUE!")</f>
        <v>#VALUE!</v>
      </c>
      <c r="CS324" t="str">
        <f ca="1">IFERROR(__xludf.DUMMYFUNCTION("""COMPUTED_VALUE"""),"#VALUE!")</f>
        <v>#VALUE!</v>
      </c>
      <c r="CU324" t="str">
        <f ca="1">IFERROR(__xludf.DUMMYFUNCTION("""COMPUTED_VALUE"""),"#VALUE!")</f>
        <v>#VALUE!</v>
      </c>
      <c r="CW324" t="str">
        <f ca="1">IFERROR(__xludf.DUMMYFUNCTION("""COMPUTED_VALUE"""),"#VALUE!")</f>
        <v>#VALUE!</v>
      </c>
      <c r="CY324" t="str">
        <f ca="1">IFERROR(__xludf.DUMMYFUNCTION("""COMPUTED_VALUE"""),"#VALUE!")</f>
        <v>#VALUE!</v>
      </c>
      <c r="DC324" t="str">
        <f ca="1">IFERROR(__xludf.DUMMYFUNCTION("""COMPUTED_VALUE"""),"#VALUE!")</f>
        <v>#VALUE!</v>
      </c>
      <c r="DE324" t="str">
        <f ca="1">IFERROR(__xludf.DUMMYFUNCTION("""COMPUTED_VALUE"""),"#VALUE!")</f>
        <v>#VALUE!</v>
      </c>
      <c r="DF324" t="str">
        <f ca="1">IFERROR(__xludf.DUMMYFUNCTION("""COMPUTED_VALUE"""),"y")</f>
        <v>y</v>
      </c>
      <c r="DG324" t="str">
        <f ca="1">IFERROR(__xludf.DUMMYFUNCTION("""COMPUTED_VALUE"""),"231")</f>
        <v>231</v>
      </c>
      <c r="DH324" t="str">
        <f ca="1">IFERROR(__xludf.DUMMYFUNCTION("""COMPUTED_VALUE"""),"L0096#L0117")</f>
        <v>L0096#L0117</v>
      </c>
      <c r="DI324" t="str">
        <f ca="1">IFERROR(__xludf.DUMMYFUNCTION("""COMPUTED_VALUE"""),"domus Iohannis de Bonaudo #domus Michaelis de Fomia")</f>
        <v>domus Iohannis de Bonaudo #domus Michaelis de Fomia</v>
      </c>
      <c r="DJ324" t="str">
        <f ca="1">IFERROR(__xludf.DUMMYFUNCTION("""COMPUTED_VALUE"""),"domus #domus")</f>
        <v>domus #domus</v>
      </c>
      <c r="DL324" t="str">
        <f ca="1">IFERROR(__xludf.DUMMYFUNCTION("""COMPUTED_VALUE"""),"Davor Salihović")</f>
        <v>Davor Salihović</v>
      </c>
    </row>
    <row r="325" spans="1:116" ht="13.2" x14ac:dyDescent="0.25">
      <c r="A325" t="str">
        <f ca="1">IFERROR(__xludf.DUMMYFUNCTION("""COMPUTED_VALUE"""),"P0331")</f>
        <v>P0331</v>
      </c>
      <c r="B325" t="str">
        <f ca="1">IFERROR(__xludf.DUMMYFUNCTION("""COMPUTED_VALUE"""),"uxor Petri de Mondino")</f>
        <v>uxor Petri de Mondino</v>
      </c>
      <c r="D325" t="str">
        <f ca="1">IFERROR(__xludf.DUMMYFUNCTION("""COMPUTED_VALUE"""),"#VALUE!")</f>
        <v>#VALUE!</v>
      </c>
      <c r="E325" t="str">
        <f ca="1">IFERROR(__xludf.DUMMYFUNCTION("""COMPUTED_VALUE"""),"uxor Petri de Mondino")</f>
        <v>uxor Petri de Mondino</v>
      </c>
      <c r="Q325" t="str">
        <f ca="1">IFERROR(__xludf.DUMMYFUNCTION("""COMPUTED_VALUE"""),"uxor Petri de Mondino")</f>
        <v>uxor Petri de Mondino</v>
      </c>
      <c r="S325" t="str">
        <f ca="1">IFERROR(__xludf.DUMMYFUNCTION("""COMPUTED_VALUE"""),"Latin")</f>
        <v>Latin</v>
      </c>
      <c r="T325" t="str">
        <f ca="1">IFERROR(__xludf.DUMMYFUNCTION("""COMPUTED_VALUE"""),"definite")</f>
        <v>definite</v>
      </c>
      <c r="U325" t="str">
        <f ca="1">IFERROR(__xludf.DUMMYFUNCTION("""COMPUTED_VALUE"""),"C2552")</f>
        <v>C2552</v>
      </c>
      <c r="V325" t="str">
        <f ca="1">IFERROR(__xludf.DUMMYFUNCTION("""COMPUTED_VALUE"""),"female")</f>
        <v>female</v>
      </c>
      <c r="Z325" t="str">
        <f ca="1">IFERROR(__xludf.DUMMYFUNCTION("""COMPUTED_VALUE"""),"198")</f>
        <v>198</v>
      </c>
      <c r="AA325" t="str">
        <f ca="1">IFERROR(__xludf.DUMMYFUNCTION("""COMPUTED_VALUE"""),"d")</f>
        <v>d</v>
      </c>
      <c r="AB325" t="str">
        <f ca="1">IFERROR(__xludf.DUMMYFUNCTION("""COMPUTED_VALUE"""),"suspect")</f>
        <v>suspect</v>
      </c>
      <c r="AE325" t="str">
        <f ca="1">IFERROR(__xludf.DUMMYFUNCTION("""COMPUTED_VALUE"""),"#VALUE!")</f>
        <v>#VALUE!</v>
      </c>
      <c r="AF325" t="str">
        <f ca="1">IFERROR(__xludf.DUMMYFUNCTION("""COMPUTED_VALUE"""),"#N/A")</f>
        <v>#N/A</v>
      </c>
      <c r="AG325" t="str">
        <f ca="1">IFERROR(__xludf.DUMMYFUNCTION("""COMPUTED_VALUE"""),"#N/A")</f>
        <v>#N/A</v>
      </c>
      <c r="AI325" t="str">
        <f ca="1">IFERROR(__xludf.DUMMYFUNCTION("""COMPUTED_VALUE"""),"#VALUE!")</f>
        <v>#VALUE!</v>
      </c>
      <c r="AK325" t="str">
        <f ca="1">IFERROR(__xludf.DUMMYFUNCTION("""COMPUTED_VALUE"""),"#VALUE!")</f>
        <v>#VALUE!</v>
      </c>
      <c r="AM325" t="str">
        <f ca="1">IFERROR(__xludf.DUMMYFUNCTION("""COMPUTED_VALUE"""),"#VALUE!")</f>
        <v>#VALUE!</v>
      </c>
      <c r="AO325" t="str">
        <f ca="1">IFERROR(__xludf.DUMMYFUNCTION("""COMPUTED_VALUE"""),"#VALUE!")</f>
        <v>#VALUE!</v>
      </c>
      <c r="AQ325" t="str">
        <f ca="1">IFERROR(__xludf.DUMMYFUNCTION("""COMPUTED_VALUE"""),"#VALUE!")</f>
        <v>#VALUE!</v>
      </c>
      <c r="AS325" t="str">
        <f ca="1">IFERROR(__xludf.DUMMYFUNCTION("""COMPUTED_VALUE"""),"#VALUE!")</f>
        <v>#VALUE!</v>
      </c>
      <c r="AU325" t="str">
        <f ca="1">IFERROR(__xludf.DUMMYFUNCTION("""COMPUTED_VALUE"""),"#VALUE!")</f>
        <v>#VALUE!</v>
      </c>
      <c r="AW325" t="str">
        <f ca="1">IFERROR(__xludf.DUMMYFUNCTION("""COMPUTED_VALUE"""),"#VALUE!")</f>
        <v>#VALUE!</v>
      </c>
      <c r="AY325" t="str">
        <f ca="1">IFERROR(__xludf.DUMMYFUNCTION("""COMPUTED_VALUE"""),"#VALUE!")</f>
        <v>#VALUE!</v>
      </c>
      <c r="BA325" t="str">
        <f ca="1">IFERROR(__xludf.DUMMYFUNCTION("""COMPUTED_VALUE"""),"#VALUE!")</f>
        <v>#VALUE!</v>
      </c>
      <c r="BC325" t="str">
        <f ca="1">IFERROR(__xludf.DUMMYFUNCTION("""COMPUTED_VALUE"""),"#VALUE!")</f>
        <v>#VALUE!</v>
      </c>
      <c r="BE325" t="str">
        <f ca="1">IFERROR(__xludf.DUMMYFUNCTION("""COMPUTED_VALUE"""),"#VALUE!")</f>
        <v>#VALUE!</v>
      </c>
      <c r="BG325" t="str">
        <f ca="1">IFERROR(__xludf.DUMMYFUNCTION("""COMPUTED_VALUE"""),"#VALUE!")</f>
        <v>#VALUE!</v>
      </c>
      <c r="BI325" t="str">
        <f ca="1">IFERROR(__xludf.DUMMYFUNCTION("""COMPUTED_VALUE"""),"#VALUE!")</f>
        <v>#VALUE!</v>
      </c>
      <c r="BK325" t="str">
        <f ca="1">IFERROR(__xludf.DUMMYFUNCTION("""COMPUTED_VALUE"""),"#VALUE!")</f>
        <v>#VALUE!</v>
      </c>
      <c r="BM325" t="str">
        <f ca="1">IFERROR(__xludf.DUMMYFUNCTION("""COMPUTED_VALUE"""),"#VALUE!")</f>
        <v>#VALUE!</v>
      </c>
      <c r="BO325" t="str">
        <f ca="1">IFERROR(__xludf.DUMMYFUNCTION("""COMPUTED_VALUE"""),"#VALUE!")</f>
        <v>#VALUE!</v>
      </c>
      <c r="BQ325" t="str">
        <f ca="1">IFERROR(__xludf.DUMMYFUNCTION("""COMPUTED_VALUE"""),"#VALUE!")</f>
        <v>#VALUE!</v>
      </c>
      <c r="BS325" t="str">
        <f ca="1">IFERROR(__xludf.DUMMYFUNCTION("""COMPUTED_VALUE"""),"#VALUE!")</f>
        <v>#VALUE!</v>
      </c>
      <c r="BU325" t="str">
        <f ca="1">IFERROR(__xludf.DUMMYFUNCTION("""COMPUTED_VALUE"""),"#VALUE!")</f>
        <v>#VALUE!</v>
      </c>
      <c r="BW325" t="str">
        <f ca="1">IFERROR(__xludf.DUMMYFUNCTION("""COMPUTED_VALUE"""),"#VALUE!")</f>
        <v>#VALUE!</v>
      </c>
      <c r="BY325" t="str">
        <f ca="1">IFERROR(__xludf.DUMMYFUNCTION("""COMPUTED_VALUE"""),"#VALUE!")</f>
        <v>#VALUE!</v>
      </c>
      <c r="CA325" t="str">
        <f ca="1">IFERROR(__xludf.DUMMYFUNCTION("""COMPUTED_VALUE"""),"#VALUE!")</f>
        <v>#VALUE!</v>
      </c>
      <c r="CC325" t="str">
        <f ca="1">IFERROR(__xludf.DUMMYFUNCTION("""COMPUTED_VALUE"""),"#VALUE!")</f>
        <v>#VALUE!</v>
      </c>
      <c r="CD325" t="str">
        <f ca="1">IFERROR(__xludf.DUMMYFUNCTION("""COMPUTED_VALUE"""),"C3598")</f>
        <v>C3598</v>
      </c>
      <c r="CE325" t="str">
        <f ca="1">IFERROR(__xludf.DUMMYFUNCTION("""COMPUTED_VALUE"""),"location of congregation")</f>
        <v>location of congregation</v>
      </c>
      <c r="CF325" t="str">
        <f ca="1">IFERROR(__xludf.DUMMYFUNCTION("""COMPUTED_VALUE"""),"L0068")</f>
        <v>L0068</v>
      </c>
      <c r="CG325" t="str">
        <f ca="1">IFERROR(__xludf.DUMMYFUNCTION("""COMPUTED_VALUE"""),"domus Vieti de Mondino")</f>
        <v>domus Vieti de Mondino</v>
      </c>
      <c r="CI325" t="str">
        <f ca="1">IFERROR(__xludf.DUMMYFUNCTION("""COMPUTED_VALUE"""),"#VALUE!")</f>
        <v>#VALUE!</v>
      </c>
      <c r="CK325" t="str">
        <f ca="1">IFERROR(__xludf.DUMMYFUNCTION("""COMPUTED_VALUE"""),"#VALUE!")</f>
        <v>#VALUE!</v>
      </c>
      <c r="CS325" t="str">
        <f ca="1">IFERROR(__xludf.DUMMYFUNCTION("""COMPUTED_VALUE"""),"#VALUE!")</f>
        <v>#VALUE!</v>
      </c>
      <c r="CU325" t="str">
        <f ca="1">IFERROR(__xludf.DUMMYFUNCTION("""COMPUTED_VALUE"""),"#VALUE!")</f>
        <v>#VALUE!</v>
      </c>
      <c r="CW325" t="str">
        <f ca="1">IFERROR(__xludf.DUMMYFUNCTION("""COMPUTED_VALUE"""),"#VALUE!")</f>
        <v>#VALUE!</v>
      </c>
      <c r="CY325" t="str">
        <f ca="1">IFERROR(__xludf.DUMMYFUNCTION("""COMPUTED_VALUE"""),"#VALUE!")</f>
        <v>#VALUE!</v>
      </c>
      <c r="DC325" t="str">
        <f ca="1">IFERROR(__xludf.DUMMYFUNCTION("""COMPUTED_VALUE"""),"#VALUE!")</f>
        <v>#VALUE!</v>
      </c>
      <c r="DE325" t="str">
        <f ca="1">IFERROR(__xludf.DUMMYFUNCTION("""COMPUTED_VALUE"""),"#VALUE!")</f>
        <v>#VALUE!</v>
      </c>
      <c r="DH325" t="str">
        <f ca="1">IFERROR(__xludf.DUMMYFUNCTION("""COMPUTED_VALUE"""),"L0068")</f>
        <v>L0068</v>
      </c>
      <c r="DI325" t="str">
        <f ca="1">IFERROR(__xludf.DUMMYFUNCTION("""COMPUTED_VALUE"""),"domus Vieti de Mondino")</f>
        <v>domus Vieti de Mondino</v>
      </c>
      <c r="DJ325" t="str">
        <f ca="1">IFERROR(__xludf.DUMMYFUNCTION("""COMPUTED_VALUE"""),"domus")</f>
        <v>domus</v>
      </c>
      <c r="DL325" t="str">
        <f ca="1">IFERROR(__xludf.DUMMYFUNCTION("""COMPUTED_VALUE"""),"Davor Salihović")</f>
        <v>Davor Salihović</v>
      </c>
    </row>
    <row r="326" spans="1:116" ht="13.2" x14ac:dyDescent="0.25">
      <c r="A326" t="str">
        <f ca="1">IFERROR(__xludf.DUMMYFUNCTION("""COMPUTED_VALUE"""),"P0332")</f>
        <v>P0332</v>
      </c>
      <c r="B326" t="str">
        <f ca="1">IFERROR(__xludf.DUMMYFUNCTION("""COMPUTED_VALUE"""),"Petrus de Coazze")</f>
        <v>Petrus de Coazze</v>
      </c>
      <c r="D326" t="str">
        <f ca="1">IFERROR(__xludf.DUMMYFUNCTION("""COMPUTED_VALUE"""),"#VALUE!")</f>
        <v>#VALUE!</v>
      </c>
      <c r="E326" t="str">
        <f ca="1">IFERROR(__xludf.DUMMYFUNCTION("""COMPUTED_VALUE"""),"Petrus")</f>
        <v>Petrus</v>
      </c>
      <c r="Q326" t="str">
        <f ca="1">IFERROR(__xludf.DUMMYFUNCTION("""COMPUTED_VALUE"""),"de Coazze")</f>
        <v>de Coazze</v>
      </c>
      <c r="S326" t="str">
        <f ca="1">IFERROR(__xludf.DUMMYFUNCTION("""COMPUTED_VALUE"""),"Latin")</f>
        <v>Latin</v>
      </c>
      <c r="T326" t="str">
        <f ca="1">IFERROR(__xludf.DUMMYFUNCTION("""COMPUTED_VALUE"""),"definite")</f>
        <v>definite</v>
      </c>
      <c r="U326" t="str">
        <f ca="1">IFERROR(__xludf.DUMMYFUNCTION("""COMPUTED_VALUE"""),"C2553")</f>
        <v>C2553</v>
      </c>
      <c r="V326" t="str">
        <f ca="1">IFERROR(__xludf.DUMMYFUNCTION("""COMPUTED_VALUE"""),"male")</f>
        <v>male</v>
      </c>
      <c r="Z326" t="str">
        <f ca="1">IFERROR(__xludf.DUMMYFUNCTION("""COMPUTED_VALUE"""),"198")</f>
        <v>198</v>
      </c>
      <c r="AA326" t="str">
        <f ca="1">IFERROR(__xludf.DUMMYFUNCTION("""COMPUTED_VALUE"""),"d")</f>
        <v>d</v>
      </c>
      <c r="AB326" t="str">
        <f ca="1">IFERROR(__xludf.DUMMYFUNCTION("""COMPUTED_VALUE"""),"suspect")</f>
        <v>suspect</v>
      </c>
      <c r="AE326" t="str">
        <f ca="1">IFERROR(__xludf.DUMMYFUNCTION("""COMPUTED_VALUE"""),"#VALUE!")</f>
        <v>#VALUE!</v>
      </c>
      <c r="AF326" t="str">
        <f ca="1">IFERROR(__xludf.DUMMYFUNCTION("""COMPUTED_VALUE"""),"#N/A")</f>
        <v>#N/A</v>
      </c>
      <c r="AG326" t="str">
        <f ca="1">IFERROR(__xludf.DUMMYFUNCTION("""COMPUTED_VALUE"""),"#N/A")</f>
        <v>#N/A</v>
      </c>
      <c r="AI326" t="str">
        <f ca="1">IFERROR(__xludf.DUMMYFUNCTION("""COMPUTED_VALUE"""),"#VALUE!")</f>
        <v>#VALUE!</v>
      </c>
      <c r="AK326" t="str">
        <f ca="1">IFERROR(__xludf.DUMMYFUNCTION("""COMPUTED_VALUE"""),"#VALUE!")</f>
        <v>#VALUE!</v>
      </c>
      <c r="AM326" t="str">
        <f ca="1">IFERROR(__xludf.DUMMYFUNCTION("""COMPUTED_VALUE"""),"#VALUE!")</f>
        <v>#VALUE!</v>
      </c>
      <c r="AO326" t="str">
        <f ca="1">IFERROR(__xludf.DUMMYFUNCTION("""COMPUTED_VALUE"""),"#VALUE!")</f>
        <v>#VALUE!</v>
      </c>
      <c r="AQ326" t="str">
        <f ca="1">IFERROR(__xludf.DUMMYFUNCTION("""COMPUTED_VALUE"""),"#VALUE!")</f>
        <v>#VALUE!</v>
      </c>
      <c r="AS326" t="str">
        <f ca="1">IFERROR(__xludf.DUMMYFUNCTION("""COMPUTED_VALUE"""),"#VALUE!")</f>
        <v>#VALUE!</v>
      </c>
      <c r="AU326" t="str">
        <f ca="1">IFERROR(__xludf.DUMMYFUNCTION("""COMPUTED_VALUE"""),"#VALUE!")</f>
        <v>#VALUE!</v>
      </c>
      <c r="AW326" t="str">
        <f ca="1">IFERROR(__xludf.DUMMYFUNCTION("""COMPUTED_VALUE"""),"#VALUE!")</f>
        <v>#VALUE!</v>
      </c>
      <c r="AY326" t="str">
        <f ca="1">IFERROR(__xludf.DUMMYFUNCTION("""COMPUTED_VALUE"""),"#VALUE!")</f>
        <v>#VALUE!</v>
      </c>
      <c r="BA326" t="str">
        <f ca="1">IFERROR(__xludf.DUMMYFUNCTION("""COMPUTED_VALUE"""),"#VALUE!")</f>
        <v>#VALUE!</v>
      </c>
      <c r="BC326" t="str">
        <f ca="1">IFERROR(__xludf.DUMMYFUNCTION("""COMPUTED_VALUE"""),"#VALUE!")</f>
        <v>#VALUE!</v>
      </c>
      <c r="BE326" t="str">
        <f ca="1">IFERROR(__xludf.DUMMYFUNCTION("""COMPUTED_VALUE"""),"#VALUE!")</f>
        <v>#VALUE!</v>
      </c>
      <c r="BG326" t="str">
        <f ca="1">IFERROR(__xludf.DUMMYFUNCTION("""COMPUTED_VALUE"""),"#VALUE!")</f>
        <v>#VALUE!</v>
      </c>
      <c r="BI326" t="str">
        <f ca="1">IFERROR(__xludf.DUMMYFUNCTION("""COMPUTED_VALUE"""),"#VALUE!")</f>
        <v>#VALUE!</v>
      </c>
      <c r="BK326" t="str">
        <f ca="1">IFERROR(__xludf.DUMMYFUNCTION("""COMPUTED_VALUE"""),"#VALUE!")</f>
        <v>#VALUE!</v>
      </c>
      <c r="BM326" t="str">
        <f ca="1">IFERROR(__xludf.DUMMYFUNCTION("""COMPUTED_VALUE"""),"#VALUE!")</f>
        <v>#VALUE!</v>
      </c>
      <c r="BO326" t="str">
        <f ca="1">IFERROR(__xludf.DUMMYFUNCTION("""COMPUTED_VALUE"""),"#VALUE!")</f>
        <v>#VALUE!</v>
      </c>
      <c r="BQ326" t="str">
        <f ca="1">IFERROR(__xludf.DUMMYFUNCTION("""COMPUTED_VALUE"""),"#VALUE!")</f>
        <v>#VALUE!</v>
      </c>
      <c r="BS326" t="str">
        <f ca="1">IFERROR(__xludf.DUMMYFUNCTION("""COMPUTED_VALUE"""),"#VALUE!")</f>
        <v>#VALUE!</v>
      </c>
      <c r="BU326" t="str">
        <f ca="1">IFERROR(__xludf.DUMMYFUNCTION("""COMPUTED_VALUE"""),"#VALUE!")</f>
        <v>#VALUE!</v>
      </c>
      <c r="BW326" t="str">
        <f ca="1">IFERROR(__xludf.DUMMYFUNCTION("""COMPUTED_VALUE"""),"#VALUE!")</f>
        <v>#VALUE!</v>
      </c>
      <c r="BY326" t="str">
        <f ca="1">IFERROR(__xludf.DUMMYFUNCTION("""COMPUTED_VALUE"""),"#VALUE!")</f>
        <v>#VALUE!</v>
      </c>
      <c r="CA326" t="str">
        <f ca="1">IFERROR(__xludf.DUMMYFUNCTION("""COMPUTED_VALUE"""),"#VALUE!")</f>
        <v>#VALUE!</v>
      </c>
      <c r="CC326" t="str">
        <f ca="1">IFERROR(__xludf.DUMMYFUNCTION("""COMPUTED_VALUE"""),"#VALUE!")</f>
        <v>#VALUE!</v>
      </c>
      <c r="CD326" t="str">
        <f ca="1">IFERROR(__xludf.DUMMYFUNCTION("""COMPUTED_VALUE"""),"C3598")</f>
        <v>C3598</v>
      </c>
      <c r="CE326" t="str">
        <f ca="1">IFERROR(__xludf.DUMMYFUNCTION("""COMPUTED_VALUE"""),"location of congregation")</f>
        <v>location of congregation</v>
      </c>
      <c r="CF326" t="str">
        <f ca="1">IFERROR(__xludf.DUMMYFUNCTION("""COMPUTED_VALUE"""),"L0068")</f>
        <v>L0068</v>
      </c>
      <c r="CG326" t="str">
        <f ca="1">IFERROR(__xludf.DUMMYFUNCTION("""COMPUTED_VALUE"""),"domus Vieti de Mondino")</f>
        <v>domus Vieti de Mondino</v>
      </c>
      <c r="CI326" t="str">
        <f ca="1">IFERROR(__xludf.DUMMYFUNCTION("""COMPUTED_VALUE"""),"#VALUE!")</f>
        <v>#VALUE!</v>
      </c>
      <c r="CK326" t="str">
        <f ca="1">IFERROR(__xludf.DUMMYFUNCTION("""COMPUTED_VALUE"""),"#VALUE!")</f>
        <v>#VALUE!</v>
      </c>
      <c r="CR326" t="str">
        <f ca="1">IFERROR(__xludf.DUMMYFUNCTION("""COMPUTED_VALUE"""),"L0002")</f>
        <v>L0002</v>
      </c>
      <c r="CS326" t="str">
        <f ca="1">IFERROR(__xludf.DUMMYFUNCTION("""COMPUTED_VALUE"""),"Coazze")</f>
        <v>Coazze</v>
      </c>
      <c r="CU326" t="str">
        <f ca="1">IFERROR(__xludf.DUMMYFUNCTION("""COMPUTED_VALUE"""),"#VALUE!")</f>
        <v>#VALUE!</v>
      </c>
      <c r="CW326" t="str">
        <f ca="1">IFERROR(__xludf.DUMMYFUNCTION("""COMPUTED_VALUE"""),"#VALUE!")</f>
        <v>#VALUE!</v>
      </c>
      <c r="CY326" t="str">
        <f ca="1">IFERROR(__xludf.DUMMYFUNCTION("""COMPUTED_VALUE"""),"#VALUE!")</f>
        <v>#VALUE!</v>
      </c>
      <c r="DC326" t="str">
        <f ca="1">IFERROR(__xludf.DUMMYFUNCTION("""COMPUTED_VALUE"""),"#VALUE!")</f>
        <v>#VALUE!</v>
      </c>
      <c r="DE326" t="str">
        <f ca="1">IFERROR(__xludf.DUMMYFUNCTION("""COMPUTED_VALUE"""),"#VALUE!")</f>
        <v>#VALUE!</v>
      </c>
      <c r="DH326" t="str">
        <f ca="1">IFERROR(__xludf.DUMMYFUNCTION("""COMPUTED_VALUE"""),"L0068")</f>
        <v>L0068</v>
      </c>
      <c r="DI326" t="str">
        <f ca="1">IFERROR(__xludf.DUMMYFUNCTION("""COMPUTED_VALUE"""),"domus Vieti de Mondino")</f>
        <v>domus Vieti de Mondino</v>
      </c>
      <c r="DJ326" t="str">
        <f ca="1">IFERROR(__xludf.DUMMYFUNCTION("""COMPUTED_VALUE"""),"domus")</f>
        <v>domus</v>
      </c>
      <c r="DL326" t="str">
        <f ca="1">IFERROR(__xludf.DUMMYFUNCTION("""COMPUTED_VALUE"""),"Davor Salihović")</f>
        <v>Davor Salihović</v>
      </c>
    </row>
    <row r="327" spans="1:116" ht="13.2" x14ac:dyDescent="0.25">
      <c r="A327" t="str">
        <f ca="1">IFERROR(__xludf.DUMMYFUNCTION("""COMPUTED_VALUE"""),"P0333")</f>
        <v>P0333</v>
      </c>
      <c r="B327" t="str">
        <f ca="1">IFERROR(__xludf.DUMMYFUNCTION("""COMPUTED_VALUE"""),"Iarssetus")</f>
        <v>Iarssetus</v>
      </c>
      <c r="D327" t="str">
        <f ca="1">IFERROR(__xludf.DUMMYFUNCTION("""COMPUTED_VALUE"""),"#VALUE!")</f>
        <v>#VALUE!</v>
      </c>
      <c r="E327" t="str">
        <f ca="1">IFERROR(__xludf.DUMMYFUNCTION("""COMPUTED_VALUE"""),"Iarssetus")</f>
        <v>Iarssetus</v>
      </c>
      <c r="S327" t="str">
        <f ca="1">IFERROR(__xludf.DUMMYFUNCTION("""COMPUTED_VALUE"""),"Latin")</f>
        <v>Latin</v>
      </c>
      <c r="T327" t="str">
        <f ca="1">IFERROR(__xludf.DUMMYFUNCTION("""COMPUTED_VALUE"""),"definite")</f>
        <v>definite</v>
      </c>
      <c r="U327" t="str">
        <f ca="1">IFERROR(__xludf.DUMMYFUNCTION("""COMPUTED_VALUE"""),"C2553")</f>
        <v>C2553</v>
      </c>
      <c r="V327" t="str">
        <f ca="1">IFERROR(__xludf.DUMMYFUNCTION("""COMPUTED_VALUE"""),"male")</f>
        <v>male</v>
      </c>
      <c r="Z327" t="str">
        <f ca="1">IFERROR(__xludf.DUMMYFUNCTION("""COMPUTED_VALUE"""),"198, 231")</f>
        <v>198, 231</v>
      </c>
      <c r="AA327" t="str">
        <f ca="1">IFERROR(__xludf.DUMMYFUNCTION("""COMPUTED_VALUE"""),"d")</f>
        <v>d</v>
      </c>
      <c r="AB327" t="str">
        <f ca="1">IFERROR(__xludf.DUMMYFUNCTION("""COMPUTED_VALUE"""),"suspect")</f>
        <v>suspect</v>
      </c>
      <c r="AD327" t="str">
        <f ca="1">IFERROR(__xludf.DUMMYFUNCTION("""COMPUTED_VALUE"""),"C3287")</f>
        <v>C3287</v>
      </c>
      <c r="AE327" t="str">
        <f ca="1">IFERROR(__xludf.DUMMYFUNCTION("""COMPUTED_VALUE"""),"alive")</f>
        <v>alive</v>
      </c>
      <c r="AF327" t="str">
        <f ca="1">IFERROR(__xludf.DUMMYFUNCTION("""COMPUTED_VALUE"""),"C1753")</f>
        <v>C1753</v>
      </c>
      <c r="AG327" t="str">
        <f ca="1">IFERROR(__xludf.DUMMYFUNCTION("""COMPUTED_VALUE"""),"1335-01-20")</f>
        <v>1335-01-20</v>
      </c>
      <c r="AI327" t="str">
        <f ca="1">IFERROR(__xludf.DUMMYFUNCTION("""COMPUTED_VALUE"""),"#VALUE!")</f>
        <v>#VALUE!</v>
      </c>
      <c r="AK327" t="str">
        <f ca="1">IFERROR(__xludf.DUMMYFUNCTION("""COMPUTED_VALUE"""),"#VALUE!")</f>
        <v>#VALUE!</v>
      </c>
      <c r="AM327" t="str">
        <f ca="1">IFERROR(__xludf.DUMMYFUNCTION("""COMPUTED_VALUE"""),"#VALUE!")</f>
        <v>#VALUE!</v>
      </c>
      <c r="AO327" t="str">
        <f ca="1">IFERROR(__xludf.DUMMYFUNCTION("""COMPUTED_VALUE"""),"#VALUE!")</f>
        <v>#VALUE!</v>
      </c>
      <c r="AQ327" t="str">
        <f ca="1">IFERROR(__xludf.DUMMYFUNCTION("""COMPUTED_VALUE"""),"#VALUE!")</f>
        <v>#VALUE!</v>
      </c>
      <c r="AS327" t="str">
        <f ca="1">IFERROR(__xludf.DUMMYFUNCTION("""COMPUTED_VALUE"""),"#VALUE!")</f>
        <v>#VALUE!</v>
      </c>
      <c r="AU327" t="str">
        <f ca="1">IFERROR(__xludf.DUMMYFUNCTION("""COMPUTED_VALUE"""),"#VALUE!")</f>
        <v>#VALUE!</v>
      </c>
      <c r="AW327" t="str">
        <f ca="1">IFERROR(__xludf.DUMMYFUNCTION("""COMPUTED_VALUE"""),"#VALUE!")</f>
        <v>#VALUE!</v>
      </c>
      <c r="AY327" t="str">
        <f ca="1">IFERROR(__xludf.DUMMYFUNCTION("""COMPUTED_VALUE"""),"#VALUE!")</f>
        <v>#VALUE!</v>
      </c>
      <c r="BA327" t="str">
        <f ca="1">IFERROR(__xludf.DUMMYFUNCTION("""COMPUTED_VALUE"""),"#VALUE!")</f>
        <v>#VALUE!</v>
      </c>
      <c r="BC327" t="str">
        <f ca="1">IFERROR(__xludf.DUMMYFUNCTION("""COMPUTED_VALUE"""),"#VALUE!")</f>
        <v>#VALUE!</v>
      </c>
      <c r="BE327" t="str">
        <f ca="1">IFERROR(__xludf.DUMMYFUNCTION("""COMPUTED_VALUE"""),"#VALUE!")</f>
        <v>#VALUE!</v>
      </c>
      <c r="BG327" t="str">
        <f ca="1">IFERROR(__xludf.DUMMYFUNCTION("""COMPUTED_VALUE"""),"#VALUE!")</f>
        <v>#VALUE!</v>
      </c>
      <c r="BI327" t="str">
        <f ca="1">IFERROR(__xludf.DUMMYFUNCTION("""COMPUTED_VALUE"""),"#VALUE!")</f>
        <v>#VALUE!</v>
      </c>
      <c r="BK327" t="str">
        <f ca="1">IFERROR(__xludf.DUMMYFUNCTION("""COMPUTED_VALUE"""),"#VALUE!")</f>
        <v>#VALUE!</v>
      </c>
      <c r="BM327" t="str">
        <f ca="1">IFERROR(__xludf.DUMMYFUNCTION("""COMPUTED_VALUE"""),"#VALUE!")</f>
        <v>#VALUE!</v>
      </c>
      <c r="BO327" t="str">
        <f ca="1">IFERROR(__xludf.DUMMYFUNCTION("""COMPUTED_VALUE"""),"#VALUE!")</f>
        <v>#VALUE!</v>
      </c>
      <c r="BQ327" t="str">
        <f ca="1">IFERROR(__xludf.DUMMYFUNCTION("""COMPUTED_VALUE"""),"#VALUE!")</f>
        <v>#VALUE!</v>
      </c>
      <c r="BS327" t="str">
        <f ca="1">IFERROR(__xludf.DUMMYFUNCTION("""COMPUTED_VALUE"""),"#VALUE!")</f>
        <v>#VALUE!</v>
      </c>
      <c r="BU327" t="str">
        <f ca="1">IFERROR(__xludf.DUMMYFUNCTION("""COMPUTED_VALUE"""),"#VALUE!")</f>
        <v>#VALUE!</v>
      </c>
      <c r="BW327" t="str">
        <f ca="1">IFERROR(__xludf.DUMMYFUNCTION("""COMPUTED_VALUE"""),"#VALUE!")</f>
        <v>#VALUE!</v>
      </c>
      <c r="BY327" t="str">
        <f ca="1">IFERROR(__xludf.DUMMYFUNCTION("""COMPUTED_VALUE"""),"#VALUE!")</f>
        <v>#VALUE!</v>
      </c>
      <c r="CA327" t="str">
        <f ca="1">IFERROR(__xludf.DUMMYFUNCTION("""COMPUTED_VALUE"""),"#VALUE!")</f>
        <v>#VALUE!</v>
      </c>
      <c r="CC327" t="str">
        <f ca="1">IFERROR(__xludf.DUMMYFUNCTION("""COMPUTED_VALUE"""),"#VALUE!")</f>
        <v>#VALUE!</v>
      </c>
      <c r="CD327" t="str">
        <f ca="1">IFERROR(__xludf.DUMMYFUNCTION("""COMPUTED_VALUE"""),"C3598")</f>
        <v>C3598</v>
      </c>
      <c r="CE327" t="str">
        <f ca="1">IFERROR(__xludf.DUMMYFUNCTION("""COMPUTED_VALUE"""),"location of congregation")</f>
        <v>location of congregation</v>
      </c>
      <c r="CF327" t="str">
        <f ca="1">IFERROR(__xludf.DUMMYFUNCTION("""COMPUTED_VALUE"""),"L0068")</f>
        <v>L0068</v>
      </c>
      <c r="CG327" t="str">
        <f ca="1">IFERROR(__xludf.DUMMYFUNCTION("""COMPUTED_VALUE"""),"domus Vieti de Mondino")</f>
        <v>domus Vieti de Mondino</v>
      </c>
      <c r="CI327" t="str">
        <f ca="1">IFERROR(__xludf.DUMMYFUNCTION("""COMPUTED_VALUE"""),"#VALUE!")</f>
        <v>#VALUE!</v>
      </c>
      <c r="CK327" t="str">
        <f ca="1">IFERROR(__xludf.DUMMYFUNCTION("""COMPUTED_VALUE"""),"#VALUE!")</f>
        <v>#VALUE!</v>
      </c>
      <c r="CS327" t="str">
        <f ca="1">IFERROR(__xludf.DUMMYFUNCTION("""COMPUTED_VALUE"""),"#VALUE!")</f>
        <v>#VALUE!</v>
      </c>
      <c r="CU327" t="str">
        <f ca="1">IFERROR(__xludf.DUMMYFUNCTION("""COMPUTED_VALUE"""),"#VALUE!")</f>
        <v>#VALUE!</v>
      </c>
      <c r="CW327" t="str">
        <f ca="1">IFERROR(__xludf.DUMMYFUNCTION("""COMPUTED_VALUE"""),"#VALUE!")</f>
        <v>#VALUE!</v>
      </c>
      <c r="CY327" t="str">
        <f ca="1">IFERROR(__xludf.DUMMYFUNCTION("""COMPUTED_VALUE"""),"#VALUE!")</f>
        <v>#VALUE!</v>
      </c>
      <c r="DC327" t="str">
        <f ca="1">IFERROR(__xludf.DUMMYFUNCTION("""COMPUTED_VALUE"""),"#VALUE!")</f>
        <v>#VALUE!</v>
      </c>
      <c r="DE327" t="str">
        <f ca="1">IFERROR(__xludf.DUMMYFUNCTION("""COMPUTED_VALUE"""),"#VALUE!")</f>
        <v>#VALUE!</v>
      </c>
      <c r="DF327" t="str">
        <f ca="1">IFERROR(__xludf.DUMMYFUNCTION("""COMPUTED_VALUE"""),"y")</f>
        <v>y</v>
      </c>
      <c r="DG327" t="str">
        <f ca="1">IFERROR(__xludf.DUMMYFUNCTION("""COMPUTED_VALUE"""),"231")</f>
        <v>231</v>
      </c>
      <c r="DH327" t="str">
        <f ca="1">IFERROR(__xludf.DUMMYFUNCTION("""COMPUTED_VALUE"""),"L0068")</f>
        <v>L0068</v>
      </c>
      <c r="DI327" t="str">
        <f ca="1">IFERROR(__xludf.DUMMYFUNCTION("""COMPUTED_VALUE"""),"domus Vieti de Mondino")</f>
        <v>domus Vieti de Mondino</v>
      </c>
      <c r="DJ327" t="str">
        <f ca="1">IFERROR(__xludf.DUMMYFUNCTION("""COMPUTED_VALUE"""),"domus")</f>
        <v>domus</v>
      </c>
      <c r="DK327" t="str">
        <f ca="1">IFERROR(__xludf.DUMMYFUNCTION("""COMPUTED_VALUE"""),"Related to Petrus Iarseti?")</f>
        <v>Related to Petrus Iarseti?</v>
      </c>
      <c r="DL327" t="str">
        <f ca="1">IFERROR(__xludf.DUMMYFUNCTION("""COMPUTED_VALUE"""),"Davor Salihović")</f>
        <v>Davor Salihović</v>
      </c>
    </row>
    <row r="328" spans="1:116" ht="13.2" x14ac:dyDescent="0.25">
      <c r="A328" t="str">
        <f ca="1">IFERROR(__xludf.DUMMYFUNCTION("""COMPUTED_VALUE"""),"P0334")</f>
        <v>P0334</v>
      </c>
      <c r="B328" t="str">
        <f ca="1">IFERROR(__xludf.DUMMYFUNCTION("""COMPUTED_VALUE"""),"Villelmus Caçii")</f>
        <v>Villelmus Caçii</v>
      </c>
      <c r="D328" t="str">
        <f ca="1">IFERROR(__xludf.DUMMYFUNCTION("""COMPUTED_VALUE"""),"#VALUE!")</f>
        <v>#VALUE!</v>
      </c>
      <c r="E328" t="str">
        <f ca="1">IFERROR(__xludf.DUMMYFUNCTION("""COMPUTED_VALUE"""),"Villelmus")</f>
        <v>Villelmus</v>
      </c>
      <c r="K328" t="str">
        <f ca="1">IFERROR(__xludf.DUMMYFUNCTION("""COMPUTED_VALUE"""),"Caçii")</f>
        <v>Caçii</v>
      </c>
      <c r="L328" t="str">
        <f ca="1">IFERROR(__xludf.DUMMYFUNCTION("""COMPUTED_VALUE"""),"Caçii")</f>
        <v>Caçii</v>
      </c>
      <c r="S328" t="str">
        <f ca="1">IFERROR(__xludf.DUMMYFUNCTION("""COMPUTED_VALUE"""),"Latin")</f>
        <v>Latin</v>
      </c>
      <c r="T328" t="str">
        <f ca="1">IFERROR(__xludf.DUMMYFUNCTION("""COMPUTED_VALUE"""),"definite")</f>
        <v>definite</v>
      </c>
      <c r="U328" t="str">
        <f ca="1">IFERROR(__xludf.DUMMYFUNCTION("""COMPUTED_VALUE"""),"C2553")</f>
        <v>C2553</v>
      </c>
      <c r="V328" t="str">
        <f ca="1">IFERROR(__xludf.DUMMYFUNCTION("""COMPUTED_VALUE"""),"male")</f>
        <v>male</v>
      </c>
      <c r="Z328" t="str">
        <f ca="1">IFERROR(__xludf.DUMMYFUNCTION("""COMPUTED_VALUE"""),"199, 203")</f>
        <v>199, 203</v>
      </c>
      <c r="AA328" t="str">
        <f ca="1">IFERROR(__xludf.DUMMYFUNCTION("""COMPUTED_VALUE"""),"d")</f>
        <v>d</v>
      </c>
      <c r="AB328" t="str">
        <f ca="1">IFERROR(__xludf.DUMMYFUNCTION("""COMPUTED_VALUE"""),"NA")</f>
        <v>NA</v>
      </c>
      <c r="AD328" t="str">
        <f ca="1">IFERROR(__xludf.DUMMYFUNCTION("""COMPUTED_VALUE"""),"C3287")</f>
        <v>C3287</v>
      </c>
      <c r="AE328" t="str">
        <f ca="1">IFERROR(__xludf.DUMMYFUNCTION("""COMPUTED_VALUE"""),"alive")</f>
        <v>alive</v>
      </c>
      <c r="AF328" t="str">
        <f ca="1">IFERROR(__xludf.DUMMYFUNCTION("""COMPUTED_VALUE"""),"C1753")</f>
        <v>C1753</v>
      </c>
      <c r="AG328" t="str">
        <f ca="1">IFERROR(__xludf.DUMMYFUNCTION("""COMPUTED_VALUE"""),"1335-01-20")</f>
        <v>1335-01-20</v>
      </c>
      <c r="AI328" t="str">
        <f ca="1">IFERROR(__xludf.DUMMYFUNCTION("""COMPUTED_VALUE"""),"#VALUE!")</f>
        <v>#VALUE!</v>
      </c>
      <c r="AK328" t="str">
        <f ca="1">IFERROR(__xludf.DUMMYFUNCTION("""COMPUTED_VALUE"""),"#VALUE!")</f>
        <v>#VALUE!</v>
      </c>
      <c r="AM328" t="str">
        <f ca="1">IFERROR(__xludf.DUMMYFUNCTION("""COMPUTED_VALUE"""),"#VALUE!")</f>
        <v>#VALUE!</v>
      </c>
      <c r="AO328" t="str">
        <f ca="1">IFERROR(__xludf.DUMMYFUNCTION("""COMPUTED_VALUE"""),"#VALUE!")</f>
        <v>#VALUE!</v>
      </c>
      <c r="AQ328" t="str">
        <f ca="1">IFERROR(__xludf.DUMMYFUNCTION("""COMPUTED_VALUE"""),"#VALUE!")</f>
        <v>#VALUE!</v>
      </c>
      <c r="AS328" t="str">
        <f ca="1">IFERROR(__xludf.DUMMYFUNCTION("""COMPUTED_VALUE"""),"#VALUE!")</f>
        <v>#VALUE!</v>
      </c>
      <c r="AU328" t="str">
        <f ca="1">IFERROR(__xludf.DUMMYFUNCTION("""COMPUTED_VALUE"""),"#VALUE!")</f>
        <v>#VALUE!</v>
      </c>
      <c r="AW328" t="str">
        <f ca="1">IFERROR(__xludf.DUMMYFUNCTION("""COMPUTED_VALUE"""),"#VALUE!")</f>
        <v>#VALUE!</v>
      </c>
      <c r="AY328" t="str">
        <f ca="1">IFERROR(__xludf.DUMMYFUNCTION("""COMPUTED_VALUE"""),"#VALUE!")</f>
        <v>#VALUE!</v>
      </c>
      <c r="BA328" t="str">
        <f ca="1">IFERROR(__xludf.DUMMYFUNCTION("""COMPUTED_VALUE"""),"#VALUE!")</f>
        <v>#VALUE!</v>
      </c>
      <c r="BC328" t="str">
        <f ca="1">IFERROR(__xludf.DUMMYFUNCTION("""COMPUTED_VALUE"""),"#VALUE!")</f>
        <v>#VALUE!</v>
      </c>
      <c r="BE328" t="str">
        <f ca="1">IFERROR(__xludf.DUMMYFUNCTION("""COMPUTED_VALUE"""),"#VALUE!")</f>
        <v>#VALUE!</v>
      </c>
      <c r="BG328" t="str">
        <f ca="1">IFERROR(__xludf.DUMMYFUNCTION("""COMPUTED_VALUE"""),"#VALUE!")</f>
        <v>#VALUE!</v>
      </c>
      <c r="BI328" t="str">
        <f ca="1">IFERROR(__xludf.DUMMYFUNCTION("""COMPUTED_VALUE"""),"#VALUE!")</f>
        <v>#VALUE!</v>
      </c>
      <c r="BK328" t="str">
        <f ca="1">IFERROR(__xludf.DUMMYFUNCTION("""COMPUTED_VALUE"""),"#VALUE!")</f>
        <v>#VALUE!</v>
      </c>
      <c r="BM328" t="str">
        <f ca="1">IFERROR(__xludf.DUMMYFUNCTION("""COMPUTED_VALUE"""),"#VALUE!")</f>
        <v>#VALUE!</v>
      </c>
      <c r="BO328" t="str">
        <f ca="1">IFERROR(__xludf.DUMMYFUNCTION("""COMPUTED_VALUE"""),"#VALUE!")</f>
        <v>#VALUE!</v>
      </c>
      <c r="BQ328" t="str">
        <f ca="1">IFERROR(__xludf.DUMMYFUNCTION("""COMPUTED_VALUE"""),"#VALUE!")</f>
        <v>#VALUE!</v>
      </c>
      <c r="BS328" t="str">
        <f ca="1">IFERROR(__xludf.DUMMYFUNCTION("""COMPUTED_VALUE"""),"#VALUE!")</f>
        <v>#VALUE!</v>
      </c>
      <c r="BU328" t="str">
        <f ca="1">IFERROR(__xludf.DUMMYFUNCTION("""COMPUTED_VALUE"""),"#VALUE!")</f>
        <v>#VALUE!</v>
      </c>
      <c r="BW328" t="str">
        <f ca="1">IFERROR(__xludf.DUMMYFUNCTION("""COMPUTED_VALUE"""),"#VALUE!")</f>
        <v>#VALUE!</v>
      </c>
      <c r="BY328" t="str">
        <f ca="1">IFERROR(__xludf.DUMMYFUNCTION("""COMPUTED_VALUE"""),"#VALUE!")</f>
        <v>#VALUE!</v>
      </c>
      <c r="CA328" t="str">
        <f ca="1">IFERROR(__xludf.DUMMYFUNCTION("""COMPUTED_VALUE"""),"#VALUE!")</f>
        <v>#VALUE!</v>
      </c>
      <c r="CC328" t="str">
        <f ca="1">IFERROR(__xludf.DUMMYFUNCTION("""COMPUTED_VALUE"""),"#VALUE!")</f>
        <v>#VALUE!</v>
      </c>
      <c r="CE328" t="str">
        <f ca="1">IFERROR(__xludf.DUMMYFUNCTION("""COMPUTED_VALUE"""),"#VALUE!")</f>
        <v>#VALUE!</v>
      </c>
      <c r="CG328" t="str">
        <f ca="1">IFERROR(__xludf.DUMMYFUNCTION("""COMPUTED_VALUE"""),"#VALUE!")</f>
        <v>#VALUE!</v>
      </c>
      <c r="CI328" t="str">
        <f ca="1">IFERROR(__xludf.DUMMYFUNCTION("""COMPUTED_VALUE"""),"#VALUE!")</f>
        <v>#VALUE!</v>
      </c>
      <c r="CK328" t="str">
        <f ca="1">IFERROR(__xludf.DUMMYFUNCTION("""COMPUTED_VALUE"""),"#VALUE!")</f>
        <v>#VALUE!</v>
      </c>
      <c r="CS328" t="str">
        <f ca="1">IFERROR(__xludf.DUMMYFUNCTION("""COMPUTED_VALUE"""),"#VALUE!")</f>
        <v>#VALUE!</v>
      </c>
      <c r="CU328" t="str">
        <f ca="1">IFERROR(__xludf.DUMMYFUNCTION("""COMPUTED_VALUE"""),"#VALUE!")</f>
        <v>#VALUE!</v>
      </c>
      <c r="CW328" t="str">
        <f ca="1">IFERROR(__xludf.DUMMYFUNCTION("""COMPUTED_VALUE"""),"#VALUE!")</f>
        <v>#VALUE!</v>
      </c>
      <c r="CY328" t="str">
        <f ca="1">IFERROR(__xludf.DUMMYFUNCTION("""COMPUTED_VALUE"""),"#VALUE!")</f>
        <v>#VALUE!</v>
      </c>
      <c r="DC328" t="str">
        <f ca="1">IFERROR(__xludf.DUMMYFUNCTION("""COMPUTED_VALUE"""),"#VALUE!")</f>
        <v>#VALUE!</v>
      </c>
      <c r="DE328" t="str">
        <f ca="1">IFERROR(__xludf.DUMMYFUNCTION("""COMPUTED_VALUE"""),"#VALUE!")</f>
        <v>#VALUE!</v>
      </c>
      <c r="DI328" t="str">
        <f ca="1">IFERROR(__xludf.DUMMYFUNCTION("""COMPUTED_VALUE"""),"#VALUE!")</f>
        <v>#VALUE!</v>
      </c>
      <c r="DJ328" t="str">
        <f ca="1">IFERROR(__xludf.DUMMYFUNCTION("""COMPUTED_VALUE"""),"#VALUE!")</f>
        <v>#VALUE!</v>
      </c>
      <c r="DL328" t="str">
        <f ca="1">IFERROR(__xludf.DUMMYFUNCTION("""COMPUTED_VALUE"""),"Davor Salihović")</f>
        <v>Davor Salihović</v>
      </c>
    </row>
    <row r="329" spans="1:116" ht="13.2" x14ac:dyDescent="0.25">
      <c r="A329" t="str">
        <f ca="1">IFERROR(__xludf.DUMMYFUNCTION("""COMPUTED_VALUE"""),"P0335")</f>
        <v>P0335</v>
      </c>
      <c r="B329" t="str">
        <f ca="1">IFERROR(__xludf.DUMMYFUNCTION("""COMPUTED_VALUE"""),"Valdensis anonymus")</f>
        <v>Valdensis anonymus</v>
      </c>
      <c r="D329" t="str">
        <f ca="1">IFERROR(__xludf.DUMMYFUNCTION("""COMPUTED_VALUE"""),"#VALUE!")</f>
        <v>#VALUE!</v>
      </c>
      <c r="E329" t="str">
        <f ca="1">IFERROR(__xludf.DUMMYFUNCTION("""COMPUTED_VALUE"""),"Valdensis anonymus")</f>
        <v>Valdensis anonymus</v>
      </c>
      <c r="S329" t="str">
        <f ca="1">IFERROR(__xludf.DUMMYFUNCTION("""COMPUTED_VALUE"""),"Latin")</f>
        <v>Latin</v>
      </c>
      <c r="T329" t="str">
        <f ca="1">IFERROR(__xludf.DUMMYFUNCTION("""COMPUTED_VALUE"""),"indefinite")</f>
        <v>indefinite</v>
      </c>
      <c r="U329" t="str">
        <f ca="1">IFERROR(__xludf.DUMMYFUNCTION("""COMPUTED_VALUE"""),"C2553")</f>
        <v>C2553</v>
      </c>
      <c r="V329" t="str">
        <f ca="1">IFERROR(__xludf.DUMMYFUNCTION("""COMPUTED_VALUE"""),"male")</f>
        <v>male</v>
      </c>
      <c r="Z329" t="str">
        <f ca="1">IFERROR(__xludf.DUMMYFUNCTION("""COMPUTED_VALUE"""),"199")</f>
        <v>199</v>
      </c>
      <c r="AA329" t="str">
        <f ca="1">IFERROR(__xludf.DUMMYFUNCTION("""COMPUTED_VALUE"""),"d")</f>
        <v>d</v>
      </c>
      <c r="AB329" t="str">
        <f ca="1">IFERROR(__xludf.DUMMYFUNCTION("""COMPUTED_VALUE"""),"NA")</f>
        <v>NA</v>
      </c>
      <c r="AE329" t="str">
        <f ca="1">IFERROR(__xludf.DUMMYFUNCTION("""COMPUTED_VALUE"""),"#VALUE!")</f>
        <v>#VALUE!</v>
      </c>
      <c r="AF329" t="str">
        <f ca="1">IFERROR(__xludf.DUMMYFUNCTION("""COMPUTED_VALUE"""),"#N/A")</f>
        <v>#N/A</v>
      </c>
      <c r="AG329" t="str">
        <f ca="1">IFERROR(__xludf.DUMMYFUNCTION("""COMPUTED_VALUE"""),"#N/A")</f>
        <v>#N/A</v>
      </c>
      <c r="AI329" t="str">
        <f ca="1">IFERROR(__xludf.DUMMYFUNCTION("""COMPUTED_VALUE"""),"#VALUE!")</f>
        <v>#VALUE!</v>
      </c>
      <c r="AK329" t="str">
        <f ca="1">IFERROR(__xludf.DUMMYFUNCTION("""COMPUTED_VALUE"""),"#VALUE!")</f>
        <v>#VALUE!</v>
      </c>
      <c r="AM329" t="str">
        <f ca="1">IFERROR(__xludf.DUMMYFUNCTION("""COMPUTED_VALUE"""),"#VALUE!")</f>
        <v>#VALUE!</v>
      </c>
      <c r="AO329" t="str">
        <f ca="1">IFERROR(__xludf.DUMMYFUNCTION("""COMPUTED_VALUE"""),"#VALUE!")</f>
        <v>#VALUE!</v>
      </c>
      <c r="AQ329" t="str">
        <f ca="1">IFERROR(__xludf.DUMMYFUNCTION("""COMPUTED_VALUE"""),"#VALUE!")</f>
        <v>#VALUE!</v>
      </c>
      <c r="AS329" t="str">
        <f ca="1">IFERROR(__xludf.DUMMYFUNCTION("""COMPUTED_VALUE"""),"#VALUE!")</f>
        <v>#VALUE!</v>
      </c>
      <c r="AU329" t="str">
        <f ca="1">IFERROR(__xludf.DUMMYFUNCTION("""COMPUTED_VALUE"""),"#VALUE!")</f>
        <v>#VALUE!</v>
      </c>
      <c r="AW329" t="str">
        <f ca="1">IFERROR(__xludf.DUMMYFUNCTION("""COMPUTED_VALUE"""),"#VALUE!")</f>
        <v>#VALUE!</v>
      </c>
      <c r="AY329" t="str">
        <f ca="1">IFERROR(__xludf.DUMMYFUNCTION("""COMPUTED_VALUE"""),"#VALUE!")</f>
        <v>#VALUE!</v>
      </c>
      <c r="BA329" t="str">
        <f ca="1">IFERROR(__xludf.DUMMYFUNCTION("""COMPUTED_VALUE"""),"#VALUE!")</f>
        <v>#VALUE!</v>
      </c>
      <c r="BC329" t="str">
        <f ca="1">IFERROR(__xludf.DUMMYFUNCTION("""COMPUTED_VALUE"""),"#VALUE!")</f>
        <v>#VALUE!</v>
      </c>
      <c r="BE329" t="str">
        <f ca="1">IFERROR(__xludf.DUMMYFUNCTION("""COMPUTED_VALUE"""),"#VALUE!")</f>
        <v>#VALUE!</v>
      </c>
      <c r="BG329" t="str">
        <f ca="1">IFERROR(__xludf.DUMMYFUNCTION("""COMPUTED_VALUE"""),"#VALUE!")</f>
        <v>#VALUE!</v>
      </c>
      <c r="BI329" t="str">
        <f ca="1">IFERROR(__xludf.DUMMYFUNCTION("""COMPUTED_VALUE"""),"#VALUE!")</f>
        <v>#VALUE!</v>
      </c>
      <c r="BK329" t="str">
        <f ca="1">IFERROR(__xludf.DUMMYFUNCTION("""COMPUTED_VALUE"""),"#VALUE!")</f>
        <v>#VALUE!</v>
      </c>
      <c r="BM329" t="str">
        <f ca="1">IFERROR(__xludf.DUMMYFUNCTION("""COMPUTED_VALUE"""),"#VALUE!")</f>
        <v>#VALUE!</v>
      </c>
      <c r="BO329" t="str">
        <f ca="1">IFERROR(__xludf.DUMMYFUNCTION("""COMPUTED_VALUE"""),"#VALUE!")</f>
        <v>#VALUE!</v>
      </c>
      <c r="BQ329" t="str">
        <f ca="1">IFERROR(__xludf.DUMMYFUNCTION("""COMPUTED_VALUE"""),"#VALUE!")</f>
        <v>#VALUE!</v>
      </c>
      <c r="BS329" t="str">
        <f ca="1">IFERROR(__xludf.DUMMYFUNCTION("""COMPUTED_VALUE"""),"#VALUE!")</f>
        <v>#VALUE!</v>
      </c>
      <c r="BU329" t="str">
        <f ca="1">IFERROR(__xludf.DUMMYFUNCTION("""COMPUTED_VALUE"""),"#VALUE!")</f>
        <v>#VALUE!</v>
      </c>
      <c r="BW329" t="str">
        <f ca="1">IFERROR(__xludf.DUMMYFUNCTION("""COMPUTED_VALUE"""),"#VALUE!")</f>
        <v>#VALUE!</v>
      </c>
      <c r="BY329" t="str">
        <f ca="1">IFERROR(__xludf.DUMMYFUNCTION("""COMPUTED_VALUE"""),"#VALUE!")</f>
        <v>#VALUE!</v>
      </c>
      <c r="CA329" t="str">
        <f ca="1">IFERROR(__xludf.DUMMYFUNCTION("""COMPUTED_VALUE"""),"#VALUE!")</f>
        <v>#VALUE!</v>
      </c>
      <c r="CC329" t="str">
        <f ca="1">IFERROR(__xludf.DUMMYFUNCTION("""COMPUTED_VALUE"""),"#VALUE!")</f>
        <v>#VALUE!</v>
      </c>
      <c r="CD329" t="str">
        <f ca="1">IFERROR(__xludf.DUMMYFUNCTION("""COMPUTED_VALUE"""),"C3598")</f>
        <v>C3598</v>
      </c>
      <c r="CE329" t="str">
        <f ca="1">IFERROR(__xludf.DUMMYFUNCTION("""COMPUTED_VALUE"""),"location of congregation")</f>
        <v>location of congregation</v>
      </c>
      <c r="CF329" t="str">
        <f ca="1">IFERROR(__xludf.DUMMYFUNCTION("""COMPUTED_VALUE"""),"L0080")</f>
        <v>L0080</v>
      </c>
      <c r="CG329" t="str">
        <f ca="1">IFERROR(__xludf.DUMMYFUNCTION("""COMPUTED_VALUE"""),"domus Petrii Burgi")</f>
        <v>domus Petrii Burgi</v>
      </c>
      <c r="CI329" t="str">
        <f ca="1">IFERROR(__xludf.DUMMYFUNCTION("""COMPUTED_VALUE"""),"#VALUE!")</f>
        <v>#VALUE!</v>
      </c>
      <c r="CK329" t="str">
        <f ca="1">IFERROR(__xludf.DUMMYFUNCTION("""COMPUTED_VALUE"""),"#VALUE!")</f>
        <v>#VALUE!</v>
      </c>
      <c r="CS329" t="str">
        <f ca="1">IFERROR(__xludf.DUMMYFUNCTION("""COMPUTED_VALUE"""),"#VALUE!")</f>
        <v>#VALUE!</v>
      </c>
      <c r="CU329" t="str">
        <f ca="1">IFERROR(__xludf.DUMMYFUNCTION("""COMPUTED_VALUE"""),"#VALUE!")</f>
        <v>#VALUE!</v>
      </c>
      <c r="CW329" t="str">
        <f ca="1">IFERROR(__xludf.DUMMYFUNCTION("""COMPUTED_VALUE"""),"#VALUE!")</f>
        <v>#VALUE!</v>
      </c>
      <c r="CX329" t="str">
        <f ca="1">IFERROR(__xludf.DUMMYFUNCTION("""COMPUTED_VALUE"""),"C3197")</f>
        <v>C3197</v>
      </c>
      <c r="CY329" t="str">
        <f ca="1">IFERROR(__xludf.DUMMYFUNCTION("""COMPUTED_VALUE"""),"Valdensis")</f>
        <v>Valdensis</v>
      </c>
      <c r="DA329" t="str">
        <f ca="1">IFERROR(__xludf.DUMMYFUNCTION("""COMPUTED_VALUE"""),"dissident minister")</f>
        <v>dissident minister</v>
      </c>
      <c r="DC329" t="str">
        <f ca="1">IFERROR(__xludf.DUMMYFUNCTION("""COMPUTED_VALUE"""),"#VALUE!")</f>
        <v>#VALUE!</v>
      </c>
      <c r="DD329" t="str">
        <f ca="1">IFERROR(__xludf.DUMMYFUNCTION("""COMPUTED_VALUE"""),"C3197")</f>
        <v>C3197</v>
      </c>
      <c r="DE329" t="str">
        <f ca="1">IFERROR(__xludf.DUMMYFUNCTION("""COMPUTED_VALUE"""),"Valdensis")</f>
        <v>Valdensis</v>
      </c>
      <c r="DH329" t="str">
        <f ca="1">IFERROR(__xludf.DUMMYFUNCTION("""COMPUTED_VALUE"""),"L0080")</f>
        <v>L0080</v>
      </c>
      <c r="DI329" t="str">
        <f ca="1">IFERROR(__xludf.DUMMYFUNCTION("""COMPUTED_VALUE"""),"domus Petrii Burgi")</f>
        <v>domus Petrii Burgi</v>
      </c>
      <c r="DJ329" t="str">
        <f ca="1">IFERROR(__xludf.DUMMYFUNCTION("""COMPUTED_VALUE"""),"domus")</f>
        <v>domus</v>
      </c>
      <c r="DL329" t="str">
        <f ca="1">IFERROR(__xludf.DUMMYFUNCTION("""COMPUTED_VALUE"""),"Davor Salihović")</f>
        <v>Davor Salihović</v>
      </c>
    </row>
    <row r="330" spans="1:116" ht="13.2" x14ac:dyDescent="0.25">
      <c r="A330" t="str">
        <f ca="1">IFERROR(__xludf.DUMMYFUNCTION("""COMPUTED_VALUE"""),"P0336")</f>
        <v>P0336</v>
      </c>
      <c r="B330" t="str">
        <f ca="1">IFERROR(__xludf.DUMMYFUNCTION("""COMPUTED_VALUE"""),"Michael de Prato Ialato")</f>
        <v>Michael de Prato Ialato</v>
      </c>
      <c r="D330" t="str">
        <f ca="1">IFERROR(__xludf.DUMMYFUNCTION("""COMPUTED_VALUE"""),"#VALUE!")</f>
        <v>#VALUE!</v>
      </c>
      <c r="E330" t="str">
        <f ca="1">IFERROR(__xludf.DUMMYFUNCTION("""COMPUTED_VALUE"""),"Michael")</f>
        <v>Michael</v>
      </c>
      <c r="F330" t="str">
        <f ca="1">IFERROR(__xludf.DUMMYFUNCTION("""COMPUTED_VALUE"""),"Michelonus")</f>
        <v>Michelonus</v>
      </c>
      <c r="J330" t="str">
        <f ca="1">IFERROR(__xludf.DUMMYFUNCTION("""COMPUTED_VALUE"""),"de")</f>
        <v>de</v>
      </c>
      <c r="K330" t="str">
        <f ca="1">IFERROR(__xludf.DUMMYFUNCTION("""COMPUTED_VALUE"""),"Prato Ialato")</f>
        <v>Prato Ialato</v>
      </c>
      <c r="L330" t="str">
        <f ca="1">IFERROR(__xludf.DUMMYFUNCTION("""COMPUTED_VALUE"""),"de Prato Ialato")</f>
        <v>de Prato Ialato</v>
      </c>
      <c r="Q330" t="str">
        <f ca="1">IFERROR(__xludf.DUMMYFUNCTION("""COMPUTED_VALUE"""),"Valdensis")</f>
        <v>Valdensis</v>
      </c>
      <c r="S330" t="str">
        <f ca="1">IFERROR(__xludf.DUMMYFUNCTION("""COMPUTED_VALUE"""),"Latin")</f>
        <v>Latin</v>
      </c>
      <c r="T330" t="str">
        <f ca="1">IFERROR(__xludf.DUMMYFUNCTION("""COMPUTED_VALUE"""),"definite")</f>
        <v>definite</v>
      </c>
      <c r="U330" t="str">
        <f ca="1">IFERROR(__xludf.DUMMYFUNCTION("""COMPUTED_VALUE"""),"C2553")</f>
        <v>C2553</v>
      </c>
      <c r="V330" t="str">
        <f ca="1">IFERROR(__xludf.DUMMYFUNCTION("""COMPUTED_VALUE"""),"male")</f>
        <v>male</v>
      </c>
      <c r="Z330" t="str">
        <f ca="1">IFERROR(__xludf.DUMMYFUNCTION("""COMPUTED_VALUE"""),"201, 206, 241, 243")</f>
        <v>201, 206, 241, 243</v>
      </c>
      <c r="AA330" t="str">
        <f ca="1">IFERROR(__xludf.DUMMYFUNCTION("""COMPUTED_VALUE"""),"d")</f>
        <v>d</v>
      </c>
      <c r="AB330" t="str">
        <f ca="1">IFERROR(__xludf.DUMMYFUNCTION("""COMPUTED_VALUE"""),"suspect")</f>
        <v>suspect</v>
      </c>
      <c r="AE330" t="str">
        <f ca="1">IFERROR(__xludf.DUMMYFUNCTION("""COMPUTED_VALUE"""),"#VALUE!")</f>
        <v>#VALUE!</v>
      </c>
      <c r="AF330" t="str">
        <f ca="1">IFERROR(__xludf.DUMMYFUNCTION("""COMPUTED_VALUE"""),"#N/A")</f>
        <v>#N/A</v>
      </c>
      <c r="AG330" t="str">
        <f ca="1">IFERROR(__xludf.DUMMYFUNCTION("""COMPUTED_VALUE"""),"#N/A")</f>
        <v>#N/A</v>
      </c>
      <c r="AI330" t="str">
        <f ca="1">IFERROR(__xludf.DUMMYFUNCTION("""COMPUTED_VALUE"""),"#VALUE!")</f>
        <v>#VALUE!</v>
      </c>
      <c r="AK330" t="str">
        <f ca="1">IFERROR(__xludf.DUMMYFUNCTION("""COMPUTED_VALUE"""),"#VALUE!")</f>
        <v>#VALUE!</v>
      </c>
      <c r="AM330" t="str">
        <f ca="1">IFERROR(__xludf.DUMMYFUNCTION("""COMPUTED_VALUE"""),"#VALUE!")</f>
        <v>#VALUE!</v>
      </c>
      <c r="AO330" t="str">
        <f ca="1">IFERROR(__xludf.DUMMYFUNCTION("""COMPUTED_VALUE"""),"#VALUE!")</f>
        <v>#VALUE!</v>
      </c>
      <c r="AQ330" t="str">
        <f ca="1">IFERROR(__xludf.DUMMYFUNCTION("""COMPUTED_VALUE"""),"#VALUE!")</f>
        <v>#VALUE!</v>
      </c>
      <c r="AS330" t="str">
        <f ca="1">IFERROR(__xludf.DUMMYFUNCTION("""COMPUTED_VALUE"""),"#VALUE!")</f>
        <v>#VALUE!</v>
      </c>
      <c r="AU330" t="str">
        <f ca="1">IFERROR(__xludf.DUMMYFUNCTION("""COMPUTED_VALUE"""),"#VALUE!")</f>
        <v>#VALUE!</v>
      </c>
      <c r="AW330" t="str">
        <f ca="1">IFERROR(__xludf.DUMMYFUNCTION("""COMPUTED_VALUE"""),"#VALUE!")</f>
        <v>#VALUE!</v>
      </c>
      <c r="AY330" t="str">
        <f ca="1">IFERROR(__xludf.DUMMYFUNCTION("""COMPUTED_VALUE"""),"#VALUE!")</f>
        <v>#VALUE!</v>
      </c>
      <c r="BA330" t="str">
        <f ca="1">IFERROR(__xludf.DUMMYFUNCTION("""COMPUTED_VALUE"""),"#VALUE!")</f>
        <v>#VALUE!</v>
      </c>
      <c r="BC330" t="str">
        <f ca="1">IFERROR(__xludf.DUMMYFUNCTION("""COMPUTED_VALUE"""),"#VALUE!")</f>
        <v>#VALUE!</v>
      </c>
      <c r="BE330" t="str">
        <f ca="1">IFERROR(__xludf.DUMMYFUNCTION("""COMPUTED_VALUE"""),"#VALUE!")</f>
        <v>#VALUE!</v>
      </c>
      <c r="BG330" t="str">
        <f ca="1">IFERROR(__xludf.DUMMYFUNCTION("""COMPUTED_VALUE"""),"#VALUE!")</f>
        <v>#VALUE!</v>
      </c>
      <c r="BI330" t="str">
        <f ca="1">IFERROR(__xludf.DUMMYFUNCTION("""COMPUTED_VALUE"""),"#VALUE!")</f>
        <v>#VALUE!</v>
      </c>
      <c r="BK330" t="str">
        <f ca="1">IFERROR(__xludf.DUMMYFUNCTION("""COMPUTED_VALUE"""),"#VALUE!")</f>
        <v>#VALUE!</v>
      </c>
      <c r="BM330" t="str">
        <f ca="1">IFERROR(__xludf.DUMMYFUNCTION("""COMPUTED_VALUE"""),"#VALUE!")</f>
        <v>#VALUE!</v>
      </c>
      <c r="BO330" t="str">
        <f ca="1">IFERROR(__xludf.DUMMYFUNCTION("""COMPUTED_VALUE"""),"#VALUE!")</f>
        <v>#VALUE!</v>
      </c>
      <c r="BQ330" t="str">
        <f ca="1">IFERROR(__xludf.DUMMYFUNCTION("""COMPUTED_VALUE"""),"#VALUE!")</f>
        <v>#VALUE!</v>
      </c>
      <c r="BS330" t="str">
        <f ca="1">IFERROR(__xludf.DUMMYFUNCTION("""COMPUTED_VALUE"""),"#VALUE!")</f>
        <v>#VALUE!</v>
      </c>
      <c r="BU330" t="str">
        <f ca="1">IFERROR(__xludf.DUMMYFUNCTION("""COMPUTED_VALUE"""),"#VALUE!")</f>
        <v>#VALUE!</v>
      </c>
      <c r="BW330" t="str">
        <f ca="1">IFERROR(__xludf.DUMMYFUNCTION("""COMPUTED_VALUE"""),"#VALUE!")</f>
        <v>#VALUE!</v>
      </c>
      <c r="BY330" t="str">
        <f ca="1">IFERROR(__xludf.DUMMYFUNCTION("""COMPUTED_VALUE"""),"#VALUE!")</f>
        <v>#VALUE!</v>
      </c>
      <c r="CA330" t="str">
        <f ca="1">IFERROR(__xludf.DUMMYFUNCTION("""COMPUTED_VALUE"""),"#VALUE!")</f>
        <v>#VALUE!</v>
      </c>
      <c r="CC330" t="str">
        <f ca="1">IFERROR(__xludf.DUMMYFUNCTION("""COMPUTED_VALUE"""),"#VALUE!")</f>
        <v>#VALUE!</v>
      </c>
      <c r="CD330" t="str">
        <f ca="1">IFERROR(__xludf.DUMMYFUNCTION("""COMPUTED_VALUE"""),"C3598")</f>
        <v>C3598</v>
      </c>
      <c r="CE330" t="str">
        <f ca="1">IFERROR(__xludf.DUMMYFUNCTION("""COMPUTED_VALUE"""),"location of congregation")</f>
        <v>location of congregation</v>
      </c>
      <c r="CF330" t="str">
        <f ca="1">IFERROR(__xludf.DUMMYFUNCTION("""COMPUTED_VALUE"""),"L0096#L0105")</f>
        <v>L0096#L0105</v>
      </c>
      <c r="CG330" t="str">
        <f ca="1">IFERROR(__xludf.DUMMYFUNCTION("""COMPUTED_VALUE"""),"domus Iohannis de Bonaudo #domus de Rossetis")</f>
        <v>domus Iohannis de Bonaudo #domus de Rossetis</v>
      </c>
      <c r="CI330" t="str">
        <f ca="1">IFERROR(__xludf.DUMMYFUNCTION("""COMPUTED_VALUE"""),"#VALUE!")</f>
        <v>#VALUE!</v>
      </c>
      <c r="CK330" t="str">
        <f ca="1">IFERROR(__xludf.DUMMYFUNCTION("""COMPUTED_VALUE"""),"#VALUE!")</f>
        <v>#VALUE!</v>
      </c>
      <c r="CR330" t="str">
        <f ca="1">IFERROR(__xludf.DUMMYFUNCTION("""COMPUTED_VALUE"""),"L0153")</f>
        <v>L0153</v>
      </c>
      <c r="CS330" t="str">
        <f ca="1">IFERROR(__xludf.DUMMYFUNCTION("""COMPUTED_VALUE"""),"Pragelato")</f>
        <v>Pragelato</v>
      </c>
      <c r="CU330" t="str">
        <f ca="1">IFERROR(__xludf.DUMMYFUNCTION("""COMPUTED_VALUE"""),"#VALUE!")</f>
        <v>#VALUE!</v>
      </c>
      <c r="CW330" t="str">
        <f ca="1">IFERROR(__xludf.DUMMYFUNCTION("""COMPUTED_VALUE"""),"#VALUE!")</f>
        <v>#VALUE!</v>
      </c>
      <c r="CX330" t="str">
        <f ca="1">IFERROR(__xludf.DUMMYFUNCTION("""COMPUTED_VALUE"""),"C3197")</f>
        <v>C3197</v>
      </c>
      <c r="CY330" t="str">
        <f ca="1">IFERROR(__xludf.DUMMYFUNCTION("""COMPUTED_VALUE"""),"Valdensis")</f>
        <v>Valdensis</v>
      </c>
      <c r="DA330" t="str">
        <f ca="1">IFERROR(__xludf.DUMMYFUNCTION("""COMPUTED_VALUE"""),"dissident minister")</f>
        <v>dissident minister</v>
      </c>
      <c r="DC330" t="str">
        <f ca="1">IFERROR(__xludf.DUMMYFUNCTION("""COMPUTED_VALUE"""),"#VALUE!")</f>
        <v>#VALUE!</v>
      </c>
      <c r="DD330" t="str">
        <f ca="1">IFERROR(__xludf.DUMMYFUNCTION("""COMPUTED_VALUE"""),"C3197")</f>
        <v>C3197</v>
      </c>
      <c r="DE330" t="str">
        <f ca="1">IFERROR(__xludf.DUMMYFUNCTION("""COMPUTED_VALUE"""),"Valdensis")</f>
        <v>Valdensis</v>
      </c>
      <c r="DH330" t="str">
        <f ca="1">IFERROR(__xludf.DUMMYFUNCTION("""COMPUTED_VALUE"""),"L0096#L0105")</f>
        <v>L0096#L0105</v>
      </c>
      <c r="DI330" t="str">
        <f ca="1">IFERROR(__xludf.DUMMYFUNCTION("""COMPUTED_VALUE"""),"domus Iohannis de Bonaudo #domus de Rossetis")</f>
        <v>domus Iohannis de Bonaudo #domus de Rossetis</v>
      </c>
      <c r="DJ330" t="str">
        <f ca="1">IFERROR(__xludf.DUMMYFUNCTION("""COMPUTED_VALUE"""),"domus #domus")</f>
        <v>domus #domus</v>
      </c>
      <c r="DL330" t="str">
        <f ca="1">IFERROR(__xludf.DUMMYFUNCTION("""COMPUTED_VALUE"""),"Davor Salihović")</f>
        <v>Davor Salihović</v>
      </c>
    </row>
    <row r="331" spans="1:116" ht="13.2" x14ac:dyDescent="0.25">
      <c r="A331" t="str">
        <f ca="1">IFERROR(__xludf.DUMMYFUNCTION("""COMPUTED_VALUE"""),"P0337")</f>
        <v>P0337</v>
      </c>
      <c r="B331" t="str">
        <f ca="1">IFERROR(__xludf.DUMMYFUNCTION("""COMPUTED_VALUE"""),"Michael Barberius")</f>
        <v>Michael Barberius</v>
      </c>
      <c r="D331" t="str">
        <f ca="1">IFERROR(__xludf.DUMMYFUNCTION("""COMPUTED_VALUE"""),"#VALUE!")</f>
        <v>#VALUE!</v>
      </c>
      <c r="E331" t="str">
        <f ca="1">IFERROR(__xludf.DUMMYFUNCTION("""COMPUTED_VALUE"""),"Michael")</f>
        <v>Michael</v>
      </c>
      <c r="F331" t="str">
        <f ca="1">IFERROR(__xludf.DUMMYFUNCTION("""COMPUTED_VALUE"""),"Micheletus")</f>
        <v>Micheletus</v>
      </c>
      <c r="K331" t="str">
        <f ca="1">IFERROR(__xludf.DUMMYFUNCTION("""COMPUTED_VALUE"""),"Barberius")</f>
        <v>Barberius</v>
      </c>
      <c r="L331" t="str">
        <f ca="1">IFERROR(__xludf.DUMMYFUNCTION("""COMPUTED_VALUE"""),"Barberius")</f>
        <v>Barberius</v>
      </c>
      <c r="S331" t="str">
        <f ca="1">IFERROR(__xludf.DUMMYFUNCTION("""COMPUTED_VALUE"""),"Latin")</f>
        <v>Latin</v>
      </c>
      <c r="T331" t="str">
        <f ca="1">IFERROR(__xludf.DUMMYFUNCTION("""COMPUTED_VALUE"""),"definite")</f>
        <v>definite</v>
      </c>
      <c r="U331" t="str">
        <f ca="1">IFERROR(__xludf.DUMMYFUNCTION("""COMPUTED_VALUE"""),"C2553")</f>
        <v>C2553</v>
      </c>
      <c r="V331" t="str">
        <f ca="1">IFERROR(__xludf.DUMMYFUNCTION("""COMPUTED_VALUE"""),"male")</f>
        <v>male</v>
      </c>
      <c r="Z331" t="str">
        <f ca="1">IFERROR(__xludf.DUMMYFUNCTION("""COMPUTED_VALUE"""),"170, 201, 204, 220, 223, 231, 232")</f>
        <v>170, 201, 204, 220, 223, 231, 232</v>
      </c>
      <c r="AA331" t="str">
        <f ca="1">IFERROR(__xludf.DUMMYFUNCTION("""COMPUTED_VALUE"""),"d")</f>
        <v>d</v>
      </c>
      <c r="AB331" t="str">
        <f ca="1">IFERROR(__xludf.DUMMYFUNCTION("""COMPUTED_VALUE"""),"suspect")</f>
        <v>suspect</v>
      </c>
      <c r="AD331" t="str">
        <f ca="1">IFERROR(__xludf.DUMMYFUNCTION("""COMPUTED_VALUE"""),"C3287")</f>
        <v>C3287</v>
      </c>
      <c r="AE331" t="str">
        <f ca="1">IFERROR(__xludf.DUMMYFUNCTION("""COMPUTED_VALUE"""),"alive")</f>
        <v>alive</v>
      </c>
      <c r="AF331" t="str">
        <f ca="1">IFERROR(__xludf.DUMMYFUNCTION("""COMPUTED_VALUE"""),"C1753")</f>
        <v>C1753</v>
      </c>
      <c r="AG331" t="str">
        <f ca="1">IFERROR(__xludf.DUMMYFUNCTION("""COMPUTED_VALUE"""),"1335-01-20")</f>
        <v>1335-01-20</v>
      </c>
      <c r="AI331" t="str">
        <f ca="1">IFERROR(__xludf.DUMMYFUNCTION("""COMPUTED_VALUE"""),"#VALUE!")</f>
        <v>#VALUE!</v>
      </c>
      <c r="AK331" t="str">
        <f ca="1">IFERROR(__xludf.DUMMYFUNCTION("""COMPUTED_VALUE"""),"#VALUE!")</f>
        <v>#VALUE!</v>
      </c>
      <c r="AM331" t="str">
        <f ca="1">IFERROR(__xludf.DUMMYFUNCTION("""COMPUTED_VALUE"""),"#VALUE!")</f>
        <v>#VALUE!</v>
      </c>
      <c r="AO331" t="str">
        <f ca="1">IFERROR(__xludf.DUMMYFUNCTION("""COMPUTED_VALUE"""),"#VALUE!")</f>
        <v>#VALUE!</v>
      </c>
      <c r="AQ331" t="str">
        <f ca="1">IFERROR(__xludf.DUMMYFUNCTION("""COMPUTED_VALUE"""),"#VALUE!")</f>
        <v>#VALUE!</v>
      </c>
      <c r="AS331" t="str">
        <f ca="1">IFERROR(__xludf.DUMMYFUNCTION("""COMPUTED_VALUE"""),"#VALUE!")</f>
        <v>#VALUE!</v>
      </c>
      <c r="AU331" t="str">
        <f ca="1">IFERROR(__xludf.DUMMYFUNCTION("""COMPUTED_VALUE"""),"#VALUE!")</f>
        <v>#VALUE!</v>
      </c>
      <c r="AW331" t="str">
        <f ca="1">IFERROR(__xludf.DUMMYFUNCTION("""COMPUTED_VALUE"""),"#VALUE!")</f>
        <v>#VALUE!</v>
      </c>
      <c r="AY331" t="str">
        <f ca="1">IFERROR(__xludf.DUMMYFUNCTION("""COMPUTED_VALUE"""),"#VALUE!")</f>
        <v>#VALUE!</v>
      </c>
      <c r="BA331" t="str">
        <f ca="1">IFERROR(__xludf.DUMMYFUNCTION("""COMPUTED_VALUE"""),"#VALUE!")</f>
        <v>#VALUE!</v>
      </c>
      <c r="BC331" t="str">
        <f ca="1">IFERROR(__xludf.DUMMYFUNCTION("""COMPUTED_VALUE"""),"#VALUE!")</f>
        <v>#VALUE!</v>
      </c>
      <c r="BE331" t="str">
        <f ca="1">IFERROR(__xludf.DUMMYFUNCTION("""COMPUTED_VALUE"""),"#VALUE!")</f>
        <v>#VALUE!</v>
      </c>
      <c r="BG331" t="str">
        <f ca="1">IFERROR(__xludf.DUMMYFUNCTION("""COMPUTED_VALUE"""),"#VALUE!")</f>
        <v>#VALUE!</v>
      </c>
      <c r="BI331" t="str">
        <f ca="1">IFERROR(__xludf.DUMMYFUNCTION("""COMPUTED_VALUE"""),"#VALUE!")</f>
        <v>#VALUE!</v>
      </c>
      <c r="BK331" t="str">
        <f ca="1">IFERROR(__xludf.DUMMYFUNCTION("""COMPUTED_VALUE"""),"#VALUE!")</f>
        <v>#VALUE!</v>
      </c>
      <c r="BM331" t="str">
        <f ca="1">IFERROR(__xludf.DUMMYFUNCTION("""COMPUTED_VALUE"""),"#VALUE!")</f>
        <v>#VALUE!</v>
      </c>
      <c r="BO331" t="str">
        <f ca="1">IFERROR(__xludf.DUMMYFUNCTION("""COMPUTED_VALUE"""),"#VALUE!")</f>
        <v>#VALUE!</v>
      </c>
      <c r="BQ331" t="str">
        <f ca="1">IFERROR(__xludf.DUMMYFUNCTION("""COMPUTED_VALUE"""),"#VALUE!")</f>
        <v>#VALUE!</v>
      </c>
      <c r="BS331" t="str">
        <f ca="1">IFERROR(__xludf.DUMMYFUNCTION("""COMPUTED_VALUE"""),"#VALUE!")</f>
        <v>#VALUE!</v>
      </c>
      <c r="BU331" t="str">
        <f ca="1">IFERROR(__xludf.DUMMYFUNCTION("""COMPUTED_VALUE"""),"#VALUE!")</f>
        <v>#VALUE!</v>
      </c>
      <c r="BW331" t="str">
        <f ca="1">IFERROR(__xludf.DUMMYFUNCTION("""COMPUTED_VALUE"""),"#VALUE!")</f>
        <v>#VALUE!</v>
      </c>
      <c r="BY331" t="str">
        <f ca="1">IFERROR(__xludf.DUMMYFUNCTION("""COMPUTED_VALUE"""),"#VALUE!")</f>
        <v>#VALUE!</v>
      </c>
      <c r="CA331" t="str">
        <f ca="1">IFERROR(__xludf.DUMMYFUNCTION("""COMPUTED_VALUE"""),"#VALUE!")</f>
        <v>#VALUE!</v>
      </c>
      <c r="CC331" t="str">
        <f ca="1">IFERROR(__xludf.DUMMYFUNCTION("""COMPUTED_VALUE"""),"#VALUE!")</f>
        <v>#VALUE!</v>
      </c>
      <c r="CD331" t="str">
        <f ca="1">IFERROR(__xludf.DUMMYFUNCTION("""COMPUTED_VALUE"""),"C3598")</f>
        <v>C3598</v>
      </c>
      <c r="CE331" t="str">
        <f ca="1">IFERROR(__xludf.DUMMYFUNCTION("""COMPUTED_VALUE"""),"location of congregation")</f>
        <v>location of congregation</v>
      </c>
      <c r="CF331" t="str">
        <f ca="1">IFERROR(__xludf.DUMMYFUNCTION("""COMPUTED_VALUE"""),"L0098#L0122")</f>
        <v>L0098#L0122</v>
      </c>
      <c r="CG331" t="str">
        <f ca="1">IFERROR(__xludf.DUMMYFUNCTION("""COMPUTED_VALUE"""),"domus Michaelis Planche #domus Margerite Planche")</f>
        <v>domus Michaelis Planche #domus Margerite Planche</v>
      </c>
      <c r="CI331" t="str">
        <f ca="1">IFERROR(__xludf.DUMMYFUNCTION("""COMPUTED_VALUE"""),"#VALUE!")</f>
        <v>#VALUE!</v>
      </c>
      <c r="CK331" t="str">
        <f ca="1">IFERROR(__xludf.DUMMYFUNCTION("""COMPUTED_VALUE"""),"#VALUE!")</f>
        <v>#VALUE!</v>
      </c>
      <c r="CS331" t="str">
        <f ca="1">IFERROR(__xludf.DUMMYFUNCTION("""COMPUTED_VALUE"""),"#VALUE!")</f>
        <v>#VALUE!</v>
      </c>
      <c r="CU331" t="str">
        <f ca="1">IFERROR(__xludf.DUMMYFUNCTION("""COMPUTED_VALUE"""),"#VALUE!")</f>
        <v>#VALUE!</v>
      </c>
      <c r="CW331" t="str">
        <f ca="1">IFERROR(__xludf.DUMMYFUNCTION("""COMPUTED_VALUE"""),"#VALUE!")</f>
        <v>#VALUE!</v>
      </c>
      <c r="CX331" t="str">
        <f ca="1">IFERROR(__xludf.DUMMYFUNCTION("""COMPUTED_VALUE"""),"C0062")</f>
        <v>C0062</v>
      </c>
      <c r="CY331" t="str">
        <f ca="1">IFERROR(__xludf.DUMMYFUNCTION("""COMPUTED_VALUE"""),"notarius")</f>
        <v>notarius</v>
      </c>
      <c r="DA331" t="str">
        <f ca="1">IFERROR(__xludf.DUMMYFUNCTION("""COMPUTED_VALUE"""),"official")</f>
        <v>official</v>
      </c>
      <c r="DB331" t="str">
        <f ca="1">IFERROR(__xludf.DUMMYFUNCTION("""COMPUTED_VALUE"""),"C0062")</f>
        <v>C0062</v>
      </c>
      <c r="DC331" t="str">
        <f ca="1">IFERROR(__xludf.DUMMYFUNCTION("""COMPUTED_VALUE"""),"notarius")</f>
        <v>notarius</v>
      </c>
      <c r="DD331" t="str">
        <f ca="1">IFERROR(__xludf.DUMMYFUNCTION("""COMPUTED_VALUE"""),"C0062")</f>
        <v>C0062</v>
      </c>
      <c r="DE331" t="str">
        <f ca="1">IFERROR(__xludf.DUMMYFUNCTION("""COMPUTED_VALUE"""),"notarius")</f>
        <v>notarius</v>
      </c>
      <c r="DF331" t="str">
        <f ca="1">IFERROR(__xludf.DUMMYFUNCTION("""COMPUTED_VALUE"""),"y")</f>
        <v>y</v>
      </c>
      <c r="DG331" t="str">
        <f ca="1">IFERROR(__xludf.DUMMYFUNCTION("""COMPUTED_VALUE"""),"231-232")</f>
        <v>231-232</v>
      </c>
      <c r="DH331" t="str">
        <f ca="1">IFERROR(__xludf.DUMMYFUNCTION("""COMPUTED_VALUE"""),"L0098#L0122")</f>
        <v>L0098#L0122</v>
      </c>
      <c r="DI331" t="str">
        <f ca="1">IFERROR(__xludf.DUMMYFUNCTION("""COMPUTED_VALUE"""),"domus Michaelis Planche #domus Margerite Planche")</f>
        <v>domus Michaelis Planche #domus Margerite Planche</v>
      </c>
      <c r="DJ331" t="str">
        <f ca="1">IFERROR(__xludf.DUMMYFUNCTION("""COMPUTED_VALUE"""),"domus #domus")</f>
        <v>domus #domus</v>
      </c>
      <c r="DK331" t="str">
        <f ca="1">IFERROR(__xludf.DUMMYFUNCTION("""COMPUTED_VALUE"""),"Michael... qui legebat unam litteram coram eodem Martino [Valdense]")</f>
        <v>Michael... qui legebat unam litteram coram eodem Martino [Valdense]</v>
      </c>
      <c r="DL331" t="str">
        <f ca="1">IFERROR(__xludf.DUMMYFUNCTION("""COMPUTED_VALUE"""),"Davor Salihović")</f>
        <v>Davor Salihović</v>
      </c>
    </row>
    <row r="332" spans="1:116" ht="13.2" x14ac:dyDescent="0.25">
      <c r="A332" t="str">
        <f ca="1">IFERROR(__xludf.DUMMYFUNCTION("""COMPUTED_VALUE"""),"P0338")</f>
        <v>P0338</v>
      </c>
      <c r="B332" t="str">
        <f ca="1">IFERROR(__xludf.DUMMYFUNCTION("""COMPUTED_VALUE"""),"Hugonetus Gobaudi")</f>
        <v>Hugonetus Gobaudi</v>
      </c>
      <c r="D332" t="str">
        <f ca="1">IFERROR(__xludf.DUMMYFUNCTION("""COMPUTED_VALUE"""),"#VALUE!")</f>
        <v>#VALUE!</v>
      </c>
      <c r="E332" t="str">
        <f ca="1">IFERROR(__xludf.DUMMYFUNCTION("""COMPUTED_VALUE"""),"Hugonetus")</f>
        <v>Hugonetus</v>
      </c>
      <c r="K332" t="str">
        <f ca="1">IFERROR(__xludf.DUMMYFUNCTION("""COMPUTED_VALUE"""),"Gobaudi")</f>
        <v>Gobaudi</v>
      </c>
      <c r="L332" t="str">
        <f ca="1">IFERROR(__xludf.DUMMYFUNCTION("""COMPUTED_VALUE"""),"Gobaudi")</f>
        <v>Gobaudi</v>
      </c>
      <c r="S332" t="str">
        <f ca="1">IFERROR(__xludf.DUMMYFUNCTION("""COMPUTED_VALUE"""),"Latin")</f>
        <v>Latin</v>
      </c>
      <c r="T332" t="str">
        <f ca="1">IFERROR(__xludf.DUMMYFUNCTION("""COMPUTED_VALUE"""),"definite")</f>
        <v>definite</v>
      </c>
      <c r="U332" t="str">
        <f ca="1">IFERROR(__xludf.DUMMYFUNCTION("""COMPUTED_VALUE"""),"C2553")</f>
        <v>C2553</v>
      </c>
      <c r="V332" t="str">
        <f ca="1">IFERROR(__xludf.DUMMYFUNCTION("""COMPUTED_VALUE"""),"male")</f>
        <v>male</v>
      </c>
      <c r="Z332" t="str">
        <f ca="1">IFERROR(__xludf.DUMMYFUNCTION("""COMPUTED_VALUE"""),"202, 204, 216, 217, 218, 219, 220, 221, 222, 223, 246")</f>
        <v>202, 204, 216, 217, 218, 219, 220, 221, 222, 223, 246</v>
      </c>
      <c r="AA332" t="str">
        <f ca="1">IFERROR(__xludf.DUMMYFUNCTION("""COMPUTED_VALUE"""),"d")</f>
        <v>d</v>
      </c>
      <c r="AB332" t="str">
        <f ca="1">IFERROR(__xludf.DUMMYFUNCTION("""COMPUTED_VALUE"""),"suspect")</f>
        <v>suspect</v>
      </c>
      <c r="AD332" t="str">
        <f ca="1">IFERROR(__xludf.DUMMYFUNCTION("""COMPUTED_VALUE"""),"C3287")</f>
        <v>C3287</v>
      </c>
      <c r="AE332" t="str">
        <f ca="1">IFERROR(__xludf.DUMMYFUNCTION("""COMPUTED_VALUE"""),"alive")</f>
        <v>alive</v>
      </c>
      <c r="AF332" t="str">
        <f ca="1">IFERROR(__xludf.DUMMYFUNCTION("""COMPUTED_VALUE"""),"C1753")</f>
        <v>C1753</v>
      </c>
      <c r="AG332" t="str">
        <f ca="1">IFERROR(__xludf.DUMMYFUNCTION("""COMPUTED_VALUE"""),"1335-01-20")</f>
        <v>1335-01-20</v>
      </c>
      <c r="AI332" t="str">
        <f ca="1">IFERROR(__xludf.DUMMYFUNCTION("""COMPUTED_VALUE"""),"#VALUE!")</f>
        <v>#VALUE!</v>
      </c>
      <c r="AK332" t="str">
        <f ca="1">IFERROR(__xludf.DUMMYFUNCTION("""COMPUTED_VALUE"""),"#VALUE!")</f>
        <v>#VALUE!</v>
      </c>
      <c r="AM332" t="str">
        <f ca="1">IFERROR(__xludf.DUMMYFUNCTION("""COMPUTED_VALUE"""),"#VALUE!")</f>
        <v>#VALUE!</v>
      </c>
      <c r="AO332" t="str">
        <f ca="1">IFERROR(__xludf.DUMMYFUNCTION("""COMPUTED_VALUE"""),"#VALUE!")</f>
        <v>#VALUE!</v>
      </c>
      <c r="AQ332" t="str">
        <f ca="1">IFERROR(__xludf.DUMMYFUNCTION("""COMPUTED_VALUE"""),"#VALUE!")</f>
        <v>#VALUE!</v>
      </c>
      <c r="AS332" t="str">
        <f ca="1">IFERROR(__xludf.DUMMYFUNCTION("""COMPUTED_VALUE"""),"#VALUE!")</f>
        <v>#VALUE!</v>
      </c>
      <c r="AU332" t="str">
        <f ca="1">IFERROR(__xludf.DUMMYFUNCTION("""COMPUTED_VALUE"""),"#VALUE!")</f>
        <v>#VALUE!</v>
      </c>
      <c r="AW332" t="str">
        <f ca="1">IFERROR(__xludf.DUMMYFUNCTION("""COMPUTED_VALUE"""),"#VALUE!")</f>
        <v>#VALUE!</v>
      </c>
      <c r="AY332" t="str">
        <f ca="1">IFERROR(__xludf.DUMMYFUNCTION("""COMPUTED_VALUE"""),"#VALUE!")</f>
        <v>#VALUE!</v>
      </c>
      <c r="BA332" t="str">
        <f ca="1">IFERROR(__xludf.DUMMYFUNCTION("""COMPUTED_VALUE"""),"#VALUE!")</f>
        <v>#VALUE!</v>
      </c>
      <c r="BC332" t="str">
        <f ca="1">IFERROR(__xludf.DUMMYFUNCTION("""COMPUTED_VALUE"""),"#VALUE!")</f>
        <v>#VALUE!</v>
      </c>
      <c r="BE332" t="str">
        <f ca="1">IFERROR(__xludf.DUMMYFUNCTION("""COMPUTED_VALUE"""),"#VALUE!")</f>
        <v>#VALUE!</v>
      </c>
      <c r="BG332" t="str">
        <f ca="1">IFERROR(__xludf.DUMMYFUNCTION("""COMPUTED_VALUE"""),"#VALUE!")</f>
        <v>#VALUE!</v>
      </c>
      <c r="BI332" t="str">
        <f ca="1">IFERROR(__xludf.DUMMYFUNCTION("""COMPUTED_VALUE"""),"#VALUE!")</f>
        <v>#VALUE!</v>
      </c>
      <c r="BK332" t="str">
        <f ca="1">IFERROR(__xludf.DUMMYFUNCTION("""COMPUTED_VALUE"""),"#VALUE!")</f>
        <v>#VALUE!</v>
      </c>
      <c r="BM332" t="str">
        <f ca="1">IFERROR(__xludf.DUMMYFUNCTION("""COMPUTED_VALUE"""),"#VALUE!")</f>
        <v>#VALUE!</v>
      </c>
      <c r="BO332" t="str">
        <f ca="1">IFERROR(__xludf.DUMMYFUNCTION("""COMPUTED_VALUE"""),"#VALUE!")</f>
        <v>#VALUE!</v>
      </c>
      <c r="BQ332" t="str">
        <f ca="1">IFERROR(__xludf.DUMMYFUNCTION("""COMPUTED_VALUE"""),"#VALUE!")</f>
        <v>#VALUE!</v>
      </c>
      <c r="BS332" t="str">
        <f ca="1">IFERROR(__xludf.DUMMYFUNCTION("""COMPUTED_VALUE"""),"#VALUE!")</f>
        <v>#VALUE!</v>
      </c>
      <c r="BU332" t="str">
        <f ca="1">IFERROR(__xludf.DUMMYFUNCTION("""COMPUTED_VALUE"""),"#VALUE!")</f>
        <v>#VALUE!</v>
      </c>
      <c r="BW332" t="str">
        <f ca="1">IFERROR(__xludf.DUMMYFUNCTION("""COMPUTED_VALUE"""),"#VALUE!")</f>
        <v>#VALUE!</v>
      </c>
      <c r="BY332" t="str">
        <f ca="1">IFERROR(__xludf.DUMMYFUNCTION("""COMPUTED_VALUE"""),"#VALUE!")</f>
        <v>#VALUE!</v>
      </c>
      <c r="CA332" t="str">
        <f ca="1">IFERROR(__xludf.DUMMYFUNCTION("""COMPUTED_VALUE"""),"#VALUE!")</f>
        <v>#VALUE!</v>
      </c>
      <c r="CC332" t="str">
        <f ca="1">IFERROR(__xludf.DUMMYFUNCTION("""COMPUTED_VALUE"""),"#VALUE!")</f>
        <v>#VALUE!</v>
      </c>
      <c r="CD332" t="str">
        <f ca="1">IFERROR(__xludf.DUMMYFUNCTION("""COMPUTED_VALUE"""),"C3598")</f>
        <v>C3598</v>
      </c>
      <c r="CE332" t="str">
        <f ca="1">IFERROR(__xludf.DUMMYFUNCTION("""COMPUTED_VALUE"""),"location of congregation")</f>
        <v>location of congregation</v>
      </c>
      <c r="CF332" t="str">
        <f ca="1">IFERROR(__xludf.DUMMYFUNCTION("""COMPUTED_VALUE"""),"L0032#L0098#L0079#L0077#L0118#L0122")</f>
        <v>L0032#L0098#L0079#L0077#L0118#L0122</v>
      </c>
      <c r="CG332" t="str">
        <f ca="1">IFERROR(__xludf.DUMMYFUNCTION("""COMPUTED_VALUE"""),"domus Villelmi de Oddo #domus Michaelis Planche #domus Martinii Dominici #domus Margerite Borssete #domus matris Peronete et Michaelis Planche #domus Margerite Planche")</f>
        <v>domus Villelmi de Oddo #domus Michaelis Planche #domus Martinii Dominici #domus Margerite Borssete #domus matris Peronete et Michaelis Planche #domus Margerite Planche</v>
      </c>
      <c r="CI332" t="str">
        <f ca="1">IFERROR(__xludf.DUMMYFUNCTION("""COMPUTED_VALUE"""),"#VALUE!")</f>
        <v>#VALUE!</v>
      </c>
      <c r="CJ332" t="str">
        <f ca="1">IFERROR(__xludf.DUMMYFUNCTION("""COMPUTED_VALUE"""),"P0154#P0339#P0234")</f>
        <v>P0154#P0339#P0234</v>
      </c>
      <c r="CK332" t="str">
        <f ca="1">IFERROR(__xludf.DUMMYFUNCTION("""COMPUTED_VALUE"""),"Michael Plancha #Ysabella, mater Michaelis Planche #Bruna, soror Michaelis Planchi")</f>
        <v>Michael Plancha #Ysabella, mater Michaelis Planche #Bruna, soror Michaelis Planchi</v>
      </c>
      <c r="CS332" t="str">
        <f ca="1">IFERROR(__xludf.DUMMYFUNCTION("""COMPUTED_VALUE"""),"#VALUE!")</f>
        <v>#VALUE!</v>
      </c>
      <c r="CU332" t="str">
        <f ca="1">IFERROR(__xludf.DUMMYFUNCTION("""COMPUTED_VALUE"""),"#VALUE!")</f>
        <v>#VALUE!</v>
      </c>
      <c r="CW332" t="str">
        <f ca="1">IFERROR(__xludf.DUMMYFUNCTION("""COMPUTED_VALUE"""),"#VALUE!")</f>
        <v>#VALUE!</v>
      </c>
      <c r="CY332" t="str">
        <f ca="1">IFERROR(__xludf.DUMMYFUNCTION("""COMPUTED_VALUE"""),"#VALUE!")</f>
        <v>#VALUE!</v>
      </c>
      <c r="DC332" t="str">
        <f ca="1">IFERROR(__xludf.DUMMYFUNCTION("""COMPUTED_VALUE"""),"#VALUE!")</f>
        <v>#VALUE!</v>
      </c>
      <c r="DE332" t="str">
        <f ca="1">IFERROR(__xludf.DUMMYFUNCTION("""COMPUTED_VALUE"""),"#VALUE!")</f>
        <v>#VALUE!</v>
      </c>
      <c r="DF332" t="str">
        <f ca="1">IFERROR(__xludf.DUMMYFUNCTION("""COMPUTED_VALUE"""),"y")</f>
        <v>y</v>
      </c>
      <c r="DG332" t="str">
        <f ca="1">IFERROR(__xludf.DUMMYFUNCTION("""COMPUTED_VALUE"""),"216-217")</f>
        <v>216-217</v>
      </c>
      <c r="DH332" t="str">
        <f ca="1">IFERROR(__xludf.DUMMYFUNCTION("""COMPUTED_VALUE"""),"L0032#L0098#L0079#L0077#L0118#L0122")</f>
        <v>L0032#L0098#L0079#L0077#L0118#L0122</v>
      </c>
      <c r="DI332" t="str">
        <f ca="1">IFERROR(__xludf.DUMMYFUNCTION("""COMPUTED_VALUE"""),"domus Villelmi de Oddo #domus Michaelis Planche #domus Martinii Dominici #domus Margerite Borssete #domus matris Peronete et Michaelis Planche #domus Margerite Planche")</f>
        <v>domus Villelmi de Oddo #domus Michaelis Planche #domus Martinii Dominici #domus Margerite Borssete #domus matris Peronete et Michaelis Planche #domus Margerite Planche</v>
      </c>
      <c r="DJ332" t="str">
        <f ca="1">IFERROR(__xludf.DUMMYFUNCTION("""COMPUTED_VALUE"""),"domus #domus #domus #domus #domus #domus")</f>
        <v>domus #domus #domus #domus #domus #domus</v>
      </c>
      <c r="DL332" t="str">
        <f ca="1">IFERROR(__xludf.DUMMYFUNCTION("""COMPUTED_VALUE"""),"Davor Salihović")</f>
        <v>Davor Salihović</v>
      </c>
    </row>
    <row r="333" spans="1:116" ht="13.2" x14ac:dyDescent="0.25">
      <c r="A333" t="str">
        <f ca="1">IFERROR(__xludf.DUMMYFUNCTION("""COMPUTED_VALUE"""),"P0339")</f>
        <v>P0339</v>
      </c>
      <c r="B333" t="str">
        <f ca="1">IFERROR(__xludf.DUMMYFUNCTION("""COMPUTED_VALUE"""),"Ysabella, mater Michaelis Planche")</f>
        <v>Ysabella, mater Michaelis Planche</v>
      </c>
      <c r="D333" t="str">
        <f ca="1">IFERROR(__xludf.DUMMYFUNCTION("""COMPUTED_VALUE"""),"#VALUE!")</f>
        <v>#VALUE!</v>
      </c>
      <c r="E333" t="str">
        <f ca="1">IFERROR(__xludf.DUMMYFUNCTION("""COMPUTED_VALUE"""),"Ysabella")</f>
        <v>Ysabella</v>
      </c>
      <c r="Q333" t="str">
        <f ca="1">IFERROR(__xludf.DUMMYFUNCTION("""COMPUTED_VALUE"""),"mater Michaelis Planche")</f>
        <v>mater Michaelis Planche</v>
      </c>
      <c r="S333" t="str">
        <f ca="1">IFERROR(__xludf.DUMMYFUNCTION("""COMPUTED_VALUE"""),"Latin")</f>
        <v>Latin</v>
      </c>
      <c r="T333" t="str">
        <f ca="1">IFERROR(__xludf.DUMMYFUNCTION("""COMPUTED_VALUE"""),"definite")</f>
        <v>definite</v>
      </c>
      <c r="U333" t="str">
        <f ca="1">IFERROR(__xludf.DUMMYFUNCTION("""COMPUTED_VALUE"""),"C2552")</f>
        <v>C2552</v>
      </c>
      <c r="V333" t="str">
        <f ca="1">IFERROR(__xludf.DUMMYFUNCTION("""COMPUTED_VALUE"""),"female")</f>
        <v>female</v>
      </c>
      <c r="Z333" t="str">
        <f ca="1">IFERROR(__xludf.DUMMYFUNCTION("""COMPUTED_VALUE"""),"202, 203, 204, 216, 220, 223")</f>
        <v>202, 203, 204, 216, 220, 223</v>
      </c>
      <c r="AA333" t="str">
        <f ca="1">IFERROR(__xludf.DUMMYFUNCTION("""COMPUTED_VALUE"""),"d")</f>
        <v>d</v>
      </c>
      <c r="AB333" t="str">
        <f ca="1">IFERROR(__xludf.DUMMYFUNCTION("""COMPUTED_VALUE"""),"suspect")</f>
        <v>suspect</v>
      </c>
      <c r="AE333" t="str">
        <f ca="1">IFERROR(__xludf.DUMMYFUNCTION("""COMPUTED_VALUE"""),"#VALUE!")</f>
        <v>#VALUE!</v>
      </c>
      <c r="AF333" t="str">
        <f ca="1">IFERROR(__xludf.DUMMYFUNCTION("""COMPUTED_VALUE"""),"#N/A")</f>
        <v>#N/A</v>
      </c>
      <c r="AG333" t="str">
        <f ca="1">IFERROR(__xludf.DUMMYFUNCTION("""COMPUTED_VALUE"""),"#N/A")</f>
        <v>#N/A</v>
      </c>
      <c r="AI333" t="str">
        <f ca="1">IFERROR(__xludf.DUMMYFUNCTION("""COMPUTED_VALUE"""),"#VALUE!")</f>
        <v>#VALUE!</v>
      </c>
      <c r="AK333" t="str">
        <f ca="1">IFERROR(__xludf.DUMMYFUNCTION("""COMPUTED_VALUE"""),"#VALUE!")</f>
        <v>#VALUE!</v>
      </c>
      <c r="AM333" t="str">
        <f ca="1">IFERROR(__xludf.DUMMYFUNCTION("""COMPUTED_VALUE"""),"#VALUE!")</f>
        <v>#VALUE!</v>
      </c>
      <c r="AO333" t="str">
        <f ca="1">IFERROR(__xludf.DUMMYFUNCTION("""COMPUTED_VALUE"""),"#VALUE!")</f>
        <v>#VALUE!</v>
      </c>
      <c r="AQ333" t="str">
        <f ca="1">IFERROR(__xludf.DUMMYFUNCTION("""COMPUTED_VALUE"""),"#VALUE!")</f>
        <v>#VALUE!</v>
      </c>
      <c r="AS333" t="str">
        <f ca="1">IFERROR(__xludf.DUMMYFUNCTION("""COMPUTED_VALUE"""),"#VALUE!")</f>
        <v>#VALUE!</v>
      </c>
      <c r="AU333" t="str">
        <f ca="1">IFERROR(__xludf.DUMMYFUNCTION("""COMPUTED_VALUE"""),"#VALUE!")</f>
        <v>#VALUE!</v>
      </c>
      <c r="AW333" t="str">
        <f ca="1">IFERROR(__xludf.DUMMYFUNCTION("""COMPUTED_VALUE"""),"#VALUE!")</f>
        <v>#VALUE!</v>
      </c>
      <c r="AY333" t="str">
        <f ca="1">IFERROR(__xludf.DUMMYFUNCTION("""COMPUTED_VALUE"""),"#VALUE!")</f>
        <v>#VALUE!</v>
      </c>
      <c r="BA333" t="str">
        <f ca="1">IFERROR(__xludf.DUMMYFUNCTION("""COMPUTED_VALUE"""),"#VALUE!")</f>
        <v>#VALUE!</v>
      </c>
      <c r="BC333" t="str">
        <f ca="1">IFERROR(__xludf.DUMMYFUNCTION("""COMPUTED_VALUE"""),"#VALUE!")</f>
        <v>#VALUE!</v>
      </c>
      <c r="BE333" t="str">
        <f ca="1">IFERROR(__xludf.DUMMYFUNCTION("""COMPUTED_VALUE"""),"#VALUE!")</f>
        <v>#VALUE!</v>
      </c>
      <c r="BG333" t="str">
        <f ca="1">IFERROR(__xludf.DUMMYFUNCTION("""COMPUTED_VALUE"""),"#VALUE!")</f>
        <v>#VALUE!</v>
      </c>
      <c r="BI333" t="str">
        <f ca="1">IFERROR(__xludf.DUMMYFUNCTION("""COMPUTED_VALUE"""),"#VALUE!")</f>
        <v>#VALUE!</v>
      </c>
      <c r="BK333" t="str">
        <f ca="1">IFERROR(__xludf.DUMMYFUNCTION("""COMPUTED_VALUE"""),"#VALUE!")</f>
        <v>#VALUE!</v>
      </c>
      <c r="BM333" t="str">
        <f ca="1">IFERROR(__xludf.DUMMYFUNCTION("""COMPUTED_VALUE"""),"#VALUE!")</f>
        <v>#VALUE!</v>
      </c>
      <c r="BO333" t="str">
        <f ca="1">IFERROR(__xludf.DUMMYFUNCTION("""COMPUTED_VALUE"""),"#VALUE!")</f>
        <v>#VALUE!</v>
      </c>
      <c r="BQ333" t="str">
        <f ca="1">IFERROR(__xludf.DUMMYFUNCTION("""COMPUTED_VALUE"""),"#VALUE!")</f>
        <v>#VALUE!</v>
      </c>
      <c r="BS333" t="str">
        <f ca="1">IFERROR(__xludf.DUMMYFUNCTION("""COMPUTED_VALUE"""),"#VALUE!")</f>
        <v>#VALUE!</v>
      </c>
      <c r="BU333" t="str">
        <f ca="1">IFERROR(__xludf.DUMMYFUNCTION("""COMPUTED_VALUE"""),"#VALUE!")</f>
        <v>#VALUE!</v>
      </c>
      <c r="BW333" t="str">
        <f ca="1">IFERROR(__xludf.DUMMYFUNCTION("""COMPUTED_VALUE"""),"#VALUE!")</f>
        <v>#VALUE!</v>
      </c>
      <c r="BY333" t="str">
        <f ca="1">IFERROR(__xludf.DUMMYFUNCTION("""COMPUTED_VALUE"""),"#VALUE!")</f>
        <v>#VALUE!</v>
      </c>
      <c r="CA333" t="str">
        <f ca="1">IFERROR(__xludf.DUMMYFUNCTION("""COMPUTED_VALUE"""),"#VALUE!")</f>
        <v>#VALUE!</v>
      </c>
      <c r="CC333" t="str">
        <f ca="1">IFERROR(__xludf.DUMMYFUNCTION("""COMPUTED_VALUE"""),"#VALUE!")</f>
        <v>#VALUE!</v>
      </c>
      <c r="CD333" t="str">
        <f ca="1">IFERROR(__xludf.DUMMYFUNCTION("""COMPUTED_VALUE"""),"C3598")</f>
        <v>C3598</v>
      </c>
      <c r="CE333" t="str">
        <f ca="1">IFERROR(__xludf.DUMMYFUNCTION("""COMPUTED_VALUE"""),"location of congregation")</f>
        <v>location of congregation</v>
      </c>
      <c r="CF333" t="str">
        <f ca="1">IFERROR(__xludf.DUMMYFUNCTION("""COMPUTED_VALUE"""),"L0098#L0118#L0122")</f>
        <v>L0098#L0118#L0122</v>
      </c>
      <c r="CG333" t="str">
        <f ca="1">IFERROR(__xludf.DUMMYFUNCTION("""COMPUTED_VALUE"""),"domus Michaelis Planche #domus matris Peronete et Michaelis Planche #domus Margerite Planche")</f>
        <v>domus Michaelis Planche #domus matris Peronete et Michaelis Planche #domus Margerite Planche</v>
      </c>
      <c r="CI333" t="str">
        <f ca="1">IFERROR(__xludf.DUMMYFUNCTION("""COMPUTED_VALUE"""),"#VALUE!")</f>
        <v>#VALUE!</v>
      </c>
      <c r="CK333" t="str">
        <f ca="1">IFERROR(__xludf.DUMMYFUNCTION("""COMPUTED_VALUE"""),"#VALUE!")</f>
        <v>#VALUE!</v>
      </c>
      <c r="CS333" t="str">
        <f ca="1">IFERROR(__xludf.DUMMYFUNCTION("""COMPUTED_VALUE"""),"#VALUE!")</f>
        <v>#VALUE!</v>
      </c>
      <c r="CU333" t="str">
        <f ca="1">IFERROR(__xludf.DUMMYFUNCTION("""COMPUTED_VALUE"""),"#VALUE!")</f>
        <v>#VALUE!</v>
      </c>
      <c r="CW333" t="str">
        <f ca="1">IFERROR(__xludf.DUMMYFUNCTION("""COMPUTED_VALUE"""),"#VALUE!")</f>
        <v>#VALUE!</v>
      </c>
      <c r="CY333" t="str">
        <f ca="1">IFERROR(__xludf.DUMMYFUNCTION("""COMPUTED_VALUE"""),"#VALUE!")</f>
        <v>#VALUE!</v>
      </c>
      <c r="DC333" t="str">
        <f ca="1">IFERROR(__xludf.DUMMYFUNCTION("""COMPUTED_VALUE"""),"#VALUE!")</f>
        <v>#VALUE!</v>
      </c>
      <c r="DE333" t="str">
        <f ca="1">IFERROR(__xludf.DUMMYFUNCTION("""COMPUTED_VALUE"""),"#VALUE!")</f>
        <v>#VALUE!</v>
      </c>
      <c r="DH333" t="str">
        <f ca="1">IFERROR(__xludf.DUMMYFUNCTION("""COMPUTED_VALUE"""),"L0098#L0118#L0122")</f>
        <v>L0098#L0118#L0122</v>
      </c>
      <c r="DI333" t="str">
        <f ca="1">IFERROR(__xludf.DUMMYFUNCTION("""COMPUTED_VALUE"""),"domus Michaelis Planche #domus matris Peronete et Michaelis Planche #domus Margerite Planche")</f>
        <v>domus Michaelis Planche #domus matris Peronete et Michaelis Planche #domus Margerite Planche</v>
      </c>
      <c r="DJ333" t="str">
        <f ca="1">IFERROR(__xludf.DUMMYFUNCTION("""COMPUTED_VALUE"""),"domus #domus #domus")</f>
        <v>domus #domus #domus</v>
      </c>
      <c r="DL333" t="str">
        <f ca="1">IFERROR(__xludf.DUMMYFUNCTION("""COMPUTED_VALUE"""),"Davor Salihović")</f>
        <v>Davor Salihović</v>
      </c>
    </row>
    <row r="334" spans="1:116" ht="13.2" x14ac:dyDescent="0.25">
      <c r="A334" t="str">
        <f ca="1">IFERROR(__xludf.DUMMYFUNCTION("""COMPUTED_VALUE"""),"P0340")</f>
        <v>P0340</v>
      </c>
      <c r="B334" t="str">
        <f ca="1">IFERROR(__xludf.DUMMYFUNCTION("""COMPUTED_VALUE"""),"Villelmus de Valle Iudea")</f>
        <v>Villelmus de Valle Iudea</v>
      </c>
      <c r="D334" t="str">
        <f ca="1">IFERROR(__xludf.DUMMYFUNCTION("""COMPUTED_VALUE"""),"#VALUE!")</f>
        <v>#VALUE!</v>
      </c>
      <c r="E334" t="str">
        <f ca="1">IFERROR(__xludf.DUMMYFUNCTION("""COMPUTED_VALUE"""),"Villelmus")</f>
        <v>Villelmus</v>
      </c>
      <c r="J334" t="str">
        <f ca="1">IFERROR(__xludf.DUMMYFUNCTION("""COMPUTED_VALUE"""),"de")</f>
        <v>de</v>
      </c>
      <c r="K334" t="str">
        <f ca="1">IFERROR(__xludf.DUMMYFUNCTION("""COMPUTED_VALUE"""),"Valle Iudea")</f>
        <v>Valle Iudea</v>
      </c>
      <c r="L334" t="str">
        <f ca="1">IFERROR(__xludf.DUMMYFUNCTION("""COMPUTED_VALUE"""),"de Valle Iudea")</f>
        <v>de Valle Iudea</v>
      </c>
      <c r="Q334" t="str">
        <f ca="1">IFERROR(__xludf.DUMMYFUNCTION("""COMPUTED_VALUE"""),"filius Lamberti de Valle Iudea")</f>
        <v>filius Lamberti de Valle Iudea</v>
      </c>
      <c r="S334" t="str">
        <f ca="1">IFERROR(__xludf.DUMMYFUNCTION("""COMPUTED_VALUE"""),"Latin")</f>
        <v>Latin</v>
      </c>
      <c r="T334" t="str">
        <f ca="1">IFERROR(__xludf.DUMMYFUNCTION("""COMPUTED_VALUE"""),"definite")</f>
        <v>definite</v>
      </c>
      <c r="U334" t="str">
        <f ca="1">IFERROR(__xludf.DUMMYFUNCTION("""COMPUTED_VALUE"""),"C2553")</f>
        <v>C2553</v>
      </c>
      <c r="V334" t="str">
        <f ca="1">IFERROR(__xludf.DUMMYFUNCTION("""COMPUTED_VALUE"""),"male")</f>
        <v>male</v>
      </c>
      <c r="Z334" t="str">
        <f ca="1">IFERROR(__xludf.DUMMYFUNCTION("""COMPUTED_VALUE"""),"202")</f>
        <v>202</v>
      </c>
      <c r="AA334" t="str">
        <f ca="1">IFERROR(__xludf.DUMMYFUNCTION("""COMPUTED_VALUE"""),"d")</f>
        <v>d</v>
      </c>
      <c r="AB334" t="str">
        <f ca="1">IFERROR(__xludf.DUMMYFUNCTION("""COMPUTED_VALUE"""),"suspect")</f>
        <v>suspect</v>
      </c>
      <c r="AE334" t="str">
        <f ca="1">IFERROR(__xludf.DUMMYFUNCTION("""COMPUTED_VALUE"""),"#VALUE!")</f>
        <v>#VALUE!</v>
      </c>
      <c r="AF334" t="str">
        <f ca="1">IFERROR(__xludf.DUMMYFUNCTION("""COMPUTED_VALUE"""),"#N/A")</f>
        <v>#N/A</v>
      </c>
      <c r="AG334" t="str">
        <f ca="1">IFERROR(__xludf.DUMMYFUNCTION("""COMPUTED_VALUE"""),"#N/A")</f>
        <v>#N/A</v>
      </c>
      <c r="AI334" t="str">
        <f ca="1">IFERROR(__xludf.DUMMYFUNCTION("""COMPUTED_VALUE"""),"#VALUE!")</f>
        <v>#VALUE!</v>
      </c>
      <c r="AK334" t="str">
        <f ca="1">IFERROR(__xludf.DUMMYFUNCTION("""COMPUTED_VALUE"""),"#VALUE!")</f>
        <v>#VALUE!</v>
      </c>
      <c r="AM334" t="str">
        <f ca="1">IFERROR(__xludf.DUMMYFUNCTION("""COMPUTED_VALUE"""),"#VALUE!")</f>
        <v>#VALUE!</v>
      </c>
      <c r="AO334" t="str">
        <f ca="1">IFERROR(__xludf.DUMMYFUNCTION("""COMPUTED_VALUE"""),"#VALUE!")</f>
        <v>#VALUE!</v>
      </c>
      <c r="AQ334" t="str">
        <f ca="1">IFERROR(__xludf.DUMMYFUNCTION("""COMPUTED_VALUE"""),"#VALUE!")</f>
        <v>#VALUE!</v>
      </c>
      <c r="AS334" t="str">
        <f ca="1">IFERROR(__xludf.DUMMYFUNCTION("""COMPUTED_VALUE"""),"#VALUE!")</f>
        <v>#VALUE!</v>
      </c>
      <c r="AU334" t="str">
        <f ca="1">IFERROR(__xludf.DUMMYFUNCTION("""COMPUTED_VALUE"""),"#VALUE!")</f>
        <v>#VALUE!</v>
      </c>
      <c r="AW334" t="str">
        <f ca="1">IFERROR(__xludf.DUMMYFUNCTION("""COMPUTED_VALUE"""),"#VALUE!")</f>
        <v>#VALUE!</v>
      </c>
      <c r="AY334" t="str">
        <f ca="1">IFERROR(__xludf.DUMMYFUNCTION("""COMPUTED_VALUE"""),"#VALUE!")</f>
        <v>#VALUE!</v>
      </c>
      <c r="BA334" t="str">
        <f ca="1">IFERROR(__xludf.DUMMYFUNCTION("""COMPUTED_VALUE"""),"#VALUE!")</f>
        <v>#VALUE!</v>
      </c>
      <c r="BC334" t="str">
        <f ca="1">IFERROR(__xludf.DUMMYFUNCTION("""COMPUTED_VALUE"""),"#VALUE!")</f>
        <v>#VALUE!</v>
      </c>
      <c r="BE334" t="str">
        <f ca="1">IFERROR(__xludf.DUMMYFUNCTION("""COMPUTED_VALUE"""),"#VALUE!")</f>
        <v>#VALUE!</v>
      </c>
      <c r="BG334" t="str">
        <f ca="1">IFERROR(__xludf.DUMMYFUNCTION("""COMPUTED_VALUE"""),"#VALUE!")</f>
        <v>#VALUE!</v>
      </c>
      <c r="BI334" t="str">
        <f ca="1">IFERROR(__xludf.DUMMYFUNCTION("""COMPUTED_VALUE"""),"#VALUE!")</f>
        <v>#VALUE!</v>
      </c>
      <c r="BK334" t="str">
        <f ca="1">IFERROR(__xludf.DUMMYFUNCTION("""COMPUTED_VALUE"""),"#VALUE!")</f>
        <v>#VALUE!</v>
      </c>
      <c r="BM334" t="str">
        <f ca="1">IFERROR(__xludf.DUMMYFUNCTION("""COMPUTED_VALUE"""),"#VALUE!")</f>
        <v>#VALUE!</v>
      </c>
      <c r="BO334" t="str">
        <f ca="1">IFERROR(__xludf.DUMMYFUNCTION("""COMPUTED_VALUE"""),"#VALUE!")</f>
        <v>#VALUE!</v>
      </c>
      <c r="BQ334" t="str">
        <f ca="1">IFERROR(__xludf.DUMMYFUNCTION("""COMPUTED_VALUE"""),"#VALUE!")</f>
        <v>#VALUE!</v>
      </c>
      <c r="BS334" t="str">
        <f ca="1">IFERROR(__xludf.DUMMYFUNCTION("""COMPUTED_VALUE"""),"#VALUE!")</f>
        <v>#VALUE!</v>
      </c>
      <c r="BU334" t="str">
        <f ca="1">IFERROR(__xludf.DUMMYFUNCTION("""COMPUTED_VALUE"""),"#VALUE!")</f>
        <v>#VALUE!</v>
      </c>
      <c r="BW334" t="str">
        <f ca="1">IFERROR(__xludf.DUMMYFUNCTION("""COMPUTED_VALUE"""),"#VALUE!")</f>
        <v>#VALUE!</v>
      </c>
      <c r="BY334" t="str">
        <f ca="1">IFERROR(__xludf.DUMMYFUNCTION("""COMPUTED_VALUE"""),"#VALUE!")</f>
        <v>#VALUE!</v>
      </c>
      <c r="CA334" t="str">
        <f ca="1">IFERROR(__xludf.DUMMYFUNCTION("""COMPUTED_VALUE"""),"#VALUE!")</f>
        <v>#VALUE!</v>
      </c>
      <c r="CC334" t="str">
        <f ca="1">IFERROR(__xludf.DUMMYFUNCTION("""COMPUTED_VALUE"""),"#VALUE!")</f>
        <v>#VALUE!</v>
      </c>
      <c r="CD334" t="str">
        <f ca="1">IFERROR(__xludf.DUMMYFUNCTION("""COMPUTED_VALUE"""),"C3598")</f>
        <v>C3598</v>
      </c>
      <c r="CE334" t="str">
        <f ca="1">IFERROR(__xludf.DUMMYFUNCTION("""COMPUTED_VALUE"""),"location of congregation")</f>
        <v>location of congregation</v>
      </c>
      <c r="CF334" t="str">
        <f ca="1">IFERROR(__xludf.DUMMYFUNCTION("""COMPUTED_VALUE"""),"L0100")</f>
        <v>L0100</v>
      </c>
      <c r="CG334" t="str">
        <f ca="1">IFERROR(__xludf.DUMMYFUNCTION("""COMPUTED_VALUE"""),"domus de Boysono")</f>
        <v>domus de Boysono</v>
      </c>
      <c r="CI334" t="str">
        <f ca="1">IFERROR(__xludf.DUMMYFUNCTION("""COMPUTED_VALUE"""),"#VALUE!")</f>
        <v>#VALUE!</v>
      </c>
      <c r="CK334" t="str">
        <f ca="1">IFERROR(__xludf.DUMMYFUNCTION("""COMPUTED_VALUE"""),"#VALUE!")</f>
        <v>#VALUE!</v>
      </c>
      <c r="CR334" t="str">
        <f ca="1">IFERROR(__xludf.DUMMYFUNCTION("""COMPUTED_VALUE"""),"L0005")</f>
        <v>L0005</v>
      </c>
      <c r="CS334" t="str">
        <f ca="1">IFERROR(__xludf.DUMMYFUNCTION("""COMPUTED_VALUE"""),"Valgioie")</f>
        <v>Valgioie</v>
      </c>
      <c r="CU334" t="str">
        <f ca="1">IFERROR(__xludf.DUMMYFUNCTION("""COMPUTED_VALUE"""),"#VALUE!")</f>
        <v>#VALUE!</v>
      </c>
      <c r="CW334" t="str">
        <f ca="1">IFERROR(__xludf.DUMMYFUNCTION("""COMPUTED_VALUE"""),"#VALUE!")</f>
        <v>#VALUE!</v>
      </c>
      <c r="CY334" t="str">
        <f ca="1">IFERROR(__xludf.DUMMYFUNCTION("""COMPUTED_VALUE"""),"#VALUE!")</f>
        <v>#VALUE!</v>
      </c>
      <c r="DC334" t="str">
        <f ca="1">IFERROR(__xludf.DUMMYFUNCTION("""COMPUTED_VALUE"""),"#VALUE!")</f>
        <v>#VALUE!</v>
      </c>
      <c r="DE334" t="str">
        <f ca="1">IFERROR(__xludf.DUMMYFUNCTION("""COMPUTED_VALUE"""),"#VALUE!")</f>
        <v>#VALUE!</v>
      </c>
      <c r="DH334" t="str">
        <f ca="1">IFERROR(__xludf.DUMMYFUNCTION("""COMPUTED_VALUE"""),"L0100")</f>
        <v>L0100</v>
      </c>
      <c r="DI334" t="str">
        <f ca="1">IFERROR(__xludf.DUMMYFUNCTION("""COMPUTED_VALUE"""),"domus de Boysono")</f>
        <v>domus de Boysono</v>
      </c>
      <c r="DJ334" t="str">
        <f ca="1">IFERROR(__xludf.DUMMYFUNCTION("""COMPUTED_VALUE"""),"domus")</f>
        <v>domus</v>
      </c>
      <c r="DL334" t="str">
        <f ca="1">IFERROR(__xludf.DUMMYFUNCTION("""COMPUTED_VALUE"""),"Davor Salihović")</f>
        <v>Davor Salihović</v>
      </c>
    </row>
    <row r="335" spans="1:116" ht="13.2" x14ac:dyDescent="0.25">
      <c r="A335" t="str">
        <f ca="1">IFERROR(__xludf.DUMMYFUNCTION("""COMPUTED_VALUE"""),"P0341")</f>
        <v>P0341</v>
      </c>
      <c r="B335" t="str">
        <f ca="1">IFERROR(__xludf.DUMMYFUNCTION("""COMPUTED_VALUE"""),"Lambertus de Valle Iudea")</f>
        <v>Lambertus de Valle Iudea</v>
      </c>
      <c r="D335" t="str">
        <f ca="1">IFERROR(__xludf.DUMMYFUNCTION("""COMPUTED_VALUE"""),"#VALUE!")</f>
        <v>#VALUE!</v>
      </c>
      <c r="E335" t="str">
        <f ca="1">IFERROR(__xludf.DUMMYFUNCTION("""COMPUTED_VALUE"""),"Lambertus")</f>
        <v>Lambertus</v>
      </c>
      <c r="J335" t="str">
        <f ca="1">IFERROR(__xludf.DUMMYFUNCTION("""COMPUTED_VALUE"""),"de")</f>
        <v>de</v>
      </c>
      <c r="K335" t="str">
        <f ca="1">IFERROR(__xludf.DUMMYFUNCTION("""COMPUTED_VALUE"""),"Valle Iudea")</f>
        <v>Valle Iudea</v>
      </c>
      <c r="L335" t="str">
        <f ca="1">IFERROR(__xludf.DUMMYFUNCTION("""COMPUTED_VALUE"""),"de Valle Iudea")</f>
        <v>de Valle Iudea</v>
      </c>
      <c r="S335" t="str">
        <f ca="1">IFERROR(__xludf.DUMMYFUNCTION("""COMPUTED_VALUE"""),"Latin")</f>
        <v>Latin</v>
      </c>
      <c r="T335" t="str">
        <f ca="1">IFERROR(__xludf.DUMMYFUNCTION("""COMPUTED_VALUE"""),"definite")</f>
        <v>definite</v>
      </c>
      <c r="U335" t="str">
        <f ca="1">IFERROR(__xludf.DUMMYFUNCTION("""COMPUTED_VALUE"""),"C2553")</f>
        <v>C2553</v>
      </c>
      <c r="V335" t="str">
        <f ca="1">IFERROR(__xludf.DUMMYFUNCTION("""COMPUTED_VALUE"""),"male")</f>
        <v>male</v>
      </c>
      <c r="Z335" t="str">
        <f ca="1">IFERROR(__xludf.DUMMYFUNCTION("""COMPUTED_VALUE"""),"202")</f>
        <v>202</v>
      </c>
      <c r="AA335" t="str">
        <f ca="1">IFERROR(__xludf.DUMMYFUNCTION("""COMPUTED_VALUE"""),"d")</f>
        <v>d</v>
      </c>
      <c r="AB335" t="str">
        <f ca="1">IFERROR(__xludf.DUMMYFUNCTION("""COMPUTED_VALUE"""),"NA")</f>
        <v>NA</v>
      </c>
      <c r="AE335" t="str">
        <f ca="1">IFERROR(__xludf.DUMMYFUNCTION("""COMPUTED_VALUE"""),"#VALUE!")</f>
        <v>#VALUE!</v>
      </c>
      <c r="AF335" t="str">
        <f ca="1">IFERROR(__xludf.DUMMYFUNCTION("""COMPUTED_VALUE"""),"#N/A")</f>
        <v>#N/A</v>
      </c>
      <c r="AG335" t="str">
        <f ca="1">IFERROR(__xludf.DUMMYFUNCTION("""COMPUTED_VALUE"""),"#N/A")</f>
        <v>#N/A</v>
      </c>
      <c r="AH335" t="str">
        <f ca="1">IFERROR(__xludf.DUMMYFUNCTION("""COMPUTED_VALUE"""),"C2336")</f>
        <v>C2336</v>
      </c>
      <c r="AI335" t="str">
        <f ca="1">IFERROR(__xludf.DUMMYFUNCTION("""COMPUTED_VALUE"""),"son")</f>
        <v>son</v>
      </c>
      <c r="AJ335" t="str">
        <f ca="1">IFERROR(__xludf.DUMMYFUNCTION("""COMPUTED_VALUE"""),"P0340")</f>
        <v>P0340</v>
      </c>
      <c r="AK335" t="str">
        <f ca="1">IFERROR(__xludf.DUMMYFUNCTION("""COMPUTED_VALUE"""),"Villelmus de Valle Iudea")</f>
        <v>Villelmus de Valle Iudea</v>
      </c>
      <c r="AL335" t="str">
        <f ca="1">IFERROR(__xludf.DUMMYFUNCTION("""COMPUTED_VALUE"""),"C2348")</f>
        <v>C2348</v>
      </c>
      <c r="AM335" t="str">
        <f ca="1">IFERROR(__xludf.DUMMYFUNCTION("""COMPUTED_VALUE"""),"wife")</f>
        <v>wife</v>
      </c>
      <c r="AN335" t="str">
        <f ca="1">IFERROR(__xludf.DUMMYFUNCTION("""COMPUTED_VALUE"""),"P0342")</f>
        <v>P0342</v>
      </c>
      <c r="AO335" t="str">
        <f ca="1">IFERROR(__xludf.DUMMYFUNCTION("""COMPUTED_VALUE"""),"Iacobina, uxor Lamberti de Valle Iudea")</f>
        <v>Iacobina, uxor Lamberti de Valle Iudea</v>
      </c>
      <c r="AQ335" t="str">
        <f ca="1">IFERROR(__xludf.DUMMYFUNCTION("""COMPUTED_VALUE"""),"#VALUE!")</f>
        <v>#VALUE!</v>
      </c>
      <c r="AS335" t="str">
        <f ca="1">IFERROR(__xludf.DUMMYFUNCTION("""COMPUTED_VALUE"""),"#VALUE!")</f>
        <v>#VALUE!</v>
      </c>
      <c r="AU335" t="str">
        <f ca="1">IFERROR(__xludf.DUMMYFUNCTION("""COMPUTED_VALUE"""),"#VALUE!")</f>
        <v>#VALUE!</v>
      </c>
      <c r="AW335" t="str">
        <f ca="1">IFERROR(__xludf.DUMMYFUNCTION("""COMPUTED_VALUE"""),"#VALUE!")</f>
        <v>#VALUE!</v>
      </c>
      <c r="AY335" t="str">
        <f ca="1">IFERROR(__xludf.DUMMYFUNCTION("""COMPUTED_VALUE"""),"#VALUE!")</f>
        <v>#VALUE!</v>
      </c>
      <c r="BA335" t="str">
        <f ca="1">IFERROR(__xludf.DUMMYFUNCTION("""COMPUTED_VALUE"""),"#VALUE!")</f>
        <v>#VALUE!</v>
      </c>
      <c r="BC335" t="str">
        <f ca="1">IFERROR(__xludf.DUMMYFUNCTION("""COMPUTED_VALUE"""),"#VALUE!")</f>
        <v>#VALUE!</v>
      </c>
      <c r="BE335" t="str">
        <f ca="1">IFERROR(__xludf.DUMMYFUNCTION("""COMPUTED_VALUE"""),"#VALUE!")</f>
        <v>#VALUE!</v>
      </c>
      <c r="BG335" t="str">
        <f ca="1">IFERROR(__xludf.DUMMYFUNCTION("""COMPUTED_VALUE"""),"#VALUE!")</f>
        <v>#VALUE!</v>
      </c>
      <c r="BI335" t="str">
        <f ca="1">IFERROR(__xludf.DUMMYFUNCTION("""COMPUTED_VALUE"""),"#VALUE!")</f>
        <v>#VALUE!</v>
      </c>
      <c r="BK335" t="str">
        <f ca="1">IFERROR(__xludf.DUMMYFUNCTION("""COMPUTED_VALUE"""),"#VALUE!")</f>
        <v>#VALUE!</v>
      </c>
      <c r="BM335" t="str">
        <f ca="1">IFERROR(__xludf.DUMMYFUNCTION("""COMPUTED_VALUE"""),"#VALUE!")</f>
        <v>#VALUE!</v>
      </c>
      <c r="BO335" t="str">
        <f ca="1">IFERROR(__xludf.DUMMYFUNCTION("""COMPUTED_VALUE"""),"#VALUE!")</f>
        <v>#VALUE!</v>
      </c>
      <c r="BQ335" t="str">
        <f ca="1">IFERROR(__xludf.DUMMYFUNCTION("""COMPUTED_VALUE"""),"#VALUE!")</f>
        <v>#VALUE!</v>
      </c>
      <c r="BS335" t="str">
        <f ca="1">IFERROR(__xludf.DUMMYFUNCTION("""COMPUTED_VALUE"""),"#VALUE!")</f>
        <v>#VALUE!</v>
      </c>
      <c r="BU335" t="str">
        <f ca="1">IFERROR(__xludf.DUMMYFUNCTION("""COMPUTED_VALUE"""),"#VALUE!")</f>
        <v>#VALUE!</v>
      </c>
      <c r="BW335" t="str">
        <f ca="1">IFERROR(__xludf.DUMMYFUNCTION("""COMPUTED_VALUE"""),"#VALUE!")</f>
        <v>#VALUE!</v>
      </c>
      <c r="BY335" t="str">
        <f ca="1">IFERROR(__xludf.DUMMYFUNCTION("""COMPUTED_VALUE"""),"#VALUE!")</f>
        <v>#VALUE!</v>
      </c>
      <c r="CA335" t="str">
        <f ca="1">IFERROR(__xludf.DUMMYFUNCTION("""COMPUTED_VALUE"""),"#VALUE!")</f>
        <v>#VALUE!</v>
      </c>
      <c r="CC335" t="str">
        <f ca="1">IFERROR(__xludf.DUMMYFUNCTION("""COMPUTED_VALUE"""),"#VALUE!")</f>
        <v>#VALUE!</v>
      </c>
      <c r="CE335" t="str">
        <f ca="1">IFERROR(__xludf.DUMMYFUNCTION("""COMPUTED_VALUE"""),"#VALUE!")</f>
        <v>#VALUE!</v>
      </c>
      <c r="CG335" t="str">
        <f ca="1">IFERROR(__xludf.DUMMYFUNCTION("""COMPUTED_VALUE"""),"#VALUE!")</f>
        <v>#VALUE!</v>
      </c>
      <c r="CI335" t="str">
        <f ca="1">IFERROR(__xludf.DUMMYFUNCTION("""COMPUTED_VALUE"""),"#VALUE!")</f>
        <v>#VALUE!</v>
      </c>
      <c r="CK335" t="str">
        <f ca="1">IFERROR(__xludf.DUMMYFUNCTION("""COMPUTED_VALUE"""),"#VALUE!")</f>
        <v>#VALUE!</v>
      </c>
      <c r="CR335" t="str">
        <f ca="1">IFERROR(__xludf.DUMMYFUNCTION("""COMPUTED_VALUE"""),"L0005")</f>
        <v>L0005</v>
      </c>
      <c r="CS335" t="str">
        <f ca="1">IFERROR(__xludf.DUMMYFUNCTION("""COMPUTED_VALUE"""),"Valgioie")</f>
        <v>Valgioie</v>
      </c>
      <c r="CU335" t="str">
        <f ca="1">IFERROR(__xludf.DUMMYFUNCTION("""COMPUTED_VALUE"""),"#VALUE!")</f>
        <v>#VALUE!</v>
      </c>
      <c r="CW335" t="str">
        <f ca="1">IFERROR(__xludf.DUMMYFUNCTION("""COMPUTED_VALUE"""),"#VALUE!")</f>
        <v>#VALUE!</v>
      </c>
      <c r="CY335" t="str">
        <f ca="1">IFERROR(__xludf.DUMMYFUNCTION("""COMPUTED_VALUE"""),"#VALUE!")</f>
        <v>#VALUE!</v>
      </c>
      <c r="DC335" t="str">
        <f ca="1">IFERROR(__xludf.DUMMYFUNCTION("""COMPUTED_VALUE"""),"#VALUE!")</f>
        <v>#VALUE!</v>
      </c>
      <c r="DE335" t="str">
        <f ca="1">IFERROR(__xludf.DUMMYFUNCTION("""COMPUTED_VALUE"""),"#VALUE!")</f>
        <v>#VALUE!</v>
      </c>
      <c r="DI335" t="str">
        <f ca="1">IFERROR(__xludf.DUMMYFUNCTION("""COMPUTED_VALUE"""),"#VALUE!")</f>
        <v>#VALUE!</v>
      </c>
      <c r="DJ335" t="str">
        <f ca="1">IFERROR(__xludf.DUMMYFUNCTION("""COMPUTED_VALUE"""),"#VALUE!")</f>
        <v>#VALUE!</v>
      </c>
      <c r="DL335" t="str">
        <f ca="1">IFERROR(__xludf.DUMMYFUNCTION("""COMPUTED_VALUE"""),"Davor Salihović")</f>
        <v>Davor Salihović</v>
      </c>
    </row>
    <row r="336" spans="1:116" ht="13.2" x14ac:dyDescent="0.25">
      <c r="A336" t="str">
        <f ca="1">IFERROR(__xludf.DUMMYFUNCTION("""COMPUTED_VALUE"""),"P0342")</f>
        <v>P0342</v>
      </c>
      <c r="B336" t="str">
        <f ca="1">IFERROR(__xludf.DUMMYFUNCTION("""COMPUTED_VALUE"""),"Iacobina, uxor Lamberti de Valle Iudea")</f>
        <v>Iacobina, uxor Lamberti de Valle Iudea</v>
      </c>
      <c r="D336" t="str">
        <f ca="1">IFERROR(__xludf.DUMMYFUNCTION("""COMPUTED_VALUE"""),"#VALUE!")</f>
        <v>#VALUE!</v>
      </c>
      <c r="E336" t="str">
        <f ca="1">IFERROR(__xludf.DUMMYFUNCTION("""COMPUTED_VALUE"""),"Iacobina")</f>
        <v>Iacobina</v>
      </c>
      <c r="Q336" t="str">
        <f ca="1">IFERROR(__xludf.DUMMYFUNCTION("""COMPUTED_VALUE"""),"uxor Lamberti de Valle Iudea")</f>
        <v>uxor Lamberti de Valle Iudea</v>
      </c>
      <c r="S336" t="str">
        <f ca="1">IFERROR(__xludf.DUMMYFUNCTION("""COMPUTED_VALUE"""),"Latin")</f>
        <v>Latin</v>
      </c>
      <c r="T336" t="str">
        <f ca="1">IFERROR(__xludf.DUMMYFUNCTION("""COMPUTED_VALUE"""),"definite")</f>
        <v>definite</v>
      </c>
      <c r="U336" t="str">
        <f ca="1">IFERROR(__xludf.DUMMYFUNCTION("""COMPUTED_VALUE"""),"C2552")</f>
        <v>C2552</v>
      </c>
      <c r="V336" t="str">
        <f ca="1">IFERROR(__xludf.DUMMYFUNCTION("""COMPUTED_VALUE"""),"female")</f>
        <v>female</v>
      </c>
      <c r="Z336" t="str">
        <f ca="1">IFERROR(__xludf.DUMMYFUNCTION("""COMPUTED_VALUE"""),"202")</f>
        <v>202</v>
      </c>
      <c r="AA336" t="str">
        <f ca="1">IFERROR(__xludf.DUMMYFUNCTION("""COMPUTED_VALUE"""),"d")</f>
        <v>d</v>
      </c>
      <c r="AB336" t="str">
        <f ca="1">IFERROR(__xludf.DUMMYFUNCTION("""COMPUTED_VALUE"""),"suspect")</f>
        <v>suspect</v>
      </c>
      <c r="AE336" t="str">
        <f ca="1">IFERROR(__xludf.DUMMYFUNCTION("""COMPUTED_VALUE"""),"#VALUE!")</f>
        <v>#VALUE!</v>
      </c>
      <c r="AF336" t="str">
        <f ca="1">IFERROR(__xludf.DUMMYFUNCTION("""COMPUTED_VALUE"""),"#N/A")</f>
        <v>#N/A</v>
      </c>
      <c r="AG336" t="str">
        <f ca="1">IFERROR(__xludf.DUMMYFUNCTION("""COMPUTED_VALUE"""),"#N/A")</f>
        <v>#N/A</v>
      </c>
      <c r="AI336" t="str">
        <f ca="1">IFERROR(__xludf.DUMMYFUNCTION("""COMPUTED_VALUE"""),"#VALUE!")</f>
        <v>#VALUE!</v>
      </c>
      <c r="AK336" t="str">
        <f ca="1">IFERROR(__xludf.DUMMYFUNCTION("""COMPUTED_VALUE"""),"#VALUE!")</f>
        <v>#VALUE!</v>
      </c>
      <c r="AM336" t="str">
        <f ca="1">IFERROR(__xludf.DUMMYFUNCTION("""COMPUTED_VALUE"""),"#VALUE!")</f>
        <v>#VALUE!</v>
      </c>
      <c r="AO336" t="str">
        <f ca="1">IFERROR(__xludf.DUMMYFUNCTION("""COMPUTED_VALUE"""),"#VALUE!")</f>
        <v>#VALUE!</v>
      </c>
      <c r="AQ336" t="str">
        <f ca="1">IFERROR(__xludf.DUMMYFUNCTION("""COMPUTED_VALUE"""),"#VALUE!")</f>
        <v>#VALUE!</v>
      </c>
      <c r="AS336" t="str">
        <f ca="1">IFERROR(__xludf.DUMMYFUNCTION("""COMPUTED_VALUE"""),"#VALUE!")</f>
        <v>#VALUE!</v>
      </c>
      <c r="AU336" t="str">
        <f ca="1">IFERROR(__xludf.DUMMYFUNCTION("""COMPUTED_VALUE"""),"#VALUE!")</f>
        <v>#VALUE!</v>
      </c>
      <c r="AW336" t="str">
        <f ca="1">IFERROR(__xludf.DUMMYFUNCTION("""COMPUTED_VALUE"""),"#VALUE!")</f>
        <v>#VALUE!</v>
      </c>
      <c r="AY336" t="str">
        <f ca="1">IFERROR(__xludf.DUMMYFUNCTION("""COMPUTED_VALUE"""),"#VALUE!")</f>
        <v>#VALUE!</v>
      </c>
      <c r="BA336" t="str">
        <f ca="1">IFERROR(__xludf.DUMMYFUNCTION("""COMPUTED_VALUE"""),"#VALUE!")</f>
        <v>#VALUE!</v>
      </c>
      <c r="BC336" t="str">
        <f ca="1">IFERROR(__xludf.DUMMYFUNCTION("""COMPUTED_VALUE"""),"#VALUE!")</f>
        <v>#VALUE!</v>
      </c>
      <c r="BE336" t="str">
        <f ca="1">IFERROR(__xludf.DUMMYFUNCTION("""COMPUTED_VALUE"""),"#VALUE!")</f>
        <v>#VALUE!</v>
      </c>
      <c r="BG336" t="str">
        <f ca="1">IFERROR(__xludf.DUMMYFUNCTION("""COMPUTED_VALUE"""),"#VALUE!")</f>
        <v>#VALUE!</v>
      </c>
      <c r="BI336" t="str">
        <f ca="1">IFERROR(__xludf.DUMMYFUNCTION("""COMPUTED_VALUE"""),"#VALUE!")</f>
        <v>#VALUE!</v>
      </c>
      <c r="BK336" t="str">
        <f ca="1">IFERROR(__xludf.DUMMYFUNCTION("""COMPUTED_VALUE"""),"#VALUE!")</f>
        <v>#VALUE!</v>
      </c>
      <c r="BM336" t="str">
        <f ca="1">IFERROR(__xludf.DUMMYFUNCTION("""COMPUTED_VALUE"""),"#VALUE!")</f>
        <v>#VALUE!</v>
      </c>
      <c r="BO336" t="str">
        <f ca="1">IFERROR(__xludf.DUMMYFUNCTION("""COMPUTED_VALUE"""),"#VALUE!")</f>
        <v>#VALUE!</v>
      </c>
      <c r="BQ336" t="str">
        <f ca="1">IFERROR(__xludf.DUMMYFUNCTION("""COMPUTED_VALUE"""),"#VALUE!")</f>
        <v>#VALUE!</v>
      </c>
      <c r="BS336" t="str">
        <f ca="1">IFERROR(__xludf.DUMMYFUNCTION("""COMPUTED_VALUE"""),"#VALUE!")</f>
        <v>#VALUE!</v>
      </c>
      <c r="BU336" t="str">
        <f ca="1">IFERROR(__xludf.DUMMYFUNCTION("""COMPUTED_VALUE"""),"#VALUE!")</f>
        <v>#VALUE!</v>
      </c>
      <c r="BW336" t="str">
        <f ca="1">IFERROR(__xludf.DUMMYFUNCTION("""COMPUTED_VALUE"""),"#VALUE!")</f>
        <v>#VALUE!</v>
      </c>
      <c r="BY336" t="str">
        <f ca="1">IFERROR(__xludf.DUMMYFUNCTION("""COMPUTED_VALUE"""),"#VALUE!")</f>
        <v>#VALUE!</v>
      </c>
      <c r="CA336" t="str">
        <f ca="1">IFERROR(__xludf.DUMMYFUNCTION("""COMPUTED_VALUE"""),"#VALUE!")</f>
        <v>#VALUE!</v>
      </c>
      <c r="CC336" t="str">
        <f ca="1">IFERROR(__xludf.DUMMYFUNCTION("""COMPUTED_VALUE"""),"#VALUE!")</f>
        <v>#VALUE!</v>
      </c>
      <c r="CD336" t="str">
        <f ca="1">IFERROR(__xludf.DUMMYFUNCTION("""COMPUTED_VALUE"""),"C3598")</f>
        <v>C3598</v>
      </c>
      <c r="CE336" t="str">
        <f ca="1">IFERROR(__xludf.DUMMYFUNCTION("""COMPUTED_VALUE"""),"location of congregation")</f>
        <v>location of congregation</v>
      </c>
      <c r="CF336" t="str">
        <f ca="1">IFERROR(__xludf.DUMMYFUNCTION("""COMPUTED_VALUE"""),"L0100")</f>
        <v>L0100</v>
      </c>
      <c r="CG336" t="str">
        <f ca="1">IFERROR(__xludf.DUMMYFUNCTION("""COMPUTED_VALUE"""),"domus de Boysono")</f>
        <v>domus de Boysono</v>
      </c>
      <c r="CI336" t="str">
        <f ca="1">IFERROR(__xludf.DUMMYFUNCTION("""COMPUTED_VALUE"""),"#VALUE!")</f>
        <v>#VALUE!</v>
      </c>
      <c r="CK336" t="str">
        <f ca="1">IFERROR(__xludf.DUMMYFUNCTION("""COMPUTED_VALUE"""),"#VALUE!")</f>
        <v>#VALUE!</v>
      </c>
      <c r="CS336" t="str">
        <f ca="1">IFERROR(__xludf.DUMMYFUNCTION("""COMPUTED_VALUE"""),"#VALUE!")</f>
        <v>#VALUE!</v>
      </c>
      <c r="CU336" t="str">
        <f ca="1">IFERROR(__xludf.DUMMYFUNCTION("""COMPUTED_VALUE"""),"#VALUE!")</f>
        <v>#VALUE!</v>
      </c>
      <c r="CW336" t="str">
        <f ca="1">IFERROR(__xludf.DUMMYFUNCTION("""COMPUTED_VALUE"""),"#VALUE!")</f>
        <v>#VALUE!</v>
      </c>
      <c r="CY336" t="str">
        <f ca="1">IFERROR(__xludf.DUMMYFUNCTION("""COMPUTED_VALUE"""),"#VALUE!")</f>
        <v>#VALUE!</v>
      </c>
      <c r="DC336" t="str">
        <f ca="1">IFERROR(__xludf.DUMMYFUNCTION("""COMPUTED_VALUE"""),"#VALUE!")</f>
        <v>#VALUE!</v>
      </c>
      <c r="DE336" t="str">
        <f ca="1">IFERROR(__xludf.DUMMYFUNCTION("""COMPUTED_VALUE"""),"#VALUE!")</f>
        <v>#VALUE!</v>
      </c>
      <c r="DH336" t="str">
        <f ca="1">IFERROR(__xludf.DUMMYFUNCTION("""COMPUTED_VALUE"""),"L0100")</f>
        <v>L0100</v>
      </c>
      <c r="DI336" t="str">
        <f ca="1">IFERROR(__xludf.DUMMYFUNCTION("""COMPUTED_VALUE"""),"domus de Boysono")</f>
        <v>domus de Boysono</v>
      </c>
      <c r="DJ336" t="str">
        <f ca="1">IFERROR(__xludf.DUMMYFUNCTION("""COMPUTED_VALUE"""),"domus")</f>
        <v>domus</v>
      </c>
      <c r="DL336" t="str">
        <f ca="1">IFERROR(__xludf.DUMMYFUNCTION("""COMPUTED_VALUE"""),"Davor Salihović")</f>
        <v>Davor Salihović</v>
      </c>
    </row>
    <row r="337" spans="1:116" ht="13.2" x14ac:dyDescent="0.25">
      <c r="A337" t="str">
        <f ca="1">IFERROR(__xludf.DUMMYFUNCTION("""COMPUTED_VALUE"""),"P0343")</f>
        <v>P0343</v>
      </c>
      <c r="B337" t="str">
        <f ca="1">IFERROR(__xludf.DUMMYFUNCTION("""COMPUTED_VALUE"""),"Perona, soror uxoris Michaelis Planche")</f>
        <v>Perona, soror uxoris Michaelis Planche</v>
      </c>
      <c r="D337" t="str">
        <f ca="1">IFERROR(__xludf.DUMMYFUNCTION("""COMPUTED_VALUE"""),"#VALUE!")</f>
        <v>#VALUE!</v>
      </c>
      <c r="E337" t="str">
        <f ca="1">IFERROR(__xludf.DUMMYFUNCTION("""COMPUTED_VALUE"""),"Perona")</f>
        <v>Perona</v>
      </c>
      <c r="F337" t="str">
        <f ca="1">IFERROR(__xludf.DUMMYFUNCTION("""COMPUTED_VALUE"""),"Peroneta")</f>
        <v>Peroneta</v>
      </c>
      <c r="Q337" t="str">
        <f ca="1">IFERROR(__xludf.DUMMYFUNCTION("""COMPUTED_VALUE"""),"soror uxoris Michaelis Planche")</f>
        <v>soror uxoris Michaelis Planche</v>
      </c>
      <c r="S337" t="str">
        <f ca="1">IFERROR(__xludf.DUMMYFUNCTION("""COMPUTED_VALUE"""),"Latin")</f>
        <v>Latin</v>
      </c>
      <c r="T337" t="str">
        <f ca="1">IFERROR(__xludf.DUMMYFUNCTION("""COMPUTED_VALUE"""),"definite")</f>
        <v>definite</v>
      </c>
      <c r="U337" t="str">
        <f ca="1">IFERROR(__xludf.DUMMYFUNCTION("""COMPUTED_VALUE"""),"C2552")</f>
        <v>C2552</v>
      </c>
      <c r="V337" t="str">
        <f ca="1">IFERROR(__xludf.DUMMYFUNCTION("""COMPUTED_VALUE"""),"female")</f>
        <v>female</v>
      </c>
      <c r="Z337" t="str">
        <f ca="1">IFERROR(__xludf.DUMMYFUNCTION("""COMPUTED_VALUE"""),"202, 204")</f>
        <v>202, 204</v>
      </c>
      <c r="AA337" t="str">
        <f ca="1">IFERROR(__xludf.DUMMYFUNCTION("""COMPUTED_VALUE"""),"d")</f>
        <v>d</v>
      </c>
      <c r="AB337" t="str">
        <f ca="1">IFERROR(__xludf.DUMMYFUNCTION("""COMPUTED_VALUE"""),"suspect")</f>
        <v>suspect</v>
      </c>
      <c r="AE337" t="str">
        <f ca="1">IFERROR(__xludf.DUMMYFUNCTION("""COMPUTED_VALUE"""),"#VALUE!")</f>
        <v>#VALUE!</v>
      </c>
      <c r="AF337" t="str">
        <f ca="1">IFERROR(__xludf.DUMMYFUNCTION("""COMPUTED_VALUE"""),"#N/A")</f>
        <v>#N/A</v>
      </c>
      <c r="AG337" t="str">
        <f ca="1">IFERROR(__xludf.DUMMYFUNCTION("""COMPUTED_VALUE"""),"#N/A")</f>
        <v>#N/A</v>
      </c>
      <c r="AI337" t="str">
        <f ca="1">IFERROR(__xludf.DUMMYFUNCTION("""COMPUTED_VALUE"""),"#VALUE!")</f>
        <v>#VALUE!</v>
      </c>
      <c r="AK337" t="str">
        <f ca="1">IFERROR(__xludf.DUMMYFUNCTION("""COMPUTED_VALUE"""),"#VALUE!")</f>
        <v>#VALUE!</v>
      </c>
      <c r="AM337" t="str">
        <f ca="1">IFERROR(__xludf.DUMMYFUNCTION("""COMPUTED_VALUE"""),"#VALUE!")</f>
        <v>#VALUE!</v>
      </c>
      <c r="AO337" t="str">
        <f ca="1">IFERROR(__xludf.DUMMYFUNCTION("""COMPUTED_VALUE"""),"#VALUE!")</f>
        <v>#VALUE!</v>
      </c>
      <c r="AQ337" t="str">
        <f ca="1">IFERROR(__xludf.DUMMYFUNCTION("""COMPUTED_VALUE"""),"#VALUE!")</f>
        <v>#VALUE!</v>
      </c>
      <c r="AS337" t="str">
        <f ca="1">IFERROR(__xludf.DUMMYFUNCTION("""COMPUTED_VALUE"""),"#VALUE!")</f>
        <v>#VALUE!</v>
      </c>
      <c r="AU337" t="str">
        <f ca="1">IFERROR(__xludf.DUMMYFUNCTION("""COMPUTED_VALUE"""),"#VALUE!")</f>
        <v>#VALUE!</v>
      </c>
      <c r="AW337" t="str">
        <f ca="1">IFERROR(__xludf.DUMMYFUNCTION("""COMPUTED_VALUE"""),"#VALUE!")</f>
        <v>#VALUE!</v>
      </c>
      <c r="AY337" t="str">
        <f ca="1">IFERROR(__xludf.DUMMYFUNCTION("""COMPUTED_VALUE"""),"#VALUE!")</f>
        <v>#VALUE!</v>
      </c>
      <c r="BA337" t="str">
        <f ca="1">IFERROR(__xludf.DUMMYFUNCTION("""COMPUTED_VALUE"""),"#VALUE!")</f>
        <v>#VALUE!</v>
      </c>
      <c r="BC337" t="str">
        <f ca="1">IFERROR(__xludf.DUMMYFUNCTION("""COMPUTED_VALUE"""),"#VALUE!")</f>
        <v>#VALUE!</v>
      </c>
      <c r="BE337" t="str">
        <f ca="1">IFERROR(__xludf.DUMMYFUNCTION("""COMPUTED_VALUE"""),"#VALUE!")</f>
        <v>#VALUE!</v>
      </c>
      <c r="BG337" t="str">
        <f ca="1">IFERROR(__xludf.DUMMYFUNCTION("""COMPUTED_VALUE"""),"#VALUE!")</f>
        <v>#VALUE!</v>
      </c>
      <c r="BI337" t="str">
        <f ca="1">IFERROR(__xludf.DUMMYFUNCTION("""COMPUTED_VALUE"""),"#VALUE!")</f>
        <v>#VALUE!</v>
      </c>
      <c r="BK337" t="str">
        <f ca="1">IFERROR(__xludf.DUMMYFUNCTION("""COMPUTED_VALUE"""),"#VALUE!")</f>
        <v>#VALUE!</v>
      </c>
      <c r="BM337" t="str">
        <f ca="1">IFERROR(__xludf.DUMMYFUNCTION("""COMPUTED_VALUE"""),"#VALUE!")</f>
        <v>#VALUE!</v>
      </c>
      <c r="BO337" t="str">
        <f ca="1">IFERROR(__xludf.DUMMYFUNCTION("""COMPUTED_VALUE"""),"#VALUE!")</f>
        <v>#VALUE!</v>
      </c>
      <c r="BQ337" t="str">
        <f ca="1">IFERROR(__xludf.DUMMYFUNCTION("""COMPUTED_VALUE"""),"#VALUE!")</f>
        <v>#VALUE!</v>
      </c>
      <c r="BS337" t="str">
        <f ca="1">IFERROR(__xludf.DUMMYFUNCTION("""COMPUTED_VALUE"""),"#VALUE!")</f>
        <v>#VALUE!</v>
      </c>
      <c r="BU337" t="str">
        <f ca="1">IFERROR(__xludf.DUMMYFUNCTION("""COMPUTED_VALUE"""),"#VALUE!")</f>
        <v>#VALUE!</v>
      </c>
      <c r="BW337" t="str">
        <f ca="1">IFERROR(__xludf.DUMMYFUNCTION("""COMPUTED_VALUE"""),"#VALUE!")</f>
        <v>#VALUE!</v>
      </c>
      <c r="BY337" t="str">
        <f ca="1">IFERROR(__xludf.DUMMYFUNCTION("""COMPUTED_VALUE"""),"#VALUE!")</f>
        <v>#VALUE!</v>
      </c>
      <c r="CA337" t="str">
        <f ca="1">IFERROR(__xludf.DUMMYFUNCTION("""COMPUTED_VALUE"""),"#VALUE!")</f>
        <v>#VALUE!</v>
      </c>
      <c r="CC337" t="str">
        <f ca="1">IFERROR(__xludf.DUMMYFUNCTION("""COMPUTED_VALUE"""),"#VALUE!")</f>
        <v>#VALUE!</v>
      </c>
      <c r="CD337" t="str">
        <f ca="1">IFERROR(__xludf.DUMMYFUNCTION("""COMPUTED_VALUE"""),"C3598")</f>
        <v>C3598</v>
      </c>
      <c r="CE337" t="str">
        <f ca="1">IFERROR(__xludf.DUMMYFUNCTION("""COMPUTED_VALUE"""),"location of congregation")</f>
        <v>location of congregation</v>
      </c>
      <c r="CF337" t="str">
        <f ca="1">IFERROR(__xludf.DUMMYFUNCTION("""COMPUTED_VALUE"""),"L0098")</f>
        <v>L0098</v>
      </c>
      <c r="CG337" t="str">
        <f ca="1">IFERROR(__xludf.DUMMYFUNCTION("""COMPUTED_VALUE"""),"domus Michaelis Planche")</f>
        <v>domus Michaelis Planche</v>
      </c>
      <c r="CI337" t="str">
        <f ca="1">IFERROR(__xludf.DUMMYFUNCTION("""COMPUTED_VALUE"""),"#VALUE!")</f>
        <v>#VALUE!</v>
      </c>
      <c r="CK337" t="str">
        <f ca="1">IFERROR(__xludf.DUMMYFUNCTION("""COMPUTED_VALUE"""),"#VALUE!")</f>
        <v>#VALUE!</v>
      </c>
      <c r="CS337" t="str">
        <f ca="1">IFERROR(__xludf.DUMMYFUNCTION("""COMPUTED_VALUE"""),"#VALUE!")</f>
        <v>#VALUE!</v>
      </c>
      <c r="CU337" t="str">
        <f ca="1">IFERROR(__xludf.DUMMYFUNCTION("""COMPUTED_VALUE"""),"#VALUE!")</f>
        <v>#VALUE!</v>
      </c>
      <c r="CW337" t="str">
        <f ca="1">IFERROR(__xludf.DUMMYFUNCTION("""COMPUTED_VALUE"""),"#VALUE!")</f>
        <v>#VALUE!</v>
      </c>
      <c r="CY337" t="str">
        <f ca="1">IFERROR(__xludf.DUMMYFUNCTION("""COMPUTED_VALUE"""),"#VALUE!")</f>
        <v>#VALUE!</v>
      </c>
      <c r="DC337" t="str">
        <f ca="1">IFERROR(__xludf.DUMMYFUNCTION("""COMPUTED_VALUE"""),"#VALUE!")</f>
        <v>#VALUE!</v>
      </c>
      <c r="DE337" t="str">
        <f ca="1">IFERROR(__xludf.DUMMYFUNCTION("""COMPUTED_VALUE"""),"#VALUE!")</f>
        <v>#VALUE!</v>
      </c>
      <c r="DH337" t="str">
        <f ca="1">IFERROR(__xludf.DUMMYFUNCTION("""COMPUTED_VALUE"""),"L0098")</f>
        <v>L0098</v>
      </c>
      <c r="DI337" t="str">
        <f ca="1">IFERROR(__xludf.DUMMYFUNCTION("""COMPUTED_VALUE"""),"domus Michaelis Planche")</f>
        <v>domus Michaelis Planche</v>
      </c>
      <c r="DJ337" t="str">
        <f ca="1">IFERROR(__xludf.DUMMYFUNCTION("""COMPUTED_VALUE"""),"domus")</f>
        <v>domus</v>
      </c>
      <c r="DL337" t="str">
        <f ca="1">IFERROR(__xludf.DUMMYFUNCTION("""COMPUTED_VALUE"""),"Davor Salihović")</f>
        <v>Davor Salihović</v>
      </c>
    </row>
    <row r="338" spans="1:116" ht="13.2" x14ac:dyDescent="0.25">
      <c r="A338" t="str">
        <f ca="1">IFERROR(__xludf.DUMMYFUNCTION("""COMPUTED_VALUE"""),"P0344")</f>
        <v>P0344</v>
      </c>
      <c r="B338" t="str">
        <f ca="1">IFERROR(__xludf.DUMMYFUNCTION("""COMPUTED_VALUE"""),"Marguerita Bruntina")</f>
        <v>Marguerita Bruntina</v>
      </c>
      <c r="D338" t="str">
        <f ca="1">IFERROR(__xludf.DUMMYFUNCTION("""COMPUTED_VALUE"""),"#VALUE!")</f>
        <v>#VALUE!</v>
      </c>
      <c r="E338" t="str">
        <f ca="1">IFERROR(__xludf.DUMMYFUNCTION("""COMPUTED_VALUE"""),"Marguerita")</f>
        <v>Marguerita</v>
      </c>
      <c r="K338" t="str">
        <f ca="1">IFERROR(__xludf.DUMMYFUNCTION("""COMPUTED_VALUE"""),"Bruntina")</f>
        <v>Bruntina</v>
      </c>
      <c r="L338" t="str">
        <f ca="1">IFERROR(__xludf.DUMMYFUNCTION("""COMPUTED_VALUE"""),"Bruntina")</f>
        <v>Bruntina</v>
      </c>
      <c r="S338" t="str">
        <f ca="1">IFERROR(__xludf.DUMMYFUNCTION("""COMPUTED_VALUE"""),"Latin")</f>
        <v>Latin</v>
      </c>
      <c r="T338" t="str">
        <f ca="1">IFERROR(__xludf.DUMMYFUNCTION("""COMPUTED_VALUE"""),"definite")</f>
        <v>definite</v>
      </c>
      <c r="U338" t="str">
        <f ca="1">IFERROR(__xludf.DUMMYFUNCTION("""COMPUTED_VALUE"""),"C2552")</f>
        <v>C2552</v>
      </c>
      <c r="V338" t="str">
        <f ca="1">IFERROR(__xludf.DUMMYFUNCTION("""COMPUTED_VALUE"""),"female")</f>
        <v>female</v>
      </c>
      <c r="Z338" t="str">
        <f ca="1">IFERROR(__xludf.DUMMYFUNCTION("""COMPUTED_VALUE"""),"204")</f>
        <v>204</v>
      </c>
      <c r="AA338" t="str">
        <f ca="1">IFERROR(__xludf.DUMMYFUNCTION("""COMPUTED_VALUE"""),"d")</f>
        <v>d</v>
      </c>
      <c r="AB338" t="str">
        <f ca="1">IFERROR(__xludf.DUMMYFUNCTION("""COMPUTED_VALUE"""),"suspect")</f>
        <v>suspect</v>
      </c>
      <c r="AE338" t="str">
        <f ca="1">IFERROR(__xludf.DUMMYFUNCTION("""COMPUTED_VALUE"""),"#VALUE!")</f>
        <v>#VALUE!</v>
      </c>
      <c r="AF338" t="str">
        <f ca="1">IFERROR(__xludf.DUMMYFUNCTION("""COMPUTED_VALUE"""),"#N/A")</f>
        <v>#N/A</v>
      </c>
      <c r="AG338" t="str">
        <f ca="1">IFERROR(__xludf.DUMMYFUNCTION("""COMPUTED_VALUE"""),"#N/A")</f>
        <v>#N/A</v>
      </c>
      <c r="AI338" t="str">
        <f ca="1">IFERROR(__xludf.DUMMYFUNCTION("""COMPUTED_VALUE"""),"#VALUE!")</f>
        <v>#VALUE!</v>
      </c>
      <c r="AK338" t="str">
        <f ca="1">IFERROR(__xludf.DUMMYFUNCTION("""COMPUTED_VALUE"""),"#VALUE!")</f>
        <v>#VALUE!</v>
      </c>
      <c r="AM338" t="str">
        <f ca="1">IFERROR(__xludf.DUMMYFUNCTION("""COMPUTED_VALUE"""),"#VALUE!")</f>
        <v>#VALUE!</v>
      </c>
      <c r="AO338" t="str">
        <f ca="1">IFERROR(__xludf.DUMMYFUNCTION("""COMPUTED_VALUE"""),"#VALUE!")</f>
        <v>#VALUE!</v>
      </c>
      <c r="AQ338" t="str">
        <f ca="1">IFERROR(__xludf.DUMMYFUNCTION("""COMPUTED_VALUE"""),"#VALUE!")</f>
        <v>#VALUE!</v>
      </c>
      <c r="AS338" t="str">
        <f ca="1">IFERROR(__xludf.DUMMYFUNCTION("""COMPUTED_VALUE"""),"#VALUE!")</f>
        <v>#VALUE!</v>
      </c>
      <c r="AU338" t="str">
        <f ca="1">IFERROR(__xludf.DUMMYFUNCTION("""COMPUTED_VALUE"""),"#VALUE!")</f>
        <v>#VALUE!</v>
      </c>
      <c r="AW338" t="str">
        <f ca="1">IFERROR(__xludf.DUMMYFUNCTION("""COMPUTED_VALUE"""),"#VALUE!")</f>
        <v>#VALUE!</v>
      </c>
      <c r="AY338" t="str">
        <f ca="1">IFERROR(__xludf.DUMMYFUNCTION("""COMPUTED_VALUE"""),"#VALUE!")</f>
        <v>#VALUE!</v>
      </c>
      <c r="BA338" t="str">
        <f ca="1">IFERROR(__xludf.DUMMYFUNCTION("""COMPUTED_VALUE"""),"#VALUE!")</f>
        <v>#VALUE!</v>
      </c>
      <c r="BC338" t="str">
        <f ca="1">IFERROR(__xludf.DUMMYFUNCTION("""COMPUTED_VALUE"""),"#VALUE!")</f>
        <v>#VALUE!</v>
      </c>
      <c r="BE338" t="str">
        <f ca="1">IFERROR(__xludf.DUMMYFUNCTION("""COMPUTED_VALUE"""),"#VALUE!")</f>
        <v>#VALUE!</v>
      </c>
      <c r="BG338" t="str">
        <f ca="1">IFERROR(__xludf.DUMMYFUNCTION("""COMPUTED_VALUE"""),"#VALUE!")</f>
        <v>#VALUE!</v>
      </c>
      <c r="BI338" t="str">
        <f ca="1">IFERROR(__xludf.DUMMYFUNCTION("""COMPUTED_VALUE"""),"#VALUE!")</f>
        <v>#VALUE!</v>
      </c>
      <c r="BK338" t="str">
        <f ca="1">IFERROR(__xludf.DUMMYFUNCTION("""COMPUTED_VALUE"""),"#VALUE!")</f>
        <v>#VALUE!</v>
      </c>
      <c r="BM338" t="str">
        <f ca="1">IFERROR(__xludf.DUMMYFUNCTION("""COMPUTED_VALUE"""),"#VALUE!")</f>
        <v>#VALUE!</v>
      </c>
      <c r="BO338" t="str">
        <f ca="1">IFERROR(__xludf.DUMMYFUNCTION("""COMPUTED_VALUE"""),"#VALUE!")</f>
        <v>#VALUE!</v>
      </c>
      <c r="BQ338" t="str">
        <f ca="1">IFERROR(__xludf.DUMMYFUNCTION("""COMPUTED_VALUE"""),"#VALUE!")</f>
        <v>#VALUE!</v>
      </c>
      <c r="BS338" t="str">
        <f ca="1">IFERROR(__xludf.DUMMYFUNCTION("""COMPUTED_VALUE"""),"#VALUE!")</f>
        <v>#VALUE!</v>
      </c>
      <c r="BU338" t="str">
        <f ca="1">IFERROR(__xludf.DUMMYFUNCTION("""COMPUTED_VALUE"""),"#VALUE!")</f>
        <v>#VALUE!</v>
      </c>
      <c r="BW338" t="str">
        <f ca="1">IFERROR(__xludf.DUMMYFUNCTION("""COMPUTED_VALUE"""),"#VALUE!")</f>
        <v>#VALUE!</v>
      </c>
      <c r="BY338" t="str">
        <f ca="1">IFERROR(__xludf.DUMMYFUNCTION("""COMPUTED_VALUE"""),"#VALUE!")</f>
        <v>#VALUE!</v>
      </c>
      <c r="CA338" t="str">
        <f ca="1">IFERROR(__xludf.DUMMYFUNCTION("""COMPUTED_VALUE"""),"#VALUE!")</f>
        <v>#VALUE!</v>
      </c>
      <c r="CC338" t="str">
        <f ca="1">IFERROR(__xludf.DUMMYFUNCTION("""COMPUTED_VALUE"""),"#VALUE!")</f>
        <v>#VALUE!</v>
      </c>
      <c r="CD338" t="str">
        <f ca="1">IFERROR(__xludf.DUMMYFUNCTION("""COMPUTED_VALUE"""),"C3598")</f>
        <v>C3598</v>
      </c>
      <c r="CE338" t="str">
        <f ca="1">IFERROR(__xludf.DUMMYFUNCTION("""COMPUTED_VALUE"""),"location of congregation")</f>
        <v>location of congregation</v>
      </c>
      <c r="CF338" t="str">
        <f ca="1">IFERROR(__xludf.DUMMYFUNCTION("""COMPUTED_VALUE"""),"L0098")</f>
        <v>L0098</v>
      </c>
      <c r="CG338" t="str">
        <f ca="1">IFERROR(__xludf.DUMMYFUNCTION("""COMPUTED_VALUE"""),"domus Michaelis Planche")</f>
        <v>domus Michaelis Planche</v>
      </c>
      <c r="CI338" t="str">
        <f ca="1">IFERROR(__xludf.DUMMYFUNCTION("""COMPUTED_VALUE"""),"#VALUE!")</f>
        <v>#VALUE!</v>
      </c>
      <c r="CK338" t="str">
        <f ca="1">IFERROR(__xludf.DUMMYFUNCTION("""COMPUTED_VALUE"""),"#VALUE!")</f>
        <v>#VALUE!</v>
      </c>
      <c r="CR338" t="str">
        <f ca="1">IFERROR(__xludf.DUMMYFUNCTION("""COMPUTED_VALUE"""),"L0153")</f>
        <v>L0153</v>
      </c>
      <c r="CS338" t="str">
        <f ca="1">IFERROR(__xludf.DUMMYFUNCTION("""COMPUTED_VALUE"""),"Pragelato")</f>
        <v>Pragelato</v>
      </c>
      <c r="CU338" t="str">
        <f ca="1">IFERROR(__xludf.DUMMYFUNCTION("""COMPUTED_VALUE"""),"#VALUE!")</f>
        <v>#VALUE!</v>
      </c>
      <c r="CW338" t="str">
        <f ca="1">IFERROR(__xludf.DUMMYFUNCTION("""COMPUTED_VALUE"""),"#VALUE!")</f>
        <v>#VALUE!</v>
      </c>
      <c r="CY338" t="str">
        <f ca="1">IFERROR(__xludf.DUMMYFUNCTION("""COMPUTED_VALUE"""),"#VALUE!")</f>
        <v>#VALUE!</v>
      </c>
      <c r="DC338" t="str">
        <f ca="1">IFERROR(__xludf.DUMMYFUNCTION("""COMPUTED_VALUE"""),"#VALUE!")</f>
        <v>#VALUE!</v>
      </c>
      <c r="DE338" t="str">
        <f ca="1">IFERROR(__xludf.DUMMYFUNCTION("""COMPUTED_VALUE"""),"#VALUE!")</f>
        <v>#VALUE!</v>
      </c>
      <c r="DH338" t="str">
        <f ca="1">IFERROR(__xludf.DUMMYFUNCTION("""COMPUTED_VALUE"""),"L0098")</f>
        <v>L0098</v>
      </c>
      <c r="DI338" t="str">
        <f ca="1">IFERROR(__xludf.DUMMYFUNCTION("""COMPUTED_VALUE"""),"domus Michaelis Planche")</f>
        <v>domus Michaelis Planche</v>
      </c>
      <c r="DJ338" t="str">
        <f ca="1">IFERROR(__xludf.DUMMYFUNCTION("""COMPUTED_VALUE"""),"domus")</f>
        <v>domus</v>
      </c>
      <c r="DL338" t="str">
        <f ca="1">IFERROR(__xludf.DUMMYFUNCTION("""COMPUTED_VALUE"""),"Davor Salihović")</f>
        <v>Davor Salihović</v>
      </c>
    </row>
    <row r="339" spans="1:116" ht="13.2" x14ac:dyDescent="0.25">
      <c r="A339" t="str">
        <f ca="1">IFERROR(__xludf.DUMMYFUNCTION("""COMPUTED_VALUE"""),"P0345")</f>
        <v>P0345</v>
      </c>
      <c r="B339" t="str">
        <f ca="1">IFERROR(__xludf.DUMMYFUNCTION("""COMPUTED_VALUE"""),"Agnessona Germana")</f>
        <v>Agnessona Germana</v>
      </c>
      <c r="D339" t="str">
        <f ca="1">IFERROR(__xludf.DUMMYFUNCTION("""COMPUTED_VALUE"""),"#VALUE!")</f>
        <v>#VALUE!</v>
      </c>
      <c r="E339" t="str">
        <f ca="1">IFERROR(__xludf.DUMMYFUNCTION("""COMPUTED_VALUE"""),"Agnessona")</f>
        <v>Agnessona</v>
      </c>
      <c r="K339" t="str">
        <f ca="1">IFERROR(__xludf.DUMMYFUNCTION("""COMPUTED_VALUE"""),"Germana")</f>
        <v>Germana</v>
      </c>
      <c r="L339" t="str">
        <f ca="1">IFERROR(__xludf.DUMMYFUNCTION("""COMPUTED_VALUE"""),"Germana")</f>
        <v>Germana</v>
      </c>
      <c r="S339" t="str">
        <f ca="1">IFERROR(__xludf.DUMMYFUNCTION("""COMPUTED_VALUE"""),"Latin")</f>
        <v>Latin</v>
      </c>
      <c r="T339" t="str">
        <f ca="1">IFERROR(__xludf.DUMMYFUNCTION("""COMPUTED_VALUE"""),"definite")</f>
        <v>definite</v>
      </c>
      <c r="U339" t="str">
        <f ca="1">IFERROR(__xludf.DUMMYFUNCTION("""COMPUTED_VALUE"""),"C2552")</f>
        <v>C2552</v>
      </c>
      <c r="V339" t="str">
        <f ca="1">IFERROR(__xludf.DUMMYFUNCTION("""COMPUTED_VALUE"""),"female")</f>
        <v>female</v>
      </c>
      <c r="Z339" t="str">
        <f ca="1">IFERROR(__xludf.DUMMYFUNCTION("""COMPUTED_VALUE"""),"204, 220, 223")</f>
        <v>204, 220, 223</v>
      </c>
      <c r="AA339" t="str">
        <f ca="1">IFERROR(__xludf.DUMMYFUNCTION("""COMPUTED_VALUE"""),"d")</f>
        <v>d</v>
      </c>
      <c r="AB339" t="str">
        <f ca="1">IFERROR(__xludf.DUMMYFUNCTION("""COMPUTED_VALUE"""),"suspect")</f>
        <v>suspect</v>
      </c>
      <c r="AE339" t="str">
        <f ca="1">IFERROR(__xludf.DUMMYFUNCTION("""COMPUTED_VALUE"""),"#VALUE!")</f>
        <v>#VALUE!</v>
      </c>
      <c r="AF339" t="str">
        <f ca="1">IFERROR(__xludf.DUMMYFUNCTION("""COMPUTED_VALUE"""),"#N/A")</f>
        <v>#N/A</v>
      </c>
      <c r="AG339" t="str">
        <f ca="1">IFERROR(__xludf.DUMMYFUNCTION("""COMPUTED_VALUE"""),"#N/A")</f>
        <v>#N/A</v>
      </c>
      <c r="AI339" t="str">
        <f ca="1">IFERROR(__xludf.DUMMYFUNCTION("""COMPUTED_VALUE"""),"#VALUE!")</f>
        <v>#VALUE!</v>
      </c>
      <c r="AK339" t="str">
        <f ca="1">IFERROR(__xludf.DUMMYFUNCTION("""COMPUTED_VALUE"""),"#VALUE!")</f>
        <v>#VALUE!</v>
      </c>
      <c r="AM339" t="str">
        <f ca="1">IFERROR(__xludf.DUMMYFUNCTION("""COMPUTED_VALUE"""),"#VALUE!")</f>
        <v>#VALUE!</v>
      </c>
      <c r="AO339" t="str">
        <f ca="1">IFERROR(__xludf.DUMMYFUNCTION("""COMPUTED_VALUE"""),"#VALUE!")</f>
        <v>#VALUE!</v>
      </c>
      <c r="AQ339" t="str">
        <f ca="1">IFERROR(__xludf.DUMMYFUNCTION("""COMPUTED_VALUE"""),"#VALUE!")</f>
        <v>#VALUE!</v>
      </c>
      <c r="AS339" t="str">
        <f ca="1">IFERROR(__xludf.DUMMYFUNCTION("""COMPUTED_VALUE"""),"#VALUE!")</f>
        <v>#VALUE!</v>
      </c>
      <c r="AU339" t="str">
        <f ca="1">IFERROR(__xludf.DUMMYFUNCTION("""COMPUTED_VALUE"""),"#VALUE!")</f>
        <v>#VALUE!</v>
      </c>
      <c r="AW339" t="str">
        <f ca="1">IFERROR(__xludf.DUMMYFUNCTION("""COMPUTED_VALUE"""),"#VALUE!")</f>
        <v>#VALUE!</v>
      </c>
      <c r="AY339" t="str">
        <f ca="1">IFERROR(__xludf.DUMMYFUNCTION("""COMPUTED_VALUE"""),"#VALUE!")</f>
        <v>#VALUE!</v>
      </c>
      <c r="BA339" t="str">
        <f ca="1">IFERROR(__xludf.DUMMYFUNCTION("""COMPUTED_VALUE"""),"#VALUE!")</f>
        <v>#VALUE!</v>
      </c>
      <c r="BC339" t="str">
        <f ca="1">IFERROR(__xludf.DUMMYFUNCTION("""COMPUTED_VALUE"""),"#VALUE!")</f>
        <v>#VALUE!</v>
      </c>
      <c r="BE339" t="str">
        <f ca="1">IFERROR(__xludf.DUMMYFUNCTION("""COMPUTED_VALUE"""),"#VALUE!")</f>
        <v>#VALUE!</v>
      </c>
      <c r="BG339" t="str">
        <f ca="1">IFERROR(__xludf.DUMMYFUNCTION("""COMPUTED_VALUE"""),"#VALUE!")</f>
        <v>#VALUE!</v>
      </c>
      <c r="BI339" t="str">
        <f ca="1">IFERROR(__xludf.DUMMYFUNCTION("""COMPUTED_VALUE"""),"#VALUE!")</f>
        <v>#VALUE!</v>
      </c>
      <c r="BK339" t="str">
        <f ca="1">IFERROR(__xludf.DUMMYFUNCTION("""COMPUTED_VALUE"""),"#VALUE!")</f>
        <v>#VALUE!</v>
      </c>
      <c r="BM339" t="str">
        <f ca="1">IFERROR(__xludf.DUMMYFUNCTION("""COMPUTED_VALUE"""),"#VALUE!")</f>
        <v>#VALUE!</v>
      </c>
      <c r="BO339" t="str">
        <f ca="1">IFERROR(__xludf.DUMMYFUNCTION("""COMPUTED_VALUE"""),"#VALUE!")</f>
        <v>#VALUE!</v>
      </c>
      <c r="BQ339" t="str">
        <f ca="1">IFERROR(__xludf.DUMMYFUNCTION("""COMPUTED_VALUE"""),"#VALUE!")</f>
        <v>#VALUE!</v>
      </c>
      <c r="BS339" t="str">
        <f ca="1">IFERROR(__xludf.DUMMYFUNCTION("""COMPUTED_VALUE"""),"#VALUE!")</f>
        <v>#VALUE!</v>
      </c>
      <c r="BU339" t="str">
        <f ca="1">IFERROR(__xludf.DUMMYFUNCTION("""COMPUTED_VALUE"""),"#VALUE!")</f>
        <v>#VALUE!</v>
      </c>
      <c r="BW339" t="str">
        <f ca="1">IFERROR(__xludf.DUMMYFUNCTION("""COMPUTED_VALUE"""),"#VALUE!")</f>
        <v>#VALUE!</v>
      </c>
      <c r="BY339" t="str">
        <f ca="1">IFERROR(__xludf.DUMMYFUNCTION("""COMPUTED_VALUE"""),"#VALUE!")</f>
        <v>#VALUE!</v>
      </c>
      <c r="CA339" t="str">
        <f ca="1">IFERROR(__xludf.DUMMYFUNCTION("""COMPUTED_VALUE"""),"#VALUE!")</f>
        <v>#VALUE!</v>
      </c>
      <c r="CC339" t="str">
        <f ca="1">IFERROR(__xludf.DUMMYFUNCTION("""COMPUTED_VALUE"""),"#VALUE!")</f>
        <v>#VALUE!</v>
      </c>
      <c r="CD339" t="str">
        <f ca="1">IFERROR(__xludf.DUMMYFUNCTION("""COMPUTED_VALUE"""),"C3598")</f>
        <v>C3598</v>
      </c>
      <c r="CE339" t="str">
        <f ca="1">IFERROR(__xludf.DUMMYFUNCTION("""COMPUTED_VALUE"""),"location of congregation")</f>
        <v>location of congregation</v>
      </c>
      <c r="CF339" t="str">
        <f ca="1">IFERROR(__xludf.DUMMYFUNCTION("""COMPUTED_VALUE"""),"L0098#L0122")</f>
        <v>L0098#L0122</v>
      </c>
      <c r="CG339" t="str">
        <f ca="1">IFERROR(__xludf.DUMMYFUNCTION("""COMPUTED_VALUE"""),"domus Michaelis Planche #domus Margerite Planche")</f>
        <v>domus Michaelis Planche #domus Margerite Planche</v>
      </c>
      <c r="CI339" t="str">
        <f ca="1">IFERROR(__xludf.DUMMYFUNCTION("""COMPUTED_VALUE"""),"#VALUE!")</f>
        <v>#VALUE!</v>
      </c>
      <c r="CK339" t="str">
        <f ca="1">IFERROR(__xludf.DUMMYFUNCTION("""COMPUTED_VALUE"""),"#VALUE!")</f>
        <v>#VALUE!</v>
      </c>
      <c r="CS339" t="str">
        <f ca="1">IFERROR(__xludf.DUMMYFUNCTION("""COMPUTED_VALUE"""),"#VALUE!")</f>
        <v>#VALUE!</v>
      </c>
      <c r="CU339" t="str">
        <f ca="1">IFERROR(__xludf.DUMMYFUNCTION("""COMPUTED_VALUE"""),"#VALUE!")</f>
        <v>#VALUE!</v>
      </c>
      <c r="CW339" t="str">
        <f ca="1">IFERROR(__xludf.DUMMYFUNCTION("""COMPUTED_VALUE"""),"#VALUE!")</f>
        <v>#VALUE!</v>
      </c>
      <c r="CY339" t="str">
        <f ca="1">IFERROR(__xludf.DUMMYFUNCTION("""COMPUTED_VALUE"""),"#VALUE!")</f>
        <v>#VALUE!</v>
      </c>
      <c r="DC339" t="str">
        <f ca="1">IFERROR(__xludf.DUMMYFUNCTION("""COMPUTED_VALUE"""),"#VALUE!")</f>
        <v>#VALUE!</v>
      </c>
      <c r="DE339" t="str">
        <f ca="1">IFERROR(__xludf.DUMMYFUNCTION("""COMPUTED_VALUE"""),"#VALUE!")</f>
        <v>#VALUE!</v>
      </c>
      <c r="DH339" t="str">
        <f ca="1">IFERROR(__xludf.DUMMYFUNCTION("""COMPUTED_VALUE"""),"L0098#L0122")</f>
        <v>L0098#L0122</v>
      </c>
      <c r="DI339" t="str">
        <f ca="1">IFERROR(__xludf.DUMMYFUNCTION("""COMPUTED_VALUE"""),"domus Michaelis Planche #domus Margerite Planche")</f>
        <v>domus Michaelis Planche #domus Margerite Planche</v>
      </c>
      <c r="DJ339" t="str">
        <f ca="1">IFERROR(__xludf.DUMMYFUNCTION("""COMPUTED_VALUE"""),"domus #domus")</f>
        <v>domus #domus</v>
      </c>
      <c r="DL339" t="str">
        <f ca="1">IFERROR(__xludf.DUMMYFUNCTION("""COMPUTED_VALUE"""),"Davor Salihović")</f>
        <v>Davor Salihović</v>
      </c>
    </row>
    <row r="340" spans="1:116" ht="13.2" x14ac:dyDescent="0.25">
      <c r="A340" t="str">
        <f ca="1">IFERROR(__xludf.DUMMYFUNCTION("""COMPUTED_VALUE"""),"P0346")</f>
        <v>P0346</v>
      </c>
      <c r="B340" t="str">
        <f ca="1">IFERROR(__xludf.DUMMYFUNCTION("""COMPUTED_VALUE"""),"Iohannes Borrelli")</f>
        <v>Iohannes Borrelli</v>
      </c>
      <c r="D340" t="str">
        <f ca="1">IFERROR(__xludf.DUMMYFUNCTION("""COMPUTED_VALUE"""),"#VALUE!")</f>
        <v>#VALUE!</v>
      </c>
      <c r="E340" t="str">
        <f ca="1">IFERROR(__xludf.DUMMYFUNCTION("""COMPUTED_VALUE"""),"Iohannes")</f>
        <v>Iohannes</v>
      </c>
      <c r="K340" t="str">
        <f ca="1">IFERROR(__xludf.DUMMYFUNCTION("""COMPUTED_VALUE"""),"Borrelli")</f>
        <v>Borrelli</v>
      </c>
      <c r="L340" t="str">
        <f ca="1">IFERROR(__xludf.DUMMYFUNCTION("""COMPUTED_VALUE"""),"Borrelli")</f>
        <v>Borrelli</v>
      </c>
      <c r="S340" t="str">
        <f ca="1">IFERROR(__xludf.DUMMYFUNCTION("""COMPUTED_VALUE"""),"Latin")</f>
        <v>Latin</v>
      </c>
      <c r="T340" t="str">
        <f ca="1">IFERROR(__xludf.DUMMYFUNCTION("""COMPUTED_VALUE"""),"definite")</f>
        <v>definite</v>
      </c>
      <c r="U340" t="str">
        <f ca="1">IFERROR(__xludf.DUMMYFUNCTION("""COMPUTED_VALUE"""),"C2553")</f>
        <v>C2553</v>
      </c>
      <c r="V340" t="str">
        <f ca="1">IFERROR(__xludf.DUMMYFUNCTION("""COMPUTED_VALUE"""),"male")</f>
        <v>male</v>
      </c>
      <c r="Z340" t="str">
        <f ca="1">IFERROR(__xludf.DUMMYFUNCTION("""COMPUTED_VALUE"""),"205, 216, 217, 218, 219, 246")</f>
        <v>205, 216, 217, 218, 219, 246</v>
      </c>
      <c r="AA340" t="str">
        <f ca="1">IFERROR(__xludf.DUMMYFUNCTION("""COMPUTED_VALUE"""),"d")</f>
        <v>d</v>
      </c>
      <c r="AB340" t="str">
        <f ca="1">IFERROR(__xludf.DUMMYFUNCTION("""COMPUTED_VALUE"""),"suspect")</f>
        <v>suspect</v>
      </c>
      <c r="AD340" t="str">
        <f ca="1">IFERROR(__xludf.DUMMYFUNCTION("""COMPUTED_VALUE"""),"C3287")</f>
        <v>C3287</v>
      </c>
      <c r="AE340" t="str">
        <f ca="1">IFERROR(__xludf.DUMMYFUNCTION("""COMPUTED_VALUE"""),"alive")</f>
        <v>alive</v>
      </c>
      <c r="AF340" t="str">
        <f ca="1">IFERROR(__xludf.DUMMYFUNCTION("""COMPUTED_VALUE"""),"C1753")</f>
        <v>C1753</v>
      </c>
      <c r="AG340" t="str">
        <f ca="1">IFERROR(__xludf.DUMMYFUNCTION("""COMPUTED_VALUE"""),"1335-01-20")</f>
        <v>1335-01-20</v>
      </c>
      <c r="AH340" t="str">
        <f ca="1">IFERROR(__xludf.DUMMYFUNCTION("""COMPUTED_VALUE"""),"C2337")</f>
        <v>C2337</v>
      </c>
      <c r="AI340" t="str">
        <f ca="1">IFERROR(__xludf.DUMMYFUNCTION("""COMPUTED_VALUE"""),"brother")</f>
        <v>brother</v>
      </c>
      <c r="AJ340" t="str">
        <f ca="1">IFERROR(__xludf.DUMMYFUNCTION("""COMPUTED_VALUE"""),"P0371")</f>
        <v>P0371</v>
      </c>
      <c r="AK340" t="str">
        <f ca="1">IFERROR(__xludf.DUMMYFUNCTION("""COMPUTED_VALUE"""),"frater Iohannis Borrelli de Iacobina")</f>
        <v>frater Iohannis Borrelli de Iacobina</v>
      </c>
      <c r="AL340" t="str">
        <f ca="1">IFERROR(__xludf.DUMMYFUNCTION("""COMPUTED_VALUE"""),"C2348")</f>
        <v>C2348</v>
      </c>
      <c r="AM340" t="str">
        <f ca="1">IFERROR(__xludf.DUMMYFUNCTION("""COMPUTED_VALUE"""),"wife")</f>
        <v>wife</v>
      </c>
      <c r="AN340" t="str">
        <f ca="1">IFERROR(__xludf.DUMMYFUNCTION("""COMPUTED_VALUE"""),"P0379")</f>
        <v>P0379</v>
      </c>
      <c r="AO340" t="str">
        <f ca="1">IFERROR(__xludf.DUMMYFUNCTION("""COMPUTED_VALUE"""),"uxor Iohannis Borrelli")</f>
        <v>uxor Iohannis Borrelli</v>
      </c>
      <c r="AQ340" t="str">
        <f ca="1">IFERROR(__xludf.DUMMYFUNCTION("""COMPUTED_VALUE"""),"#VALUE!")</f>
        <v>#VALUE!</v>
      </c>
      <c r="AS340" t="str">
        <f ca="1">IFERROR(__xludf.DUMMYFUNCTION("""COMPUTED_VALUE"""),"#VALUE!")</f>
        <v>#VALUE!</v>
      </c>
      <c r="AU340" t="str">
        <f ca="1">IFERROR(__xludf.DUMMYFUNCTION("""COMPUTED_VALUE"""),"#VALUE!")</f>
        <v>#VALUE!</v>
      </c>
      <c r="AW340" t="str">
        <f ca="1">IFERROR(__xludf.DUMMYFUNCTION("""COMPUTED_VALUE"""),"#VALUE!")</f>
        <v>#VALUE!</v>
      </c>
      <c r="AY340" t="str">
        <f ca="1">IFERROR(__xludf.DUMMYFUNCTION("""COMPUTED_VALUE"""),"#VALUE!")</f>
        <v>#VALUE!</v>
      </c>
      <c r="BA340" t="str">
        <f ca="1">IFERROR(__xludf.DUMMYFUNCTION("""COMPUTED_VALUE"""),"#VALUE!")</f>
        <v>#VALUE!</v>
      </c>
      <c r="BC340" t="str">
        <f ca="1">IFERROR(__xludf.DUMMYFUNCTION("""COMPUTED_VALUE"""),"#VALUE!")</f>
        <v>#VALUE!</v>
      </c>
      <c r="BE340" t="str">
        <f ca="1">IFERROR(__xludf.DUMMYFUNCTION("""COMPUTED_VALUE"""),"#VALUE!")</f>
        <v>#VALUE!</v>
      </c>
      <c r="BG340" t="str">
        <f ca="1">IFERROR(__xludf.DUMMYFUNCTION("""COMPUTED_VALUE"""),"#VALUE!")</f>
        <v>#VALUE!</v>
      </c>
      <c r="BI340" t="str">
        <f ca="1">IFERROR(__xludf.DUMMYFUNCTION("""COMPUTED_VALUE"""),"#VALUE!")</f>
        <v>#VALUE!</v>
      </c>
      <c r="BK340" t="str">
        <f ca="1">IFERROR(__xludf.DUMMYFUNCTION("""COMPUTED_VALUE"""),"#VALUE!")</f>
        <v>#VALUE!</v>
      </c>
      <c r="BM340" t="str">
        <f ca="1">IFERROR(__xludf.DUMMYFUNCTION("""COMPUTED_VALUE"""),"#VALUE!")</f>
        <v>#VALUE!</v>
      </c>
      <c r="BO340" t="str">
        <f ca="1">IFERROR(__xludf.DUMMYFUNCTION("""COMPUTED_VALUE"""),"#VALUE!")</f>
        <v>#VALUE!</v>
      </c>
      <c r="BQ340" t="str">
        <f ca="1">IFERROR(__xludf.DUMMYFUNCTION("""COMPUTED_VALUE"""),"#VALUE!")</f>
        <v>#VALUE!</v>
      </c>
      <c r="BS340" t="str">
        <f ca="1">IFERROR(__xludf.DUMMYFUNCTION("""COMPUTED_VALUE"""),"#VALUE!")</f>
        <v>#VALUE!</v>
      </c>
      <c r="BU340" t="str">
        <f ca="1">IFERROR(__xludf.DUMMYFUNCTION("""COMPUTED_VALUE"""),"#VALUE!")</f>
        <v>#VALUE!</v>
      </c>
      <c r="BW340" t="str">
        <f ca="1">IFERROR(__xludf.DUMMYFUNCTION("""COMPUTED_VALUE"""),"#VALUE!")</f>
        <v>#VALUE!</v>
      </c>
      <c r="BY340" t="str">
        <f ca="1">IFERROR(__xludf.DUMMYFUNCTION("""COMPUTED_VALUE"""),"#VALUE!")</f>
        <v>#VALUE!</v>
      </c>
      <c r="CA340" t="str">
        <f ca="1">IFERROR(__xludf.DUMMYFUNCTION("""COMPUTED_VALUE"""),"#VALUE!")</f>
        <v>#VALUE!</v>
      </c>
      <c r="CC340" t="str">
        <f ca="1">IFERROR(__xludf.DUMMYFUNCTION("""COMPUTED_VALUE"""),"#VALUE!")</f>
        <v>#VALUE!</v>
      </c>
      <c r="CD340" t="str">
        <f ca="1">IFERROR(__xludf.DUMMYFUNCTION("""COMPUTED_VALUE"""),"C3598")</f>
        <v>C3598</v>
      </c>
      <c r="CE340" t="str">
        <f ca="1">IFERROR(__xludf.DUMMYFUNCTION("""COMPUTED_VALUE"""),"location of congregation")</f>
        <v>location of congregation</v>
      </c>
      <c r="CF340" t="str">
        <f ca="1">IFERROR(__xludf.DUMMYFUNCTION("""COMPUTED_VALUE"""),"L0104#L0032#L0097#L0116")</f>
        <v>L0104#L0032#L0097#L0116</v>
      </c>
      <c r="CG340" t="str">
        <f ca="1">IFERROR(__xludf.DUMMYFUNCTION("""COMPUTED_VALUE"""),"domus Beatricis de Oddo #domus Villelmi de Oddo #domus Iohannis Borrellati #domus Iohannis Borrelli de Iacobina")</f>
        <v>domus Beatricis de Oddo #domus Villelmi de Oddo #domus Iohannis Borrellati #domus Iohannis Borrelli de Iacobina</v>
      </c>
      <c r="CI340" t="str">
        <f ca="1">IFERROR(__xludf.DUMMYFUNCTION("""COMPUTED_VALUE"""),"#VALUE!")</f>
        <v>#VALUE!</v>
      </c>
      <c r="CK340" t="str">
        <f ca="1">IFERROR(__xludf.DUMMYFUNCTION("""COMPUTED_VALUE"""),"#VALUE!")</f>
        <v>#VALUE!</v>
      </c>
      <c r="CS340" t="str">
        <f ca="1">IFERROR(__xludf.DUMMYFUNCTION("""COMPUTED_VALUE"""),"#VALUE!")</f>
        <v>#VALUE!</v>
      </c>
      <c r="CU340" t="str">
        <f ca="1">IFERROR(__xludf.DUMMYFUNCTION("""COMPUTED_VALUE"""),"#VALUE!")</f>
        <v>#VALUE!</v>
      </c>
      <c r="CW340" t="str">
        <f ca="1">IFERROR(__xludf.DUMMYFUNCTION("""COMPUTED_VALUE"""),"#VALUE!")</f>
        <v>#VALUE!</v>
      </c>
      <c r="CY340" t="str">
        <f ca="1">IFERROR(__xludf.DUMMYFUNCTION("""COMPUTED_VALUE"""),"#VALUE!")</f>
        <v>#VALUE!</v>
      </c>
      <c r="DC340" t="str">
        <f ca="1">IFERROR(__xludf.DUMMYFUNCTION("""COMPUTED_VALUE"""),"#VALUE!")</f>
        <v>#VALUE!</v>
      </c>
      <c r="DE340" t="str">
        <f ca="1">IFERROR(__xludf.DUMMYFUNCTION("""COMPUTED_VALUE"""),"#VALUE!")</f>
        <v>#VALUE!</v>
      </c>
      <c r="DF340" t="str">
        <f ca="1">IFERROR(__xludf.DUMMYFUNCTION("""COMPUTED_VALUE"""),"y")</f>
        <v>y</v>
      </c>
      <c r="DG340" t="str">
        <f ca="1">IFERROR(__xludf.DUMMYFUNCTION("""COMPUTED_VALUE"""),"217-218")</f>
        <v>217-218</v>
      </c>
      <c r="DH340" t="str">
        <f ca="1">IFERROR(__xludf.DUMMYFUNCTION("""COMPUTED_VALUE"""),"L0104#L0032#L0097#L0116")</f>
        <v>L0104#L0032#L0097#L0116</v>
      </c>
      <c r="DI340" t="str">
        <f ca="1">IFERROR(__xludf.DUMMYFUNCTION("""COMPUTED_VALUE"""),"domus Beatricis de Oddo #domus Villelmi de Oddo #domus Iohannis Borrellati #domus Iohannis Borrelli de Iacobina")</f>
        <v>domus Beatricis de Oddo #domus Villelmi de Oddo #domus Iohannis Borrellati #domus Iohannis Borrelli de Iacobina</v>
      </c>
      <c r="DJ340" t="str">
        <f ca="1">IFERROR(__xludf.DUMMYFUNCTION("""COMPUTED_VALUE"""),"domus #domus #domus #domus")</f>
        <v>domus #domus #domus #domus</v>
      </c>
      <c r="DL340" t="str">
        <f ca="1">IFERROR(__xludf.DUMMYFUNCTION("""COMPUTED_VALUE"""),"Davor Salihović")</f>
        <v>Davor Salihović</v>
      </c>
    </row>
    <row r="341" spans="1:116" ht="13.2" x14ac:dyDescent="0.25">
      <c r="A341" t="str">
        <f ca="1">IFERROR(__xludf.DUMMYFUNCTION("""COMPUTED_VALUE"""),"P0347")</f>
        <v>P0347</v>
      </c>
      <c r="B341" t="str">
        <f ca="1">IFERROR(__xludf.DUMMYFUNCTION("""COMPUTED_VALUE"""),"Iacobina")</f>
        <v>Iacobina</v>
      </c>
      <c r="D341" t="str">
        <f ca="1">IFERROR(__xludf.DUMMYFUNCTION("""COMPUTED_VALUE"""),"#VALUE!")</f>
        <v>#VALUE!</v>
      </c>
      <c r="E341" t="str">
        <f ca="1">IFERROR(__xludf.DUMMYFUNCTION("""COMPUTED_VALUE"""),"Iacobina")</f>
        <v>Iacobina</v>
      </c>
      <c r="S341" t="str">
        <f ca="1">IFERROR(__xludf.DUMMYFUNCTION("""COMPUTED_VALUE"""),"Latin")</f>
        <v>Latin</v>
      </c>
      <c r="T341" t="str">
        <f ca="1">IFERROR(__xludf.DUMMYFUNCTION("""COMPUTED_VALUE"""),"definite")</f>
        <v>definite</v>
      </c>
      <c r="U341" t="str">
        <f ca="1">IFERROR(__xludf.DUMMYFUNCTION("""COMPUTED_VALUE"""),"C2552")</f>
        <v>C2552</v>
      </c>
      <c r="V341" t="str">
        <f ca="1">IFERROR(__xludf.DUMMYFUNCTION("""COMPUTED_VALUE"""),"female")</f>
        <v>female</v>
      </c>
      <c r="Z341" t="str">
        <f ca="1">IFERROR(__xludf.DUMMYFUNCTION("""COMPUTED_VALUE"""),"205")</f>
        <v>205</v>
      </c>
      <c r="AA341" t="str">
        <f ca="1">IFERROR(__xludf.DUMMYFUNCTION("""COMPUTED_VALUE"""),"d")</f>
        <v>d</v>
      </c>
      <c r="AB341" t="str">
        <f ca="1">IFERROR(__xludf.DUMMYFUNCTION("""COMPUTED_VALUE"""),"NA")</f>
        <v>NA</v>
      </c>
      <c r="AE341" t="str">
        <f ca="1">IFERROR(__xludf.DUMMYFUNCTION("""COMPUTED_VALUE"""),"#VALUE!")</f>
        <v>#VALUE!</v>
      </c>
      <c r="AF341" t="str">
        <f ca="1">IFERROR(__xludf.DUMMYFUNCTION("""COMPUTED_VALUE"""),"#N/A")</f>
        <v>#N/A</v>
      </c>
      <c r="AG341" t="str">
        <f ca="1">IFERROR(__xludf.DUMMYFUNCTION("""COMPUTED_VALUE"""),"#N/A")</f>
        <v>#N/A</v>
      </c>
      <c r="AH341" t="str">
        <f ca="1">IFERROR(__xludf.DUMMYFUNCTION("""COMPUTED_VALUE"""),"C2336")</f>
        <v>C2336</v>
      </c>
      <c r="AI341" t="str">
        <f ca="1">IFERROR(__xludf.DUMMYFUNCTION("""COMPUTED_VALUE"""),"son")</f>
        <v>son</v>
      </c>
      <c r="AJ341" t="str">
        <f ca="1">IFERROR(__xludf.DUMMYFUNCTION("""COMPUTED_VALUE"""),"P0346")</f>
        <v>P0346</v>
      </c>
      <c r="AK341" t="str">
        <f ca="1">IFERROR(__xludf.DUMMYFUNCTION("""COMPUTED_VALUE"""),"Iohannes Borrelli")</f>
        <v>Iohannes Borrelli</v>
      </c>
      <c r="AM341" t="str">
        <f ca="1">IFERROR(__xludf.DUMMYFUNCTION("""COMPUTED_VALUE"""),"#VALUE!")</f>
        <v>#VALUE!</v>
      </c>
      <c r="AO341" t="str">
        <f ca="1">IFERROR(__xludf.DUMMYFUNCTION("""COMPUTED_VALUE"""),"#VALUE!")</f>
        <v>#VALUE!</v>
      </c>
      <c r="AQ341" t="str">
        <f ca="1">IFERROR(__xludf.DUMMYFUNCTION("""COMPUTED_VALUE"""),"#VALUE!")</f>
        <v>#VALUE!</v>
      </c>
      <c r="AS341" t="str">
        <f ca="1">IFERROR(__xludf.DUMMYFUNCTION("""COMPUTED_VALUE"""),"#VALUE!")</f>
        <v>#VALUE!</v>
      </c>
      <c r="AU341" t="str">
        <f ca="1">IFERROR(__xludf.DUMMYFUNCTION("""COMPUTED_VALUE"""),"#VALUE!")</f>
        <v>#VALUE!</v>
      </c>
      <c r="AW341" t="str">
        <f ca="1">IFERROR(__xludf.DUMMYFUNCTION("""COMPUTED_VALUE"""),"#VALUE!")</f>
        <v>#VALUE!</v>
      </c>
      <c r="AY341" t="str">
        <f ca="1">IFERROR(__xludf.DUMMYFUNCTION("""COMPUTED_VALUE"""),"#VALUE!")</f>
        <v>#VALUE!</v>
      </c>
      <c r="BA341" t="str">
        <f ca="1">IFERROR(__xludf.DUMMYFUNCTION("""COMPUTED_VALUE"""),"#VALUE!")</f>
        <v>#VALUE!</v>
      </c>
      <c r="BC341" t="str">
        <f ca="1">IFERROR(__xludf.DUMMYFUNCTION("""COMPUTED_VALUE"""),"#VALUE!")</f>
        <v>#VALUE!</v>
      </c>
      <c r="BE341" t="str">
        <f ca="1">IFERROR(__xludf.DUMMYFUNCTION("""COMPUTED_VALUE"""),"#VALUE!")</f>
        <v>#VALUE!</v>
      </c>
      <c r="BG341" t="str">
        <f ca="1">IFERROR(__xludf.DUMMYFUNCTION("""COMPUTED_VALUE"""),"#VALUE!")</f>
        <v>#VALUE!</v>
      </c>
      <c r="BI341" t="str">
        <f ca="1">IFERROR(__xludf.DUMMYFUNCTION("""COMPUTED_VALUE"""),"#VALUE!")</f>
        <v>#VALUE!</v>
      </c>
      <c r="BK341" t="str">
        <f ca="1">IFERROR(__xludf.DUMMYFUNCTION("""COMPUTED_VALUE"""),"#VALUE!")</f>
        <v>#VALUE!</v>
      </c>
      <c r="BM341" t="str">
        <f ca="1">IFERROR(__xludf.DUMMYFUNCTION("""COMPUTED_VALUE"""),"#VALUE!")</f>
        <v>#VALUE!</v>
      </c>
      <c r="BO341" t="str">
        <f ca="1">IFERROR(__xludf.DUMMYFUNCTION("""COMPUTED_VALUE"""),"#VALUE!")</f>
        <v>#VALUE!</v>
      </c>
      <c r="BQ341" t="str">
        <f ca="1">IFERROR(__xludf.DUMMYFUNCTION("""COMPUTED_VALUE"""),"#VALUE!")</f>
        <v>#VALUE!</v>
      </c>
      <c r="BS341" t="str">
        <f ca="1">IFERROR(__xludf.DUMMYFUNCTION("""COMPUTED_VALUE"""),"#VALUE!")</f>
        <v>#VALUE!</v>
      </c>
      <c r="BU341" t="str">
        <f ca="1">IFERROR(__xludf.DUMMYFUNCTION("""COMPUTED_VALUE"""),"#VALUE!")</f>
        <v>#VALUE!</v>
      </c>
      <c r="BW341" t="str">
        <f ca="1">IFERROR(__xludf.DUMMYFUNCTION("""COMPUTED_VALUE"""),"#VALUE!")</f>
        <v>#VALUE!</v>
      </c>
      <c r="BY341" t="str">
        <f ca="1">IFERROR(__xludf.DUMMYFUNCTION("""COMPUTED_VALUE"""),"#VALUE!")</f>
        <v>#VALUE!</v>
      </c>
      <c r="CA341" t="str">
        <f ca="1">IFERROR(__xludf.DUMMYFUNCTION("""COMPUTED_VALUE"""),"#VALUE!")</f>
        <v>#VALUE!</v>
      </c>
      <c r="CC341" t="str">
        <f ca="1">IFERROR(__xludf.DUMMYFUNCTION("""COMPUTED_VALUE"""),"#VALUE!")</f>
        <v>#VALUE!</v>
      </c>
      <c r="CE341" t="str">
        <f ca="1">IFERROR(__xludf.DUMMYFUNCTION("""COMPUTED_VALUE"""),"#VALUE!")</f>
        <v>#VALUE!</v>
      </c>
      <c r="CG341" t="str">
        <f ca="1">IFERROR(__xludf.DUMMYFUNCTION("""COMPUTED_VALUE"""),"#VALUE!")</f>
        <v>#VALUE!</v>
      </c>
      <c r="CI341" t="str">
        <f ca="1">IFERROR(__xludf.DUMMYFUNCTION("""COMPUTED_VALUE"""),"#VALUE!")</f>
        <v>#VALUE!</v>
      </c>
      <c r="CK341" t="str">
        <f ca="1">IFERROR(__xludf.DUMMYFUNCTION("""COMPUTED_VALUE"""),"#VALUE!")</f>
        <v>#VALUE!</v>
      </c>
      <c r="CS341" t="str">
        <f ca="1">IFERROR(__xludf.DUMMYFUNCTION("""COMPUTED_VALUE"""),"#VALUE!")</f>
        <v>#VALUE!</v>
      </c>
      <c r="CU341" t="str">
        <f ca="1">IFERROR(__xludf.DUMMYFUNCTION("""COMPUTED_VALUE"""),"#VALUE!")</f>
        <v>#VALUE!</v>
      </c>
      <c r="CW341" t="str">
        <f ca="1">IFERROR(__xludf.DUMMYFUNCTION("""COMPUTED_VALUE"""),"#VALUE!")</f>
        <v>#VALUE!</v>
      </c>
      <c r="CY341" t="str">
        <f ca="1">IFERROR(__xludf.DUMMYFUNCTION("""COMPUTED_VALUE"""),"#VALUE!")</f>
        <v>#VALUE!</v>
      </c>
      <c r="DC341" t="str">
        <f ca="1">IFERROR(__xludf.DUMMYFUNCTION("""COMPUTED_VALUE"""),"#VALUE!")</f>
        <v>#VALUE!</v>
      </c>
      <c r="DE341" t="str">
        <f ca="1">IFERROR(__xludf.DUMMYFUNCTION("""COMPUTED_VALUE"""),"#VALUE!")</f>
        <v>#VALUE!</v>
      </c>
      <c r="DI341" t="str">
        <f ca="1">IFERROR(__xludf.DUMMYFUNCTION("""COMPUTED_VALUE"""),"#VALUE!")</f>
        <v>#VALUE!</v>
      </c>
      <c r="DJ341" t="str">
        <f ca="1">IFERROR(__xludf.DUMMYFUNCTION("""COMPUTED_VALUE"""),"#VALUE!")</f>
        <v>#VALUE!</v>
      </c>
      <c r="DL341" t="str">
        <f ca="1">IFERROR(__xludf.DUMMYFUNCTION("""COMPUTED_VALUE"""),"Davor Salihović")</f>
        <v>Davor Salihović</v>
      </c>
    </row>
    <row r="342" spans="1:116" ht="13.2" x14ac:dyDescent="0.25">
      <c r="A342" t="str">
        <f ca="1">IFERROR(__xludf.DUMMYFUNCTION("""COMPUTED_VALUE"""),"P0348")</f>
        <v>P0348</v>
      </c>
      <c r="B342" t="str">
        <f ca="1">IFERROR(__xludf.DUMMYFUNCTION("""COMPUTED_VALUE"""),"Beatrix, uxor Iohannis Borrellati")</f>
        <v>Beatrix, uxor Iohannis Borrellati</v>
      </c>
      <c r="D342" t="str">
        <f ca="1">IFERROR(__xludf.DUMMYFUNCTION("""COMPUTED_VALUE"""),"#VALUE!")</f>
        <v>#VALUE!</v>
      </c>
      <c r="E342" t="str">
        <f ca="1">IFERROR(__xludf.DUMMYFUNCTION("""COMPUTED_VALUE"""),"Beatrix")</f>
        <v>Beatrix</v>
      </c>
      <c r="Q342" t="str">
        <f ca="1">IFERROR(__xludf.DUMMYFUNCTION("""COMPUTED_VALUE"""),"condam uxor Iohannis Borrellati")</f>
        <v>condam uxor Iohannis Borrellati</v>
      </c>
      <c r="S342" t="str">
        <f ca="1">IFERROR(__xludf.DUMMYFUNCTION("""COMPUTED_VALUE"""),"Latin")</f>
        <v>Latin</v>
      </c>
      <c r="T342" t="str">
        <f ca="1">IFERROR(__xludf.DUMMYFUNCTION("""COMPUTED_VALUE"""),"definite")</f>
        <v>definite</v>
      </c>
      <c r="U342" t="str">
        <f ca="1">IFERROR(__xludf.DUMMYFUNCTION("""COMPUTED_VALUE"""),"C2552")</f>
        <v>C2552</v>
      </c>
      <c r="V342" t="str">
        <f ca="1">IFERROR(__xludf.DUMMYFUNCTION("""COMPUTED_VALUE"""),"female")</f>
        <v>female</v>
      </c>
      <c r="Z342" t="str">
        <f ca="1">IFERROR(__xludf.DUMMYFUNCTION("""COMPUTED_VALUE"""),"206, 233")</f>
        <v>206, 233</v>
      </c>
      <c r="AA342" t="str">
        <f ca="1">IFERROR(__xludf.DUMMYFUNCTION("""COMPUTED_VALUE"""),"d")</f>
        <v>d</v>
      </c>
      <c r="AB342" t="str">
        <f ca="1">IFERROR(__xludf.DUMMYFUNCTION("""COMPUTED_VALUE"""),"suspect")</f>
        <v>suspect</v>
      </c>
      <c r="AC342" t="str">
        <f ca="1">IFERROR(__xludf.DUMMYFUNCTION("""COMPUTED_VALUE"""),"y")</f>
        <v>y</v>
      </c>
      <c r="AD342" t="str">
        <f ca="1">IFERROR(__xludf.DUMMYFUNCTION("""COMPUTED_VALUE"""),"C3288")</f>
        <v>C3288</v>
      </c>
      <c r="AE342" t="str">
        <f ca="1">IFERROR(__xludf.DUMMYFUNCTION("""COMPUTED_VALUE"""),"dead")</f>
        <v>dead</v>
      </c>
      <c r="AF342" t="str">
        <f ca="1">IFERROR(__xludf.DUMMYFUNCTION("""COMPUTED_VALUE"""),"C1749")</f>
        <v>C1749</v>
      </c>
      <c r="AG342" t="str">
        <f ca="1">IFERROR(__xludf.DUMMYFUNCTION("""COMPUTED_VALUE"""),"1335-01-20")</f>
        <v>1335-01-20</v>
      </c>
      <c r="AI342" t="str">
        <f ca="1">IFERROR(__xludf.DUMMYFUNCTION("""COMPUTED_VALUE"""),"#VALUE!")</f>
        <v>#VALUE!</v>
      </c>
      <c r="AK342" t="str">
        <f ca="1">IFERROR(__xludf.DUMMYFUNCTION("""COMPUTED_VALUE"""),"#VALUE!")</f>
        <v>#VALUE!</v>
      </c>
      <c r="AM342" t="str">
        <f ca="1">IFERROR(__xludf.DUMMYFUNCTION("""COMPUTED_VALUE"""),"#VALUE!")</f>
        <v>#VALUE!</v>
      </c>
      <c r="AO342" t="str">
        <f ca="1">IFERROR(__xludf.DUMMYFUNCTION("""COMPUTED_VALUE"""),"#VALUE!")</f>
        <v>#VALUE!</v>
      </c>
      <c r="AQ342" t="str">
        <f ca="1">IFERROR(__xludf.DUMMYFUNCTION("""COMPUTED_VALUE"""),"#VALUE!")</f>
        <v>#VALUE!</v>
      </c>
      <c r="AS342" t="str">
        <f ca="1">IFERROR(__xludf.DUMMYFUNCTION("""COMPUTED_VALUE"""),"#VALUE!")</f>
        <v>#VALUE!</v>
      </c>
      <c r="AU342" t="str">
        <f ca="1">IFERROR(__xludf.DUMMYFUNCTION("""COMPUTED_VALUE"""),"#VALUE!")</f>
        <v>#VALUE!</v>
      </c>
      <c r="AW342" t="str">
        <f ca="1">IFERROR(__xludf.DUMMYFUNCTION("""COMPUTED_VALUE"""),"#VALUE!")</f>
        <v>#VALUE!</v>
      </c>
      <c r="AY342" t="str">
        <f ca="1">IFERROR(__xludf.DUMMYFUNCTION("""COMPUTED_VALUE"""),"#VALUE!")</f>
        <v>#VALUE!</v>
      </c>
      <c r="BA342" t="str">
        <f ca="1">IFERROR(__xludf.DUMMYFUNCTION("""COMPUTED_VALUE"""),"#VALUE!")</f>
        <v>#VALUE!</v>
      </c>
      <c r="BC342" t="str">
        <f ca="1">IFERROR(__xludf.DUMMYFUNCTION("""COMPUTED_VALUE"""),"#VALUE!")</f>
        <v>#VALUE!</v>
      </c>
      <c r="BE342" t="str">
        <f ca="1">IFERROR(__xludf.DUMMYFUNCTION("""COMPUTED_VALUE"""),"#VALUE!")</f>
        <v>#VALUE!</v>
      </c>
      <c r="BG342" t="str">
        <f ca="1">IFERROR(__xludf.DUMMYFUNCTION("""COMPUTED_VALUE"""),"#VALUE!")</f>
        <v>#VALUE!</v>
      </c>
      <c r="BI342" t="str">
        <f ca="1">IFERROR(__xludf.DUMMYFUNCTION("""COMPUTED_VALUE"""),"#VALUE!")</f>
        <v>#VALUE!</v>
      </c>
      <c r="BK342" t="str">
        <f ca="1">IFERROR(__xludf.DUMMYFUNCTION("""COMPUTED_VALUE"""),"#VALUE!")</f>
        <v>#VALUE!</v>
      </c>
      <c r="BM342" t="str">
        <f ca="1">IFERROR(__xludf.DUMMYFUNCTION("""COMPUTED_VALUE"""),"#VALUE!")</f>
        <v>#VALUE!</v>
      </c>
      <c r="BO342" t="str">
        <f ca="1">IFERROR(__xludf.DUMMYFUNCTION("""COMPUTED_VALUE"""),"#VALUE!")</f>
        <v>#VALUE!</v>
      </c>
      <c r="BQ342" t="str">
        <f ca="1">IFERROR(__xludf.DUMMYFUNCTION("""COMPUTED_VALUE"""),"#VALUE!")</f>
        <v>#VALUE!</v>
      </c>
      <c r="BS342" t="str">
        <f ca="1">IFERROR(__xludf.DUMMYFUNCTION("""COMPUTED_VALUE"""),"#VALUE!")</f>
        <v>#VALUE!</v>
      </c>
      <c r="BU342" t="str">
        <f ca="1">IFERROR(__xludf.DUMMYFUNCTION("""COMPUTED_VALUE"""),"#VALUE!")</f>
        <v>#VALUE!</v>
      </c>
      <c r="BW342" t="str">
        <f ca="1">IFERROR(__xludf.DUMMYFUNCTION("""COMPUTED_VALUE"""),"#VALUE!")</f>
        <v>#VALUE!</v>
      </c>
      <c r="BY342" t="str">
        <f ca="1">IFERROR(__xludf.DUMMYFUNCTION("""COMPUTED_VALUE"""),"#VALUE!")</f>
        <v>#VALUE!</v>
      </c>
      <c r="CA342" t="str">
        <f ca="1">IFERROR(__xludf.DUMMYFUNCTION("""COMPUTED_VALUE"""),"#VALUE!")</f>
        <v>#VALUE!</v>
      </c>
      <c r="CC342" t="str">
        <f ca="1">IFERROR(__xludf.DUMMYFUNCTION("""COMPUTED_VALUE"""),"#VALUE!")</f>
        <v>#VALUE!</v>
      </c>
      <c r="CD342" t="str">
        <f ca="1">IFERROR(__xludf.DUMMYFUNCTION("""COMPUTED_VALUE"""),"C3598")</f>
        <v>C3598</v>
      </c>
      <c r="CE342" t="str">
        <f ca="1">IFERROR(__xludf.DUMMYFUNCTION("""COMPUTED_VALUE"""),"location of congregation")</f>
        <v>location of congregation</v>
      </c>
      <c r="CF342" t="str">
        <f ca="1">IFERROR(__xludf.DUMMYFUNCTION("""COMPUTED_VALUE"""),"L0097")</f>
        <v>L0097</v>
      </c>
      <c r="CG342" t="str">
        <f ca="1">IFERROR(__xludf.DUMMYFUNCTION("""COMPUTED_VALUE"""),"domus Iohannis Borrellati")</f>
        <v>domus Iohannis Borrellati</v>
      </c>
      <c r="CI342" t="str">
        <f ca="1">IFERROR(__xludf.DUMMYFUNCTION("""COMPUTED_VALUE"""),"#VALUE!")</f>
        <v>#VALUE!</v>
      </c>
      <c r="CK342" t="str">
        <f ca="1">IFERROR(__xludf.DUMMYFUNCTION("""COMPUTED_VALUE"""),"#VALUE!")</f>
        <v>#VALUE!</v>
      </c>
      <c r="CS342" t="str">
        <f ca="1">IFERROR(__xludf.DUMMYFUNCTION("""COMPUTED_VALUE"""),"#VALUE!")</f>
        <v>#VALUE!</v>
      </c>
      <c r="CT342" t="str">
        <f ca="1">IFERROR(__xludf.DUMMYFUNCTION("""COMPUTED_VALUE"""),"L0138")</f>
        <v>L0138</v>
      </c>
      <c r="CU342" t="str">
        <f ca="1">IFERROR(__xludf.DUMMYFUNCTION("""COMPUTED_VALUE"""),"Avigliana")</f>
        <v>Avigliana</v>
      </c>
      <c r="CW342" t="str">
        <f ca="1">IFERROR(__xludf.DUMMYFUNCTION("""COMPUTED_VALUE"""),"#VALUE!")</f>
        <v>#VALUE!</v>
      </c>
      <c r="CY342" t="str">
        <f ca="1">IFERROR(__xludf.DUMMYFUNCTION("""COMPUTED_VALUE"""),"#VALUE!")</f>
        <v>#VALUE!</v>
      </c>
      <c r="DC342" t="str">
        <f ca="1">IFERROR(__xludf.DUMMYFUNCTION("""COMPUTED_VALUE"""),"#VALUE!")</f>
        <v>#VALUE!</v>
      </c>
      <c r="DE342" t="str">
        <f ca="1">IFERROR(__xludf.DUMMYFUNCTION("""COMPUTED_VALUE"""),"#VALUE!")</f>
        <v>#VALUE!</v>
      </c>
      <c r="DH342" t="str">
        <f ca="1">IFERROR(__xludf.DUMMYFUNCTION("""COMPUTED_VALUE"""),"L0097")</f>
        <v>L0097</v>
      </c>
      <c r="DI342" t="str">
        <f ca="1">IFERROR(__xludf.DUMMYFUNCTION("""COMPUTED_VALUE"""),"domus Iohannis Borrellati")</f>
        <v>domus Iohannis Borrellati</v>
      </c>
      <c r="DJ342" t="str">
        <f ca="1">IFERROR(__xludf.DUMMYFUNCTION("""COMPUTED_VALUE"""),"domus")</f>
        <v>domus</v>
      </c>
      <c r="DL342" t="str">
        <f ca="1">IFERROR(__xludf.DUMMYFUNCTION("""COMPUTED_VALUE"""),"Davor Salihović")</f>
        <v>Davor Salihović</v>
      </c>
    </row>
    <row r="343" spans="1:116" ht="13.2" x14ac:dyDescent="0.25">
      <c r="A343" t="str">
        <f ca="1">IFERROR(__xludf.DUMMYFUNCTION("""COMPUTED_VALUE"""),"P0349")</f>
        <v>P0349</v>
      </c>
      <c r="B343" t="str">
        <f ca="1">IFERROR(__xludf.DUMMYFUNCTION("""COMPUTED_VALUE"""),"Bertinus Pacho")</f>
        <v>Bertinus Pacho</v>
      </c>
      <c r="D343" t="str">
        <f ca="1">IFERROR(__xludf.DUMMYFUNCTION("""COMPUTED_VALUE"""),"#VALUE!")</f>
        <v>#VALUE!</v>
      </c>
      <c r="E343" t="str">
        <f ca="1">IFERROR(__xludf.DUMMYFUNCTION("""COMPUTED_VALUE"""),"Bertinus")</f>
        <v>Bertinus</v>
      </c>
      <c r="F343" t="str">
        <f ca="1">IFERROR(__xludf.DUMMYFUNCTION("""COMPUTED_VALUE"""),"Berthinus")</f>
        <v>Berthinus</v>
      </c>
      <c r="K343" t="str">
        <f ca="1">IFERROR(__xludf.DUMMYFUNCTION("""COMPUTED_VALUE"""),"Pacho")</f>
        <v>Pacho</v>
      </c>
      <c r="L343" t="str">
        <f ca="1">IFERROR(__xludf.DUMMYFUNCTION("""COMPUTED_VALUE"""),"Pacho")</f>
        <v>Pacho</v>
      </c>
      <c r="Q343" t="str">
        <f ca="1">IFERROR(__xludf.DUMMYFUNCTION("""COMPUTED_VALUE"""),"filius Petiti Pacho")</f>
        <v>filius Petiti Pacho</v>
      </c>
      <c r="S343" t="str">
        <f ca="1">IFERROR(__xludf.DUMMYFUNCTION("""COMPUTED_VALUE"""),"Latin")</f>
        <v>Latin</v>
      </c>
      <c r="T343" t="str">
        <f ca="1">IFERROR(__xludf.DUMMYFUNCTION("""COMPUTED_VALUE"""),"definite")</f>
        <v>definite</v>
      </c>
      <c r="U343" t="str">
        <f ca="1">IFERROR(__xludf.DUMMYFUNCTION("""COMPUTED_VALUE"""),"C2553")</f>
        <v>C2553</v>
      </c>
      <c r="V343" t="str">
        <f ca="1">IFERROR(__xludf.DUMMYFUNCTION("""COMPUTED_VALUE"""),"male")</f>
        <v>male</v>
      </c>
      <c r="Z343" t="str">
        <f ca="1">IFERROR(__xludf.DUMMYFUNCTION("""COMPUTED_VALUE"""),"206, 218")</f>
        <v>206, 218</v>
      </c>
      <c r="AA343" t="str">
        <f ca="1">IFERROR(__xludf.DUMMYFUNCTION("""COMPUTED_VALUE"""),"d")</f>
        <v>d</v>
      </c>
      <c r="AB343" t="str">
        <f ca="1">IFERROR(__xludf.DUMMYFUNCTION("""COMPUTED_VALUE"""),"suspect")</f>
        <v>suspect</v>
      </c>
      <c r="AE343" t="str">
        <f ca="1">IFERROR(__xludf.DUMMYFUNCTION("""COMPUTED_VALUE"""),"#VALUE!")</f>
        <v>#VALUE!</v>
      </c>
      <c r="AF343" t="str">
        <f ca="1">IFERROR(__xludf.DUMMYFUNCTION("""COMPUTED_VALUE"""),"#N/A")</f>
        <v>#N/A</v>
      </c>
      <c r="AG343" t="str">
        <f ca="1">IFERROR(__xludf.DUMMYFUNCTION("""COMPUTED_VALUE"""),"#N/A")</f>
        <v>#N/A</v>
      </c>
      <c r="AI343" t="str">
        <f ca="1">IFERROR(__xludf.DUMMYFUNCTION("""COMPUTED_VALUE"""),"#VALUE!")</f>
        <v>#VALUE!</v>
      </c>
      <c r="AK343" t="str">
        <f ca="1">IFERROR(__xludf.DUMMYFUNCTION("""COMPUTED_VALUE"""),"#VALUE!")</f>
        <v>#VALUE!</v>
      </c>
      <c r="AM343" t="str">
        <f ca="1">IFERROR(__xludf.DUMMYFUNCTION("""COMPUTED_VALUE"""),"#VALUE!")</f>
        <v>#VALUE!</v>
      </c>
      <c r="AO343" t="str">
        <f ca="1">IFERROR(__xludf.DUMMYFUNCTION("""COMPUTED_VALUE"""),"#VALUE!")</f>
        <v>#VALUE!</v>
      </c>
      <c r="AQ343" t="str">
        <f ca="1">IFERROR(__xludf.DUMMYFUNCTION("""COMPUTED_VALUE"""),"#VALUE!")</f>
        <v>#VALUE!</v>
      </c>
      <c r="AS343" t="str">
        <f ca="1">IFERROR(__xludf.DUMMYFUNCTION("""COMPUTED_VALUE"""),"#VALUE!")</f>
        <v>#VALUE!</v>
      </c>
      <c r="AU343" t="str">
        <f ca="1">IFERROR(__xludf.DUMMYFUNCTION("""COMPUTED_VALUE"""),"#VALUE!")</f>
        <v>#VALUE!</v>
      </c>
      <c r="AW343" t="str">
        <f ca="1">IFERROR(__xludf.DUMMYFUNCTION("""COMPUTED_VALUE"""),"#VALUE!")</f>
        <v>#VALUE!</v>
      </c>
      <c r="AY343" t="str">
        <f ca="1">IFERROR(__xludf.DUMMYFUNCTION("""COMPUTED_VALUE"""),"#VALUE!")</f>
        <v>#VALUE!</v>
      </c>
      <c r="BA343" t="str">
        <f ca="1">IFERROR(__xludf.DUMMYFUNCTION("""COMPUTED_VALUE"""),"#VALUE!")</f>
        <v>#VALUE!</v>
      </c>
      <c r="BC343" t="str">
        <f ca="1">IFERROR(__xludf.DUMMYFUNCTION("""COMPUTED_VALUE"""),"#VALUE!")</f>
        <v>#VALUE!</v>
      </c>
      <c r="BE343" t="str">
        <f ca="1">IFERROR(__xludf.DUMMYFUNCTION("""COMPUTED_VALUE"""),"#VALUE!")</f>
        <v>#VALUE!</v>
      </c>
      <c r="BG343" t="str">
        <f ca="1">IFERROR(__xludf.DUMMYFUNCTION("""COMPUTED_VALUE"""),"#VALUE!")</f>
        <v>#VALUE!</v>
      </c>
      <c r="BI343" t="str">
        <f ca="1">IFERROR(__xludf.DUMMYFUNCTION("""COMPUTED_VALUE"""),"#VALUE!")</f>
        <v>#VALUE!</v>
      </c>
      <c r="BK343" t="str">
        <f ca="1">IFERROR(__xludf.DUMMYFUNCTION("""COMPUTED_VALUE"""),"#VALUE!")</f>
        <v>#VALUE!</v>
      </c>
      <c r="BM343" t="str">
        <f ca="1">IFERROR(__xludf.DUMMYFUNCTION("""COMPUTED_VALUE"""),"#VALUE!")</f>
        <v>#VALUE!</v>
      </c>
      <c r="BO343" t="str">
        <f ca="1">IFERROR(__xludf.DUMMYFUNCTION("""COMPUTED_VALUE"""),"#VALUE!")</f>
        <v>#VALUE!</v>
      </c>
      <c r="BQ343" t="str">
        <f ca="1">IFERROR(__xludf.DUMMYFUNCTION("""COMPUTED_VALUE"""),"#VALUE!")</f>
        <v>#VALUE!</v>
      </c>
      <c r="BS343" t="str">
        <f ca="1">IFERROR(__xludf.DUMMYFUNCTION("""COMPUTED_VALUE"""),"#VALUE!")</f>
        <v>#VALUE!</v>
      </c>
      <c r="BU343" t="str">
        <f ca="1">IFERROR(__xludf.DUMMYFUNCTION("""COMPUTED_VALUE"""),"#VALUE!")</f>
        <v>#VALUE!</v>
      </c>
      <c r="BW343" t="str">
        <f ca="1">IFERROR(__xludf.DUMMYFUNCTION("""COMPUTED_VALUE"""),"#VALUE!")</f>
        <v>#VALUE!</v>
      </c>
      <c r="BY343" t="str">
        <f ca="1">IFERROR(__xludf.DUMMYFUNCTION("""COMPUTED_VALUE"""),"#VALUE!")</f>
        <v>#VALUE!</v>
      </c>
      <c r="CA343" t="str">
        <f ca="1">IFERROR(__xludf.DUMMYFUNCTION("""COMPUTED_VALUE"""),"#VALUE!")</f>
        <v>#VALUE!</v>
      </c>
      <c r="CC343" t="str">
        <f ca="1">IFERROR(__xludf.DUMMYFUNCTION("""COMPUTED_VALUE"""),"#VALUE!")</f>
        <v>#VALUE!</v>
      </c>
      <c r="CD343" t="str">
        <f ca="1">IFERROR(__xludf.DUMMYFUNCTION("""COMPUTED_VALUE"""),"C3598")</f>
        <v>C3598</v>
      </c>
      <c r="CE343" t="str">
        <f ca="1">IFERROR(__xludf.DUMMYFUNCTION("""COMPUTED_VALUE"""),"location of congregation")</f>
        <v>location of congregation</v>
      </c>
      <c r="CF343" t="str">
        <f ca="1">IFERROR(__xludf.DUMMYFUNCTION("""COMPUTED_VALUE"""),"L0097")</f>
        <v>L0097</v>
      </c>
      <c r="CG343" t="str">
        <f ca="1">IFERROR(__xludf.DUMMYFUNCTION("""COMPUTED_VALUE"""),"domus Iohannis Borrellati")</f>
        <v>domus Iohannis Borrellati</v>
      </c>
      <c r="CI343" t="str">
        <f ca="1">IFERROR(__xludf.DUMMYFUNCTION("""COMPUTED_VALUE"""),"#VALUE!")</f>
        <v>#VALUE!</v>
      </c>
      <c r="CK343" t="str">
        <f ca="1">IFERROR(__xludf.DUMMYFUNCTION("""COMPUTED_VALUE"""),"#VALUE!")</f>
        <v>#VALUE!</v>
      </c>
      <c r="CR343" t="str">
        <f ca="1">IFERROR(__xludf.DUMMYFUNCTION("""COMPUTED_VALUE"""),"L0063")</f>
        <v>L0063</v>
      </c>
      <c r="CS343" t="str">
        <f ca="1">IFERROR(__xludf.DUMMYFUNCTION("""COMPUTED_VALUE"""),"Selvaggio")</f>
        <v>Selvaggio</v>
      </c>
      <c r="CU343" t="str">
        <f ca="1">IFERROR(__xludf.DUMMYFUNCTION("""COMPUTED_VALUE"""),"#VALUE!")</f>
        <v>#VALUE!</v>
      </c>
      <c r="CW343" t="str">
        <f ca="1">IFERROR(__xludf.DUMMYFUNCTION("""COMPUTED_VALUE"""),"#VALUE!")</f>
        <v>#VALUE!</v>
      </c>
      <c r="CY343" t="str">
        <f ca="1">IFERROR(__xludf.DUMMYFUNCTION("""COMPUTED_VALUE"""),"#VALUE!")</f>
        <v>#VALUE!</v>
      </c>
      <c r="DC343" t="str">
        <f ca="1">IFERROR(__xludf.DUMMYFUNCTION("""COMPUTED_VALUE"""),"#VALUE!")</f>
        <v>#VALUE!</v>
      </c>
      <c r="DE343" t="str">
        <f ca="1">IFERROR(__xludf.DUMMYFUNCTION("""COMPUTED_VALUE"""),"#VALUE!")</f>
        <v>#VALUE!</v>
      </c>
      <c r="DH343" t="str">
        <f ca="1">IFERROR(__xludf.DUMMYFUNCTION("""COMPUTED_VALUE"""),"L0097")</f>
        <v>L0097</v>
      </c>
      <c r="DI343" t="str">
        <f ca="1">IFERROR(__xludf.DUMMYFUNCTION("""COMPUTED_VALUE"""),"domus Iohannis Borrellati")</f>
        <v>domus Iohannis Borrellati</v>
      </c>
      <c r="DJ343" t="str">
        <f ca="1">IFERROR(__xludf.DUMMYFUNCTION("""COMPUTED_VALUE"""),"domus")</f>
        <v>domus</v>
      </c>
      <c r="DL343" t="str">
        <f ca="1">IFERROR(__xludf.DUMMYFUNCTION("""COMPUTED_VALUE"""),"Davor Salihović")</f>
        <v>Davor Salihović</v>
      </c>
    </row>
    <row r="344" spans="1:116" ht="13.2" x14ac:dyDescent="0.25">
      <c r="A344" t="str">
        <f ca="1">IFERROR(__xludf.DUMMYFUNCTION("""COMPUTED_VALUE"""),"P0350")</f>
        <v>P0350</v>
      </c>
      <c r="B344" t="str">
        <f ca="1">IFERROR(__xludf.DUMMYFUNCTION("""COMPUTED_VALUE"""),"Petitus Pacho")</f>
        <v>Petitus Pacho</v>
      </c>
      <c r="D344" t="str">
        <f ca="1">IFERROR(__xludf.DUMMYFUNCTION("""COMPUTED_VALUE"""),"#VALUE!")</f>
        <v>#VALUE!</v>
      </c>
      <c r="E344" t="str">
        <f ca="1">IFERROR(__xludf.DUMMYFUNCTION("""COMPUTED_VALUE"""),"Petitus")</f>
        <v>Petitus</v>
      </c>
      <c r="K344" t="str">
        <f ca="1">IFERROR(__xludf.DUMMYFUNCTION("""COMPUTED_VALUE"""),"Pacho")</f>
        <v>Pacho</v>
      </c>
      <c r="L344" t="str">
        <f ca="1">IFERROR(__xludf.DUMMYFUNCTION("""COMPUTED_VALUE"""),"Pacho")</f>
        <v>Pacho</v>
      </c>
      <c r="S344" t="str">
        <f ca="1">IFERROR(__xludf.DUMMYFUNCTION("""COMPUTED_VALUE"""),"Latin")</f>
        <v>Latin</v>
      </c>
      <c r="T344" t="str">
        <f ca="1">IFERROR(__xludf.DUMMYFUNCTION("""COMPUTED_VALUE"""),"definite")</f>
        <v>definite</v>
      </c>
      <c r="U344" t="str">
        <f ca="1">IFERROR(__xludf.DUMMYFUNCTION("""COMPUTED_VALUE"""),"C2553")</f>
        <v>C2553</v>
      </c>
      <c r="V344" t="str">
        <f ca="1">IFERROR(__xludf.DUMMYFUNCTION("""COMPUTED_VALUE"""),"male")</f>
        <v>male</v>
      </c>
      <c r="Z344" t="str">
        <f ca="1">IFERROR(__xludf.DUMMYFUNCTION("""COMPUTED_VALUE"""),"206, 218")</f>
        <v>206, 218</v>
      </c>
      <c r="AA344" t="str">
        <f ca="1">IFERROR(__xludf.DUMMYFUNCTION("""COMPUTED_VALUE"""),"d")</f>
        <v>d</v>
      </c>
      <c r="AB344" t="str">
        <f ca="1">IFERROR(__xludf.DUMMYFUNCTION("""COMPUTED_VALUE"""),"NA")</f>
        <v>NA</v>
      </c>
      <c r="AE344" t="str">
        <f ca="1">IFERROR(__xludf.DUMMYFUNCTION("""COMPUTED_VALUE"""),"#VALUE!")</f>
        <v>#VALUE!</v>
      </c>
      <c r="AF344" t="str">
        <f ca="1">IFERROR(__xludf.DUMMYFUNCTION("""COMPUTED_VALUE"""),"#N/A")</f>
        <v>#N/A</v>
      </c>
      <c r="AG344" t="str">
        <f ca="1">IFERROR(__xludf.DUMMYFUNCTION("""COMPUTED_VALUE"""),"#N/A")</f>
        <v>#N/A</v>
      </c>
      <c r="AH344" t="str">
        <f ca="1">IFERROR(__xludf.DUMMYFUNCTION("""COMPUTED_VALUE"""),"C2336")</f>
        <v>C2336</v>
      </c>
      <c r="AI344" t="str">
        <f ca="1">IFERROR(__xludf.DUMMYFUNCTION("""COMPUTED_VALUE"""),"son")</f>
        <v>son</v>
      </c>
      <c r="AJ344" t="str">
        <f ca="1">IFERROR(__xludf.DUMMYFUNCTION("""COMPUTED_VALUE"""),"P0349")</f>
        <v>P0349</v>
      </c>
      <c r="AK344" t="str">
        <f ca="1">IFERROR(__xludf.DUMMYFUNCTION("""COMPUTED_VALUE"""),"Bertinus Pacho")</f>
        <v>Bertinus Pacho</v>
      </c>
      <c r="AM344" t="str">
        <f ca="1">IFERROR(__xludf.DUMMYFUNCTION("""COMPUTED_VALUE"""),"#VALUE!")</f>
        <v>#VALUE!</v>
      </c>
      <c r="AO344" t="str">
        <f ca="1">IFERROR(__xludf.DUMMYFUNCTION("""COMPUTED_VALUE"""),"#VALUE!")</f>
        <v>#VALUE!</v>
      </c>
      <c r="AQ344" t="str">
        <f ca="1">IFERROR(__xludf.DUMMYFUNCTION("""COMPUTED_VALUE"""),"#VALUE!")</f>
        <v>#VALUE!</v>
      </c>
      <c r="AS344" t="str">
        <f ca="1">IFERROR(__xludf.DUMMYFUNCTION("""COMPUTED_VALUE"""),"#VALUE!")</f>
        <v>#VALUE!</v>
      </c>
      <c r="AU344" t="str">
        <f ca="1">IFERROR(__xludf.DUMMYFUNCTION("""COMPUTED_VALUE"""),"#VALUE!")</f>
        <v>#VALUE!</v>
      </c>
      <c r="AW344" t="str">
        <f ca="1">IFERROR(__xludf.DUMMYFUNCTION("""COMPUTED_VALUE"""),"#VALUE!")</f>
        <v>#VALUE!</v>
      </c>
      <c r="AY344" t="str">
        <f ca="1">IFERROR(__xludf.DUMMYFUNCTION("""COMPUTED_VALUE"""),"#VALUE!")</f>
        <v>#VALUE!</v>
      </c>
      <c r="BA344" t="str">
        <f ca="1">IFERROR(__xludf.DUMMYFUNCTION("""COMPUTED_VALUE"""),"#VALUE!")</f>
        <v>#VALUE!</v>
      </c>
      <c r="BC344" t="str">
        <f ca="1">IFERROR(__xludf.DUMMYFUNCTION("""COMPUTED_VALUE"""),"#VALUE!")</f>
        <v>#VALUE!</v>
      </c>
      <c r="BE344" t="str">
        <f ca="1">IFERROR(__xludf.DUMMYFUNCTION("""COMPUTED_VALUE"""),"#VALUE!")</f>
        <v>#VALUE!</v>
      </c>
      <c r="BG344" t="str">
        <f ca="1">IFERROR(__xludf.DUMMYFUNCTION("""COMPUTED_VALUE"""),"#VALUE!")</f>
        <v>#VALUE!</v>
      </c>
      <c r="BI344" t="str">
        <f ca="1">IFERROR(__xludf.DUMMYFUNCTION("""COMPUTED_VALUE"""),"#VALUE!")</f>
        <v>#VALUE!</v>
      </c>
      <c r="BK344" t="str">
        <f ca="1">IFERROR(__xludf.DUMMYFUNCTION("""COMPUTED_VALUE"""),"#VALUE!")</f>
        <v>#VALUE!</v>
      </c>
      <c r="BM344" t="str">
        <f ca="1">IFERROR(__xludf.DUMMYFUNCTION("""COMPUTED_VALUE"""),"#VALUE!")</f>
        <v>#VALUE!</v>
      </c>
      <c r="BO344" t="str">
        <f ca="1">IFERROR(__xludf.DUMMYFUNCTION("""COMPUTED_VALUE"""),"#VALUE!")</f>
        <v>#VALUE!</v>
      </c>
      <c r="BQ344" t="str">
        <f ca="1">IFERROR(__xludf.DUMMYFUNCTION("""COMPUTED_VALUE"""),"#VALUE!")</f>
        <v>#VALUE!</v>
      </c>
      <c r="BS344" t="str">
        <f ca="1">IFERROR(__xludf.DUMMYFUNCTION("""COMPUTED_VALUE"""),"#VALUE!")</f>
        <v>#VALUE!</v>
      </c>
      <c r="BU344" t="str">
        <f ca="1">IFERROR(__xludf.DUMMYFUNCTION("""COMPUTED_VALUE"""),"#VALUE!")</f>
        <v>#VALUE!</v>
      </c>
      <c r="BW344" t="str">
        <f ca="1">IFERROR(__xludf.DUMMYFUNCTION("""COMPUTED_VALUE"""),"#VALUE!")</f>
        <v>#VALUE!</v>
      </c>
      <c r="BY344" t="str">
        <f ca="1">IFERROR(__xludf.DUMMYFUNCTION("""COMPUTED_VALUE"""),"#VALUE!")</f>
        <v>#VALUE!</v>
      </c>
      <c r="CA344" t="str">
        <f ca="1">IFERROR(__xludf.DUMMYFUNCTION("""COMPUTED_VALUE"""),"#VALUE!")</f>
        <v>#VALUE!</v>
      </c>
      <c r="CC344" t="str">
        <f ca="1">IFERROR(__xludf.DUMMYFUNCTION("""COMPUTED_VALUE"""),"#VALUE!")</f>
        <v>#VALUE!</v>
      </c>
      <c r="CE344" t="str">
        <f ca="1">IFERROR(__xludf.DUMMYFUNCTION("""COMPUTED_VALUE"""),"#VALUE!")</f>
        <v>#VALUE!</v>
      </c>
      <c r="CG344" t="str">
        <f ca="1">IFERROR(__xludf.DUMMYFUNCTION("""COMPUTED_VALUE"""),"#VALUE!")</f>
        <v>#VALUE!</v>
      </c>
      <c r="CI344" t="str">
        <f ca="1">IFERROR(__xludf.DUMMYFUNCTION("""COMPUTED_VALUE"""),"#VALUE!")</f>
        <v>#VALUE!</v>
      </c>
      <c r="CK344" t="str">
        <f ca="1">IFERROR(__xludf.DUMMYFUNCTION("""COMPUTED_VALUE"""),"#VALUE!")</f>
        <v>#VALUE!</v>
      </c>
      <c r="CR344" t="str">
        <f ca="1">IFERROR(__xludf.DUMMYFUNCTION("""COMPUTED_VALUE"""),"L0063")</f>
        <v>L0063</v>
      </c>
      <c r="CS344" t="str">
        <f ca="1">IFERROR(__xludf.DUMMYFUNCTION("""COMPUTED_VALUE"""),"Selvaggio")</f>
        <v>Selvaggio</v>
      </c>
      <c r="CU344" t="str">
        <f ca="1">IFERROR(__xludf.DUMMYFUNCTION("""COMPUTED_VALUE"""),"#VALUE!")</f>
        <v>#VALUE!</v>
      </c>
      <c r="CW344" t="str">
        <f ca="1">IFERROR(__xludf.DUMMYFUNCTION("""COMPUTED_VALUE"""),"#VALUE!")</f>
        <v>#VALUE!</v>
      </c>
      <c r="CY344" t="str">
        <f ca="1">IFERROR(__xludf.DUMMYFUNCTION("""COMPUTED_VALUE"""),"#VALUE!")</f>
        <v>#VALUE!</v>
      </c>
      <c r="DC344" t="str">
        <f ca="1">IFERROR(__xludf.DUMMYFUNCTION("""COMPUTED_VALUE"""),"#VALUE!")</f>
        <v>#VALUE!</v>
      </c>
      <c r="DE344" t="str">
        <f ca="1">IFERROR(__xludf.DUMMYFUNCTION("""COMPUTED_VALUE"""),"#VALUE!")</f>
        <v>#VALUE!</v>
      </c>
      <c r="DI344" t="str">
        <f ca="1">IFERROR(__xludf.DUMMYFUNCTION("""COMPUTED_VALUE"""),"#VALUE!")</f>
        <v>#VALUE!</v>
      </c>
      <c r="DJ344" t="str">
        <f ca="1">IFERROR(__xludf.DUMMYFUNCTION("""COMPUTED_VALUE"""),"#VALUE!")</f>
        <v>#VALUE!</v>
      </c>
      <c r="DL344" t="str">
        <f ca="1">IFERROR(__xludf.DUMMYFUNCTION("""COMPUTED_VALUE"""),"Davor Salihović")</f>
        <v>Davor Salihović</v>
      </c>
    </row>
    <row r="345" spans="1:116" ht="13.2" x14ac:dyDescent="0.25">
      <c r="A345" t="str">
        <f ca="1">IFERROR(__xludf.DUMMYFUNCTION("""COMPUTED_VALUE"""),"P0351")</f>
        <v>P0351</v>
      </c>
      <c r="B345" t="str">
        <f ca="1">IFERROR(__xludf.DUMMYFUNCTION("""COMPUTED_VALUE"""),"Petrus Covaçati")</f>
        <v>Petrus Covaçati</v>
      </c>
      <c r="D345" t="str">
        <f ca="1">IFERROR(__xludf.DUMMYFUNCTION("""COMPUTED_VALUE"""),"#VALUE!")</f>
        <v>#VALUE!</v>
      </c>
      <c r="E345" t="str">
        <f ca="1">IFERROR(__xludf.DUMMYFUNCTION("""COMPUTED_VALUE"""),"Petrus")</f>
        <v>Petrus</v>
      </c>
      <c r="K345" t="str">
        <f ca="1">IFERROR(__xludf.DUMMYFUNCTION("""COMPUTED_VALUE"""),"Covaçati")</f>
        <v>Covaçati</v>
      </c>
      <c r="L345" t="str">
        <f ca="1">IFERROR(__xludf.DUMMYFUNCTION("""COMPUTED_VALUE"""),"Covaçati")</f>
        <v>Covaçati</v>
      </c>
      <c r="P345" t="str">
        <f ca="1">IFERROR(__xludf.DUMMYFUNCTION("""COMPUTED_VALUE"""),"Covaçatus")</f>
        <v>Covaçatus</v>
      </c>
      <c r="S345" t="str">
        <f ca="1">IFERROR(__xludf.DUMMYFUNCTION("""COMPUTED_VALUE"""),"Latin")</f>
        <v>Latin</v>
      </c>
      <c r="T345" t="str">
        <f ca="1">IFERROR(__xludf.DUMMYFUNCTION("""COMPUTED_VALUE"""),"definite")</f>
        <v>definite</v>
      </c>
      <c r="U345" t="str">
        <f ca="1">IFERROR(__xludf.DUMMYFUNCTION("""COMPUTED_VALUE"""),"C2553")</f>
        <v>C2553</v>
      </c>
      <c r="V345" t="str">
        <f ca="1">IFERROR(__xludf.DUMMYFUNCTION("""COMPUTED_VALUE"""),"male")</f>
        <v>male</v>
      </c>
      <c r="Z345" t="str">
        <f ca="1">IFERROR(__xludf.DUMMYFUNCTION("""COMPUTED_VALUE"""),"206, 217, 218")</f>
        <v>206, 217, 218</v>
      </c>
      <c r="AA345" t="str">
        <f ca="1">IFERROR(__xludf.DUMMYFUNCTION("""COMPUTED_VALUE"""),"d")</f>
        <v>d</v>
      </c>
      <c r="AB345" t="str">
        <f ca="1">IFERROR(__xludf.DUMMYFUNCTION("""COMPUTED_VALUE"""),"suspect")</f>
        <v>suspect</v>
      </c>
      <c r="AD345" t="str">
        <f ca="1">IFERROR(__xludf.DUMMYFUNCTION("""COMPUTED_VALUE"""),"C3287")</f>
        <v>C3287</v>
      </c>
      <c r="AE345" t="str">
        <f ca="1">IFERROR(__xludf.DUMMYFUNCTION("""COMPUTED_VALUE"""),"alive")</f>
        <v>alive</v>
      </c>
      <c r="AF345" t="str">
        <f ca="1">IFERROR(__xludf.DUMMYFUNCTION("""COMPUTED_VALUE"""),"C1753")</f>
        <v>C1753</v>
      </c>
      <c r="AG345" t="str">
        <f ca="1">IFERROR(__xludf.DUMMYFUNCTION("""COMPUTED_VALUE"""),"1335-01-20")</f>
        <v>1335-01-20</v>
      </c>
      <c r="AI345" t="str">
        <f ca="1">IFERROR(__xludf.DUMMYFUNCTION("""COMPUTED_VALUE"""),"#VALUE!")</f>
        <v>#VALUE!</v>
      </c>
      <c r="AK345" t="str">
        <f ca="1">IFERROR(__xludf.DUMMYFUNCTION("""COMPUTED_VALUE"""),"#VALUE!")</f>
        <v>#VALUE!</v>
      </c>
      <c r="AM345" t="str">
        <f ca="1">IFERROR(__xludf.DUMMYFUNCTION("""COMPUTED_VALUE"""),"#VALUE!")</f>
        <v>#VALUE!</v>
      </c>
      <c r="AO345" t="str">
        <f ca="1">IFERROR(__xludf.DUMMYFUNCTION("""COMPUTED_VALUE"""),"#VALUE!")</f>
        <v>#VALUE!</v>
      </c>
      <c r="AQ345" t="str">
        <f ca="1">IFERROR(__xludf.DUMMYFUNCTION("""COMPUTED_VALUE"""),"#VALUE!")</f>
        <v>#VALUE!</v>
      </c>
      <c r="AS345" t="str">
        <f ca="1">IFERROR(__xludf.DUMMYFUNCTION("""COMPUTED_VALUE"""),"#VALUE!")</f>
        <v>#VALUE!</v>
      </c>
      <c r="AU345" t="str">
        <f ca="1">IFERROR(__xludf.DUMMYFUNCTION("""COMPUTED_VALUE"""),"#VALUE!")</f>
        <v>#VALUE!</v>
      </c>
      <c r="AW345" t="str">
        <f ca="1">IFERROR(__xludf.DUMMYFUNCTION("""COMPUTED_VALUE"""),"#VALUE!")</f>
        <v>#VALUE!</v>
      </c>
      <c r="AY345" t="str">
        <f ca="1">IFERROR(__xludf.DUMMYFUNCTION("""COMPUTED_VALUE"""),"#VALUE!")</f>
        <v>#VALUE!</v>
      </c>
      <c r="BA345" t="str">
        <f ca="1">IFERROR(__xludf.DUMMYFUNCTION("""COMPUTED_VALUE"""),"#VALUE!")</f>
        <v>#VALUE!</v>
      </c>
      <c r="BC345" t="str">
        <f ca="1">IFERROR(__xludf.DUMMYFUNCTION("""COMPUTED_VALUE"""),"#VALUE!")</f>
        <v>#VALUE!</v>
      </c>
      <c r="BE345" t="str">
        <f ca="1">IFERROR(__xludf.DUMMYFUNCTION("""COMPUTED_VALUE"""),"#VALUE!")</f>
        <v>#VALUE!</v>
      </c>
      <c r="BG345" t="str">
        <f ca="1">IFERROR(__xludf.DUMMYFUNCTION("""COMPUTED_VALUE"""),"#VALUE!")</f>
        <v>#VALUE!</v>
      </c>
      <c r="BI345" t="str">
        <f ca="1">IFERROR(__xludf.DUMMYFUNCTION("""COMPUTED_VALUE"""),"#VALUE!")</f>
        <v>#VALUE!</v>
      </c>
      <c r="BK345" t="str">
        <f ca="1">IFERROR(__xludf.DUMMYFUNCTION("""COMPUTED_VALUE"""),"#VALUE!")</f>
        <v>#VALUE!</v>
      </c>
      <c r="BM345" t="str">
        <f ca="1">IFERROR(__xludf.DUMMYFUNCTION("""COMPUTED_VALUE"""),"#VALUE!")</f>
        <v>#VALUE!</v>
      </c>
      <c r="BO345" t="str">
        <f ca="1">IFERROR(__xludf.DUMMYFUNCTION("""COMPUTED_VALUE"""),"#VALUE!")</f>
        <v>#VALUE!</v>
      </c>
      <c r="BQ345" t="str">
        <f ca="1">IFERROR(__xludf.DUMMYFUNCTION("""COMPUTED_VALUE"""),"#VALUE!")</f>
        <v>#VALUE!</v>
      </c>
      <c r="BS345" t="str">
        <f ca="1">IFERROR(__xludf.DUMMYFUNCTION("""COMPUTED_VALUE"""),"#VALUE!")</f>
        <v>#VALUE!</v>
      </c>
      <c r="BU345" t="str">
        <f ca="1">IFERROR(__xludf.DUMMYFUNCTION("""COMPUTED_VALUE"""),"#VALUE!")</f>
        <v>#VALUE!</v>
      </c>
      <c r="BW345" t="str">
        <f ca="1">IFERROR(__xludf.DUMMYFUNCTION("""COMPUTED_VALUE"""),"#VALUE!")</f>
        <v>#VALUE!</v>
      </c>
      <c r="BY345" t="str">
        <f ca="1">IFERROR(__xludf.DUMMYFUNCTION("""COMPUTED_VALUE"""),"#VALUE!")</f>
        <v>#VALUE!</v>
      </c>
      <c r="CA345" t="str">
        <f ca="1">IFERROR(__xludf.DUMMYFUNCTION("""COMPUTED_VALUE"""),"#VALUE!")</f>
        <v>#VALUE!</v>
      </c>
      <c r="CC345" t="str">
        <f ca="1">IFERROR(__xludf.DUMMYFUNCTION("""COMPUTED_VALUE"""),"#VALUE!")</f>
        <v>#VALUE!</v>
      </c>
      <c r="CD345" t="str">
        <f ca="1">IFERROR(__xludf.DUMMYFUNCTION("""COMPUTED_VALUE"""),"C3598")</f>
        <v>C3598</v>
      </c>
      <c r="CE345" t="str">
        <f ca="1">IFERROR(__xludf.DUMMYFUNCTION("""COMPUTED_VALUE"""),"location of congregation")</f>
        <v>location of congregation</v>
      </c>
      <c r="CF345" t="str">
        <f ca="1">IFERROR(__xludf.DUMMYFUNCTION("""COMPUTED_VALUE"""),"L0097#L0116")</f>
        <v>L0097#L0116</v>
      </c>
      <c r="CG345" t="str">
        <f ca="1">IFERROR(__xludf.DUMMYFUNCTION("""COMPUTED_VALUE"""),"domus Iohannis Borrellati #domus Iohannis Borrelli de Iacobina")</f>
        <v>domus Iohannis Borrellati #domus Iohannis Borrelli de Iacobina</v>
      </c>
      <c r="CI345" t="str">
        <f ca="1">IFERROR(__xludf.DUMMYFUNCTION("""COMPUTED_VALUE"""),"#VALUE!")</f>
        <v>#VALUE!</v>
      </c>
      <c r="CK345" t="str">
        <f ca="1">IFERROR(__xludf.DUMMYFUNCTION("""COMPUTED_VALUE"""),"#VALUE!")</f>
        <v>#VALUE!</v>
      </c>
      <c r="CO345" t="str">
        <f ca="1">IFERROR(__xludf.DUMMYFUNCTION("""COMPUTED_VALUE"""),"Covaçatus")</f>
        <v>Covaçatus</v>
      </c>
      <c r="CS345" t="str">
        <f ca="1">IFERROR(__xludf.DUMMYFUNCTION("""COMPUTED_VALUE"""),"#VALUE!")</f>
        <v>#VALUE!</v>
      </c>
      <c r="CU345" t="str">
        <f ca="1">IFERROR(__xludf.DUMMYFUNCTION("""COMPUTED_VALUE"""),"#VALUE!")</f>
        <v>#VALUE!</v>
      </c>
      <c r="CW345" t="str">
        <f ca="1">IFERROR(__xludf.DUMMYFUNCTION("""COMPUTED_VALUE"""),"#VALUE!")</f>
        <v>#VALUE!</v>
      </c>
      <c r="CY345" t="str">
        <f ca="1">IFERROR(__xludf.DUMMYFUNCTION("""COMPUTED_VALUE"""),"#VALUE!")</f>
        <v>#VALUE!</v>
      </c>
      <c r="DC345" t="str">
        <f ca="1">IFERROR(__xludf.DUMMYFUNCTION("""COMPUTED_VALUE"""),"#VALUE!")</f>
        <v>#VALUE!</v>
      </c>
      <c r="DE345" t="str">
        <f ca="1">IFERROR(__xludf.DUMMYFUNCTION("""COMPUTED_VALUE"""),"#VALUE!")</f>
        <v>#VALUE!</v>
      </c>
      <c r="DF345" t="str">
        <f ca="1">IFERROR(__xludf.DUMMYFUNCTION("""COMPUTED_VALUE"""),"y")</f>
        <v>y</v>
      </c>
      <c r="DG345" t="str">
        <f ca="1">IFERROR(__xludf.DUMMYFUNCTION("""COMPUTED_VALUE"""),"217")</f>
        <v>217</v>
      </c>
      <c r="DH345" t="str">
        <f ca="1">IFERROR(__xludf.DUMMYFUNCTION("""COMPUTED_VALUE"""),"L0097#L0116")</f>
        <v>L0097#L0116</v>
      </c>
      <c r="DI345" t="str">
        <f ca="1">IFERROR(__xludf.DUMMYFUNCTION("""COMPUTED_VALUE"""),"domus Iohannis Borrellati #domus Iohannis Borrelli de Iacobina")</f>
        <v>domus Iohannis Borrellati #domus Iohannis Borrelli de Iacobina</v>
      </c>
      <c r="DJ345" t="str">
        <f ca="1">IFERROR(__xludf.DUMMYFUNCTION("""COMPUTED_VALUE"""),"domus #domus")</f>
        <v>domus #domus</v>
      </c>
      <c r="DL345" t="str">
        <f ca="1">IFERROR(__xludf.DUMMYFUNCTION("""COMPUTED_VALUE"""),"Davor Salihović")</f>
        <v>Davor Salihović</v>
      </c>
    </row>
    <row r="346" spans="1:116" ht="13.2" x14ac:dyDescent="0.25">
      <c r="A346" t="str">
        <f ca="1">IFERROR(__xludf.DUMMYFUNCTION("""COMPUTED_VALUE"""),"P0352")</f>
        <v>P0352</v>
      </c>
      <c r="B346" t="str">
        <f ca="1">IFERROR(__xludf.DUMMYFUNCTION("""COMPUTED_VALUE"""),"Perrotus, filius Iohannis de Berthino")</f>
        <v>Perrotus, filius Iohannis de Berthino</v>
      </c>
      <c r="D346" t="str">
        <f ca="1">IFERROR(__xludf.DUMMYFUNCTION("""COMPUTED_VALUE"""),"#VALUE!")</f>
        <v>#VALUE!</v>
      </c>
      <c r="E346" t="str">
        <f ca="1">IFERROR(__xludf.DUMMYFUNCTION("""COMPUTED_VALUE"""),"Perrotus")</f>
        <v>Perrotus</v>
      </c>
      <c r="Q346" t="str">
        <f ca="1">IFERROR(__xludf.DUMMYFUNCTION("""COMPUTED_VALUE"""),"filius Iohannis de Berthino")</f>
        <v>filius Iohannis de Berthino</v>
      </c>
      <c r="S346" t="str">
        <f ca="1">IFERROR(__xludf.DUMMYFUNCTION("""COMPUTED_VALUE"""),"Latin")</f>
        <v>Latin</v>
      </c>
      <c r="T346" t="str">
        <f ca="1">IFERROR(__xludf.DUMMYFUNCTION("""COMPUTED_VALUE"""),"definite")</f>
        <v>definite</v>
      </c>
      <c r="U346" t="str">
        <f ca="1">IFERROR(__xludf.DUMMYFUNCTION("""COMPUTED_VALUE"""),"C2553")</f>
        <v>C2553</v>
      </c>
      <c r="V346" t="str">
        <f ca="1">IFERROR(__xludf.DUMMYFUNCTION("""COMPUTED_VALUE"""),"male")</f>
        <v>male</v>
      </c>
      <c r="Z346" t="str">
        <f ca="1">IFERROR(__xludf.DUMMYFUNCTION("""COMPUTED_VALUE"""),"206, 216")</f>
        <v>206, 216</v>
      </c>
      <c r="AA346" t="str">
        <f ca="1">IFERROR(__xludf.DUMMYFUNCTION("""COMPUTED_VALUE"""),"d")</f>
        <v>d</v>
      </c>
      <c r="AB346" t="str">
        <f ca="1">IFERROR(__xludf.DUMMYFUNCTION("""COMPUTED_VALUE"""),"suspect")</f>
        <v>suspect</v>
      </c>
      <c r="AE346" t="str">
        <f ca="1">IFERROR(__xludf.DUMMYFUNCTION("""COMPUTED_VALUE"""),"#VALUE!")</f>
        <v>#VALUE!</v>
      </c>
      <c r="AF346" t="str">
        <f ca="1">IFERROR(__xludf.DUMMYFUNCTION("""COMPUTED_VALUE"""),"#N/A")</f>
        <v>#N/A</v>
      </c>
      <c r="AG346" t="str">
        <f ca="1">IFERROR(__xludf.DUMMYFUNCTION("""COMPUTED_VALUE"""),"#N/A")</f>
        <v>#N/A</v>
      </c>
      <c r="AI346" t="str">
        <f ca="1">IFERROR(__xludf.DUMMYFUNCTION("""COMPUTED_VALUE"""),"#VALUE!")</f>
        <v>#VALUE!</v>
      </c>
      <c r="AK346" t="str">
        <f ca="1">IFERROR(__xludf.DUMMYFUNCTION("""COMPUTED_VALUE"""),"#VALUE!")</f>
        <v>#VALUE!</v>
      </c>
      <c r="AM346" t="str">
        <f ca="1">IFERROR(__xludf.DUMMYFUNCTION("""COMPUTED_VALUE"""),"#VALUE!")</f>
        <v>#VALUE!</v>
      </c>
      <c r="AO346" t="str">
        <f ca="1">IFERROR(__xludf.DUMMYFUNCTION("""COMPUTED_VALUE"""),"#VALUE!")</f>
        <v>#VALUE!</v>
      </c>
      <c r="AQ346" t="str">
        <f ca="1">IFERROR(__xludf.DUMMYFUNCTION("""COMPUTED_VALUE"""),"#VALUE!")</f>
        <v>#VALUE!</v>
      </c>
      <c r="AS346" t="str">
        <f ca="1">IFERROR(__xludf.DUMMYFUNCTION("""COMPUTED_VALUE"""),"#VALUE!")</f>
        <v>#VALUE!</v>
      </c>
      <c r="AU346" t="str">
        <f ca="1">IFERROR(__xludf.DUMMYFUNCTION("""COMPUTED_VALUE"""),"#VALUE!")</f>
        <v>#VALUE!</v>
      </c>
      <c r="AW346" t="str">
        <f ca="1">IFERROR(__xludf.DUMMYFUNCTION("""COMPUTED_VALUE"""),"#VALUE!")</f>
        <v>#VALUE!</v>
      </c>
      <c r="AY346" t="str">
        <f ca="1">IFERROR(__xludf.DUMMYFUNCTION("""COMPUTED_VALUE"""),"#VALUE!")</f>
        <v>#VALUE!</v>
      </c>
      <c r="BA346" t="str">
        <f ca="1">IFERROR(__xludf.DUMMYFUNCTION("""COMPUTED_VALUE"""),"#VALUE!")</f>
        <v>#VALUE!</v>
      </c>
      <c r="BC346" t="str">
        <f ca="1">IFERROR(__xludf.DUMMYFUNCTION("""COMPUTED_VALUE"""),"#VALUE!")</f>
        <v>#VALUE!</v>
      </c>
      <c r="BE346" t="str">
        <f ca="1">IFERROR(__xludf.DUMMYFUNCTION("""COMPUTED_VALUE"""),"#VALUE!")</f>
        <v>#VALUE!</v>
      </c>
      <c r="BG346" t="str">
        <f ca="1">IFERROR(__xludf.DUMMYFUNCTION("""COMPUTED_VALUE"""),"#VALUE!")</f>
        <v>#VALUE!</v>
      </c>
      <c r="BI346" t="str">
        <f ca="1">IFERROR(__xludf.DUMMYFUNCTION("""COMPUTED_VALUE"""),"#VALUE!")</f>
        <v>#VALUE!</v>
      </c>
      <c r="BK346" t="str">
        <f ca="1">IFERROR(__xludf.DUMMYFUNCTION("""COMPUTED_VALUE"""),"#VALUE!")</f>
        <v>#VALUE!</v>
      </c>
      <c r="BM346" t="str">
        <f ca="1">IFERROR(__xludf.DUMMYFUNCTION("""COMPUTED_VALUE"""),"#VALUE!")</f>
        <v>#VALUE!</v>
      </c>
      <c r="BO346" t="str">
        <f ca="1">IFERROR(__xludf.DUMMYFUNCTION("""COMPUTED_VALUE"""),"#VALUE!")</f>
        <v>#VALUE!</v>
      </c>
      <c r="BQ346" t="str">
        <f ca="1">IFERROR(__xludf.DUMMYFUNCTION("""COMPUTED_VALUE"""),"#VALUE!")</f>
        <v>#VALUE!</v>
      </c>
      <c r="BS346" t="str">
        <f ca="1">IFERROR(__xludf.DUMMYFUNCTION("""COMPUTED_VALUE"""),"#VALUE!")</f>
        <v>#VALUE!</v>
      </c>
      <c r="BU346" t="str">
        <f ca="1">IFERROR(__xludf.DUMMYFUNCTION("""COMPUTED_VALUE"""),"#VALUE!")</f>
        <v>#VALUE!</v>
      </c>
      <c r="BW346" t="str">
        <f ca="1">IFERROR(__xludf.DUMMYFUNCTION("""COMPUTED_VALUE"""),"#VALUE!")</f>
        <v>#VALUE!</v>
      </c>
      <c r="BY346" t="str">
        <f ca="1">IFERROR(__xludf.DUMMYFUNCTION("""COMPUTED_VALUE"""),"#VALUE!")</f>
        <v>#VALUE!</v>
      </c>
      <c r="CA346" t="str">
        <f ca="1">IFERROR(__xludf.DUMMYFUNCTION("""COMPUTED_VALUE"""),"#VALUE!")</f>
        <v>#VALUE!</v>
      </c>
      <c r="CC346" t="str">
        <f ca="1">IFERROR(__xludf.DUMMYFUNCTION("""COMPUTED_VALUE"""),"#VALUE!")</f>
        <v>#VALUE!</v>
      </c>
      <c r="CD346" t="str">
        <f ca="1">IFERROR(__xludf.DUMMYFUNCTION("""COMPUTED_VALUE"""),"C3598")</f>
        <v>C3598</v>
      </c>
      <c r="CE346" t="str">
        <f ca="1">IFERROR(__xludf.DUMMYFUNCTION("""COMPUTED_VALUE"""),"location of congregation")</f>
        <v>location of congregation</v>
      </c>
      <c r="CF346" t="str">
        <f ca="1">IFERROR(__xludf.DUMMYFUNCTION("""COMPUTED_VALUE"""),"L0097#L0032")</f>
        <v>L0097#L0032</v>
      </c>
      <c r="CG346" t="str">
        <f ca="1">IFERROR(__xludf.DUMMYFUNCTION("""COMPUTED_VALUE"""),"domus Iohannis Borrellati #domus Villelmi de Oddo")</f>
        <v>domus Iohannis Borrellati #domus Villelmi de Oddo</v>
      </c>
      <c r="CI346" t="str">
        <f ca="1">IFERROR(__xludf.DUMMYFUNCTION("""COMPUTED_VALUE"""),"#VALUE!")</f>
        <v>#VALUE!</v>
      </c>
      <c r="CK346" t="str">
        <f ca="1">IFERROR(__xludf.DUMMYFUNCTION("""COMPUTED_VALUE"""),"#VALUE!")</f>
        <v>#VALUE!</v>
      </c>
      <c r="CS346" t="str">
        <f ca="1">IFERROR(__xludf.DUMMYFUNCTION("""COMPUTED_VALUE"""),"#VALUE!")</f>
        <v>#VALUE!</v>
      </c>
      <c r="CU346" t="str">
        <f ca="1">IFERROR(__xludf.DUMMYFUNCTION("""COMPUTED_VALUE"""),"#VALUE!")</f>
        <v>#VALUE!</v>
      </c>
      <c r="CW346" t="str">
        <f ca="1">IFERROR(__xludf.DUMMYFUNCTION("""COMPUTED_VALUE"""),"#VALUE!")</f>
        <v>#VALUE!</v>
      </c>
      <c r="CY346" t="str">
        <f ca="1">IFERROR(__xludf.DUMMYFUNCTION("""COMPUTED_VALUE"""),"#VALUE!")</f>
        <v>#VALUE!</v>
      </c>
      <c r="DC346" t="str">
        <f ca="1">IFERROR(__xludf.DUMMYFUNCTION("""COMPUTED_VALUE"""),"#VALUE!")</f>
        <v>#VALUE!</v>
      </c>
      <c r="DE346" t="str">
        <f ca="1">IFERROR(__xludf.DUMMYFUNCTION("""COMPUTED_VALUE"""),"#VALUE!")</f>
        <v>#VALUE!</v>
      </c>
      <c r="DH346" t="str">
        <f ca="1">IFERROR(__xludf.DUMMYFUNCTION("""COMPUTED_VALUE"""),"L0097#L0032")</f>
        <v>L0097#L0032</v>
      </c>
      <c r="DI346" t="str">
        <f ca="1">IFERROR(__xludf.DUMMYFUNCTION("""COMPUTED_VALUE"""),"domus Iohannis Borrellati #domus Villelmi de Oddo")</f>
        <v>domus Iohannis Borrellati #domus Villelmi de Oddo</v>
      </c>
      <c r="DJ346" t="str">
        <f ca="1">IFERROR(__xludf.DUMMYFUNCTION("""COMPUTED_VALUE"""),"domus #domus")</f>
        <v>domus #domus</v>
      </c>
      <c r="DL346" t="str">
        <f ca="1">IFERROR(__xludf.DUMMYFUNCTION("""COMPUTED_VALUE"""),"Davor Salihović")</f>
        <v>Davor Salihović</v>
      </c>
    </row>
    <row r="347" spans="1:116" ht="13.2" x14ac:dyDescent="0.25">
      <c r="A347" t="str">
        <f ca="1">IFERROR(__xludf.DUMMYFUNCTION("""COMPUTED_VALUE"""),"P0353")</f>
        <v>P0353</v>
      </c>
      <c r="B347" t="str">
        <f ca="1">IFERROR(__xludf.DUMMYFUNCTION("""COMPUTED_VALUE"""),"Iohannes de Berthino")</f>
        <v>Iohannes de Berthino</v>
      </c>
      <c r="D347" t="str">
        <f ca="1">IFERROR(__xludf.DUMMYFUNCTION("""COMPUTED_VALUE"""),"#VALUE!")</f>
        <v>#VALUE!</v>
      </c>
      <c r="E347" t="str">
        <f ca="1">IFERROR(__xludf.DUMMYFUNCTION("""COMPUTED_VALUE"""),"Iohannes")</f>
        <v>Iohannes</v>
      </c>
      <c r="J347" t="str">
        <f ca="1">IFERROR(__xludf.DUMMYFUNCTION("""COMPUTED_VALUE"""),"de")</f>
        <v>de</v>
      </c>
      <c r="K347" t="str">
        <f ca="1">IFERROR(__xludf.DUMMYFUNCTION("""COMPUTED_VALUE"""),"Berthino")</f>
        <v>Berthino</v>
      </c>
      <c r="L347" t="str">
        <f ca="1">IFERROR(__xludf.DUMMYFUNCTION("""COMPUTED_VALUE"""),"de Berthino")</f>
        <v>de Berthino</v>
      </c>
      <c r="S347" t="str">
        <f ca="1">IFERROR(__xludf.DUMMYFUNCTION("""COMPUTED_VALUE"""),"Latin")</f>
        <v>Latin</v>
      </c>
      <c r="T347" t="str">
        <f ca="1">IFERROR(__xludf.DUMMYFUNCTION("""COMPUTED_VALUE"""),"definite")</f>
        <v>definite</v>
      </c>
      <c r="U347" t="str">
        <f ca="1">IFERROR(__xludf.DUMMYFUNCTION("""COMPUTED_VALUE"""),"C2553")</f>
        <v>C2553</v>
      </c>
      <c r="V347" t="str">
        <f ca="1">IFERROR(__xludf.DUMMYFUNCTION("""COMPUTED_VALUE"""),"male")</f>
        <v>male</v>
      </c>
      <c r="Z347" t="str">
        <f ca="1">IFERROR(__xludf.DUMMYFUNCTION("""COMPUTED_VALUE"""),"206, 216")</f>
        <v>206, 216</v>
      </c>
      <c r="AA347" t="str">
        <f ca="1">IFERROR(__xludf.DUMMYFUNCTION("""COMPUTED_VALUE"""),"d")</f>
        <v>d</v>
      </c>
      <c r="AB347" t="str">
        <f ca="1">IFERROR(__xludf.DUMMYFUNCTION("""COMPUTED_VALUE"""),"NA")</f>
        <v>NA</v>
      </c>
      <c r="AE347" t="str">
        <f ca="1">IFERROR(__xludf.DUMMYFUNCTION("""COMPUTED_VALUE"""),"#VALUE!")</f>
        <v>#VALUE!</v>
      </c>
      <c r="AF347" t="str">
        <f ca="1">IFERROR(__xludf.DUMMYFUNCTION("""COMPUTED_VALUE"""),"#N/A")</f>
        <v>#N/A</v>
      </c>
      <c r="AG347" t="str">
        <f ca="1">IFERROR(__xludf.DUMMYFUNCTION("""COMPUTED_VALUE"""),"#N/A")</f>
        <v>#N/A</v>
      </c>
      <c r="AH347" t="str">
        <f ca="1">IFERROR(__xludf.DUMMYFUNCTION("""COMPUTED_VALUE"""),"C2336")</f>
        <v>C2336</v>
      </c>
      <c r="AI347" t="str">
        <f ca="1">IFERROR(__xludf.DUMMYFUNCTION("""COMPUTED_VALUE"""),"son")</f>
        <v>son</v>
      </c>
      <c r="AJ347" t="str">
        <f ca="1">IFERROR(__xludf.DUMMYFUNCTION("""COMPUTED_VALUE"""),"P0352")</f>
        <v>P0352</v>
      </c>
      <c r="AK347" t="str">
        <f ca="1">IFERROR(__xludf.DUMMYFUNCTION("""COMPUTED_VALUE"""),"Perrotus, filius Iohannis de Berthino")</f>
        <v>Perrotus, filius Iohannis de Berthino</v>
      </c>
      <c r="AM347" t="str">
        <f ca="1">IFERROR(__xludf.DUMMYFUNCTION("""COMPUTED_VALUE"""),"#VALUE!")</f>
        <v>#VALUE!</v>
      </c>
      <c r="AO347" t="str">
        <f ca="1">IFERROR(__xludf.DUMMYFUNCTION("""COMPUTED_VALUE"""),"#VALUE!")</f>
        <v>#VALUE!</v>
      </c>
      <c r="AQ347" t="str">
        <f ca="1">IFERROR(__xludf.DUMMYFUNCTION("""COMPUTED_VALUE"""),"#VALUE!")</f>
        <v>#VALUE!</v>
      </c>
      <c r="AS347" t="str">
        <f ca="1">IFERROR(__xludf.DUMMYFUNCTION("""COMPUTED_VALUE"""),"#VALUE!")</f>
        <v>#VALUE!</v>
      </c>
      <c r="AU347" t="str">
        <f ca="1">IFERROR(__xludf.DUMMYFUNCTION("""COMPUTED_VALUE"""),"#VALUE!")</f>
        <v>#VALUE!</v>
      </c>
      <c r="AW347" t="str">
        <f ca="1">IFERROR(__xludf.DUMMYFUNCTION("""COMPUTED_VALUE"""),"#VALUE!")</f>
        <v>#VALUE!</v>
      </c>
      <c r="AY347" t="str">
        <f ca="1">IFERROR(__xludf.DUMMYFUNCTION("""COMPUTED_VALUE"""),"#VALUE!")</f>
        <v>#VALUE!</v>
      </c>
      <c r="BA347" t="str">
        <f ca="1">IFERROR(__xludf.DUMMYFUNCTION("""COMPUTED_VALUE"""),"#VALUE!")</f>
        <v>#VALUE!</v>
      </c>
      <c r="BC347" t="str">
        <f ca="1">IFERROR(__xludf.DUMMYFUNCTION("""COMPUTED_VALUE"""),"#VALUE!")</f>
        <v>#VALUE!</v>
      </c>
      <c r="BE347" t="str">
        <f ca="1">IFERROR(__xludf.DUMMYFUNCTION("""COMPUTED_VALUE"""),"#VALUE!")</f>
        <v>#VALUE!</v>
      </c>
      <c r="BG347" t="str">
        <f ca="1">IFERROR(__xludf.DUMMYFUNCTION("""COMPUTED_VALUE"""),"#VALUE!")</f>
        <v>#VALUE!</v>
      </c>
      <c r="BI347" t="str">
        <f ca="1">IFERROR(__xludf.DUMMYFUNCTION("""COMPUTED_VALUE"""),"#VALUE!")</f>
        <v>#VALUE!</v>
      </c>
      <c r="BK347" t="str">
        <f ca="1">IFERROR(__xludf.DUMMYFUNCTION("""COMPUTED_VALUE"""),"#VALUE!")</f>
        <v>#VALUE!</v>
      </c>
      <c r="BM347" t="str">
        <f ca="1">IFERROR(__xludf.DUMMYFUNCTION("""COMPUTED_VALUE"""),"#VALUE!")</f>
        <v>#VALUE!</v>
      </c>
      <c r="BO347" t="str">
        <f ca="1">IFERROR(__xludf.DUMMYFUNCTION("""COMPUTED_VALUE"""),"#VALUE!")</f>
        <v>#VALUE!</v>
      </c>
      <c r="BQ347" t="str">
        <f ca="1">IFERROR(__xludf.DUMMYFUNCTION("""COMPUTED_VALUE"""),"#VALUE!")</f>
        <v>#VALUE!</v>
      </c>
      <c r="BS347" t="str">
        <f ca="1">IFERROR(__xludf.DUMMYFUNCTION("""COMPUTED_VALUE"""),"#VALUE!")</f>
        <v>#VALUE!</v>
      </c>
      <c r="BU347" t="str">
        <f ca="1">IFERROR(__xludf.DUMMYFUNCTION("""COMPUTED_VALUE"""),"#VALUE!")</f>
        <v>#VALUE!</v>
      </c>
      <c r="BW347" t="str">
        <f ca="1">IFERROR(__xludf.DUMMYFUNCTION("""COMPUTED_VALUE"""),"#VALUE!")</f>
        <v>#VALUE!</v>
      </c>
      <c r="BY347" t="str">
        <f ca="1">IFERROR(__xludf.DUMMYFUNCTION("""COMPUTED_VALUE"""),"#VALUE!")</f>
        <v>#VALUE!</v>
      </c>
      <c r="CA347" t="str">
        <f ca="1">IFERROR(__xludf.DUMMYFUNCTION("""COMPUTED_VALUE"""),"#VALUE!")</f>
        <v>#VALUE!</v>
      </c>
      <c r="CC347" t="str">
        <f ca="1">IFERROR(__xludf.DUMMYFUNCTION("""COMPUTED_VALUE"""),"#VALUE!")</f>
        <v>#VALUE!</v>
      </c>
      <c r="CE347" t="str">
        <f ca="1">IFERROR(__xludf.DUMMYFUNCTION("""COMPUTED_VALUE"""),"#VALUE!")</f>
        <v>#VALUE!</v>
      </c>
      <c r="CG347" t="str">
        <f ca="1">IFERROR(__xludf.DUMMYFUNCTION("""COMPUTED_VALUE"""),"#VALUE!")</f>
        <v>#VALUE!</v>
      </c>
      <c r="CI347" t="str">
        <f ca="1">IFERROR(__xludf.DUMMYFUNCTION("""COMPUTED_VALUE"""),"#VALUE!")</f>
        <v>#VALUE!</v>
      </c>
      <c r="CK347" t="str">
        <f ca="1">IFERROR(__xludf.DUMMYFUNCTION("""COMPUTED_VALUE"""),"#VALUE!")</f>
        <v>#VALUE!</v>
      </c>
      <c r="CS347" t="str">
        <f ca="1">IFERROR(__xludf.DUMMYFUNCTION("""COMPUTED_VALUE"""),"#VALUE!")</f>
        <v>#VALUE!</v>
      </c>
      <c r="CU347" t="str">
        <f ca="1">IFERROR(__xludf.DUMMYFUNCTION("""COMPUTED_VALUE"""),"#VALUE!")</f>
        <v>#VALUE!</v>
      </c>
      <c r="CW347" t="str">
        <f ca="1">IFERROR(__xludf.DUMMYFUNCTION("""COMPUTED_VALUE"""),"#VALUE!")</f>
        <v>#VALUE!</v>
      </c>
      <c r="CY347" t="str">
        <f ca="1">IFERROR(__xludf.DUMMYFUNCTION("""COMPUTED_VALUE"""),"#VALUE!")</f>
        <v>#VALUE!</v>
      </c>
      <c r="DC347" t="str">
        <f ca="1">IFERROR(__xludf.DUMMYFUNCTION("""COMPUTED_VALUE"""),"#VALUE!")</f>
        <v>#VALUE!</v>
      </c>
      <c r="DE347" t="str">
        <f ca="1">IFERROR(__xludf.DUMMYFUNCTION("""COMPUTED_VALUE"""),"#VALUE!")</f>
        <v>#VALUE!</v>
      </c>
      <c r="DI347" t="str">
        <f ca="1">IFERROR(__xludf.DUMMYFUNCTION("""COMPUTED_VALUE"""),"#VALUE!")</f>
        <v>#VALUE!</v>
      </c>
      <c r="DJ347" t="str">
        <f ca="1">IFERROR(__xludf.DUMMYFUNCTION("""COMPUTED_VALUE"""),"#VALUE!")</f>
        <v>#VALUE!</v>
      </c>
      <c r="DL347" t="str">
        <f ca="1">IFERROR(__xludf.DUMMYFUNCTION("""COMPUTED_VALUE"""),"Davor Salihović")</f>
        <v>Davor Salihović</v>
      </c>
    </row>
    <row r="348" spans="1:116" ht="13.2" x14ac:dyDescent="0.25">
      <c r="A348" t="str">
        <f ca="1">IFERROR(__xludf.DUMMYFUNCTION("""COMPUTED_VALUE"""),"P0354")</f>
        <v>P0354</v>
      </c>
      <c r="B348" t="str">
        <f ca="1">IFERROR(__xludf.DUMMYFUNCTION("""COMPUTED_VALUE"""),"Iacobus de Monte Meliano")</f>
        <v>Iacobus de Monte Meliano</v>
      </c>
      <c r="D348" t="str">
        <f ca="1">IFERROR(__xludf.DUMMYFUNCTION("""COMPUTED_VALUE"""),"#VALUE!")</f>
        <v>#VALUE!</v>
      </c>
      <c r="E348" t="str">
        <f ca="1">IFERROR(__xludf.DUMMYFUNCTION("""COMPUTED_VALUE"""),"Iacobus")</f>
        <v>Iacobus</v>
      </c>
      <c r="J348" t="str">
        <f ca="1">IFERROR(__xludf.DUMMYFUNCTION("""COMPUTED_VALUE"""),"de")</f>
        <v>de</v>
      </c>
      <c r="K348" t="str">
        <f ca="1">IFERROR(__xludf.DUMMYFUNCTION("""COMPUTED_VALUE"""),"Monte Meliano")</f>
        <v>Monte Meliano</v>
      </c>
      <c r="L348" t="str">
        <f ca="1">IFERROR(__xludf.DUMMYFUNCTION("""COMPUTED_VALUE"""),"de Monte Meliano")</f>
        <v>de Monte Meliano</v>
      </c>
      <c r="S348" t="str">
        <f ca="1">IFERROR(__xludf.DUMMYFUNCTION("""COMPUTED_VALUE"""),"Latin")</f>
        <v>Latin</v>
      </c>
      <c r="T348" t="str">
        <f ca="1">IFERROR(__xludf.DUMMYFUNCTION("""COMPUTED_VALUE"""),"definite")</f>
        <v>definite</v>
      </c>
      <c r="U348" t="str">
        <f ca="1">IFERROR(__xludf.DUMMYFUNCTION("""COMPUTED_VALUE"""),"C2553")</f>
        <v>C2553</v>
      </c>
      <c r="V348" t="str">
        <f ca="1">IFERROR(__xludf.DUMMYFUNCTION("""COMPUTED_VALUE"""),"male")</f>
        <v>male</v>
      </c>
      <c r="Z348" t="str">
        <f ca="1">IFERROR(__xludf.DUMMYFUNCTION("""COMPUTED_VALUE"""),"206")</f>
        <v>206</v>
      </c>
      <c r="AA348" t="str">
        <f ca="1">IFERROR(__xludf.DUMMYFUNCTION("""COMPUTED_VALUE"""),"d")</f>
        <v>d</v>
      </c>
      <c r="AB348" t="str">
        <f ca="1">IFERROR(__xludf.DUMMYFUNCTION("""COMPUTED_VALUE"""),"suspect")</f>
        <v>suspect</v>
      </c>
      <c r="AE348" t="str">
        <f ca="1">IFERROR(__xludf.DUMMYFUNCTION("""COMPUTED_VALUE"""),"#VALUE!")</f>
        <v>#VALUE!</v>
      </c>
      <c r="AF348" t="str">
        <f ca="1">IFERROR(__xludf.DUMMYFUNCTION("""COMPUTED_VALUE"""),"#N/A")</f>
        <v>#N/A</v>
      </c>
      <c r="AG348" t="str">
        <f ca="1">IFERROR(__xludf.DUMMYFUNCTION("""COMPUTED_VALUE"""),"#N/A")</f>
        <v>#N/A</v>
      </c>
      <c r="AI348" t="str">
        <f ca="1">IFERROR(__xludf.DUMMYFUNCTION("""COMPUTED_VALUE"""),"#VALUE!")</f>
        <v>#VALUE!</v>
      </c>
      <c r="AK348" t="str">
        <f ca="1">IFERROR(__xludf.DUMMYFUNCTION("""COMPUTED_VALUE"""),"#VALUE!")</f>
        <v>#VALUE!</v>
      </c>
      <c r="AM348" t="str">
        <f ca="1">IFERROR(__xludf.DUMMYFUNCTION("""COMPUTED_VALUE"""),"#VALUE!")</f>
        <v>#VALUE!</v>
      </c>
      <c r="AO348" t="str">
        <f ca="1">IFERROR(__xludf.DUMMYFUNCTION("""COMPUTED_VALUE"""),"#VALUE!")</f>
        <v>#VALUE!</v>
      </c>
      <c r="AQ348" t="str">
        <f ca="1">IFERROR(__xludf.DUMMYFUNCTION("""COMPUTED_VALUE"""),"#VALUE!")</f>
        <v>#VALUE!</v>
      </c>
      <c r="AS348" t="str">
        <f ca="1">IFERROR(__xludf.DUMMYFUNCTION("""COMPUTED_VALUE"""),"#VALUE!")</f>
        <v>#VALUE!</v>
      </c>
      <c r="AU348" t="str">
        <f ca="1">IFERROR(__xludf.DUMMYFUNCTION("""COMPUTED_VALUE"""),"#VALUE!")</f>
        <v>#VALUE!</v>
      </c>
      <c r="AW348" t="str">
        <f ca="1">IFERROR(__xludf.DUMMYFUNCTION("""COMPUTED_VALUE"""),"#VALUE!")</f>
        <v>#VALUE!</v>
      </c>
      <c r="AY348" t="str">
        <f ca="1">IFERROR(__xludf.DUMMYFUNCTION("""COMPUTED_VALUE"""),"#VALUE!")</f>
        <v>#VALUE!</v>
      </c>
      <c r="BA348" t="str">
        <f ca="1">IFERROR(__xludf.DUMMYFUNCTION("""COMPUTED_VALUE"""),"#VALUE!")</f>
        <v>#VALUE!</v>
      </c>
      <c r="BC348" t="str">
        <f ca="1">IFERROR(__xludf.DUMMYFUNCTION("""COMPUTED_VALUE"""),"#VALUE!")</f>
        <v>#VALUE!</v>
      </c>
      <c r="BE348" t="str">
        <f ca="1">IFERROR(__xludf.DUMMYFUNCTION("""COMPUTED_VALUE"""),"#VALUE!")</f>
        <v>#VALUE!</v>
      </c>
      <c r="BG348" t="str">
        <f ca="1">IFERROR(__xludf.DUMMYFUNCTION("""COMPUTED_VALUE"""),"#VALUE!")</f>
        <v>#VALUE!</v>
      </c>
      <c r="BI348" t="str">
        <f ca="1">IFERROR(__xludf.DUMMYFUNCTION("""COMPUTED_VALUE"""),"#VALUE!")</f>
        <v>#VALUE!</v>
      </c>
      <c r="BK348" t="str">
        <f ca="1">IFERROR(__xludf.DUMMYFUNCTION("""COMPUTED_VALUE"""),"#VALUE!")</f>
        <v>#VALUE!</v>
      </c>
      <c r="BM348" t="str">
        <f ca="1">IFERROR(__xludf.DUMMYFUNCTION("""COMPUTED_VALUE"""),"#VALUE!")</f>
        <v>#VALUE!</v>
      </c>
      <c r="BO348" t="str">
        <f ca="1">IFERROR(__xludf.DUMMYFUNCTION("""COMPUTED_VALUE"""),"#VALUE!")</f>
        <v>#VALUE!</v>
      </c>
      <c r="BQ348" t="str">
        <f ca="1">IFERROR(__xludf.DUMMYFUNCTION("""COMPUTED_VALUE"""),"#VALUE!")</f>
        <v>#VALUE!</v>
      </c>
      <c r="BS348" t="str">
        <f ca="1">IFERROR(__xludf.DUMMYFUNCTION("""COMPUTED_VALUE"""),"#VALUE!")</f>
        <v>#VALUE!</v>
      </c>
      <c r="BU348" t="str">
        <f ca="1">IFERROR(__xludf.DUMMYFUNCTION("""COMPUTED_VALUE"""),"#VALUE!")</f>
        <v>#VALUE!</v>
      </c>
      <c r="BW348" t="str">
        <f ca="1">IFERROR(__xludf.DUMMYFUNCTION("""COMPUTED_VALUE"""),"#VALUE!")</f>
        <v>#VALUE!</v>
      </c>
      <c r="BY348" t="str">
        <f ca="1">IFERROR(__xludf.DUMMYFUNCTION("""COMPUTED_VALUE"""),"#VALUE!")</f>
        <v>#VALUE!</v>
      </c>
      <c r="CA348" t="str">
        <f ca="1">IFERROR(__xludf.DUMMYFUNCTION("""COMPUTED_VALUE"""),"#VALUE!")</f>
        <v>#VALUE!</v>
      </c>
      <c r="CC348" t="str">
        <f ca="1">IFERROR(__xludf.DUMMYFUNCTION("""COMPUTED_VALUE"""),"#VALUE!")</f>
        <v>#VALUE!</v>
      </c>
      <c r="CD348" t="str">
        <f ca="1">IFERROR(__xludf.DUMMYFUNCTION("""COMPUTED_VALUE"""),"C3598")</f>
        <v>C3598</v>
      </c>
      <c r="CE348" t="str">
        <f ca="1">IFERROR(__xludf.DUMMYFUNCTION("""COMPUTED_VALUE"""),"location of congregation")</f>
        <v>location of congregation</v>
      </c>
      <c r="CF348" t="str">
        <f ca="1">IFERROR(__xludf.DUMMYFUNCTION("""COMPUTED_VALUE"""),"L0097")</f>
        <v>L0097</v>
      </c>
      <c r="CG348" t="str">
        <f ca="1">IFERROR(__xludf.DUMMYFUNCTION("""COMPUTED_VALUE"""),"domus Iohannis Borrellati")</f>
        <v>domus Iohannis Borrellati</v>
      </c>
      <c r="CI348" t="str">
        <f ca="1">IFERROR(__xludf.DUMMYFUNCTION("""COMPUTED_VALUE"""),"#VALUE!")</f>
        <v>#VALUE!</v>
      </c>
      <c r="CK348" t="str">
        <f ca="1">IFERROR(__xludf.DUMMYFUNCTION("""COMPUTED_VALUE"""),"#VALUE!")</f>
        <v>#VALUE!</v>
      </c>
      <c r="CS348" t="str">
        <f ca="1">IFERROR(__xludf.DUMMYFUNCTION("""COMPUTED_VALUE"""),"#VALUE!")</f>
        <v>#VALUE!</v>
      </c>
      <c r="CU348" t="str">
        <f ca="1">IFERROR(__xludf.DUMMYFUNCTION("""COMPUTED_VALUE"""),"#VALUE!")</f>
        <v>#VALUE!</v>
      </c>
      <c r="CW348" t="str">
        <f ca="1">IFERROR(__xludf.DUMMYFUNCTION("""COMPUTED_VALUE"""),"#VALUE!")</f>
        <v>#VALUE!</v>
      </c>
      <c r="CY348" t="str">
        <f ca="1">IFERROR(__xludf.DUMMYFUNCTION("""COMPUTED_VALUE"""),"#VALUE!")</f>
        <v>#VALUE!</v>
      </c>
      <c r="DC348" t="str">
        <f ca="1">IFERROR(__xludf.DUMMYFUNCTION("""COMPUTED_VALUE"""),"#VALUE!")</f>
        <v>#VALUE!</v>
      </c>
      <c r="DE348" t="str">
        <f ca="1">IFERROR(__xludf.DUMMYFUNCTION("""COMPUTED_VALUE"""),"#VALUE!")</f>
        <v>#VALUE!</v>
      </c>
      <c r="DH348" t="str">
        <f ca="1">IFERROR(__xludf.DUMMYFUNCTION("""COMPUTED_VALUE"""),"L0097")</f>
        <v>L0097</v>
      </c>
      <c r="DI348" t="str">
        <f ca="1">IFERROR(__xludf.DUMMYFUNCTION("""COMPUTED_VALUE"""),"domus Iohannis Borrellati")</f>
        <v>domus Iohannis Borrellati</v>
      </c>
      <c r="DJ348" t="str">
        <f ca="1">IFERROR(__xludf.DUMMYFUNCTION("""COMPUTED_VALUE"""),"domus")</f>
        <v>domus</v>
      </c>
      <c r="DL348" t="str">
        <f ca="1">IFERROR(__xludf.DUMMYFUNCTION("""COMPUTED_VALUE"""),"Davor Salihović")</f>
        <v>Davor Salihović</v>
      </c>
    </row>
    <row r="349" spans="1:116" ht="13.2" x14ac:dyDescent="0.25">
      <c r="A349" t="str">
        <f ca="1">IFERROR(__xludf.DUMMYFUNCTION("""COMPUTED_VALUE"""),"P0355")</f>
        <v>P0355</v>
      </c>
      <c r="B349" t="str">
        <f ca="1">IFERROR(__xludf.DUMMYFUNCTION("""COMPUTED_VALUE"""),"Petrus de Boyssono")</f>
        <v>Petrus de Boyssono</v>
      </c>
      <c r="D349" t="str">
        <f ca="1">IFERROR(__xludf.DUMMYFUNCTION("""COMPUTED_VALUE"""),"#VALUE!")</f>
        <v>#VALUE!</v>
      </c>
      <c r="E349" t="str">
        <f ca="1">IFERROR(__xludf.DUMMYFUNCTION("""COMPUTED_VALUE"""),"Petrus ")</f>
        <v xml:space="preserve">Petrus </v>
      </c>
      <c r="J349" t="str">
        <f ca="1">IFERROR(__xludf.DUMMYFUNCTION("""COMPUTED_VALUE"""),"de")</f>
        <v>de</v>
      </c>
      <c r="K349" t="str">
        <f ca="1">IFERROR(__xludf.DUMMYFUNCTION("""COMPUTED_VALUE"""),"Boyssono")</f>
        <v>Boyssono</v>
      </c>
      <c r="L349" t="str">
        <f ca="1">IFERROR(__xludf.DUMMYFUNCTION("""COMPUTED_VALUE"""),"de Boyssono")</f>
        <v>de Boyssono</v>
      </c>
      <c r="Q349" t="str">
        <f ca="1">IFERROR(__xludf.DUMMYFUNCTION("""COMPUTED_VALUE"""),"filius Petri de Bruna de Boyssono")</f>
        <v>filius Petri de Bruna de Boyssono</v>
      </c>
      <c r="S349" t="str">
        <f ca="1">IFERROR(__xludf.DUMMYFUNCTION("""COMPUTED_VALUE"""),"Latin")</f>
        <v>Latin</v>
      </c>
      <c r="T349" t="str">
        <f ca="1">IFERROR(__xludf.DUMMYFUNCTION("""COMPUTED_VALUE"""),"definite")</f>
        <v>definite</v>
      </c>
      <c r="U349" t="str">
        <f ca="1">IFERROR(__xludf.DUMMYFUNCTION("""COMPUTED_VALUE"""),"C2553")</f>
        <v>C2553</v>
      </c>
      <c r="V349" t="str">
        <f ca="1">IFERROR(__xludf.DUMMYFUNCTION("""COMPUTED_VALUE"""),"male")</f>
        <v>male</v>
      </c>
      <c r="Z349" t="str">
        <f ca="1">IFERROR(__xludf.DUMMYFUNCTION("""COMPUTED_VALUE"""),"206, 208, 222, 233, 243, 244, 250")</f>
        <v>206, 208, 222, 233, 243, 244, 250</v>
      </c>
      <c r="AA349" t="str">
        <f ca="1">IFERROR(__xludf.DUMMYFUNCTION("""COMPUTED_VALUE"""),"d")</f>
        <v>d</v>
      </c>
      <c r="AB349" t="str">
        <f ca="1">IFERROR(__xludf.DUMMYFUNCTION("""COMPUTED_VALUE"""),"suspect")</f>
        <v>suspect</v>
      </c>
      <c r="AE349" t="str">
        <f ca="1">IFERROR(__xludf.DUMMYFUNCTION("""COMPUTED_VALUE"""),"#VALUE!")</f>
        <v>#VALUE!</v>
      </c>
      <c r="AF349" t="str">
        <f ca="1">IFERROR(__xludf.DUMMYFUNCTION("""COMPUTED_VALUE"""),"#N/A")</f>
        <v>#N/A</v>
      </c>
      <c r="AG349" t="str">
        <f ca="1">IFERROR(__xludf.DUMMYFUNCTION("""COMPUTED_VALUE"""),"#N/A")</f>
        <v>#N/A</v>
      </c>
      <c r="AH349" t="str">
        <f ca="1">IFERROR(__xludf.DUMMYFUNCTION("""COMPUTED_VALUE"""),"C2337")</f>
        <v>C2337</v>
      </c>
      <c r="AI349" t="str">
        <f ca="1">IFERROR(__xludf.DUMMYFUNCTION("""COMPUTED_VALUE"""),"brother")</f>
        <v>brother</v>
      </c>
      <c r="AJ349" t="str">
        <f ca="1">IFERROR(__xludf.DUMMYFUNCTION("""COMPUTED_VALUE"""),"P0360")</f>
        <v>P0360</v>
      </c>
      <c r="AK349" t="str">
        <f ca="1">IFERROR(__xludf.DUMMYFUNCTION("""COMPUTED_VALUE"""),"frater Petri Boyssoni")</f>
        <v>frater Petri Boyssoni</v>
      </c>
      <c r="AL349" t="str">
        <f ca="1">IFERROR(__xludf.DUMMYFUNCTION("""COMPUTED_VALUE"""),"C2348")</f>
        <v>C2348</v>
      </c>
      <c r="AM349" t="str">
        <f ca="1">IFERROR(__xludf.DUMMYFUNCTION("""COMPUTED_VALUE"""),"wife")</f>
        <v>wife</v>
      </c>
      <c r="AN349" t="str">
        <f ca="1">IFERROR(__xludf.DUMMYFUNCTION("""COMPUTED_VALUE"""),"P0398")</f>
        <v>P0398</v>
      </c>
      <c r="AO349" t="str">
        <f ca="1">IFERROR(__xludf.DUMMYFUNCTION("""COMPUTED_VALUE"""),"uxor Petri de Boyssono")</f>
        <v>uxor Petri de Boyssono</v>
      </c>
      <c r="AQ349" t="str">
        <f ca="1">IFERROR(__xludf.DUMMYFUNCTION("""COMPUTED_VALUE"""),"#VALUE!")</f>
        <v>#VALUE!</v>
      </c>
      <c r="AS349" t="str">
        <f ca="1">IFERROR(__xludf.DUMMYFUNCTION("""COMPUTED_VALUE"""),"#VALUE!")</f>
        <v>#VALUE!</v>
      </c>
      <c r="AU349" t="str">
        <f ca="1">IFERROR(__xludf.DUMMYFUNCTION("""COMPUTED_VALUE"""),"#VALUE!")</f>
        <v>#VALUE!</v>
      </c>
      <c r="AW349" t="str">
        <f ca="1">IFERROR(__xludf.DUMMYFUNCTION("""COMPUTED_VALUE"""),"#VALUE!")</f>
        <v>#VALUE!</v>
      </c>
      <c r="AY349" t="str">
        <f ca="1">IFERROR(__xludf.DUMMYFUNCTION("""COMPUTED_VALUE"""),"#VALUE!")</f>
        <v>#VALUE!</v>
      </c>
      <c r="BA349" t="str">
        <f ca="1">IFERROR(__xludf.DUMMYFUNCTION("""COMPUTED_VALUE"""),"#VALUE!")</f>
        <v>#VALUE!</v>
      </c>
      <c r="BC349" t="str">
        <f ca="1">IFERROR(__xludf.DUMMYFUNCTION("""COMPUTED_VALUE"""),"#VALUE!")</f>
        <v>#VALUE!</v>
      </c>
      <c r="BE349" t="str">
        <f ca="1">IFERROR(__xludf.DUMMYFUNCTION("""COMPUTED_VALUE"""),"#VALUE!")</f>
        <v>#VALUE!</v>
      </c>
      <c r="BG349" t="str">
        <f ca="1">IFERROR(__xludf.DUMMYFUNCTION("""COMPUTED_VALUE"""),"#VALUE!")</f>
        <v>#VALUE!</v>
      </c>
      <c r="BI349" t="str">
        <f ca="1">IFERROR(__xludf.DUMMYFUNCTION("""COMPUTED_VALUE"""),"#VALUE!")</f>
        <v>#VALUE!</v>
      </c>
      <c r="BK349" t="str">
        <f ca="1">IFERROR(__xludf.DUMMYFUNCTION("""COMPUTED_VALUE"""),"#VALUE!")</f>
        <v>#VALUE!</v>
      </c>
      <c r="BM349" t="str">
        <f ca="1">IFERROR(__xludf.DUMMYFUNCTION("""COMPUTED_VALUE"""),"#VALUE!")</f>
        <v>#VALUE!</v>
      </c>
      <c r="BO349" t="str">
        <f ca="1">IFERROR(__xludf.DUMMYFUNCTION("""COMPUTED_VALUE"""),"#VALUE!")</f>
        <v>#VALUE!</v>
      </c>
      <c r="BQ349" t="str">
        <f ca="1">IFERROR(__xludf.DUMMYFUNCTION("""COMPUTED_VALUE"""),"#VALUE!")</f>
        <v>#VALUE!</v>
      </c>
      <c r="BS349" t="str">
        <f ca="1">IFERROR(__xludf.DUMMYFUNCTION("""COMPUTED_VALUE"""),"#VALUE!")</f>
        <v>#VALUE!</v>
      </c>
      <c r="BU349" t="str">
        <f ca="1">IFERROR(__xludf.DUMMYFUNCTION("""COMPUTED_VALUE"""),"#VALUE!")</f>
        <v>#VALUE!</v>
      </c>
      <c r="BW349" t="str">
        <f ca="1">IFERROR(__xludf.DUMMYFUNCTION("""COMPUTED_VALUE"""),"#VALUE!")</f>
        <v>#VALUE!</v>
      </c>
      <c r="BY349" t="str">
        <f ca="1">IFERROR(__xludf.DUMMYFUNCTION("""COMPUTED_VALUE"""),"#VALUE!")</f>
        <v>#VALUE!</v>
      </c>
      <c r="CA349" t="str">
        <f ca="1">IFERROR(__xludf.DUMMYFUNCTION("""COMPUTED_VALUE"""),"#VALUE!")</f>
        <v>#VALUE!</v>
      </c>
      <c r="CC349" t="str">
        <f ca="1">IFERROR(__xludf.DUMMYFUNCTION("""COMPUTED_VALUE"""),"#VALUE!")</f>
        <v>#VALUE!</v>
      </c>
      <c r="CD349" t="str">
        <f ca="1">IFERROR(__xludf.DUMMYFUNCTION("""COMPUTED_VALUE"""),"C3598")</f>
        <v>C3598</v>
      </c>
      <c r="CE349" t="str">
        <f ca="1">IFERROR(__xludf.DUMMYFUNCTION("""COMPUTED_VALUE"""),"location of congregation")</f>
        <v>location of congregation</v>
      </c>
      <c r="CF349" t="str">
        <f ca="1">IFERROR(__xludf.DUMMYFUNCTION("""COMPUTED_VALUE"""),"L0106#L0121")</f>
        <v>L0106#L0121</v>
      </c>
      <c r="CG349" t="str">
        <f ca="1">IFERROR(__xludf.DUMMYFUNCTION("""COMPUTED_VALUE"""),"domus Petri de Boysono #domus Broxie, uxoris Iacobi Bernardi")</f>
        <v>domus Petri de Boysono #domus Broxie, uxoris Iacobi Bernardi</v>
      </c>
      <c r="CI349" t="str">
        <f ca="1">IFERROR(__xludf.DUMMYFUNCTION("""COMPUTED_VALUE"""),"#VALUE!")</f>
        <v>#VALUE!</v>
      </c>
      <c r="CK349" t="str">
        <f ca="1">IFERROR(__xludf.DUMMYFUNCTION("""COMPUTED_VALUE"""),"#VALUE!")</f>
        <v>#VALUE!</v>
      </c>
      <c r="CS349" t="str">
        <f ca="1">IFERROR(__xludf.DUMMYFUNCTION("""COMPUTED_VALUE"""),"#VALUE!")</f>
        <v>#VALUE!</v>
      </c>
      <c r="CU349" t="str">
        <f ca="1">IFERROR(__xludf.DUMMYFUNCTION("""COMPUTED_VALUE"""),"#VALUE!")</f>
        <v>#VALUE!</v>
      </c>
      <c r="CV349" t="str">
        <f ca="1">IFERROR(__xludf.DUMMYFUNCTION("""COMPUTED_VALUE"""),"L0005")</f>
        <v>L0005</v>
      </c>
      <c r="CW349" t="str">
        <f ca="1">IFERROR(__xludf.DUMMYFUNCTION("""COMPUTED_VALUE"""),"Valgioie")</f>
        <v>Valgioie</v>
      </c>
      <c r="CY349" t="str">
        <f ca="1">IFERROR(__xludf.DUMMYFUNCTION("""COMPUTED_VALUE"""),"#VALUE!")</f>
        <v>#VALUE!</v>
      </c>
      <c r="DC349" t="str">
        <f ca="1">IFERROR(__xludf.DUMMYFUNCTION("""COMPUTED_VALUE"""),"#VALUE!")</f>
        <v>#VALUE!</v>
      </c>
      <c r="DE349" t="str">
        <f ca="1">IFERROR(__xludf.DUMMYFUNCTION("""COMPUTED_VALUE"""),"#VALUE!")</f>
        <v>#VALUE!</v>
      </c>
      <c r="DH349" t="str">
        <f ca="1">IFERROR(__xludf.DUMMYFUNCTION("""COMPUTED_VALUE"""),"L0106#L0121")</f>
        <v>L0106#L0121</v>
      </c>
      <c r="DI349" t="str">
        <f ca="1">IFERROR(__xludf.DUMMYFUNCTION("""COMPUTED_VALUE"""),"domus Petri de Boysono #domus Broxie, uxoris Iacobi Bernardi")</f>
        <v>domus Petri de Boysono #domus Broxie, uxoris Iacobi Bernardi</v>
      </c>
      <c r="DJ349" t="str">
        <f ca="1">IFERROR(__xludf.DUMMYFUNCTION("""COMPUTED_VALUE"""),"domus #domus")</f>
        <v>domus #domus</v>
      </c>
      <c r="DK349" t="str">
        <f ca="1">IFERROR(__xludf.DUMMYFUNCTION("""COMPUTED_VALUE"""),"Petrus P0301???")</f>
        <v>Petrus P0301???</v>
      </c>
      <c r="DL349" t="str">
        <f ca="1">IFERROR(__xludf.DUMMYFUNCTION("""COMPUTED_VALUE"""),"Davor Salihović")</f>
        <v>Davor Salihović</v>
      </c>
    </row>
    <row r="350" spans="1:116" ht="13.2" x14ac:dyDescent="0.25">
      <c r="A350" t="str">
        <f ca="1">IFERROR(__xludf.DUMMYFUNCTION("""COMPUTED_VALUE"""),"P0356")</f>
        <v>P0356</v>
      </c>
      <c r="B350" t="str">
        <f ca="1">IFERROR(__xludf.DUMMYFUNCTION("""COMPUTED_VALUE"""),"Iohannes Rocheti")</f>
        <v>Iohannes Rocheti</v>
      </c>
      <c r="D350" t="str">
        <f ca="1">IFERROR(__xludf.DUMMYFUNCTION("""COMPUTED_VALUE"""),"#VALUE!")</f>
        <v>#VALUE!</v>
      </c>
      <c r="E350" t="str">
        <f ca="1">IFERROR(__xludf.DUMMYFUNCTION("""COMPUTED_VALUE"""),"Iohannes")</f>
        <v>Iohannes</v>
      </c>
      <c r="K350" t="str">
        <f ca="1">IFERROR(__xludf.DUMMYFUNCTION("""COMPUTED_VALUE"""),"Rocheti")</f>
        <v>Rocheti</v>
      </c>
      <c r="L350" t="str">
        <f ca="1">IFERROR(__xludf.DUMMYFUNCTION("""COMPUTED_VALUE"""),"Rocheti")</f>
        <v>Rocheti</v>
      </c>
      <c r="S350" t="str">
        <f ca="1">IFERROR(__xludf.DUMMYFUNCTION("""COMPUTED_VALUE"""),"Latin")</f>
        <v>Latin</v>
      </c>
      <c r="T350" t="str">
        <f ca="1">IFERROR(__xludf.DUMMYFUNCTION("""COMPUTED_VALUE"""),"definite")</f>
        <v>definite</v>
      </c>
      <c r="U350" t="str">
        <f ca="1">IFERROR(__xludf.DUMMYFUNCTION("""COMPUTED_VALUE"""),"C2553")</f>
        <v>C2553</v>
      </c>
      <c r="V350" t="str">
        <f ca="1">IFERROR(__xludf.DUMMYFUNCTION("""COMPUTED_VALUE"""),"male")</f>
        <v>male</v>
      </c>
      <c r="Z350" t="str">
        <f ca="1">IFERROR(__xludf.DUMMYFUNCTION("""COMPUTED_VALUE"""),"206, 243")</f>
        <v>206, 243</v>
      </c>
      <c r="AA350" t="str">
        <f ca="1">IFERROR(__xludf.DUMMYFUNCTION("""COMPUTED_VALUE"""),"d")</f>
        <v>d</v>
      </c>
      <c r="AB350" t="str">
        <f ca="1">IFERROR(__xludf.DUMMYFUNCTION("""COMPUTED_VALUE"""),"suspect")</f>
        <v>suspect</v>
      </c>
      <c r="AE350" t="str">
        <f ca="1">IFERROR(__xludf.DUMMYFUNCTION("""COMPUTED_VALUE"""),"#VALUE!")</f>
        <v>#VALUE!</v>
      </c>
      <c r="AF350" t="str">
        <f ca="1">IFERROR(__xludf.DUMMYFUNCTION("""COMPUTED_VALUE"""),"#N/A")</f>
        <v>#N/A</v>
      </c>
      <c r="AG350" t="str">
        <f ca="1">IFERROR(__xludf.DUMMYFUNCTION("""COMPUTED_VALUE"""),"#N/A")</f>
        <v>#N/A</v>
      </c>
      <c r="AI350" t="str">
        <f ca="1">IFERROR(__xludf.DUMMYFUNCTION("""COMPUTED_VALUE"""),"#VALUE!")</f>
        <v>#VALUE!</v>
      </c>
      <c r="AK350" t="str">
        <f ca="1">IFERROR(__xludf.DUMMYFUNCTION("""COMPUTED_VALUE"""),"#VALUE!")</f>
        <v>#VALUE!</v>
      </c>
      <c r="AM350" t="str">
        <f ca="1">IFERROR(__xludf.DUMMYFUNCTION("""COMPUTED_VALUE"""),"#VALUE!")</f>
        <v>#VALUE!</v>
      </c>
      <c r="AO350" t="str">
        <f ca="1">IFERROR(__xludf.DUMMYFUNCTION("""COMPUTED_VALUE"""),"#VALUE!")</f>
        <v>#VALUE!</v>
      </c>
      <c r="AQ350" t="str">
        <f ca="1">IFERROR(__xludf.DUMMYFUNCTION("""COMPUTED_VALUE"""),"#VALUE!")</f>
        <v>#VALUE!</v>
      </c>
      <c r="AS350" t="str">
        <f ca="1">IFERROR(__xludf.DUMMYFUNCTION("""COMPUTED_VALUE"""),"#VALUE!")</f>
        <v>#VALUE!</v>
      </c>
      <c r="AU350" t="str">
        <f ca="1">IFERROR(__xludf.DUMMYFUNCTION("""COMPUTED_VALUE"""),"#VALUE!")</f>
        <v>#VALUE!</v>
      </c>
      <c r="AW350" t="str">
        <f ca="1">IFERROR(__xludf.DUMMYFUNCTION("""COMPUTED_VALUE"""),"#VALUE!")</f>
        <v>#VALUE!</v>
      </c>
      <c r="AY350" t="str">
        <f ca="1">IFERROR(__xludf.DUMMYFUNCTION("""COMPUTED_VALUE"""),"#VALUE!")</f>
        <v>#VALUE!</v>
      </c>
      <c r="BA350" t="str">
        <f ca="1">IFERROR(__xludf.DUMMYFUNCTION("""COMPUTED_VALUE"""),"#VALUE!")</f>
        <v>#VALUE!</v>
      </c>
      <c r="BC350" t="str">
        <f ca="1">IFERROR(__xludf.DUMMYFUNCTION("""COMPUTED_VALUE"""),"#VALUE!")</f>
        <v>#VALUE!</v>
      </c>
      <c r="BE350" t="str">
        <f ca="1">IFERROR(__xludf.DUMMYFUNCTION("""COMPUTED_VALUE"""),"#VALUE!")</f>
        <v>#VALUE!</v>
      </c>
      <c r="BG350" t="str">
        <f ca="1">IFERROR(__xludf.DUMMYFUNCTION("""COMPUTED_VALUE"""),"#VALUE!")</f>
        <v>#VALUE!</v>
      </c>
      <c r="BI350" t="str">
        <f ca="1">IFERROR(__xludf.DUMMYFUNCTION("""COMPUTED_VALUE"""),"#VALUE!")</f>
        <v>#VALUE!</v>
      </c>
      <c r="BK350" t="str">
        <f ca="1">IFERROR(__xludf.DUMMYFUNCTION("""COMPUTED_VALUE"""),"#VALUE!")</f>
        <v>#VALUE!</v>
      </c>
      <c r="BM350" t="str">
        <f ca="1">IFERROR(__xludf.DUMMYFUNCTION("""COMPUTED_VALUE"""),"#VALUE!")</f>
        <v>#VALUE!</v>
      </c>
      <c r="BO350" t="str">
        <f ca="1">IFERROR(__xludf.DUMMYFUNCTION("""COMPUTED_VALUE"""),"#VALUE!")</f>
        <v>#VALUE!</v>
      </c>
      <c r="BQ350" t="str">
        <f ca="1">IFERROR(__xludf.DUMMYFUNCTION("""COMPUTED_VALUE"""),"#VALUE!")</f>
        <v>#VALUE!</v>
      </c>
      <c r="BS350" t="str">
        <f ca="1">IFERROR(__xludf.DUMMYFUNCTION("""COMPUTED_VALUE"""),"#VALUE!")</f>
        <v>#VALUE!</v>
      </c>
      <c r="BU350" t="str">
        <f ca="1">IFERROR(__xludf.DUMMYFUNCTION("""COMPUTED_VALUE"""),"#VALUE!")</f>
        <v>#VALUE!</v>
      </c>
      <c r="BW350" t="str">
        <f ca="1">IFERROR(__xludf.DUMMYFUNCTION("""COMPUTED_VALUE"""),"#VALUE!")</f>
        <v>#VALUE!</v>
      </c>
      <c r="BY350" t="str">
        <f ca="1">IFERROR(__xludf.DUMMYFUNCTION("""COMPUTED_VALUE"""),"#VALUE!")</f>
        <v>#VALUE!</v>
      </c>
      <c r="CA350" t="str">
        <f ca="1">IFERROR(__xludf.DUMMYFUNCTION("""COMPUTED_VALUE"""),"#VALUE!")</f>
        <v>#VALUE!</v>
      </c>
      <c r="CC350" t="str">
        <f ca="1">IFERROR(__xludf.DUMMYFUNCTION("""COMPUTED_VALUE"""),"#VALUE!")</f>
        <v>#VALUE!</v>
      </c>
      <c r="CD350" t="str">
        <f ca="1">IFERROR(__xludf.DUMMYFUNCTION("""COMPUTED_VALUE"""),"C3598")</f>
        <v>C3598</v>
      </c>
      <c r="CE350" t="str">
        <f ca="1">IFERROR(__xludf.DUMMYFUNCTION("""COMPUTED_VALUE"""),"location of congregation")</f>
        <v>location of congregation</v>
      </c>
      <c r="CF350" t="str">
        <f ca="1">IFERROR(__xludf.DUMMYFUNCTION("""COMPUTED_VALUE"""),"L0107")</f>
        <v>L0107</v>
      </c>
      <c r="CG350" t="str">
        <f ca="1">IFERROR(__xludf.DUMMYFUNCTION("""COMPUTED_VALUE"""),"domus Iohannis Rocheti")</f>
        <v>domus Iohannis Rocheti</v>
      </c>
      <c r="CI350" t="str">
        <f ca="1">IFERROR(__xludf.DUMMYFUNCTION("""COMPUTED_VALUE"""),"#VALUE!")</f>
        <v>#VALUE!</v>
      </c>
      <c r="CK350" t="str">
        <f ca="1">IFERROR(__xludf.DUMMYFUNCTION("""COMPUTED_VALUE"""),"#VALUE!")</f>
        <v>#VALUE!</v>
      </c>
      <c r="CS350" t="str">
        <f ca="1">IFERROR(__xludf.DUMMYFUNCTION("""COMPUTED_VALUE"""),"#VALUE!")</f>
        <v>#VALUE!</v>
      </c>
      <c r="CU350" t="str">
        <f ca="1">IFERROR(__xludf.DUMMYFUNCTION("""COMPUTED_VALUE"""),"#VALUE!")</f>
        <v>#VALUE!</v>
      </c>
      <c r="CV350" t="str">
        <f ca="1">IFERROR(__xludf.DUMMYFUNCTION("""COMPUTED_VALUE"""),"L0002")</f>
        <v>L0002</v>
      </c>
      <c r="CW350" t="str">
        <f ca="1">IFERROR(__xludf.DUMMYFUNCTION("""COMPUTED_VALUE"""),"Coazze")</f>
        <v>Coazze</v>
      </c>
      <c r="CY350" t="str">
        <f ca="1">IFERROR(__xludf.DUMMYFUNCTION("""COMPUTED_VALUE"""),"#VALUE!")</f>
        <v>#VALUE!</v>
      </c>
      <c r="DC350" t="str">
        <f ca="1">IFERROR(__xludf.DUMMYFUNCTION("""COMPUTED_VALUE"""),"#VALUE!")</f>
        <v>#VALUE!</v>
      </c>
      <c r="DE350" t="str">
        <f ca="1">IFERROR(__xludf.DUMMYFUNCTION("""COMPUTED_VALUE"""),"#VALUE!")</f>
        <v>#VALUE!</v>
      </c>
      <c r="DH350" t="str">
        <f ca="1">IFERROR(__xludf.DUMMYFUNCTION("""COMPUTED_VALUE"""),"L0107")</f>
        <v>L0107</v>
      </c>
      <c r="DI350" t="str">
        <f ca="1">IFERROR(__xludf.DUMMYFUNCTION("""COMPUTED_VALUE"""),"domus Iohannis Rocheti")</f>
        <v>domus Iohannis Rocheti</v>
      </c>
      <c r="DJ350" t="str">
        <f ca="1">IFERROR(__xludf.DUMMYFUNCTION("""COMPUTED_VALUE"""),"domus")</f>
        <v>domus</v>
      </c>
      <c r="DL350" t="str">
        <f ca="1">IFERROR(__xludf.DUMMYFUNCTION("""COMPUTED_VALUE"""),"Davor Salihović")</f>
        <v>Davor Salihović</v>
      </c>
    </row>
    <row r="351" spans="1:116" ht="13.2" x14ac:dyDescent="0.25">
      <c r="A351" t="str">
        <f ca="1">IFERROR(__xludf.DUMMYFUNCTION("""COMPUTED_VALUE"""),"P0357")</f>
        <v>P0357</v>
      </c>
      <c r="B351" t="str">
        <f ca="1">IFERROR(__xludf.DUMMYFUNCTION("""COMPUTED_VALUE"""),"Nicholetus Chemerii")</f>
        <v>Nicholetus Chemerii</v>
      </c>
      <c r="D351" t="str">
        <f ca="1">IFERROR(__xludf.DUMMYFUNCTION("""COMPUTED_VALUE"""),"#VALUE!")</f>
        <v>#VALUE!</v>
      </c>
      <c r="E351" t="str">
        <f ca="1">IFERROR(__xludf.DUMMYFUNCTION("""COMPUTED_VALUE"""),"Nicholetus")</f>
        <v>Nicholetus</v>
      </c>
      <c r="K351" t="str">
        <f ca="1">IFERROR(__xludf.DUMMYFUNCTION("""COMPUTED_VALUE"""),"Chemerii")</f>
        <v>Chemerii</v>
      </c>
      <c r="L351" t="str">
        <f ca="1">IFERROR(__xludf.DUMMYFUNCTION("""COMPUTED_VALUE"""),"Chemerii")</f>
        <v>Chemerii</v>
      </c>
      <c r="S351" t="str">
        <f ca="1">IFERROR(__xludf.DUMMYFUNCTION("""COMPUTED_VALUE"""),"Latin")</f>
        <v>Latin</v>
      </c>
      <c r="T351" t="str">
        <f ca="1">IFERROR(__xludf.DUMMYFUNCTION("""COMPUTED_VALUE"""),"definite")</f>
        <v>definite</v>
      </c>
      <c r="U351" t="str">
        <f ca="1">IFERROR(__xludf.DUMMYFUNCTION("""COMPUTED_VALUE"""),"C2553")</f>
        <v>C2553</v>
      </c>
      <c r="V351" t="str">
        <f ca="1">IFERROR(__xludf.DUMMYFUNCTION("""COMPUTED_VALUE"""),"male")</f>
        <v>male</v>
      </c>
      <c r="Z351" t="str">
        <f ca="1">IFERROR(__xludf.DUMMYFUNCTION("""COMPUTED_VALUE"""),"208")</f>
        <v>208</v>
      </c>
      <c r="AA351" t="str">
        <f ca="1">IFERROR(__xludf.DUMMYFUNCTION("""COMPUTED_VALUE"""),"d")</f>
        <v>d</v>
      </c>
      <c r="AB351" t="str">
        <f ca="1">IFERROR(__xludf.DUMMYFUNCTION("""COMPUTED_VALUE"""),"NA")</f>
        <v>NA</v>
      </c>
      <c r="AD351" t="str">
        <f ca="1">IFERROR(__xludf.DUMMYFUNCTION("""COMPUTED_VALUE"""),"C3287")</f>
        <v>C3287</v>
      </c>
      <c r="AE351" t="str">
        <f ca="1">IFERROR(__xludf.DUMMYFUNCTION("""COMPUTED_VALUE"""),"alive")</f>
        <v>alive</v>
      </c>
      <c r="AF351" t="str">
        <f ca="1">IFERROR(__xludf.DUMMYFUNCTION("""COMPUTED_VALUE"""),"C1753")</f>
        <v>C1753</v>
      </c>
      <c r="AG351" t="str">
        <f ca="1">IFERROR(__xludf.DUMMYFUNCTION("""COMPUTED_VALUE"""),"1335-01-20")</f>
        <v>1335-01-20</v>
      </c>
      <c r="AI351" t="str">
        <f ca="1">IFERROR(__xludf.DUMMYFUNCTION("""COMPUTED_VALUE"""),"#VALUE!")</f>
        <v>#VALUE!</v>
      </c>
      <c r="AK351" t="str">
        <f ca="1">IFERROR(__xludf.DUMMYFUNCTION("""COMPUTED_VALUE"""),"#VALUE!")</f>
        <v>#VALUE!</v>
      </c>
      <c r="AM351" t="str">
        <f ca="1">IFERROR(__xludf.DUMMYFUNCTION("""COMPUTED_VALUE"""),"#VALUE!")</f>
        <v>#VALUE!</v>
      </c>
      <c r="AO351" t="str">
        <f ca="1">IFERROR(__xludf.DUMMYFUNCTION("""COMPUTED_VALUE"""),"#VALUE!")</f>
        <v>#VALUE!</v>
      </c>
      <c r="AQ351" t="str">
        <f ca="1">IFERROR(__xludf.DUMMYFUNCTION("""COMPUTED_VALUE"""),"#VALUE!")</f>
        <v>#VALUE!</v>
      </c>
      <c r="AS351" t="str">
        <f ca="1">IFERROR(__xludf.DUMMYFUNCTION("""COMPUTED_VALUE"""),"#VALUE!")</f>
        <v>#VALUE!</v>
      </c>
      <c r="AU351" t="str">
        <f ca="1">IFERROR(__xludf.DUMMYFUNCTION("""COMPUTED_VALUE"""),"#VALUE!")</f>
        <v>#VALUE!</v>
      </c>
      <c r="AW351" t="str">
        <f ca="1">IFERROR(__xludf.DUMMYFUNCTION("""COMPUTED_VALUE"""),"#VALUE!")</f>
        <v>#VALUE!</v>
      </c>
      <c r="AY351" t="str">
        <f ca="1">IFERROR(__xludf.DUMMYFUNCTION("""COMPUTED_VALUE"""),"#VALUE!")</f>
        <v>#VALUE!</v>
      </c>
      <c r="BA351" t="str">
        <f ca="1">IFERROR(__xludf.DUMMYFUNCTION("""COMPUTED_VALUE"""),"#VALUE!")</f>
        <v>#VALUE!</v>
      </c>
      <c r="BC351" t="str">
        <f ca="1">IFERROR(__xludf.DUMMYFUNCTION("""COMPUTED_VALUE"""),"#VALUE!")</f>
        <v>#VALUE!</v>
      </c>
      <c r="BE351" t="str">
        <f ca="1">IFERROR(__xludf.DUMMYFUNCTION("""COMPUTED_VALUE"""),"#VALUE!")</f>
        <v>#VALUE!</v>
      </c>
      <c r="BG351" t="str">
        <f ca="1">IFERROR(__xludf.DUMMYFUNCTION("""COMPUTED_VALUE"""),"#VALUE!")</f>
        <v>#VALUE!</v>
      </c>
      <c r="BI351" t="str">
        <f ca="1">IFERROR(__xludf.DUMMYFUNCTION("""COMPUTED_VALUE"""),"#VALUE!")</f>
        <v>#VALUE!</v>
      </c>
      <c r="BK351" t="str">
        <f ca="1">IFERROR(__xludf.DUMMYFUNCTION("""COMPUTED_VALUE"""),"#VALUE!")</f>
        <v>#VALUE!</v>
      </c>
      <c r="BM351" t="str">
        <f ca="1">IFERROR(__xludf.DUMMYFUNCTION("""COMPUTED_VALUE"""),"#VALUE!")</f>
        <v>#VALUE!</v>
      </c>
      <c r="BO351" t="str">
        <f ca="1">IFERROR(__xludf.DUMMYFUNCTION("""COMPUTED_VALUE"""),"#VALUE!")</f>
        <v>#VALUE!</v>
      </c>
      <c r="BQ351" t="str">
        <f ca="1">IFERROR(__xludf.DUMMYFUNCTION("""COMPUTED_VALUE"""),"#VALUE!")</f>
        <v>#VALUE!</v>
      </c>
      <c r="BS351" t="str">
        <f ca="1">IFERROR(__xludf.DUMMYFUNCTION("""COMPUTED_VALUE"""),"#VALUE!")</f>
        <v>#VALUE!</v>
      </c>
      <c r="BU351" t="str">
        <f ca="1">IFERROR(__xludf.DUMMYFUNCTION("""COMPUTED_VALUE"""),"#VALUE!")</f>
        <v>#VALUE!</v>
      </c>
      <c r="BW351" t="str">
        <f ca="1">IFERROR(__xludf.DUMMYFUNCTION("""COMPUTED_VALUE"""),"#VALUE!")</f>
        <v>#VALUE!</v>
      </c>
      <c r="BY351" t="str">
        <f ca="1">IFERROR(__xludf.DUMMYFUNCTION("""COMPUTED_VALUE"""),"#VALUE!")</f>
        <v>#VALUE!</v>
      </c>
      <c r="CA351" t="str">
        <f ca="1">IFERROR(__xludf.DUMMYFUNCTION("""COMPUTED_VALUE"""),"#VALUE!")</f>
        <v>#VALUE!</v>
      </c>
      <c r="CC351" t="str">
        <f ca="1">IFERROR(__xludf.DUMMYFUNCTION("""COMPUTED_VALUE"""),"#VALUE!")</f>
        <v>#VALUE!</v>
      </c>
      <c r="CE351" t="str">
        <f ca="1">IFERROR(__xludf.DUMMYFUNCTION("""COMPUTED_VALUE"""),"#VALUE!")</f>
        <v>#VALUE!</v>
      </c>
      <c r="CG351" t="str">
        <f ca="1">IFERROR(__xludf.DUMMYFUNCTION("""COMPUTED_VALUE"""),"#VALUE!")</f>
        <v>#VALUE!</v>
      </c>
      <c r="CI351" t="str">
        <f ca="1">IFERROR(__xludf.DUMMYFUNCTION("""COMPUTED_VALUE"""),"#VALUE!")</f>
        <v>#VALUE!</v>
      </c>
      <c r="CK351" t="str">
        <f ca="1">IFERROR(__xludf.DUMMYFUNCTION("""COMPUTED_VALUE"""),"#VALUE!")</f>
        <v>#VALUE!</v>
      </c>
      <c r="CS351" t="str">
        <f ca="1">IFERROR(__xludf.DUMMYFUNCTION("""COMPUTED_VALUE"""),"#VALUE!")</f>
        <v>#VALUE!</v>
      </c>
      <c r="CU351" t="str">
        <f ca="1">IFERROR(__xludf.DUMMYFUNCTION("""COMPUTED_VALUE"""),"#VALUE!")</f>
        <v>#VALUE!</v>
      </c>
      <c r="CW351" t="str">
        <f ca="1">IFERROR(__xludf.DUMMYFUNCTION("""COMPUTED_VALUE"""),"#VALUE!")</f>
        <v>#VALUE!</v>
      </c>
      <c r="CY351" t="str">
        <f ca="1">IFERROR(__xludf.DUMMYFUNCTION("""COMPUTED_VALUE"""),"#VALUE!")</f>
        <v>#VALUE!</v>
      </c>
      <c r="DC351" t="str">
        <f ca="1">IFERROR(__xludf.DUMMYFUNCTION("""COMPUTED_VALUE"""),"#VALUE!")</f>
        <v>#VALUE!</v>
      </c>
      <c r="DE351" t="str">
        <f ca="1">IFERROR(__xludf.DUMMYFUNCTION("""COMPUTED_VALUE"""),"#VALUE!")</f>
        <v>#VALUE!</v>
      </c>
      <c r="DI351" t="str">
        <f ca="1">IFERROR(__xludf.DUMMYFUNCTION("""COMPUTED_VALUE"""),"#VALUE!")</f>
        <v>#VALUE!</v>
      </c>
      <c r="DJ351" t="str">
        <f ca="1">IFERROR(__xludf.DUMMYFUNCTION("""COMPUTED_VALUE"""),"#VALUE!")</f>
        <v>#VALUE!</v>
      </c>
      <c r="DL351" t="str">
        <f ca="1">IFERROR(__xludf.DUMMYFUNCTION("""COMPUTED_VALUE"""),"Davor Salihović")</f>
        <v>Davor Salihović</v>
      </c>
    </row>
    <row r="352" spans="1:116" ht="13.2" x14ac:dyDescent="0.25">
      <c r="A352" t="str">
        <f ca="1">IFERROR(__xludf.DUMMYFUNCTION("""COMPUTED_VALUE"""),"P0358")</f>
        <v>P0358</v>
      </c>
      <c r="B352" t="str">
        <f ca="1">IFERROR(__xludf.DUMMYFUNCTION("""COMPUTED_VALUE"""),"parvus homo antiquus")</f>
        <v>parvus homo antiquus</v>
      </c>
      <c r="D352" t="str">
        <f ca="1">IFERROR(__xludf.DUMMYFUNCTION("""COMPUTED_VALUE"""),"#VALUE!")</f>
        <v>#VALUE!</v>
      </c>
      <c r="E352" t="str">
        <f ca="1">IFERROR(__xludf.DUMMYFUNCTION("""COMPUTED_VALUE"""),"parvus homo antiquus")</f>
        <v>parvus homo antiquus</v>
      </c>
      <c r="Q352" t="str">
        <f ca="1">IFERROR(__xludf.DUMMYFUNCTION("""COMPUTED_VALUE"""),"quidam parvus homo antiquus")</f>
        <v>quidam parvus homo antiquus</v>
      </c>
      <c r="S352" t="str">
        <f ca="1">IFERROR(__xludf.DUMMYFUNCTION("""COMPUTED_VALUE"""),"Latin")</f>
        <v>Latin</v>
      </c>
      <c r="T352" t="str">
        <f ca="1">IFERROR(__xludf.DUMMYFUNCTION("""COMPUTED_VALUE"""),"indefinite")</f>
        <v>indefinite</v>
      </c>
      <c r="U352" t="str">
        <f ca="1">IFERROR(__xludf.DUMMYFUNCTION("""COMPUTED_VALUE"""),"C2553")</f>
        <v>C2553</v>
      </c>
      <c r="V352" t="str">
        <f ca="1">IFERROR(__xludf.DUMMYFUNCTION("""COMPUTED_VALUE"""),"male")</f>
        <v>male</v>
      </c>
      <c r="Z352" t="str">
        <f ca="1">IFERROR(__xludf.DUMMYFUNCTION("""COMPUTED_VALUE"""),"208, 244")</f>
        <v>208, 244</v>
      </c>
      <c r="AA352" t="str">
        <f ca="1">IFERROR(__xludf.DUMMYFUNCTION("""COMPUTED_VALUE"""),"d")</f>
        <v>d</v>
      </c>
      <c r="AB352" t="str">
        <f ca="1">IFERROR(__xludf.DUMMYFUNCTION("""COMPUTED_VALUE"""),"NA")</f>
        <v>NA</v>
      </c>
      <c r="AE352" t="str">
        <f ca="1">IFERROR(__xludf.DUMMYFUNCTION("""COMPUTED_VALUE"""),"#VALUE!")</f>
        <v>#VALUE!</v>
      </c>
      <c r="AF352" t="str">
        <f ca="1">IFERROR(__xludf.DUMMYFUNCTION("""COMPUTED_VALUE"""),"#N/A")</f>
        <v>#N/A</v>
      </c>
      <c r="AG352" t="str">
        <f ca="1">IFERROR(__xludf.DUMMYFUNCTION("""COMPUTED_VALUE"""),"#N/A")</f>
        <v>#N/A</v>
      </c>
      <c r="AI352" t="str">
        <f ca="1">IFERROR(__xludf.DUMMYFUNCTION("""COMPUTED_VALUE"""),"#VALUE!")</f>
        <v>#VALUE!</v>
      </c>
      <c r="AK352" t="str">
        <f ca="1">IFERROR(__xludf.DUMMYFUNCTION("""COMPUTED_VALUE"""),"#VALUE!")</f>
        <v>#VALUE!</v>
      </c>
      <c r="AM352" t="str">
        <f ca="1">IFERROR(__xludf.DUMMYFUNCTION("""COMPUTED_VALUE"""),"#VALUE!")</f>
        <v>#VALUE!</v>
      </c>
      <c r="AO352" t="str">
        <f ca="1">IFERROR(__xludf.DUMMYFUNCTION("""COMPUTED_VALUE"""),"#VALUE!")</f>
        <v>#VALUE!</v>
      </c>
      <c r="AQ352" t="str">
        <f ca="1">IFERROR(__xludf.DUMMYFUNCTION("""COMPUTED_VALUE"""),"#VALUE!")</f>
        <v>#VALUE!</v>
      </c>
      <c r="AS352" t="str">
        <f ca="1">IFERROR(__xludf.DUMMYFUNCTION("""COMPUTED_VALUE"""),"#VALUE!")</f>
        <v>#VALUE!</v>
      </c>
      <c r="AU352" t="str">
        <f ca="1">IFERROR(__xludf.DUMMYFUNCTION("""COMPUTED_VALUE"""),"#VALUE!")</f>
        <v>#VALUE!</v>
      </c>
      <c r="AW352" t="str">
        <f ca="1">IFERROR(__xludf.DUMMYFUNCTION("""COMPUTED_VALUE"""),"#VALUE!")</f>
        <v>#VALUE!</v>
      </c>
      <c r="AY352" t="str">
        <f ca="1">IFERROR(__xludf.DUMMYFUNCTION("""COMPUTED_VALUE"""),"#VALUE!")</f>
        <v>#VALUE!</v>
      </c>
      <c r="BA352" t="str">
        <f ca="1">IFERROR(__xludf.DUMMYFUNCTION("""COMPUTED_VALUE"""),"#VALUE!")</f>
        <v>#VALUE!</v>
      </c>
      <c r="BC352" t="str">
        <f ca="1">IFERROR(__xludf.DUMMYFUNCTION("""COMPUTED_VALUE"""),"#VALUE!")</f>
        <v>#VALUE!</v>
      </c>
      <c r="BE352" t="str">
        <f ca="1">IFERROR(__xludf.DUMMYFUNCTION("""COMPUTED_VALUE"""),"#VALUE!")</f>
        <v>#VALUE!</v>
      </c>
      <c r="BG352" t="str">
        <f ca="1">IFERROR(__xludf.DUMMYFUNCTION("""COMPUTED_VALUE"""),"#VALUE!")</f>
        <v>#VALUE!</v>
      </c>
      <c r="BI352" t="str">
        <f ca="1">IFERROR(__xludf.DUMMYFUNCTION("""COMPUTED_VALUE"""),"#VALUE!")</f>
        <v>#VALUE!</v>
      </c>
      <c r="BK352" t="str">
        <f ca="1">IFERROR(__xludf.DUMMYFUNCTION("""COMPUTED_VALUE"""),"#VALUE!")</f>
        <v>#VALUE!</v>
      </c>
      <c r="BM352" t="str">
        <f ca="1">IFERROR(__xludf.DUMMYFUNCTION("""COMPUTED_VALUE"""),"#VALUE!")</f>
        <v>#VALUE!</v>
      </c>
      <c r="BO352" t="str">
        <f ca="1">IFERROR(__xludf.DUMMYFUNCTION("""COMPUTED_VALUE"""),"#VALUE!")</f>
        <v>#VALUE!</v>
      </c>
      <c r="BQ352" t="str">
        <f ca="1">IFERROR(__xludf.DUMMYFUNCTION("""COMPUTED_VALUE"""),"#VALUE!")</f>
        <v>#VALUE!</v>
      </c>
      <c r="BS352" t="str">
        <f ca="1">IFERROR(__xludf.DUMMYFUNCTION("""COMPUTED_VALUE"""),"#VALUE!")</f>
        <v>#VALUE!</v>
      </c>
      <c r="BU352" t="str">
        <f ca="1">IFERROR(__xludf.DUMMYFUNCTION("""COMPUTED_VALUE"""),"#VALUE!")</f>
        <v>#VALUE!</v>
      </c>
      <c r="BW352" t="str">
        <f ca="1">IFERROR(__xludf.DUMMYFUNCTION("""COMPUTED_VALUE"""),"#VALUE!")</f>
        <v>#VALUE!</v>
      </c>
      <c r="BY352" t="str">
        <f ca="1">IFERROR(__xludf.DUMMYFUNCTION("""COMPUTED_VALUE"""),"#VALUE!")</f>
        <v>#VALUE!</v>
      </c>
      <c r="CA352" t="str">
        <f ca="1">IFERROR(__xludf.DUMMYFUNCTION("""COMPUTED_VALUE"""),"#VALUE!")</f>
        <v>#VALUE!</v>
      </c>
      <c r="CC352" t="str">
        <f ca="1">IFERROR(__xludf.DUMMYFUNCTION("""COMPUTED_VALUE"""),"#VALUE!")</f>
        <v>#VALUE!</v>
      </c>
      <c r="CD352" t="str">
        <f ca="1">IFERROR(__xludf.DUMMYFUNCTION("""COMPUTED_VALUE"""),"C3598")</f>
        <v>C3598</v>
      </c>
      <c r="CE352" t="str">
        <f ca="1">IFERROR(__xludf.DUMMYFUNCTION("""COMPUTED_VALUE"""),"location of congregation")</f>
        <v>location of congregation</v>
      </c>
      <c r="CF352" t="str">
        <f ca="1">IFERROR(__xludf.DUMMYFUNCTION("""COMPUTED_VALUE"""),"L0069#L0106")</f>
        <v>L0069#L0106</v>
      </c>
      <c r="CG352" t="str">
        <f ca="1">IFERROR(__xludf.DUMMYFUNCTION("""COMPUTED_VALUE"""),"domus Iohannis Martini #domus Petri de Boysono")</f>
        <v>domus Iohannis Martini #domus Petri de Boysono</v>
      </c>
      <c r="CI352" t="str">
        <f ca="1">IFERROR(__xludf.DUMMYFUNCTION("""COMPUTED_VALUE"""),"#VALUE!")</f>
        <v>#VALUE!</v>
      </c>
      <c r="CK352" t="str">
        <f ca="1">IFERROR(__xludf.DUMMYFUNCTION("""COMPUTED_VALUE"""),"#VALUE!")</f>
        <v>#VALUE!</v>
      </c>
      <c r="CS352" t="str">
        <f ca="1">IFERROR(__xludf.DUMMYFUNCTION("""COMPUTED_VALUE"""),"#VALUE!")</f>
        <v>#VALUE!</v>
      </c>
      <c r="CU352" t="str">
        <f ca="1">IFERROR(__xludf.DUMMYFUNCTION("""COMPUTED_VALUE"""),"#VALUE!")</f>
        <v>#VALUE!</v>
      </c>
      <c r="CW352" t="str">
        <f ca="1">IFERROR(__xludf.DUMMYFUNCTION("""COMPUTED_VALUE"""),"#VALUE!")</f>
        <v>#VALUE!</v>
      </c>
      <c r="CX352" t="str">
        <f ca="1">IFERROR(__xludf.DUMMYFUNCTION("""COMPUTED_VALUE"""),"C3197")</f>
        <v>C3197</v>
      </c>
      <c r="CY352" t="str">
        <f ca="1">IFERROR(__xludf.DUMMYFUNCTION("""COMPUTED_VALUE"""),"Valdensis")</f>
        <v>Valdensis</v>
      </c>
      <c r="DA352" t="str">
        <f ca="1">IFERROR(__xludf.DUMMYFUNCTION("""COMPUTED_VALUE"""),"dissident minister")</f>
        <v>dissident minister</v>
      </c>
      <c r="DC352" t="str">
        <f ca="1">IFERROR(__xludf.DUMMYFUNCTION("""COMPUTED_VALUE"""),"#VALUE!")</f>
        <v>#VALUE!</v>
      </c>
      <c r="DD352" t="str">
        <f ca="1">IFERROR(__xludf.DUMMYFUNCTION("""COMPUTED_VALUE"""),"C3197")</f>
        <v>C3197</v>
      </c>
      <c r="DE352" t="str">
        <f ca="1">IFERROR(__xludf.DUMMYFUNCTION("""COMPUTED_VALUE"""),"Valdensis")</f>
        <v>Valdensis</v>
      </c>
      <c r="DH352" t="str">
        <f ca="1">IFERROR(__xludf.DUMMYFUNCTION("""COMPUTED_VALUE"""),"L0069#L0106")</f>
        <v>L0069#L0106</v>
      </c>
      <c r="DI352" t="str">
        <f ca="1">IFERROR(__xludf.DUMMYFUNCTION("""COMPUTED_VALUE"""),"domus Iohannis Martini #domus Petri de Boysono")</f>
        <v>domus Iohannis Martini #domus Petri de Boysono</v>
      </c>
      <c r="DJ352" t="str">
        <f ca="1">IFERROR(__xludf.DUMMYFUNCTION("""COMPUTED_VALUE"""),"domus #domus")</f>
        <v>domus #domus</v>
      </c>
      <c r="DL352" t="str">
        <f ca="1">IFERROR(__xludf.DUMMYFUNCTION("""COMPUTED_VALUE"""),"Davor Salihović")</f>
        <v>Davor Salihović</v>
      </c>
    </row>
    <row r="353" spans="1:116" ht="13.2" x14ac:dyDescent="0.25">
      <c r="A353" t="str">
        <f ca="1">IFERROR(__xludf.DUMMYFUNCTION("""COMPUTED_VALUE"""),"P0359")</f>
        <v>P0359</v>
      </c>
      <c r="B353" t="str">
        <f ca="1">IFERROR(__xludf.DUMMYFUNCTION("""COMPUTED_VALUE"""),"Villelmetus Giraudi")</f>
        <v>Villelmetus Giraudi</v>
      </c>
      <c r="D353" t="str">
        <f ca="1">IFERROR(__xludf.DUMMYFUNCTION("""COMPUTED_VALUE"""),"#VALUE!")</f>
        <v>#VALUE!</v>
      </c>
      <c r="E353" t="str">
        <f ca="1">IFERROR(__xludf.DUMMYFUNCTION("""COMPUTED_VALUE"""),"Villelmetus")</f>
        <v>Villelmetus</v>
      </c>
      <c r="K353" t="str">
        <f ca="1">IFERROR(__xludf.DUMMYFUNCTION("""COMPUTED_VALUE"""),"Giraudi")</f>
        <v>Giraudi</v>
      </c>
      <c r="L353" t="str">
        <f ca="1">IFERROR(__xludf.DUMMYFUNCTION("""COMPUTED_VALUE"""),"Giraudi")</f>
        <v>Giraudi</v>
      </c>
      <c r="S353" t="str">
        <f ca="1">IFERROR(__xludf.DUMMYFUNCTION("""COMPUTED_VALUE"""),"Latin")</f>
        <v>Latin</v>
      </c>
      <c r="T353" t="str">
        <f ca="1">IFERROR(__xludf.DUMMYFUNCTION("""COMPUTED_VALUE"""),"definite")</f>
        <v>definite</v>
      </c>
      <c r="U353" t="str">
        <f ca="1">IFERROR(__xludf.DUMMYFUNCTION("""COMPUTED_VALUE"""),"C2553")</f>
        <v>C2553</v>
      </c>
      <c r="V353" t="str">
        <f ca="1">IFERROR(__xludf.DUMMYFUNCTION("""COMPUTED_VALUE"""),"male")</f>
        <v>male</v>
      </c>
      <c r="Z353" t="str">
        <f ca="1">IFERROR(__xludf.DUMMYFUNCTION("""COMPUTED_VALUE"""),"208")</f>
        <v>208</v>
      </c>
      <c r="AA353" t="str">
        <f ca="1">IFERROR(__xludf.DUMMYFUNCTION("""COMPUTED_VALUE"""),"d")</f>
        <v>d</v>
      </c>
      <c r="AB353" t="str">
        <f ca="1">IFERROR(__xludf.DUMMYFUNCTION("""COMPUTED_VALUE"""),"suspect")</f>
        <v>suspect</v>
      </c>
      <c r="AE353" t="str">
        <f ca="1">IFERROR(__xludf.DUMMYFUNCTION("""COMPUTED_VALUE"""),"#VALUE!")</f>
        <v>#VALUE!</v>
      </c>
      <c r="AF353" t="str">
        <f ca="1">IFERROR(__xludf.DUMMYFUNCTION("""COMPUTED_VALUE"""),"#N/A")</f>
        <v>#N/A</v>
      </c>
      <c r="AG353" t="str">
        <f ca="1">IFERROR(__xludf.DUMMYFUNCTION("""COMPUTED_VALUE"""),"#N/A")</f>
        <v>#N/A</v>
      </c>
      <c r="AI353" t="str">
        <f ca="1">IFERROR(__xludf.DUMMYFUNCTION("""COMPUTED_VALUE"""),"#VALUE!")</f>
        <v>#VALUE!</v>
      </c>
      <c r="AK353" t="str">
        <f ca="1">IFERROR(__xludf.DUMMYFUNCTION("""COMPUTED_VALUE"""),"#VALUE!")</f>
        <v>#VALUE!</v>
      </c>
      <c r="AM353" t="str">
        <f ca="1">IFERROR(__xludf.DUMMYFUNCTION("""COMPUTED_VALUE"""),"#VALUE!")</f>
        <v>#VALUE!</v>
      </c>
      <c r="AO353" t="str">
        <f ca="1">IFERROR(__xludf.DUMMYFUNCTION("""COMPUTED_VALUE"""),"#VALUE!")</f>
        <v>#VALUE!</v>
      </c>
      <c r="AQ353" t="str">
        <f ca="1">IFERROR(__xludf.DUMMYFUNCTION("""COMPUTED_VALUE"""),"#VALUE!")</f>
        <v>#VALUE!</v>
      </c>
      <c r="AS353" t="str">
        <f ca="1">IFERROR(__xludf.DUMMYFUNCTION("""COMPUTED_VALUE"""),"#VALUE!")</f>
        <v>#VALUE!</v>
      </c>
      <c r="AU353" t="str">
        <f ca="1">IFERROR(__xludf.DUMMYFUNCTION("""COMPUTED_VALUE"""),"#VALUE!")</f>
        <v>#VALUE!</v>
      </c>
      <c r="AW353" t="str">
        <f ca="1">IFERROR(__xludf.DUMMYFUNCTION("""COMPUTED_VALUE"""),"#VALUE!")</f>
        <v>#VALUE!</v>
      </c>
      <c r="AY353" t="str">
        <f ca="1">IFERROR(__xludf.DUMMYFUNCTION("""COMPUTED_VALUE"""),"#VALUE!")</f>
        <v>#VALUE!</v>
      </c>
      <c r="BA353" t="str">
        <f ca="1">IFERROR(__xludf.DUMMYFUNCTION("""COMPUTED_VALUE"""),"#VALUE!")</f>
        <v>#VALUE!</v>
      </c>
      <c r="BC353" t="str">
        <f ca="1">IFERROR(__xludf.DUMMYFUNCTION("""COMPUTED_VALUE"""),"#VALUE!")</f>
        <v>#VALUE!</v>
      </c>
      <c r="BE353" t="str">
        <f ca="1">IFERROR(__xludf.DUMMYFUNCTION("""COMPUTED_VALUE"""),"#VALUE!")</f>
        <v>#VALUE!</v>
      </c>
      <c r="BG353" t="str">
        <f ca="1">IFERROR(__xludf.DUMMYFUNCTION("""COMPUTED_VALUE"""),"#VALUE!")</f>
        <v>#VALUE!</v>
      </c>
      <c r="BI353" t="str">
        <f ca="1">IFERROR(__xludf.DUMMYFUNCTION("""COMPUTED_VALUE"""),"#VALUE!")</f>
        <v>#VALUE!</v>
      </c>
      <c r="BK353" t="str">
        <f ca="1">IFERROR(__xludf.DUMMYFUNCTION("""COMPUTED_VALUE"""),"#VALUE!")</f>
        <v>#VALUE!</v>
      </c>
      <c r="BM353" t="str">
        <f ca="1">IFERROR(__xludf.DUMMYFUNCTION("""COMPUTED_VALUE"""),"#VALUE!")</f>
        <v>#VALUE!</v>
      </c>
      <c r="BO353" t="str">
        <f ca="1">IFERROR(__xludf.DUMMYFUNCTION("""COMPUTED_VALUE"""),"#VALUE!")</f>
        <v>#VALUE!</v>
      </c>
      <c r="BQ353" t="str">
        <f ca="1">IFERROR(__xludf.DUMMYFUNCTION("""COMPUTED_VALUE"""),"#VALUE!")</f>
        <v>#VALUE!</v>
      </c>
      <c r="BS353" t="str">
        <f ca="1">IFERROR(__xludf.DUMMYFUNCTION("""COMPUTED_VALUE"""),"#VALUE!")</f>
        <v>#VALUE!</v>
      </c>
      <c r="BU353" t="str">
        <f ca="1">IFERROR(__xludf.DUMMYFUNCTION("""COMPUTED_VALUE"""),"#VALUE!")</f>
        <v>#VALUE!</v>
      </c>
      <c r="BW353" t="str">
        <f ca="1">IFERROR(__xludf.DUMMYFUNCTION("""COMPUTED_VALUE"""),"#VALUE!")</f>
        <v>#VALUE!</v>
      </c>
      <c r="BY353" t="str">
        <f ca="1">IFERROR(__xludf.DUMMYFUNCTION("""COMPUTED_VALUE"""),"#VALUE!")</f>
        <v>#VALUE!</v>
      </c>
      <c r="CA353" t="str">
        <f ca="1">IFERROR(__xludf.DUMMYFUNCTION("""COMPUTED_VALUE"""),"#VALUE!")</f>
        <v>#VALUE!</v>
      </c>
      <c r="CC353" t="str">
        <f ca="1">IFERROR(__xludf.DUMMYFUNCTION("""COMPUTED_VALUE"""),"#VALUE!")</f>
        <v>#VALUE!</v>
      </c>
      <c r="CE353" t="str">
        <f ca="1">IFERROR(__xludf.DUMMYFUNCTION("""COMPUTED_VALUE"""),"#VALUE!")</f>
        <v>#VALUE!</v>
      </c>
      <c r="CG353" t="str">
        <f ca="1">IFERROR(__xludf.DUMMYFUNCTION("""COMPUTED_VALUE"""),"#VALUE!")</f>
        <v>#VALUE!</v>
      </c>
      <c r="CI353" t="str">
        <f ca="1">IFERROR(__xludf.DUMMYFUNCTION("""COMPUTED_VALUE"""),"#VALUE!")</f>
        <v>#VALUE!</v>
      </c>
      <c r="CK353" t="str">
        <f ca="1">IFERROR(__xludf.DUMMYFUNCTION("""COMPUTED_VALUE"""),"#VALUE!")</f>
        <v>#VALUE!</v>
      </c>
      <c r="CS353" t="str">
        <f ca="1">IFERROR(__xludf.DUMMYFUNCTION("""COMPUTED_VALUE"""),"#VALUE!")</f>
        <v>#VALUE!</v>
      </c>
      <c r="CU353" t="str">
        <f ca="1">IFERROR(__xludf.DUMMYFUNCTION("""COMPUTED_VALUE"""),"#VALUE!")</f>
        <v>#VALUE!</v>
      </c>
      <c r="CV353" t="str">
        <f ca="1">IFERROR(__xludf.DUMMYFUNCTION("""COMPUTED_VALUE"""),"L0005")</f>
        <v>L0005</v>
      </c>
      <c r="CW353" t="str">
        <f ca="1">IFERROR(__xludf.DUMMYFUNCTION("""COMPUTED_VALUE"""),"Valgioie")</f>
        <v>Valgioie</v>
      </c>
      <c r="CY353" t="str">
        <f ca="1">IFERROR(__xludf.DUMMYFUNCTION("""COMPUTED_VALUE"""),"#VALUE!")</f>
        <v>#VALUE!</v>
      </c>
      <c r="DC353" t="str">
        <f ca="1">IFERROR(__xludf.DUMMYFUNCTION("""COMPUTED_VALUE"""),"#VALUE!")</f>
        <v>#VALUE!</v>
      </c>
      <c r="DE353" t="str">
        <f ca="1">IFERROR(__xludf.DUMMYFUNCTION("""COMPUTED_VALUE"""),"#VALUE!")</f>
        <v>#VALUE!</v>
      </c>
      <c r="DI353" t="str">
        <f ca="1">IFERROR(__xludf.DUMMYFUNCTION("""COMPUTED_VALUE"""),"#VALUE!")</f>
        <v>#VALUE!</v>
      </c>
      <c r="DJ353" t="str">
        <f ca="1">IFERROR(__xludf.DUMMYFUNCTION("""COMPUTED_VALUE"""),"#VALUE!")</f>
        <v>#VALUE!</v>
      </c>
      <c r="DL353" t="str">
        <f ca="1">IFERROR(__xludf.DUMMYFUNCTION("""COMPUTED_VALUE"""),"Davor Salihović")</f>
        <v>Davor Salihović</v>
      </c>
    </row>
    <row r="354" spans="1:116" ht="13.2" x14ac:dyDescent="0.25">
      <c r="A354" t="str">
        <f ca="1">IFERROR(__xludf.DUMMYFUNCTION("""COMPUTED_VALUE"""),"P0360")</f>
        <v>P0360</v>
      </c>
      <c r="B354" t="str">
        <f ca="1">IFERROR(__xludf.DUMMYFUNCTION("""COMPUTED_VALUE"""),"frater Petri Boyssoni")</f>
        <v>frater Petri Boyssoni</v>
      </c>
      <c r="D354" t="str">
        <f ca="1">IFERROR(__xludf.DUMMYFUNCTION("""COMPUTED_VALUE"""),"#VALUE!")</f>
        <v>#VALUE!</v>
      </c>
      <c r="E354" t="str">
        <f ca="1">IFERROR(__xludf.DUMMYFUNCTION("""COMPUTED_VALUE"""),"frater Petri de Boyssono")</f>
        <v>frater Petri de Boyssono</v>
      </c>
      <c r="Q354" t="str">
        <f ca="1">IFERROR(__xludf.DUMMYFUNCTION("""COMPUTED_VALUE"""),"frater Petri Boyssoni")</f>
        <v>frater Petri Boyssoni</v>
      </c>
      <c r="S354" t="str">
        <f ca="1">IFERROR(__xludf.DUMMYFUNCTION("""COMPUTED_VALUE"""),"Latin")</f>
        <v>Latin</v>
      </c>
      <c r="T354" t="str">
        <f ca="1">IFERROR(__xludf.DUMMYFUNCTION("""COMPUTED_VALUE"""),"indefinite")</f>
        <v>indefinite</v>
      </c>
      <c r="U354" t="str">
        <f ca="1">IFERROR(__xludf.DUMMYFUNCTION("""COMPUTED_VALUE"""),"C2553")</f>
        <v>C2553</v>
      </c>
      <c r="V354" t="str">
        <f ca="1">IFERROR(__xludf.DUMMYFUNCTION("""COMPUTED_VALUE"""),"male")</f>
        <v>male</v>
      </c>
      <c r="Z354" t="str">
        <f ca="1">IFERROR(__xludf.DUMMYFUNCTION("""COMPUTED_VALUE"""),"208")</f>
        <v>208</v>
      </c>
      <c r="AA354" t="str">
        <f ca="1">IFERROR(__xludf.DUMMYFUNCTION("""COMPUTED_VALUE"""),"d")</f>
        <v>d</v>
      </c>
      <c r="AB354" t="str">
        <f ca="1">IFERROR(__xludf.DUMMYFUNCTION("""COMPUTED_VALUE"""),"suspect")</f>
        <v>suspect</v>
      </c>
      <c r="AE354" t="str">
        <f ca="1">IFERROR(__xludf.DUMMYFUNCTION("""COMPUTED_VALUE"""),"#VALUE!")</f>
        <v>#VALUE!</v>
      </c>
      <c r="AF354" t="str">
        <f ca="1">IFERROR(__xludf.DUMMYFUNCTION("""COMPUTED_VALUE"""),"#N/A")</f>
        <v>#N/A</v>
      </c>
      <c r="AG354" t="str">
        <f ca="1">IFERROR(__xludf.DUMMYFUNCTION("""COMPUTED_VALUE"""),"#N/A")</f>
        <v>#N/A</v>
      </c>
      <c r="AI354" t="str">
        <f ca="1">IFERROR(__xludf.DUMMYFUNCTION("""COMPUTED_VALUE"""),"#VALUE!")</f>
        <v>#VALUE!</v>
      </c>
      <c r="AK354" t="str">
        <f ca="1">IFERROR(__xludf.DUMMYFUNCTION("""COMPUTED_VALUE"""),"#VALUE!")</f>
        <v>#VALUE!</v>
      </c>
      <c r="AM354" t="str">
        <f ca="1">IFERROR(__xludf.DUMMYFUNCTION("""COMPUTED_VALUE"""),"#VALUE!")</f>
        <v>#VALUE!</v>
      </c>
      <c r="AO354" t="str">
        <f ca="1">IFERROR(__xludf.DUMMYFUNCTION("""COMPUTED_VALUE"""),"#VALUE!")</f>
        <v>#VALUE!</v>
      </c>
      <c r="AQ354" t="str">
        <f ca="1">IFERROR(__xludf.DUMMYFUNCTION("""COMPUTED_VALUE"""),"#VALUE!")</f>
        <v>#VALUE!</v>
      </c>
      <c r="AS354" t="str">
        <f ca="1">IFERROR(__xludf.DUMMYFUNCTION("""COMPUTED_VALUE"""),"#VALUE!")</f>
        <v>#VALUE!</v>
      </c>
      <c r="AU354" t="str">
        <f ca="1">IFERROR(__xludf.DUMMYFUNCTION("""COMPUTED_VALUE"""),"#VALUE!")</f>
        <v>#VALUE!</v>
      </c>
      <c r="AW354" t="str">
        <f ca="1">IFERROR(__xludf.DUMMYFUNCTION("""COMPUTED_VALUE"""),"#VALUE!")</f>
        <v>#VALUE!</v>
      </c>
      <c r="AY354" t="str">
        <f ca="1">IFERROR(__xludf.DUMMYFUNCTION("""COMPUTED_VALUE"""),"#VALUE!")</f>
        <v>#VALUE!</v>
      </c>
      <c r="BA354" t="str">
        <f ca="1">IFERROR(__xludf.DUMMYFUNCTION("""COMPUTED_VALUE"""),"#VALUE!")</f>
        <v>#VALUE!</v>
      </c>
      <c r="BC354" t="str">
        <f ca="1">IFERROR(__xludf.DUMMYFUNCTION("""COMPUTED_VALUE"""),"#VALUE!")</f>
        <v>#VALUE!</v>
      </c>
      <c r="BE354" t="str">
        <f ca="1">IFERROR(__xludf.DUMMYFUNCTION("""COMPUTED_VALUE"""),"#VALUE!")</f>
        <v>#VALUE!</v>
      </c>
      <c r="BG354" t="str">
        <f ca="1">IFERROR(__xludf.DUMMYFUNCTION("""COMPUTED_VALUE"""),"#VALUE!")</f>
        <v>#VALUE!</v>
      </c>
      <c r="BI354" t="str">
        <f ca="1">IFERROR(__xludf.DUMMYFUNCTION("""COMPUTED_VALUE"""),"#VALUE!")</f>
        <v>#VALUE!</v>
      </c>
      <c r="BK354" t="str">
        <f ca="1">IFERROR(__xludf.DUMMYFUNCTION("""COMPUTED_VALUE"""),"#VALUE!")</f>
        <v>#VALUE!</v>
      </c>
      <c r="BM354" t="str">
        <f ca="1">IFERROR(__xludf.DUMMYFUNCTION("""COMPUTED_VALUE"""),"#VALUE!")</f>
        <v>#VALUE!</v>
      </c>
      <c r="BO354" t="str">
        <f ca="1">IFERROR(__xludf.DUMMYFUNCTION("""COMPUTED_VALUE"""),"#VALUE!")</f>
        <v>#VALUE!</v>
      </c>
      <c r="BQ354" t="str">
        <f ca="1">IFERROR(__xludf.DUMMYFUNCTION("""COMPUTED_VALUE"""),"#VALUE!")</f>
        <v>#VALUE!</v>
      </c>
      <c r="BS354" t="str">
        <f ca="1">IFERROR(__xludf.DUMMYFUNCTION("""COMPUTED_VALUE"""),"#VALUE!")</f>
        <v>#VALUE!</v>
      </c>
      <c r="BU354" t="str">
        <f ca="1">IFERROR(__xludf.DUMMYFUNCTION("""COMPUTED_VALUE"""),"#VALUE!")</f>
        <v>#VALUE!</v>
      </c>
      <c r="BW354" t="str">
        <f ca="1">IFERROR(__xludf.DUMMYFUNCTION("""COMPUTED_VALUE"""),"#VALUE!")</f>
        <v>#VALUE!</v>
      </c>
      <c r="BY354" t="str">
        <f ca="1">IFERROR(__xludf.DUMMYFUNCTION("""COMPUTED_VALUE"""),"#VALUE!")</f>
        <v>#VALUE!</v>
      </c>
      <c r="CA354" t="str">
        <f ca="1">IFERROR(__xludf.DUMMYFUNCTION("""COMPUTED_VALUE"""),"#VALUE!")</f>
        <v>#VALUE!</v>
      </c>
      <c r="CC354" t="str">
        <f ca="1">IFERROR(__xludf.DUMMYFUNCTION("""COMPUTED_VALUE"""),"#VALUE!")</f>
        <v>#VALUE!</v>
      </c>
      <c r="CD354" t="str">
        <f ca="1">IFERROR(__xludf.DUMMYFUNCTION("""COMPUTED_VALUE"""),"C3598")</f>
        <v>C3598</v>
      </c>
      <c r="CE354" t="str">
        <f ca="1">IFERROR(__xludf.DUMMYFUNCTION("""COMPUTED_VALUE"""),"location of congregation")</f>
        <v>location of congregation</v>
      </c>
      <c r="CF354" t="str">
        <f ca="1">IFERROR(__xludf.DUMMYFUNCTION("""COMPUTED_VALUE"""),"L0106")</f>
        <v>L0106</v>
      </c>
      <c r="CG354" t="str">
        <f ca="1">IFERROR(__xludf.DUMMYFUNCTION("""COMPUTED_VALUE"""),"domus Petri de Boysono")</f>
        <v>domus Petri de Boysono</v>
      </c>
      <c r="CI354" t="str">
        <f ca="1">IFERROR(__xludf.DUMMYFUNCTION("""COMPUTED_VALUE"""),"#VALUE!")</f>
        <v>#VALUE!</v>
      </c>
      <c r="CK354" t="str">
        <f ca="1">IFERROR(__xludf.DUMMYFUNCTION("""COMPUTED_VALUE"""),"#VALUE!")</f>
        <v>#VALUE!</v>
      </c>
      <c r="CS354" t="str">
        <f ca="1">IFERROR(__xludf.DUMMYFUNCTION("""COMPUTED_VALUE"""),"#VALUE!")</f>
        <v>#VALUE!</v>
      </c>
      <c r="CU354" t="str">
        <f ca="1">IFERROR(__xludf.DUMMYFUNCTION("""COMPUTED_VALUE"""),"#VALUE!")</f>
        <v>#VALUE!</v>
      </c>
      <c r="CW354" t="str">
        <f ca="1">IFERROR(__xludf.DUMMYFUNCTION("""COMPUTED_VALUE"""),"#VALUE!")</f>
        <v>#VALUE!</v>
      </c>
      <c r="CY354" t="str">
        <f ca="1">IFERROR(__xludf.DUMMYFUNCTION("""COMPUTED_VALUE"""),"#VALUE!")</f>
        <v>#VALUE!</v>
      </c>
      <c r="DC354" t="str">
        <f ca="1">IFERROR(__xludf.DUMMYFUNCTION("""COMPUTED_VALUE"""),"#VALUE!")</f>
        <v>#VALUE!</v>
      </c>
      <c r="DE354" t="str">
        <f ca="1">IFERROR(__xludf.DUMMYFUNCTION("""COMPUTED_VALUE"""),"#VALUE!")</f>
        <v>#VALUE!</v>
      </c>
      <c r="DH354" t="str">
        <f ca="1">IFERROR(__xludf.DUMMYFUNCTION("""COMPUTED_VALUE"""),"L0106")</f>
        <v>L0106</v>
      </c>
      <c r="DI354" t="str">
        <f ca="1">IFERROR(__xludf.DUMMYFUNCTION("""COMPUTED_VALUE"""),"domus Petri de Boysono")</f>
        <v>domus Petri de Boysono</v>
      </c>
      <c r="DJ354" t="str">
        <f ca="1">IFERROR(__xludf.DUMMYFUNCTION("""COMPUTED_VALUE"""),"domus")</f>
        <v>domus</v>
      </c>
      <c r="DL354" t="str">
        <f ca="1">IFERROR(__xludf.DUMMYFUNCTION("""COMPUTED_VALUE"""),"Davor Salihović")</f>
        <v>Davor Salihović</v>
      </c>
    </row>
    <row r="355" spans="1:116" ht="13.2" x14ac:dyDescent="0.25">
      <c r="A355" t="str">
        <f ca="1">IFERROR(__xludf.DUMMYFUNCTION("""COMPUTED_VALUE"""),"P0361")</f>
        <v>P0361</v>
      </c>
      <c r="B355" t="str">
        <f ca="1">IFERROR(__xludf.DUMMYFUNCTION("""COMPUTED_VALUE"""),"uxor Iohannis de Facio Ferrandi")</f>
        <v>uxor Iohannis de Facio Ferrandi</v>
      </c>
      <c r="D355" t="str">
        <f ca="1">IFERROR(__xludf.DUMMYFUNCTION("""COMPUTED_VALUE"""),"#VALUE!")</f>
        <v>#VALUE!</v>
      </c>
      <c r="E355" t="str">
        <f ca="1">IFERROR(__xludf.DUMMYFUNCTION("""COMPUTED_VALUE"""),"uxor Iohannis de Facio Ferrandi")</f>
        <v>uxor Iohannis de Facio Ferrandi</v>
      </c>
      <c r="Q355" t="str">
        <f ca="1">IFERROR(__xludf.DUMMYFUNCTION("""COMPUTED_VALUE"""),"uxor Iohannis de Facio Ferrandi")</f>
        <v>uxor Iohannis de Facio Ferrandi</v>
      </c>
      <c r="S355" t="str">
        <f ca="1">IFERROR(__xludf.DUMMYFUNCTION("""COMPUTED_VALUE"""),"Latin")</f>
        <v>Latin</v>
      </c>
      <c r="T355" t="str">
        <f ca="1">IFERROR(__xludf.DUMMYFUNCTION("""COMPUTED_VALUE"""),"definite")</f>
        <v>definite</v>
      </c>
      <c r="U355" t="str">
        <f ca="1">IFERROR(__xludf.DUMMYFUNCTION("""COMPUTED_VALUE"""),"C2552")</f>
        <v>C2552</v>
      </c>
      <c r="V355" t="str">
        <f ca="1">IFERROR(__xludf.DUMMYFUNCTION("""COMPUTED_VALUE"""),"female")</f>
        <v>female</v>
      </c>
      <c r="Z355" t="str">
        <f ca="1">IFERROR(__xludf.DUMMYFUNCTION("""COMPUTED_VALUE"""),"208, 209")</f>
        <v>208, 209</v>
      </c>
      <c r="AA355" t="str">
        <f ca="1">IFERROR(__xludf.DUMMYFUNCTION("""COMPUTED_VALUE"""),"d")</f>
        <v>d</v>
      </c>
      <c r="AB355" t="str">
        <f ca="1">IFERROR(__xludf.DUMMYFUNCTION("""COMPUTED_VALUE"""),"suspect")</f>
        <v>suspect</v>
      </c>
      <c r="AE355" t="str">
        <f ca="1">IFERROR(__xludf.DUMMYFUNCTION("""COMPUTED_VALUE"""),"#VALUE!")</f>
        <v>#VALUE!</v>
      </c>
      <c r="AF355" t="str">
        <f ca="1">IFERROR(__xludf.DUMMYFUNCTION("""COMPUTED_VALUE"""),"#N/A")</f>
        <v>#N/A</v>
      </c>
      <c r="AG355" t="str">
        <f ca="1">IFERROR(__xludf.DUMMYFUNCTION("""COMPUTED_VALUE"""),"#N/A")</f>
        <v>#N/A</v>
      </c>
      <c r="AI355" t="str">
        <f ca="1">IFERROR(__xludf.DUMMYFUNCTION("""COMPUTED_VALUE"""),"#VALUE!")</f>
        <v>#VALUE!</v>
      </c>
      <c r="AK355" t="str">
        <f ca="1">IFERROR(__xludf.DUMMYFUNCTION("""COMPUTED_VALUE"""),"#VALUE!")</f>
        <v>#VALUE!</v>
      </c>
      <c r="AM355" t="str">
        <f ca="1">IFERROR(__xludf.DUMMYFUNCTION("""COMPUTED_VALUE"""),"#VALUE!")</f>
        <v>#VALUE!</v>
      </c>
      <c r="AO355" t="str">
        <f ca="1">IFERROR(__xludf.DUMMYFUNCTION("""COMPUTED_VALUE"""),"#VALUE!")</f>
        <v>#VALUE!</v>
      </c>
      <c r="AQ355" t="str">
        <f ca="1">IFERROR(__xludf.DUMMYFUNCTION("""COMPUTED_VALUE"""),"#VALUE!")</f>
        <v>#VALUE!</v>
      </c>
      <c r="AS355" t="str">
        <f ca="1">IFERROR(__xludf.DUMMYFUNCTION("""COMPUTED_VALUE"""),"#VALUE!")</f>
        <v>#VALUE!</v>
      </c>
      <c r="AU355" t="str">
        <f ca="1">IFERROR(__xludf.DUMMYFUNCTION("""COMPUTED_VALUE"""),"#VALUE!")</f>
        <v>#VALUE!</v>
      </c>
      <c r="AW355" t="str">
        <f ca="1">IFERROR(__xludf.DUMMYFUNCTION("""COMPUTED_VALUE"""),"#VALUE!")</f>
        <v>#VALUE!</v>
      </c>
      <c r="AY355" t="str">
        <f ca="1">IFERROR(__xludf.DUMMYFUNCTION("""COMPUTED_VALUE"""),"#VALUE!")</f>
        <v>#VALUE!</v>
      </c>
      <c r="BA355" t="str">
        <f ca="1">IFERROR(__xludf.DUMMYFUNCTION("""COMPUTED_VALUE"""),"#VALUE!")</f>
        <v>#VALUE!</v>
      </c>
      <c r="BC355" t="str">
        <f ca="1">IFERROR(__xludf.DUMMYFUNCTION("""COMPUTED_VALUE"""),"#VALUE!")</f>
        <v>#VALUE!</v>
      </c>
      <c r="BE355" t="str">
        <f ca="1">IFERROR(__xludf.DUMMYFUNCTION("""COMPUTED_VALUE"""),"#VALUE!")</f>
        <v>#VALUE!</v>
      </c>
      <c r="BG355" t="str">
        <f ca="1">IFERROR(__xludf.DUMMYFUNCTION("""COMPUTED_VALUE"""),"#VALUE!")</f>
        <v>#VALUE!</v>
      </c>
      <c r="BI355" t="str">
        <f ca="1">IFERROR(__xludf.DUMMYFUNCTION("""COMPUTED_VALUE"""),"#VALUE!")</f>
        <v>#VALUE!</v>
      </c>
      <c r="BK355" t="str">
        <f ca="1">IFERROR(__xludf.DUMMYFUNCTION("""COMPUTED_VALUE"""),"#VALUE!")</f>
        <v>#VALUE!</v>
      </c>
      <c r="BM355" t="str">
        <f ca="1">IFERROR(__xludf.DUMMYFUNCTION("""COMPUTED_VALUE"""),"#VALUE!")</f>
        <v>#VALUE!</v>
      </c>
      <c r="BO355" t="str">
        <f ca="1">IFERROR(__xludf.DUMMYFUNCTION("""COMPUTED_VALUE"""),"#VALUE!")</f>
        <v>#VALUE!</v>
      </c>
      <c r="BQ355" t="str">
        <f ca="1">IFERROR(__xludf.DUMMYFUNCTION("""COMPUTED_VALUE"""),"#VALUE!")</f>
        <v>#VALUE!</v>
      </c>
      <c r="BS355" t="str">
        <f ca="1">IFERROR(__xludf.DUMMYFUNCTION("""COMPUTED_VALUE"""),"#VALUE!")</f>
        <v>#VALUE!</v>
      </c>
      <c r="BU355" t="str">
        <f ca="1">IFERROR(__xludf.DUMMYFUNCTION("""COMPUTED_VALUE"""),"#VALUE!")</f>
        <v>#VALUE!</v>
      </c>
      <c r="BW355" t="str">
        <f ca="1">IFERROR(__xludf.DUMMYFUNCTION("""COMPUTED_VALUE"""),"#VALUE!")</f>
        <v>#VALUE!</v>
      </c>
      <c r="BY355" t="str">
        <f ca="1">IFERROR(__xludf.DUMMYFUNCTION("""COMPUTED_VALUE"""),"#VALUE!")</f>
        <v>#VALUE!</v>
      </c>
      <c r="CA355" t="str">
        <f ca="1">IFERROR(__xludf.DUMMYFUNCTION("""COMPUTED_VALUE"""),"#VALUE!")</f>
        <v>#VALUE!</v>
      </c>
      <c r="CC355" t="str">
        <f ca="1">IFERROR(__xludf.DUMMYFUNCTION("""COMPUTED_VALUE"""),"#VALUE!")</f>
        <v>#VALUE!</v>
      </c>
      <c r="CD355" t="str">
        <f ca="1">IFERROR(__xludf.DUMMYFUNCTION("""COMPUTED_VALUE"""),"C3598")</f>
        <v>C3598</v>
      </c>
      <c r="CE355" t="str">
        <f ca="1">IFERROR(__xludf.DUMMYFUNCTION("""COMPUTED_VALUE"""),"location of congregation")</f>
        <v>location of congregation</v>
      </c>
      <c r="CF355" t="str">
        <f ca="1">IFERROR(__xludf.DUMMYFUNCTION("""COMPUTED_VALUE"""),"L0089")</f>
        <v>L0089</v>
      </c>
      <c r="CG355" t="str">
        <f ca="1">IFERROR(__xludf.DUMMYFUNCTION("""COMPUTED_VALUE"""),"domus Iohannis de Facio Ferrandi")</f>
        <v>domus Iohannis de Facio Ferrandi</v>
      </c>
      <c r="CI355" t="str">
        <f ca="1">IFERROR(__xludf.DUMMYFUNCTION("""COMPUTED_VALUE"""),"#VALUE!")</f>
        <v>#VALUE!</v>
      </c>
      <c r="CK355" t="str">
        <f ca="1">IFERROR(__xludf.DUMMYFUNCTION("""COMPUTED_VALUE"""),"#VALUE!")</f>
        <v>#VALUE!</v>
      </c>
      <c r="CS355" t="str">
        <f ca="1">IFERROR(__xludf.DUMMYFUNCTION("""COMPUTED_VALUE"""),"#VALUE!")</f>
        <v>#VALUE!</v>
      </c>
      <c r="CU355" t="str">
        <f ca="1">IFERROR(__xludf.DUMMYFUNCTION("""COMPUTED_VALUE"""),"#VALUE!")</f>
        <v>#VALUE!</v>
      </c>
      <c r="CW355" t="str">
        <f ca="1">IFERROR(__xludf.DUMMYFUNCTION("""COMPUTED_VALUE"""),"#VALUE!")</f>
        <v>#VALUE!</v>
      </c>
      <c r="CY355" t="str">
        <f ca="1">IFERROR(__xludf.DUMMYFUNCTION("""COMPUTED_VALUE"""),"#VALUE!")</f>
        <v>#VALUE!</v>
      </c>
      <c r="DC355" t="str">
        <f ca="1">IFERROR(__xludf.DUMMYFUNCTION("""COMPUTED_VALUE"""),"#VALUE!")</f>
        <v>#VALUE!</v>
      </c>
      <c r="DE355" t="str">
        <f ca="1">IFERROR(__xludf.DUMMYFUNCTION("""COMPUTED_VALUE"""),"#VALUE!")</f>
        <v>#VALUE!</v>
      </c>
      <c r="DH355" t="str">
        <f ca="1">IFERROR(__xludf.DUMMYFUNCTION("""COMPUTED_VALUE"""),"L0089")</f>
        <v>L0089</v>
      </c>
      <c r="DI355" t="str">
        <f ca="1">IFERROR(__xludf.DUMMYFUNCTION("""COMPUTED_VALUE"""),"domus Iohannis de Facio Ferrandi")</f>
        <v>domus Iohannis de Facio Ferrandi</v>
      </c>
      <c r="DJ355" t="str">
        <f ca="1">IFERROR(__xludf.DUMMYFUNCTION("""COMPUTED_VALUE"""),"domus")</f>
        <v>domus</v>
      </c>
      <c r="DL355" t="str">
        <f ca="1">IFERROR(__xludf.DUMMYFUNCTION("""COMPUTED_VALUE"""),"Davor Salihović")</f>
        <v>Davor Salihović</v>
      </c>
    </row>
    <row r="356" spans="1:116" ht="13.2" x14ac:dyDescent="0.25">
      <c r="A356" t="str">
        <f ca="1">IFERROR(__xludf.DUMMYFUNCTION("""COMPUTED_VALUE"""),"P0362")</f>
        <v>P0362</v>
      </c>
      <c r="B356" t="str">
        <f ca="1">IFERROR(__xludf.DUMMYFUNCTION("""COMPUTED_VALUE"""),"soror Iohannis de Facio Ferrandi")</f>
        <v>soror Iohannis de Facio Ferrandi</v>
      </c>
      <c r="D356" t="str">
        <f ca="1">IFERROR(__xludf.DUMMYFUNCTION("""COMPUTED_VALUE"""),"#VALUE!")</f>
        <v>#VALUE!</v>
      </c>
      <c r="E356" t="str">
        <f ca="1">IFERROR(__xludf.DUMMYFUNCTION("""COMPUTED_VALUE"""),"soror Iohannis de Facio Ferrandi")</f>
        <v>soror Iohannis de Facio Ferrandi</v>
      </c>
      <c r="Q356" t="str">
        <f ca="1">IFERROR(__xludf.DUMMYFUNCTION("""COMPUTED_VALUE"""),"soror Iohannis de Facio Ferrandi")</f>
        <v>soror Iohannis de Facio Ferrandi</v>
      </c>
      <c r="S356" t="str">
        <f ca="1">IFERROR(__xludf.DUMMYFUNCTION("""COMPUTED_VALUE"""),"Latin")</f>
        <v>Latin</v>
      </c>
      <c r="T356" t="str">
        <f ca="1">IFERROR(__xludf.DUMMYFUNCTION("""COMPUTED_VALUE"""),"indefinite")</f>
        <v>indefinite</v>
      </c>
      <c r="U356" t="str">
        <f ca="1">IFERROR(__xludf.DUMMYFUNCTION("""COMPUTED_VALUE"""),"C2552")</f>
        <v>C2552</v>
      </c>
      <c r="V356" t="str">
        <f ca="1">IFERROR(__xludf.DUMMYFUNCTION("""COMPUTED_VALUE"""),"female")</f>
        <v>female</v>
      </c>
      <c r="Z356" t="str">
        <f ca="1">IFERROR(__xludf.DUMMYFUNCTION("""COMPUTED_VALUE"""),"208")</f>
        <v>208</v>
      </c>
      <c r="AA356" t="str">
        <f ca="1">IFERROR(__xludf.DUMMYFUNCTION("""COMPUTED_VALUE"""),"d")</f>
        <v>d</v>
      </c>
      <c r="AB356" t="str">
        <f ca="1">IFERROR(__xludf.DUMMYFUNCTION("""COMPUTED_VALUE"""),"suspect")</f>
        <v>suspect</v>
      </c>
      <c r="AE356" t="str">
        <f ca="1">IFERROR(__xludf.DUMMYFUNCTION("""COMPUTED_VALUE"""),"#VALUE!")</f>
        <v>#VALUE!</v>
      </c>
      <c r="AF356" t="str">
        <f ca="1">IFERROR(__xludf.DUMMYFUNCTION("""COMPUTED_VALUE"""),"#N/A")</f>
        <v>#N/A</v>
      </c>
      <c r="AG356" t="str">
        <f ca="1">IFERROR(__xludf.DUMMYFUNCTION("""COMPUTED_VALUE"""),"#N/A")</f>
        <v>#N/A</v>
      </c>
      <c r="AI356" t="str">
        <f ca="1">IFERROR(__xludf.DUMMYFUNCTION("""COMPUTED_VALUE"""),"#VALUE!")</f>
        <v>#VALUE!</v>
      </c>
      <c r="AK356" t="str">
        <f ca="1">IFERROR(__xludf.DUMMYFUNCTION("""COMPUTED_VALUE"""),"#VALUE!")</f>
        <v>#VALUE!</v>
      </c>
      <c r="AM356" t="str">
        <f ca="1">IFERROR(__xludf.DUMMYFUNCTION("""COMPUTED_VALUE"""),"#VALUE!")</f>
        <v>#VALUE!</v>
      </c>
      <c r="AO356" t="str">
        <f ca="1">IFERROR(__xludf.DUMMYFUNCTION("""COMPUTED_VALUE"""),"#VALUE!")</f>
        <v>#VALUE!</v>
      </c>
      <c r="AQ356" t="str">
        <f ca="1">IFERROR(__xludf.DUMMYFUNCTION("""COMPUTED_VALUE"""),"#VALUE!")</f>
        <v>#VALUE!</v>
      </c>
      <c r="AS356" t="str">
        <f ca="1">IFERROR(__xludf.DUMMYFUNCTION("""COMPUTED_VALUE"""),"#VALUE!")</f>
        <v>#VALUE!</v>
      </c>
      <c r="AU356" t="str">
        <f ca="1">IFERROR(__xludf.DUMMYFUNCTION("""COMPUTED_VALUE"""),"#VALUE!")</f>
        <v>#VALUE!</v>
      </c>
      <c r="AW356" t="str">
        <f ca="1">IFERROR(__xludf.DUMMYFUNCTION("""COMPUTED_VALUE"""),"#VALUE!")</f>
        <v>#VALUE!</v>
      </c>
      <c r="AY356" t="str">
        <f ca="1">IFERROR(__xludf.DUMMYFUNCTION("""COMPUTED_VALUE"""),"#VALUE!")</f>
        <v>#VALUE!</v>
      </c>
      <c r="BA356" t="str">
        <f ca="1">IFERROR(__xludf.DUMMYFUNCTION("""COMPUTED_VALUE"""),"#VALUE!")</f>
        <v>#VALUE!</v>
      </c>
      <c r="BC356" t="str">
        <f ca="1">IFERROR(__xludf.DUMMYFUNCTION("""COMPUTED_VALUE"""),"#VALUE!")</f>
        <v>#VALUE!</v>
      </c>
      <c r="BE356" t="str">
        <f ca="1">IFERROR(__xludf.DUMMYFUNCTION("""COMPUTED_VALUE"""),"#VALUE!")</f>
        <v>#VALUE!</v>
      </c>
      <c r="BG356" t="str">
        <f ca="1">IFERROR(__xludf.DUMMYFUNCTION("""COMPUTED_VALUE"""),"#VALUE!")</f>
        <v>#VALUE!</v>
      </c>
      <c r="BI356" t="str">
        <f ca="1">IFERROR(__xludf.DUMMYFUNCTION("""COMPUTED_VALUE"""),"#VALUE!")</f>
        <v>#VALUE!</v>
      </c>
      <c r="BK356" t="str">
        <f ca="1">IFERROR(__xludf.DUMMYFUNCTION("""COMPUTED_VALUE"""),"#VALUE!")</f>
        <v>#VALUE!</v>
      </c>
      <c r="BM356" t="str">
        <f ca="1">IFERROR(__xludf.DUMMYFUNCTION("""COMPUTED_VALUE"""),"#VALUE!")</f>
        <v>#VALUE!</v>
      </c>
      <c r="BO356" t="str">
        <f ca="1">IFERROR(__xludf.DUMMYFUNCTION("""COMPUTED_VALUE"""),"#VALUE!")</f>
        <v>#VALUE!</v>
      </c>
      <c r="BQ356" t="str">
        <f ca="1">IFERROR(__xludf.DUMMYFUNCTION("""COMPUTED_VALUE"""),"#VALUE!")</f>
        <v>#VALUE!</v>
      </c>
      <c r="BS356" t="str">
        <f ca="1">IFERROR(__xludf.DUMMYFUNCTION("""COMPUTED_VALUE"""),"#VALUE!")</f>
        <v>#VALUE!</v>
      </c>
      <c r="BU356" t="str">
        <f ca="1">IFERROR(__xludf.DUMMYFUNCTION("""COMPUTED_VALUE"""),"#VALUE!")</f>
        <v>#VALUE!</v>
      </c>
      <c r="BW356" t="str">
        <f ca="1">IFERROR(__xludf.DUMMYFUNCTION("""COMPUTED_VALUE"""),"#VALUE!")</f>
        <v>#VALUE!</v>
      </c>
      <c r="BY356" t="str">
        <f ca="1">IFERROR(__xludf.DUMMYFUNCTION("""COMPUTED_VALUE"""),"#VALUE!")</f>
        <v>#VALUE!</v>
      </c>
      <c r="CA356" t="str">
        <f ca="1">IFERROR(__xludf.DUMMYFUNCTION("""COMPUTED_VALUE"""),"#VALUE!")</f>
        <v>#VALUE!</v>
      </c>
      <c r="CC356" t="str">
        <f ca="1">IFERROR(__xludf.DUMMYFUNCTION("""COMPUTED_VALUE"""),"#VALUE!")</f>
        <v>#VALUE!</v>
      </c>
      <c r="CD356" t="str">
        <f ca="1">IFERROR(__xludf.DUMMYFUNCTION("""COMPUTED_VALUE"""),"C3598")</f>
        <v>C3598</v>
      </c>
      <c r="CE356" t="str">
        <f ca="1">IFERROR(__xludf.DUMMYFUNCTION("""COMPUTED_VALUE"""),"location of congregation")</f>
        <v>location of congregation</v>
      </c>
      <c r="CF356" t="str">
        <f ca="1">IFERROR(__xludf.DUMMYFUNCTION("""COMPUTED_VALUE"""),"L0089")</f>
        <v>L0089</v>
      </c>
      <c r="CG356" t="str">
        <f ca="1">IFERROR(__xludf.DUMMYFUNCTION("""COMPUTED_VALUE"""),"domus Iohannis de Facio Ferrandi")</f>
        <v>domus Iohannis de Facio Ferrandi</v>
      </c>
      <c r="CI356" t="str">
        <f ca="1">IFERROR(__xludf.DUMMYFUNCTION("""COMPUTED_VALUE"""),"#VALUE!")</f>
        <v>#VALUE!</v>
      </c>
      <c r="CK356" t="str">
        <f ca="1">IFERROR(__xludf.DUMMYFUNCTION("""COMPUTED_VALUE"""),"#VALUE!")</f>
        <v>#VALUE!</v>
      </c>
      <c r="CS356" t="str">
        <f ca="1">IFERROR(__xludf.DUMMYFUNCTION("""COMPUTED_VALUE"""),"#VALUE!")</f>
        <v>#VALUE!</v>
      </c>
      <c r="CU356" t="str">
        <f ca="1">IFERROR(__xludf.DUMMYFUNCTION("""COMPUTED_VALUE"""),"#VALUE!")</f>
        <v>#VALUE!</v>
      </c>
      <c r="CW356" t="str">
        <f ca="1">IFERROR(__xludf.DUMMYFUNCTION("""COMPUTED_VALUE"""),"#VALUE!")</f>
        <v>#VALUE!</v>
      </c>
      <c r="CY356" t="str">
        <f ca="1">IFERROR(__xludf.DUMMYFUNCTION("""COMPUTED_VALUE"""),"#VALUE!")</f>
        <v>#VALUE!</v>
      </c>
      <c r="DC356" t="str">
        <f ca="1">IFERROR(__xludf.DUMMYFUNCTION("""COMPUTED_VALUE"""),"#VALUE!")</f>
        <v>#VALUE!</v>
      </c>
      <c r="DE356" t="str">
        <f ca="1">IFERROR(__xludf.DUMMYFUNCTION("""COMPUTED_VALUE"""),"#VALUE!")</f>
        <v>#VALUE!</v>
      </c>
      <c r="DH356" t="str">
        <f ca="1">IFERROR(__xludf.DUMMYFUNCTION("""COMPUTED_VALUE"""),"L0089")</f>
        <v>L0089</v>
      </c>
      <c r="DI356" t="str">
        <f ca="1">IFERROR(__xludf.DUMMYFUNCTION("""COMPUTED_VALUE"""),"domus Iohannis de Facio Ferrandi")</f>
        <v>domus Iohannis de Facio Ferrandi</v>
      </c>
      <c r="DJ356" t="str">
        <f ca="1">IFERROR(__xludf.DUMMYFUNCTION("""COMPUTED_VALUE"""),"domus")</f>
        <v>domus</v>
      </c>
      <c r="DL356" t="str">
        <f ca="1">IFERROR(__xludf.DUMMYFUNCTION("""COMPUTED_VALUE"""),"Davor Salihović")</f>
        <v>Davor Salihović</v>
      </c>
    </row>
    <row r="357" spans="1:116" ht="13.2" x14ac:dyDescent="0.25">
      <c r="A357" t="str">
        <f ca="1">IFERROR(__xludf.DUMMYFUNCTION("""COMPUTED_VALUE"""),"P0363")</f>
        <v>P0363</v>
      </c>
      <c r="B357" t="str">
        <f ca="1">IFERROR(__xludf.DUMMYFUNCTION("""COMPUTED_VALUE"""),"soror Iohannis de Facio Ferrandi")</f>
        <v>soror Iohannis de Facio Ferrandi</v>
      </c>
      <c r="D357" t="str">
        <f ca="1">IFERROR(__xludf.DUMMYFUNCTION("""COMPUTED_VALUE"""),"#VALUE!")</f>
        <v>#VALUE!</v>
      </c>
      <c r="E357" t="str">
        <f ca="1">IFERROR(__xludf.DUMMYFUNCTION("""COMPUTED_VALUE"""),"soror Iohannis de Facio Ferrandi")</f>
        <v>soror Iohannis de Facio Ferrandi</v>
      </c>
      <c r="Q357" t="str">
        <f ca="1">IFERROR(__xludf.DUMMYFUNCTION("""COMPUTED_VALUE"""),"soror Iohannis de Facio Ferrandi")</f>
        <v>soror Iohannis de Facio Ferrandi</v>
      </c>
      <c r="S357" t="str">
        <f ca="1">IFERROR(__xludf.DUMMYFUNCTION("""COMPUTED_VALUE"""),"Latin")</f>
        <v>Latin</v>
      </c>
      <c r="T357" t="str">
        <f ca="1">IFERROR(__xludf.DUMMYFUNCTION("""COMPUTED_VALUE"""),"indefinite")</f>
        <v>indefinite</v>
      </c>
      <c r="U357" t="str">
        <f ca="1">IFERROR(__xludf.DUMMYFUNCTION("""COMPUTED_VALUE"""),"C2552")</f>
        <v>C2552</v>
      </c>
      <c r="V357" t="str">
        <f ca="1">IFERROR(__xludf.DUMMYFUNCTION("""COMPUTED_VALUE"""),"female")</f>
        <v>female</v>
      </c>
      <c r="Z357" t="str">
        <f ca="1">IFERROR(__xludf.DUMMYFUNCTION("""COMPUTED_VALUE"""),"208")</f>
        <v>208</v>
      </c>
      <c r="AA357" t="str">
        <f ca="1">IFERROR(__xludf.DUMMYFUNCTION("""COMPUTED_VALUE"""),"d")</f>
        <v>d</v>
      </c>
      <c r="AB357" t="str">
        <f ca="1">IFERROR(__xludf.DUMMYFUNCTION("""COMPUTED_VALUE"""),"suspect")</f>
        <v>suspect</v>
      </c>
      <c r="AE357" t="str">
        <f ca="1">IFERROR(__xludf.DUMMYFUNCTION("""COMPUTED_VALUE"""),"#VALUE!")</f>
        <v>#VALUE!</v>
      </c>
      <c r="AF357" t="str">
        <f ca="1">IFERROR(__xludf.DUMMYFUNCTION("""COMPUTED_VALUE"""),"#N/A")</f>
        <v>#N/A</v>
      </c>
      <c r="AG357" t="str">
        <f ca="1">IFERROR(__xludf.DUMMYFUNCTION("""COMPUTED_VALUE"""),"#N/A")</f>
        <v>#N/A</v>
      </c>
      <c r="AI357" t="str">
        <f ca="1">IFERROR(__xludf.DUMMYFUNCTION("""COMPUTED_VALUE"""),"#VALUE!")</f>
        <v>#VALUE!</v>
      </c>
      <c r="AK357" t="str">
        <f ca="1">IFERROR(__xludf.DUMMYFUNCTION("""COMPUTED_VALUE"""),"#VALUE!")</f>
        <v>#VALUE!</v>
      </c>
      <c r="AM357" t="str">
        <f ca="1">IFERROR(__xludf.DUMMYFUNCTION("""COMPUTED_VALUE"""),"#VALUE!")</f>
        <v>#VALUE!</v>
      </c>
      <c r="AO357" t="str">
        <f ca="1">IFERROR(__xludf.DUMMYFUNCTION("""COMPUTED_VALUE"""),"#VALUE!")</f>
        <v>#VALUE!</v>
      </c>
      <c r="AQ357" t="str">
        <f ca="1">IFERROR(__xludf.DUMMYFUNCTION("""COMPUTED_VALUE"""),"#VALUE!")</f>
        <v>#VALUE!</v>
      </c>
      <c r="AS357" t="str">
        <f ca="1">IFERROR(__xludf.DUMMYFUNCTION("""COMPUTED_VALUE"""),"#VALUE!")</f>
        <v>#VALUE!</v>
      </c>
      <c r="AU357" t="str">
        <f ca="1">IFERROR(__xludf.DUMMYFUNCTION("""COMPUTED_VALUE"""),"#VALUE!")</f>
        <v>#VALUE!</v>
      </c>
      <c r="AW357" t="str">
        <f ca="1">IFERROR(__xludf.DUMMYFUNCTION("""COMPUTED_VALUE"""),"#VALUE!")</f>
        <v>#VALUE!</v>
      </c>
      <c r="AY357" t="str">
        <f ca="1">IFERROR(__xludf.DUMMYFUNCTION("""COMPUTED_VALUE"""),"#VALUE!")</f>
        <v>#VALUE!</v>
      </c>
      <c r="BA357" t="str">
        <f ca="1">IFERROR(__xludf.DUMMYFUNCTION("""COMPUTED_VALUE"""),"#VALUE!")</f>
        <v>#VALUE!</v>
      </c>
      <c r="BC357" t="str">
        <f ca="1">IFERROR(__xludf.DUMMYFUNCTION("""COMPUTED_VALUE"""),"#VALUE!")</f>
        <v>#VALUE!</v>
      </c>
      <c r="BE357" t="str">
        <f ca="1">IFERROR(__xludf.DUMMYFUNCTION("""COMPUTED_VALUE"""),"#VALUE!")</f>
        <v>#VALUE!</v>
      </c>
      <c r="BG357" t="str">
        <f ca="1">IFERROR(__xludf.DUMMYFUNCTION("""COMPUTED_VALUE"""),"#VALUE!")</f>
        <v>#VALUE!</v>
      </c>
      <c r="BI357" t="str">
        <f ca="1">IFERROR(__xludf.DUMMYFUNCTION("""COMPUTED_VALUE"""),"#VALUE!")</f>
        <v>#VALUE!</v>
      </c>
      <c r="BK357" t="str">
        <f ca="1">IFERROR(__xludf.DUMMYFUNCTION("""COMPUTED_VALUE"""),"#VALUE!")</f>
        <v>#VALUE!</v>
      </c>
      <c r="BM357" t="str">
        <f ca="1">IFERROR(__xludf.DUMMYFUNCTION("""COMPUTED_VALUE"""),"#VALUE!")</f>
        <v>#VALUE!</v>
      </c>
      <c r="BO357" t="str">
        <f ca="1">IFERROR(__xludf.DUMMYFUNCTION("""COMPUTED_VALUE"""),"#VALUE!")</f>
        <v>#VALUE!</v>
      </c>
      <c r="BQ357" t="str">
        <f ca="1">IFERROR(__xludf.DUMMYFUNCTION("""COMPUTED_VALUE"""),"#VALUE!")</f>
        <v>#VALUE!</v>
      </c>
      <c r="BS357" t="str">
        <f ca="1">IFERROR(__xludf.DUMMYFUNCTION("""COMPUTED_VALUE"""),"#VALUE!")</f>
        <v>#VALUE!</v>
      </c>
      <c r="BU357" t="str">
        <f ca="1">IFERROR(__xludf.DUMMYFUNCTION("""COMPUTED_VALUE"""),"#VALUE!")</f>
        <v>#VALUE!</v>
      </c>
      <c r="BW357" t="str">
        <f ca="1">IFERROR(__xludf.DUMMYFUNCTION("""COMPUTED_VALUE"""),"#VALUE!")</f>
        <v>#VALUE!</v>
      </c>
      <c r="BY357" t="str">
        <f ca="1">IFERROR(__xludf.DUMMYFUNCTION("""COMPUTED_VALUE"""),"#VALUE!")</f>
        <v>#VALUE!</v>
      </c>
      <c r="CA357" t="str">
        <f ca="1">IFERROR(__xludf.DUMMYFUNCTION("""COMPUTED_VALUE"""),"#VALUE!")</f>
        <v>#VALUE!</v>
      </c>
      <c r="CC357" t="str">
        <f ca="1">IFERROR(__xludf.DUMMYFUNCTION("""COMPUTED_VALUE"""),"#VALUE!")</f>
        <v>#VALUE!</v>
      </c>
      <c r="CD357" t="str">
        <f ca="1">IFERROR(__xludf.DUMMYFUNCTION("""COMPUTED_VALUE"""),"C3598")</f>
        <v>C3598</v>
      </c>
      <c r="CE357" t="str">
        <f ca="1">IFERROR(__xludf.DUMMYFUNCTION("""COMPUTED_VALUE"""),"location of congregation")</f>
        <v>location of congregation</v>
      </c>
      <c r="CF357" t="str">
        <f ca="1">IFERROR(__xludf.DUMMYFUNCTION("""COMPUTED_VALUE"""),"L0089")</f>
        <v>L0089</v>
      </c>
      <c r="CG357" t="str">
        <f ca="1">IFERROR(__xludf.DUMMYFUNCTION("""COMPUTED_VALUE"""),"domus Iohannis de Facio Ferrandi")</f>
        <v>domus Iohannis de Facio Ferrandi</v>
      </c>
      <c r="CI357" t="str">
        <f ca="1">IFERROR(__xludf.DUMMYFUNCTION("""COMPUTED_VALUE"""),"#VALUE!")</f>
        <v>#VALUE!</v>
      </c>
      <c r="CK357" t="str">
        <f ca="1">IFERROR(__xludf.DUMMYFUNCTION("""COMPUTED_VALUE"""),"#VALUE!")</f>
        <v>#VALUE!</v>
      </c>
      <c r="CS357" t="str">
        <f ca="1">IFERROR(__xludf.DUMMYFUNCTION("""COMPUTED_VALUE"""),"#VALUE!")</f>
        <v>#VALUE!</v>
      </c>
      <c r="CU357" t="str">
        <f ca="1">IFERROR(__xludf.DUMMYFUNCTION("""COMPUTED_VALUE"""),"#VALUE!")</f>
        <v>#VALUE!</v>
      </c>
      <c r="CW357" t="str">
        <f ca="1">IFERROR(__xludf.DUMMYFUNCTION("""COMPUTED_VALUE"""),"#VALUE!")</f>
        <v>#VALUE!</v>
      </c>
      <c r="CY357" t="str">
        <f ca="1">IFERROR(__xludf.DUMMYFUNCTION("""COMPUTED_VALUE"""),"#VALUE!")</f>
        <v>#VALUE!</v>
      </c>
      <c r="DC357" t="str">
        <f ca="1">IFERROR(__xludf.DUMMYFUNCTION("""COMPUTED_VALUE"""),"#VALUE!")</f>
        <v>#VALUE!</v>
      </c>
      <c r="DE357" t="str">
        <f ca="1">IFERROR(__xludf.DUMMYFUNCTION("""COMPUTED_VALUE"""),"#VALUE!")</f>
        <v>#VALUE!</v>
      </c>
      <c r="DH357" t="str">
        <f ca="1">IFERROR(__xludf.DUMMYFUNCTION("""COMPUTED_VALUE"""),"L0089")</f>
        <v>L0089</v>
      </c>
      <c r="DI357" t="str">
        <f ca="1">IFERROR(__xludf.DUMMYFUNCTION("""COMPUTED_VALUE"""),"domus Iohannis de Facio Ferrandi")</f>
        <v>domus Iohannis de Facio Ferrandi</v>
      </c>
      <c r="DJ357" t="str">
        <f ca="1">IFERROR(__xludf.DUMMYFUNCTION("""COMPUTED_VALUE"""),"domus")</f>
        <v>domus</v>
      </c>
      <c r="DL357" t="str">
        <f ca="1">IFERROR(__xludf.DUMMYFUNCTION("""COMPUTED_VALUE"""),"Davor Salihović")</f>
        <v>Davor Salihović</v>
      </c>
    </row>
    <row r="358" spans="1:116" ht="13.2" x14ac:dyDescent="0.25">
      <c r="A358" t="str">
        <f ca="1">IFERROR(__xludf.DUMMYFUNCTION("""COMPUTED_VALUE"""),"P0364")</f>
        <v>P0364</v>
      </c>
      <c r="B358" t="str">
        <f ca="1">IFERROR(__xludf.DUMMYFUNCTION("""COMPUTED_VALUE"""),"quidam homo")</f>
        <v>quidam homo</v>
      </c>
      <c r="D358" t="str">
        <f ca="1">IFERROR(__xludf.DUMMYFUNCTION("""COMPUTED_VALUE"""),"#VALUE!")</f>
        <v>#VALUE!</v>
      </c>
      <c r="E358" t="str">
        <f ca="1">IFERROR(__xludf.DUMMYFUNCTION("""COMPUTED_VALUE"""),"quidam homo")</f>
        <v>quidam homo</v>
      </c>
      <c r="Q358" t="str">
        <f ca="1">IFERROR(__xludf.DUMMYFUNCTION("""COMPUTED_VALUE"""),"quidam homo")</f>
        <v>quidam homo</v>
      </c>
      <c r="S358" t="str">
        <f ca="1">IFERROR(__xludf.DUMMYFUNCTION("""COMPUTED_VALUE"""),"Latin")</f>
        <v>Latin</v>
      </c>
      <c r="T358" t="str">
        <f ca="1">IFERROR(__xludf.DUMMYFUNCTION("""COMPUTED_VALUE"""),"indefinite")</f>
        <v>indefinite</v>
      </c>
      <c r="U358" t="str">
        <f ca="1">IFERROR(__xludf.DUMMYFUNCTION("""COMPUTED_VALUE"""),"C2553")</f>
        <v>C2553</v>
      </c>
      <c r="V358" t="str">
        <f ca="1">IFERROR(__xludf.DUMMYFUNCTION("""COMPUTED_VALUE"""),"male")</f>
        <v>male</v>
      </c>
      <c r="Z358" t="str">
        <f ca="1">IFERROR(__xludf.DUMMYFUNCTION("""COMPUTED_VALUE"""),"210, 244")</f>
        <v>210, 244</v>
      </c>
      <c r="AA358" t="str">
        <f ca="1">IFERROR(__xludf.DUMMYFUNCTION("""COMPUTED_VALUE"""),"d")</f>
        <v>d</v>
      </c>
      <c r="AB358" t="str">
        <f ca="1">IFERROR(__xludf.DUMMYFUNCTION("""COMPUTED_VALUE"""),"NA")</f>
        <v>NA</v>
      </c>
      <c r="AE358" t="str">
        <f ca="1">IFERROR(__xludf.DUMMYFUNCTION("""COMPUTED_VALUE"""),"#VALUE!")</f>
        <v>#VALUE!</v>
      </c>
      <c r="AF358" t="str">
        <f ca="1">IFERROR(__xludf.DUMMYFUNCTION("""COMPUTED_VALUE"""),"#N/A")</f>
        <v>#N/A</v>
      </c>
      <c r="AG358" t="str">
        <f ca="1">IFERROR(__xludf.DUMMYFUNCTION("""COMPUTED_VALUE"""),"#N/A")</f>
        <v>#N/A</v>
      </c>
      <c r="AI358" t="str">
        <f ca="1">IFERROR(__xludf.DUMMYFUNCTION("""COMPUTED_VALUE"""),"#VALUE!")</f>
        <v>#VALUE!</v>
      </c>
      <c r="AK358" t="str">
        <f ca="1">IFERROR(__xludf.DUMMYFUNCTION("""COMPUTED_VALUE"""),"#VALUE!")</f>
        <v>#VALUE!</v>
      </c>
      <c r="AM358" t="str">
        <f ca="1">IFERROR(__xludf.DUMMYFUNCTION("""COMPUTED_VALUE"""),"#VALUE!")</f>
        <v>#VALUE!</v>
      </c>
      <c r="AO358" t="str">
        <f ca="1">IFERROR(__xludf.DUMMYFUNCTION("""COMPUTED_VALUE"""),"#VALUE!")</f>
        <v>#VALUE!</v>
      </c>
      <c r="AQ358" t="str">
        <f ca="1">IFERROR(__xludf.DUMMYFUNCTION("""COMPUTED_VALUE"""),"#VALUE!")</f>
        <v>#VALUE!</v>
      </c>
      <c r="AS358" t="str">
        <f ca="1">IFERROR(__xludf.DUMMYFUNCTION("""COMPUTED_VALUE"""),"#VALUE!")</f>
        <v>#VALUE!</v>
      </c>
      <c r="AU358" t="str">
        <f ca="1">IFERROR(__xludf.DUMMYFUNCTION("""COMPUTED_VALUE"""),"#VALUE!")</f>
        <v>#VALUE!</v>
      </c>
      <c r="AW358" t="str">
        <f ca="1">IFERROR(__xludf.DUMMYFUNCTION("""COMPUTED_VALUE"""),"#VALUE!")</f>
        <v>#VALUE!</v>
      </c>
      <c r="AY358" t="str">
        <f ca="1">IFERROR(__xludf.DUMMYFUNCTION("""COMPUTED_VALUE"""),"#VALUE!")</f>
        <v>#VALUE!</v>
      </c>
      <c r="BA358" t="str">
        <f ca="1">IFERROR(__xludf.DUMMYFUNCTION("""COMPUTED_VALUE"""),"#VALUE!")</f>
        <v>#VALUE!</v>
      </c>
      <c r="BC358" t="str">
        <f ca="1">IFERROR(__xludf.DUMMYFUNCTION("""COMPUTED_VALUE"""),"#VALUE!")</f>
        <v>#VALUE!</v>
      </c>
      <c r="BE358" t="str">
        <f ca="1">IFERROR(__xludf.DUMMYFUNCTION("""COMPUTED_VALUE"""),"#VALUE!")</f>
        <v>#VALUE!</v>
      </c>
      <c r="BG358" t="str">
        <f ca="1">IFERROR(__xludf.DUMMYFUNCTION("""COMPUTED_VALUE"""),"#VALUE!")</f>
        <v>#VALUE!</v>
      </c>
      <c r="BI358" t="str">
        <f ca="1">IFERROR(__xludf.DUMMYFUNCTION("""COMPUTED_VALUE"""),"#VALUE!")</f>
        <v>#VALUE!</v>
      </c>
      <c r="BK358" t="str">
        <f ca="1">IFERROR(__xludf.DUMMYFUNCTION("""COMPUTED_VALUE"""),"#VALUE!")</f>
        <v>#VALUE!</v>
      </c>
      <c r="BM358" t="str">
        <f ca="1">IFERROR(__xludf.DUMMYFUNCTION("""COMPUTED_VALUE"""),"#VALUE!")</f>
        <v>#VALUE!</v>
      </c>
      <c r="BO358" t="str">
        <f ca="1">IFERROR(__xludf.DUMMYFUNCTION("""COMPUTED_VALUE"""),"#VALUE!")</f>
        <v>#VALUE!</v>
      </c>
      <c r="BQ358" t="str">
        <f ca="1">IFERROR(__xludf.DUMMYFUNCTION("""COMPUTED_VALUE"""),"#VALUE!")</f>
        <v>#VALUE!</v>
      </c>
      <c r="BS358" t="str">
        <f ca="1">IFERROR(__xludf.DUMMYFUNCTION("""COMPUTED_VALUE"""),"#VALUE!")</f>
        <v>#VALUE!</v>
      </c>
      <c r="BU358" t="str">
        <f ca="1">IFERROR(__xludf.DUMMYFUNCTION("""COMPUTED_VALUE"""),"#VALUE!")</f>
        <v>#VALUE!</v>
      </c>
      <c r="BW358" t="str">
        <f ca="1">IFERROR(__xludf.DUMMYFUNCTION("""COMPUTED_VALUE"""),"#VALUE!")</f>
        <v>#VALUE!</v>
      </c>
      <c r="BY358" t="str">
        <f ca="1">IFERROR(__xludf.DUMMYFUNCTION("""COMPUTED_VALUE"""),"#VALUE!")</f>
        <v>#VALUE!</v>
      </c>
      <c r="CA358" t="str">
        <f ca="1">IFERROR(__xludf.DUMMYFUNCTION("""COMPUTED_VALUE"""),"#VALUE!")</f>
        <v>#VALUE!</v>
      </c>
      <c r="CC358" t="str">
        <f ca="1">IFERROR(__xludf.DUMMYFUNCTION("""COMPUTED_VALUE"""),"#VALUE!")</f>
        <v>#VALUE!</v>
      </c>
      <c r="CD358" t="str">
        <f ca="1">IFERROR(__xludf.DUMMYFUNCTION("""COMPUTED_VALUE"""),"C3598")</f>
        <v>C3598</v>
      </c>
      <c r="CE358" t="str">
        <f ca="1">IFERROR(__xludf.DUMMYFUNCTION("""COMPUTED_VALUE"""),"location of congregation")</f>
        <v>location of congregation</v>
      </c>
      <c r="CF358" t="str">
        <f ca="1">IFERROR(__xludf.DUMMYFUNCTION("""COMPUTED_VALUE"""),"L0089#L0068#L0111#L0112")</f>
        <v>L0089#L0068#L0111#L0112</v>
      </c>
      <c r="CG358" t="str">
        <f ca="1">IFERROR(__xludf.DUMMYFUNCTION("""COMPUTED_VALUE"""),"domus Iohannis de Facio Ferrandi #domus Vieti de Mondino #domus Villelmi de Oddo in Villa #tectum Thome de Iohanne Iordani")</f>
        <v>domus Iohannis de Facio Ferrandi #domus Vieti de Mondino #domus Villelmi de Oddo in Villa #tectum Thome de Iohanne Iordani</v>
      </c>
      <c r="CI358" t="str">
        <f ca="1">IFERROR(__xludf.DUMMYFUNCTION("""COMPUTED_VALUE"""),"#VALUE!")</f>
        <v>#VALUE!</v>
      </c>
      <c r="CK358" t="str">
        <f ca="1">IFERROR(__xludf.DUMMYFUNCTION("""COMPUTED_VALUE"""),"#VALUE!")</f>
        <v>#VALUE!</v>
      </c>
      <c r="CS358" t="str">
        <f ca="1">IFERROR(__xludf.DUMMYFUNCTION("""COMPUTED_VALUE"""),"#VALUE!")</f>
        <v>#VALUE!</v>
      </c>
      <c r="CU358" t="str">
        <f ca="1">IFERROR(__xludf.DUMMYFUNCTION("""COMPUTED_VALUE"""),"#VALUE!")</f>
        <v>#VALUE!</v>
      </c>
      <c r="CW358" t="str">
        <f ca="1">IFERROR(__xludf.DUMMYFUNCTION("""COMPUTED_VALUE"""),"#VALUE!")</f>
        <v>#VALUE!</v>
      </c>
      <c r="CX358" t="str">
        <f ca="1">IFERROR(__xludf.DUMMYFUNCTION("""COMPUTED_VALUE"""),"C3197")</f>
        <v>C3197</v>
      </c>
      <c r="CY358" t="str">
        <f ca="1">IFERROR(__xludf.DUMMYFUNCTION("""COMPUTED_VALUE"""),"Valdensis")</f>
        <v>Valdensis</v>
      </c>
      <c r="DA358" t="str">
        <f ca="1">IFERROR(__xludf.DUMMYFUNCTION("""COMPUTED_VALUE"""),"dissident minister")</f>
        <v>dissident minister</v>
      </c>
      <c r="DC358" t="str">
        <f ca="1">IFERROR(__xludf.DUMMYFUNCTION("""COMPUTED_VALUE"""),"#VALUE!")</f>
        <v>#VALUE!</v>
      </c>
      <c r="DD358" t="str">
        <f ca="1">IFERROR(__xludf.DUMMYFUNCTION("""COMPUTED_VALUE"""),"C3197")</f>
        <v>C3197</v>
      </c>
      <c r="DE358" t="str">
        <f ca="1">IFERROR(__xludf.DUMMYFUNCTION("""COMPUTED_VALUE"""),"Valdensis")</f>
        <v>Valdensis</v>
      </c>
      <c r="DH358" t="str">
        <f ca="1">IFERROR(__xludf.DUMMYFUNCTION("""COMPUTED_VALUE"""),"L0089#L0068#L0111#L0112")</f>
        <v>L0089#L0068#L0111#L0112</v>
      </c>
      <c r="DI358" t="str">
        <f ca="1">IFERROR(__xludf.DUMMYFUNCTION("""COMPUTED_VALUE"""),"domus Iohannis de Facio Ferrandi #domus Vieti de Mondino #domus Villelmi de Oddo in Villa #tectum Thome de Iohanne Iordani")</f>
        <v>domus Iohannis de Facio Ferrandi #domus Vieti de Mondino #domus Villelmi de Oddo in Villa #tectum Thome de Iohanne Iordani</v>
      </c>
      <c r="DJ358" t="str">
        <f ca="1">IFERROR(__xludf.DUMMYFUNCTION("""COMPUTED_VALUE"""),"domus #domus #domus #building")</f>
        <v>domus #domus #domus #building</v>
      </c>
      <c r="DL358" t="str">
        <f ca="1">IFERROR(__xludf.DUMMYFUNCTION("""COMPUTED_VALUE"""),"Davor Salihović")</f>
        <v>Davor Salihović</v>
      </c>
    </row>
    <row r="359" spans="1:116" ht="13.2" x14ac:dyDescent="0.25">
      <c r="A359" t="str">
        <f ca="1">IFERROR(__xludf.DUMMYFUNCTION("""COMPUTED_VALUE"""),"P0365")</f>
        <v>P0365</v>
      </c>
      <c r="B359" t="str">
        <f ca="1">IFERROR(__xludf.DUMMYFUNCTION("""COMPUTED_VALUE"""),"Petrus de Cordono")</f>
        <v>Petrus de Cordono</v>
      </c>
      <c r="D359" t="str">
        <f ca="1">IFERROR(__xludf.DUMMYFUNCTION("""COMPUTED_VALUE"""),"#VALUE!")</f>
        <v>#VALUE!</v>
      </c>
      <c r="E359" t="str">
        <f ca="1">IFERROR(__xludf.DUMMYFUNCTION("""COMPUTED_VALUE"""),"Petrus")</f>
        <v>Petrus</v>
      </c>
      <c r="J359" t="str">
        <f ca="1">IFERROR(__xludf.DUMMYFUNCTION("""COMPUTED_VALUE"""),"de")</f>
        <v>de</v>
      </c>
      <c r="K359" t="str">
        <f ca="1">IFERROR(__xludf.DUMMYFUNCTION("""COMPUTED_VALUE"""),"Cordono")</f>
        <v>Cordono</v>
      </c>
      <c r="L359" t="str">
        <f ca="1">IFERROR(__xludf.DUMMYFUNCTION("""COMPUTED_VALUE"""),"de Cordono")</f>
        <v>de Cordono</v>
      </c>
      <c r="S359" t="str">
        <f ca="1">IFERROR(__xludf.DUMMYFUNCTION("""COMPUTED_VALUE"""),"Latin")</f>
        <v>Latin</v>
      </c>
      <c r="T359" t="str">
        <f ca="1">IFERROR(__xludf.DUMMYFUNCTION("""COMPUTED_VALUE"""),"definite")</f>
        <v>definite</v>
      </c>
      <c r="U359" t="str">
        <f ca="1">IFERROR(__xludf.DUMMYFUNCTION("""COMPUTED_VALUE"""),"C2553")</f>
        <v>C2553</v>
      </c>
      <c r="V359" t="str">
        <f ca="1">IFERROR(__xludf.DUMMYFUNCTION("""COMPUTED_VALUE"""),"male")</f>
        <v>male</v>
      </c>
      <c r="Z359" t="str">
        <f ca="1">IFERROR(__xludf.DUMMYFUNCTION("""COMPUTED_VALUE"""),"210")</f>
        <v>210</v>
      </c>
      <c r="AA359" t="str">
        <f ca="1">IFERROR(__xludf.DUMMYFUNCTION("""COMPUTED_VALUE"""),"i")</f>
        <v>i</v>
      </c>
      <c r="AB359" t="str">
        <f ca="1">IFERROR(__xludf.DUMMYFUNCTION("""COMPUTED_VALUE"""),"assessor")</f>
        <v>assessor</v>
      </c>
      <c r="AD359" t="str">
        <f ca="1">IFERROR(__xludf.DUMMYFUNCTION("""COMPUTED_VALUE"""),"C3287")</f>
        <v>C3287</v>
      </c>
      <c r="AE359" t="str">
        <f ca="1">IFERROR(__xludf.DUMMYFUNCTION("""COMPUTED_VALUE"""),"alive")</f>
        <v>alive</v>
      </c>
      <c r="AF359" t="str">
        <f ca="1">IFERROR(__xludf.DUMMYFUNCTION("""COMPUTED_VALUE"""),"C1753")</f>
        <v>C1753</v>
      </c>
      <c r="AG359" t="str">
        <f ca="1">IFERROR(__xludf.DUMMYFUNCTION("""COMPUTED_VALUE"""),"1335-01-20")</f>
        <v>1335-01-20</v>
      </c>
      <c r="AI359" t="str">
        <f ca="1">IFERROR(__xludf.DUMMYFUNCTION("""COMPUTED_VALUE"""),"#VALUE!")</f>
        <v>#VALUE!</v>
      </c>
      <c r="AK359" t="str">
        <f ca="1">IFERROR(__xludf.DUMMYFUNCTION("""COMPUTED_VALUE"""),"#VALUE!")</f>
        <v>#VALUE!</v>
      </c>
      <c r="AM359" t="str">
        <f ca="1">IFERROR(__xludf.DUMMYFUNCTION("""COMPUTED_VALUE"""),"#VALUE!")</f>
        <v>#VALUE!</v>
      </c>
      <c r="AO359" t="str">
        <f ca="1">IFERROR(__xludf.DUMMYFUNCTION("""COMPUTED_VALUE"""),"#VALUE!")</f>
        <v>#VALUE!</v>
      </c>
      <c r="AQ359" t="str">
        <f ca="1">IFERROR(__xludf.DUMMYFUNCTION("""COMPUTED_VALUE"""),"#VALUE!")</f>
        <v>#VALUE!</v>
      </c>
      <c r="AS359" t="str">
        <f ca="1">IFERROR(__xludf.DUMMYFUNCTION("""COMPUTED_VALUE"""),"#VALUE!")</f>
        <v>#VALUE!</v>
      </c>
      <c r="AU359" t="str">
        <f ca="1">IFERROR(__xludf.DUMMYFUNCTION("""COMPUTED_VALUE"""),"#VALUE!")</f>
        <v>#VALUE!</v>
      </c>
      <c r="AW359" t="str">
        <f ca="1">IFERROR(__xludf.DUMMYFUNCTION("""COMPUTED_VALUE"""),"#VALUE!")</f>
        <v>#VALUE!</v>
      </c>
      <c r="AY359" t="str">
        <f ca="1">IFERROR(__xludf.DUMMYFUNCTION("""COMPUTED_VALUE"""),"#VALUE!")</f>
        <v>#VALUE!</v>
      </c>
      <c r="BA359" t="str">
        <f ca="1">IFERROR(__xludf.DUMMYFUNCTION("""COMPUTED_VALUE"""),"#VALUE!")</f>
        <v>#VALUE!</v>
      </c>
      <c r="BC359" t="str">
        <f ca="1">IFERROR(__xludf.DUMMYFUNCTION("""COMPUTED_VALUE"""),"#VALUE!")</f>
        <v>#VALUE!</v>
      </c>
      <c r="BE359" t="str">
        <f ca="1">IFERROR(__xludf.DUMMYFUNCTION("""COMPUTED_VALUE"""),"#VALUE!")</f>
        <v>#VALUE!</v>
      </c>
      <c r="BG359" t="str">
        <f ca="1">IFERROR(__xludf.DUMMYFUNCTION("""COMPUTED_VALUE"""),"#VALUE!")</f>
        <v>#VALUE!</v>
      </c>
      <c r="BI359" t="str">
        <f ca="1">IFERROR(__xludf.DUMMYFUNCTION("""COMPUTED_VALUE"""),"#VALUE!")</f>
        <v>#VALUE!</v>
      </c>
      <c r="BK359" t="str">
        <f ca="1">IFERROR(__xludf.DUMMYFUNCTION("""COMPUTED_VALUE"""),"#VALUE!")</f>
        <v>#VALUE!</v>
      </c>
      <c r="BM359" t="str">
        <f ca="1">IFERROR(__xludf.DUMMYFUNCTION("""COMPUTED_VALUE"""),"#VALUE!")</f>
        <v>#VALUE!</v>
      </c>
      <c r="BO359" t="str">
        <f ca="1">IFERROR(__xludf.DUMMYFUNCTION("""COMPUTED_VALUE"""),"#VALUE!")</f>
        <v>#VALUE!</v>
      </c>
      <c r="BQ359" t="str">
        <f ca="1">IFERROR(__xludf.DUMMYFUNCTION("""COMPUTED_VALUE"""),"#VALUE!")</f>
        <v>#VALUE!</v>
      </c>
      <c r="BS359" t="str">
        <f ca="1">IFERROR(__xludf.DUMMYFUNCTION("""COMPUTED_VALUE"""),"#VALUE!")</f>
        <v>#VALUE!</v>
      </c>
      <c r="BU359" t="str">
        <f ca="1">IFERROR(__xludf.DUMMYFUNCTION("""COMPUTED_VALUE"""),"#VALUE!")</f>
        <v>#VALUE!</v>
      </c>
      <c r="BW359" t="str">
        <f ca="1">IFERROR(__xludf.DUMMYFUNCTION("""COMPUTED_VALUE"""),"#VALUE!")</f>
        <v>#VALUE!</v>
      </c>
      <c r="BY359" t="str">
        <f ca="1">IFERROR(__xludf.DUMMYFUNCTION("""COMPUTED_VALUE"""),"#VALUE!")</f>
        <v>#VALUE!</v>
      </c>
      <c r="CA359" t="str">
        <f ca="1">IFERROR(__xludf.DUMMYFUNCTION("""COMPUTED_VALUE"""),"#VALUE!")</f>
        <v>#VALUE!</v>
      </c>
      <c r="CC359" t="str">
        <f ca="1">IFERROR(__xludf.DUMMYFUNCTION("""COMPUTED_VALUE"""),"#VALUE!")</f>
        <v>#VALUE!</v>
      </c>
      <c r="CE359" t="str">
        <f ca="1">IFERROR(__xludf.DUMMYFUNCTION("""COMPUTED_VALUE"""),"#VALUE!")</f>
        <v>#VALUE!</v>
      </c>
      <c r="CG359" t="str">
        <f ca="1">IFERROR(__xludf.DUMMYFUNCTION("""COMPUTED_VALUE"""),"#VALUE!")</f>
        <v>#VALUE!</v>
      </c>
      <c r="CI359" t="str">
        <f ca="1">IFERROR(__xludf.DUMMYFUNCTION("""COMPUTED_VALUE"""),"#VALUE!")</f>
        <v>#VALUE!</v>
      </c>
      <c r="CK359" t="str">
        <f ca="1">IFERROR(__xludf.DUMMYFUNCTION("""COMPUTED_VALUE"""),"#VALUE!")</f>
        <v>#VALUE!</v>
      </c>
      <c r="CS359" t="str">
        <f ca="1">IFERROR(__xludf.DUMMYFUNCTION("""COMPUTED_VALUE"""),"#VALUE!")</f>
        <v>#VALUE!</v>
      </c>
      <c r="CU359" t="str">
        <f ca="1">IFERROR(__xludf.DUMMYFUNCTION("""COMPUTED_VALUE"""),"#VALUE!")</f>
        <v>#VALUE!</v>
      </c>
      <c r="CW359" t="str">
        <f ca="1">IFERROR(__xludf.DUMMYFUNCTION("""COMPUTED_VALUE"""),"#VALUE!")</f>
        <v>#VALUE!</v>
      </c>
      <c r="CY359" t="str">
        <f ca="1">IFERROR(__xludf.DUMMYFUNCTION("""COMPUTED_VALUE"""),"#VALUE!")</f>
        <v>#VALUE!</v>
      </c>
      <c r="DC359" t="str">
        <f ca="1">IFERROR(__xludf.DUMMYFUNCTION("""COMPUTED_VALUE"""),"#VALUE!")</f>
        <v>#VALUE!</v>
      </c>
      <c r="DE359" t="str">
        <f ca="1">IFERROR(__xludf.DUMMYFUNCTION("""COMPUTED_VALUE"""),"#VALUE!")</f>
        <v>#VALUE!</v>
      </c>
      <c r="DI359" t="str">
        <f ca="1">IFERROR(__xludf.DUMMYFUNCTION("""COMPUTED_VALUE"""),"#VALUE!")</f>
        <v>#VALUE!</v>
      </c>
      <c r="DJ359" t="str">
        <f ca="1">IFERROR(__xludf.DUMMYFUNCTION("""COMPUTED_VALUE"""),"#VALUE!")</f>
        <v>#VALUE!</v>
      </c>
      <c r="DL359" t="str">
        <f ca="1">IFERROR(__xludf.DUMMYFUNCTION("""COMPUTED_VALUE"""),"Davor Salihović")</f>
        <v>Davor Salihović</v>
      </c>
    </row>
    <row r="360" spans="1:116" ht="13.2" x14ac:dyDescent="0.25">
      <c r="A360" t="str">
        <f ca="1">IFERROR(__xludf.DUMMYFUNCTION("""COMPUTED_VALUE"""),"P0367")</f>
        <v>P0367</v>
      </c>
      <c r="B360" t="str">
        <f ca="1">IFERROR(__xludf.DUMMYFUNCTION("""COMPUTED_VALUE"""),"quidam de Covaciis")</f>
        <v>quidam de Covaciis</v>
      </c>
      <c r="D360" t="str">
        <f ca="1">IFERROR(__xludf.DUMMYFUNCTION("""COMPUTED_VALUE"""),"#VALUE!")</f>
        <v>#VALUE!</v>
      </c>
      <c r="E360" t="str">
        <f ca="1">IFERROR(__xludf.DUMMYFUNCTION("""COMPUTED_VALUE"""),"quidam de Covaciis")</f>
        <v>quidam de Covaciis</v>
      </c>
      <c r="Q360" t="str">
        <f ca="1">IFERROR(__xludf.DUMMYFUNCTION("""COMPUTED_VALUE"""),"quidam de Covaciis")</f>
        <v>quidam de Covaciis</v>
      </c>
      <c r="S360" t="str">
        <f ca="1">IFERROR(__xludf.DUMMYFUNCTION("""COMPUTED_VALUE"""),"Latin")</f>
        <v>Latin</v>
      </c>
      <c r="T360" t="str">
        <f ca="1">IFERROR(__xludf.DUMMYFUNCTION("""COMPUTED_VALUE"""),"indefinite")</f>
        <v>indefinite</v>
      </c>
      <c r="U360" t="str">
        <f ca="1">IFERROR(__xludf.DUMMYFUNCTION("""COMPUTED_VALUE"""),"C2553")</f>
        <v>C2553</v>
      </c>
      <c r="V360" t="str">
        <f ca="1">IFERROR(__xludf.DUMMYFUNCTION("""COMPUTED_VALUE"""),"male")</f>
        <v>male</v>
      </c>
      <c r="Z360" t="str">
        <f ca="1">IFERROR(__xludf.DUMMYFUNCTION("""COMPUTED_VALUE"""),"213")</f>
        <v>213</v>
      </c>
      <c r="AA360" t="str">
        <f ca="1">IFERROR(__xludf.DUMMYFUNCTION("""COMPUTED_VALUE"""),"d")</f>
        <v>d</v>
      </c>
      <c r="AB360" t="str">
        <f ca="1">IFERROR(__xludf.DUMMYFUNCTION("""COMPUTED_VALUE"""),"NA")</f>
        <v>NA</v>
      </c>
      <c r="AE360" t="str">
        <f ca="1">IFERROR(__xludf.DUMMYFUNCTION("""COMPUTED_VALUE"""),"#VALUE!")</f>
        <v>#VALUE!</v>
      </c>
      <c r="AF360" t="str">
        <f ca="1">IFERROR(__xludf.DUMMYFUNCTION("""COMPUTED_VALUE"""),"#N/A")</f>
        <v>#N/A</v>
      </c>
      <c r="AG360" t="str">
        <f ca="1">IFERROR(__xludf.DUMMYFUNCTION("""COMPUTED_VALUE"""),"#N/A")</f>
        <v>#N/A</v>
      </c>
      <c r="AI360" t="str">
        <f ca="1">IFERROR(__xludf.DUMMYFUNCTION("""COMPUTED_VALUE"""),"#VALUE!")</f>
        <v>#VALUE!</v>
      </c>
      <c r="AK360" t="str">
        <f ca="1">IFERROR(__xludf.DUMMYFUNCTION("""COMPUTED_VALUE"""),"#VALUE!")</f>
        <v>#VALUE!</v>
      </c>
      <c r="AM360" t="str">
        <f ca="1">IFERROR(__xludf.DUMMYFUNCTION("""COMPUTED_VALUE"""),"#VALUE!")</f>
        <v>#VALUE!</v>
      </c>
      <c r="AO360" t="str">
        <f ca="1">IFERROR(__xludf.DUMMYFUNCTION("""COMPUTED_VALUE"""),"#VALUE!")</f>
        <v>#VALUE!</v>
      </c>
      <c r="AQ360" t="str">
        <f ca="1">IFERROR(__xludf.DUMMYFUNCTION("""COMPUTED_VALUE"""),"#VALUE!")</f>
        <v>#VALUE!</v>
      </c>
      <c r="AS360" t="str">
        <f ca="1">IFERROR(__xludf.DUMMYFUNCTION("""COMPUTED_VALUE"""),"#VALUE!")</f>
        <v>#VALUE!</v>
      </c>
      <c r="AU360" t="str">
        <f ca="1">IFERROR(__xludf.DUMMYFUNCTION("""COMPUTED_VALUE"""),"#VALUE!")</f>
        <v>#VALUE!</v>
      </c>
      <c r="AW360" t="str">
        <f ca="1">IFERROR(__xludf.DUMMYFUNCTION("""COMPUTED_VALUE"""),"#VALUE!")</f>
        <v>#VALUE!</v>
      </c>
      <c r="AY360" t="str">
        <f ca="1">IFERROR(__xludf.DUMMYFUNCTION("""COMPUTED_VALUE"""),"#VALUE!")</f>
        <v>#VALUE!</v>
      </c>
      <c r="BA360" t="str">
        <f ca="1">IFERROR(__xludf.DUMMYFUNCTION("""COMPUTED_VALUE"""),"#VALUE!")</f>
        <v>#VALUE!</v>
      </c>
      <c r="BC360" t="str">
        <f ca="1">IFERROR(__xludf.DUMMYFUNCTION("""COMPUTED_VALUE"""),"#VALUE!")</f>
        <v>#VALUE!</v>
      </c>
      <c r="BE360" t="str">
        <f ca="1">IFERROR(__xludf.DUMMYFUNCTION("""COMPUTED_VALUE"""),"#VALUE!")</f>
        <v>#VALUE!</v>
      </c>
      <c r="BG360" t="str">
        <f ca="1">IFERROR(__xludf.DUMMYFUNCTION("""COMPUTED_VALUE"""),"#VALUE!")</f>
        <v>#VALUE!</v>
      </c>
      <c r="BI360" t="str">
        <f ca="1">IFERROR(__xludf.DUMMYFUNCTION("""COMPUTED_VALUE"""),"#VALUE!")</f>
        <v>#VALUE!</v>
      </c>
      <c r="BK360" t="str">
        <f ca="1">IFERROR(__xludf.DUMMYFUNCTION("""COMPUTED_VALUE"""),"#VALUE!")</f>
        <v>#VALUE!</v>
      </c>
      <c r="BM360" t="str">
        <f ca="1">IFERROR(__xludf.DUMMYFUNCTION("""COMPUTED_VALUE"""),"#VALUE!")</f>
        <v>#VALUE!</v>
      </c>
      <c r="BO360" t="str">
        <f ca="1">IFERROR(__xludf.DUMMYFUNCTION("""COMPUTED_VALUE"""),"#VALUE!")</f>
        <v>#VALUE!</v>
      </c>
      <c r="BQ360" t="str">
        <f ca="1">IFERROR(__xludf.DUMMYFUNCTION("""COMPUTED_VALUE"""),"#VALUE!")</f>
        <v>#VALUE!</v>
      </c>
      <c r="BS360" t="str">
        <f ca="1">IFERROR(__xludf.DUMMYFUNCTION("""COMPUTED_VALUE"""),"#VALUE!")</f>
        <v>#VALUE!</v>
      </c>
      <c r="BU360" t="str">
        <f ca="1">IFERROR(__xludf.DUMMYFUNCTION("""COMPUTED_VALUE"""),"#VALUE!")</f>
        <v>#VALUE!</v>
      </c>
      <c r="BW360" t="str">
        <f ca="1">IFERROR(__xludf.DUMMYFUNCTION("""COMPUTED_VALUE"""),"#VALUE!")</f>
        <v>#VALUE!</v>
      </c>
      <c r="BY360" t="str">
        <f ca="1">IFERROR(__xludf.DUMMYFUNCTION("""COMPUTED_VALUE"""),"#VALUE!")</f>
        <v>#VALUE!</v>
      </c>
      <c r="CA360" t="str">
        <f ca="1">IFERROR(__xludf.DUMMYFUNCTION("""COMPUTED_VALUE"""),"#VALUE!")</f>
        <v>#VALUE!</v>
      </c>
      <c r="CC360" t="str">
        <f ca="1">IFERROR(__xludf.DUMMYFUNCTION("""COMPUTED_VALUE"""),"#VALUE!")</f>
        <v>#VALUE!</v>
      </c>
      <c r="CE360" t="str">
        <f ca="1">IFERROR(__xludf.DUMMYFUNCTION("""COMPUTED_VALUE"""),"#VALUE!")</f>
        <v>#VALUE!</v>
      </c>
      <c r="CG360" t="str">
        <f ca="1">IFERROR(__xludf.DUMMYFUNCTION("""COMPUTED_VALUE"""),"#VALUE!")</f>
        <v>#VALUE!</v>
      </c>
      <c r="CI360" t="str">
        <f ca="1">IFERROR(__xludf.DUMMYFUNCTION("""COMPUTED_VALUE"""),"#VALUE!")</f>
        <v>#VALUE!</v>
      </c>
      <c r="CK360" t="str">
        <f ca="1">IFERROR(__xludf.DUMMYFUNCTION("""COMPUTED_VALUE"""),"#VALUE!")</f>
        <v>#VALUE!</v>
      </c>
      <c r="CR360" t="str">
        <f ca="1">IFERROR(__xludf.DUMMYFUNCTION("""COMPUTED_VALUE"""),"L0002")</f>
        <v>L0002</v>
      </c>
      <c r="CS360" t="str">
        <f ca="1">IFERROR(__xludf.DUMMYFUNCTION("""COMPUTED_VALUE"""),"Coazze")</f>
        <v>Coazze</v>
      </c>
      <c r="CU360" t="str">
        <f ca="1">IFERROR(__xludf.DUMMYFUNCTION("""COMPUTED_VALUE"""),"#VALUE!")</f>
        <v>#VALUE!</v>
      </c>
      <c r="CW360" t="str">
        <f ca="1">IFERROR(__xludf.DUMMYFUNCTION("""COMPUTED_VALUE"""),"#VALUE!")</f>
        <v>#VALUE!</v>
      </c>
      <c r="CY360" t="str">
        <f ca="1">IFERROR(__xludf.DUMMYFUNCTION("""COMPUTED_VALUE"""),"#VALUE!")</f>
        <v>#VALUE!</v>
      </c>
      <c r="DC360" t="str">
        <f ca="1">IFERROR(__xludf.DUMMYFUNCTION("""COMPUTED_VALUE"""),"#VALUE!")</f>
        <v>#VALUE!</v>
      </c>
      <c r="DE360" t="str">
        <f ca="1">IFERROR(__xludf.DUMMYFUNCTION("""COMPUTED_VALUE"""),"#VALUE!")</f>
        <v>#VALUE!</v>
      </c>
      <c r="DI360" t="str">
        <f ca="1">IFERROR(__xludf.DUMMYFUNCTION("""COMPUTED_VALUE"""),"#VALUE!")</f>
        <v>#VALUE!</v>
      </c>
      <c r="DJ360" t="str">
        <f ca="1">IFERROR(__xludf.DUMMYFUNCTION("""COMPUTED_VALUE"""),"#VALUE!")</f>
        <v>#VALUE!</v>
      </c>
      <c r="DL360" t="str">
        <f ca="1">IFERROR(__xludf.DUMMYFUNCTION("""COMPUTED_VALUE"""),"Davor Salihović")</f>
        <v>Davor Salihović</v>
      </c>
    </row>
    <row r="361" spans="1:116" ht="13.2" x14ac:dyDescent="0.25">
      <c r="A361" t="str">
        <f ca="1">IFERROR(__xludf.DUMMYFUNCTION("""COMPUTED_VALUE"""),"P0368")</f>
        <v>P0368</v>
      </c>
      <c r="B361" t="str">
        <f ca="1">IFERROR(__xludf.DUMMYFUNCTION("""COMPUTED_VALUE"""),"Sandria, uxor Iohannis Torenchi")</f>
        <v>Sandria, uxor Iohannis Torenchi</v>
      </c>
      <c r="D361" t="str">
        <f ca="1">IFERROR(__xludf.DUMMYFUNCTION("""COMPUTED_VALUE"""),"#VALUE!")</f>
        <v>#VALUE!</v>
      </c>
      <c r="E361" t="str">
        <f ca="1">IFERROR(__xludf.DUMMYFUNCTION("""COMPUTED_VALUE"""),"Sandria")</f>
        <v>Sandria</v>
      </c>
      <c r="Q361" t="str">
        <f ca="1">IFERROR(__xludf.DUMMYFUNCTION("""COMPUTED_VALUE"""),"uxor Iohannis Torenchi")</f>
        <v>uxor Iohannis Torenchi</v>
      </c>
      <c r="S361" t="str">
        <f ca="1">IFERROR(__xludf.DUMMYFUNCTION("""COMPUTED_VALUE"""),"Latin")</f>
        <v>Latin</v>
      </c>
      <c r="T361" t="str">
        <f ca="1">IFERROR(__xludf.DUMMYFUNCTION("""COMPUTED_VALUE"""),"definite")</f>
        <v>definite</v>
      </c>
      <c r="U361" t="str">
        <f ca="1">IFERROR(__xludf.DUMMYFUNCTION("""COMPUTED_VALUE"""),"C2552")</f>
        <v>C2552</v>
      </c>
      <c r="V361" t="str">
        <f ca="1">IFERROR(__xludf.DUMMYFUNCTION("""COMPUTED_VALUE"""),"female")</f>
        <v>female</v>
      </c>
      <c r="Z361" t="str">
        <f ca="1">IFERROR(__xludf.DUMMYFUNCTION("""COMPUTED_VALUE"""),"213, 214, 229, 249")</f>
        <v>213, 214, 229, 249</v>
      </c>
      <c r="AA361" t="str">
        <f ca="1">IFERROR(__xludf.DUMMYFUNCTION("""COMPUTED_VALUE"""),"d")</f>
        <v>d</v>
      </c>
      <c r="AB361" t="str">
        <f ca="1">IFERROR(__xludf.DUMMYFUNCTION("""COMPUTED_VALUE"""),"suspect")</f>
        <v>suspect</v>
      </c>
      <c r="AD361" t="str">
        <f ca="1">IFERROR(__xludf.DUMMYFUNCTION("""COMPUTED_VALUE"""),"C3287")</f>
        <v>C3287</v>
      </c>
      <c r="AE361" t="str">
        <f ca="1">IFERROR(__xludf.DUMMYFUNCTION("""COMPUTED_VALUE"""),"alive")</f>
        <v>alive</v>
      </c>
      <c r="AF361" t="str">
        <f ca="1">IFERROR(__xludf.DUMMYFUNCTION("""COMPUTED_VALUE"""),"C1753")</f>
        <v>C1753</v>
      </c>
      <c r="AG361" t="str">
        <f ca="1">IFERROR(__xludf.DUMMYFUNCTION("""COMPUTED_VALUE"""),"1335-01-20")</f>
        <v>1335-01-20</v>
      </c>
      <c r="AH361" t="str">
        <f ca="1">IFERROR(__xludf.DUMMYFUNCTION("""COMPUTED_VALUE"""),"C2347")</f>
        <v>C2347</v>
      </c>
      <c r="AI361" t="str">
        <f ca="1">IFERROR(__xludf.DUMMYFUNCTION("""COMPUTED_VALUE"""),"sister")</f>
        <v>sister</v>
      </c>
      <c r="AJ361" t="str">
        <f ca="1">IFERROR(__xludf.DUMMYFUNCTION("""COMPUTED_VALUE"""),"P0390")</f>
        <v>P0390</v>
      </c>
      <c r="AK361" t="str">
        <f ca="1">IFERROR(__xludf.DUMMYFUNCTION("""COMPUTED_VALUE"""),"Bellona, uxor Martini Dominici")</f>
        <v>Bellona, uxor Martini Dominici</v>
      </c>
      <c r="AL361" t="str">
        <f ca="1">IFERROR(__xludf.DUMMYFUNCTION("""COMPUTED_VALUE"""),"C3041")</f>
        <v>C3041</v>
      </c>
      <c r="AM361" t="str">
        <f ca="1">IFERROR(__xludf.DUMMYFUNCTION("""COMPUTED_VALUE"""),"household")</f>
        <v>household</v>
      </c>
      <c r="AN361" t="str">
        <f ca="1">IFERROR(__xludf.DUMMYFUNCTION("""COMPUTED_VALUE"""),"G0056")</f>
        <v>G0056</v>
      </c>
      <c r="AO361" t="str">
        <f ca="1">IFERROR(__xludf.DUMMYFUNCTION("""COMPUTED_VALUE"""),"illi de domo Sandrie Torenchi")</f>
        <v>illi de domo Sandrie Torenchi</v>
      </c>
      <c r="AP361" t="str">
        <f ca="1">IFERROR(__xludf.DUMMYFUNCTION("""COMPUTED_VALUE"""),"C0147")</f>
        <v>C0147</v>
      </c>
      <c r="AQ361" t="str">
        <f ca="1">IFERROR(__xludf.DUMMYFUNCTION("""COMPUTED_VALUE"""),"warrantor")</f>
        <v>warrantor</v>
      </c>
      <c r="AR361" t="str">
        <f ca="1">IFERROR(__xludf.DUMMYFUNCTION("""COMPUTED_VALUE"""),"P0249")</f>
        <v>P0249</v>
      </c>
      <c r="AS361" t="str">
        <f ca="1">IFERROR(__xludf.DUMMYFUNCTION("""COMPUTED_VALUE"""),"Iohannes Torenchi")</f>
        <v>Iohannes Torenchi</v>
      </c>
      <c r="AU361" t="str">
        <f ca="1">IFERROR(__xludf.DUMMYFUNCTION("""COMPUTED_VALUE"""),"#VALUE!")</f>
        <v>#VALUE!</v>
      </c>
      <c r="AW361" t="str">
        <f ca="1">IFERROR(__xludf.DUMMYFUNCTION("""COMPUTED_VALUE"""),"#VALUE!")</f>
        <v>#VALUE!</v>
      </c>
      <c r="AY361" t="str">
        <f ca="1">IFERROR(__xludf.DUMMYFUNCTION("""COMPUTED_VALUE"""),"#VALUE!")</f>
        <v>#VALUE!</v>
      </c>
      <c r="BA361" t="str">
        <f ca="1">IFERROR(__xludf.DUMMYFUNCTION("""COMPUTED_VALUE"""),"#VALUE!")</f>
        <v>#VALUE!</v>
      </c>
      <c r="BC361" t="str">
        <f ca="1">IFERROR(__xludf.DUMMYFUNCTION("""COMPUTED_VALUE"""),"#VALUE!")</f>
        <v>#VALUE!</v>
      </c>
      <c r="BE361" t="str">
        <f ca="1">IFERROR(__xludf.DUMMYFUNCTION("""COMPUTED_VALUE"""),"#VALUE!")</f>
        <v>#VALUE!</v>
      </c>
      <c r="BG361" t="str">
        <f ca="1">IFERROR(__xludf.DUMMYFUNCTION("""COMPUTED_VALUE"""),"#VALUE!")</f>
        <v>#VALUE!</v>
      </c>
      <c r="BI361" t="str">
        <f ca="1">IFERROR(__xludf.DUMMYFUNCTION("""COMPUTED_VALUE"""),"#VALUE!")</f>
        <v>#VALUE!</v>
      </c>
      <c r="BK361" t="str">
        <f ca="1">IFERROR(__xludf.DUMMYFUNCTION("""COMPUTED_VALUE"""),"#VALUE!")</f>
        <v>#VALUE!</v>
      </c>
      <c r="BM361" t="str">
        <f ca="1">IFERROR(__xludf.DUMMYFUNCTION("""COMPUTED_VALUE"""),"#VALUE!")</f>
        <v>#VALUE!</v>
      </c>
      <c r="BO361" t="str">
        <f ca="1">IFERROR(__xludf.DUMMYFUNCTION("""COMPUTED_VALUE"""),"#VALUE!")</f>
        <v>#VALUE!</v>
      </c>
      <c r="BQ361" t="str">
        <f ca="1">IFERROR(__xludf.DUMMYFUNCTION("""COMPUTED_VALUE"""),"#VALUE!")</f>
        <v>#VALUE!</v>
      </c>
      <c r="BS361" t="str">
        <f ca="1">IFERROR(__xludf.DUMMYFUNCTION("""COMPUTED_VALUE"""),"#VALUE!")</f>
        <v>#VALUE!</v>
      </c>
      <c r="BU361" t="str">
        <f ca="1">IFERROR(__xludf.DUMMYFUNCTION("""COMPUTED_VALUE"""),"#VALUE!")</f>
        <v>#VALUE!</v>
      </c>
      <c r="BW361" t="str">
        <f ca="1">IFERROR(__xludf.DUMMYFUNCTION("""COMPUTED_VALUE"""),"#VALUE!")</f>
        <v>#VALUE!</v>
      </c>
      <c r="BY361" t="str">
        <f ca="1">IFERROR(__xludf.DUMMYFUNCTION("""COMPUTED_VALUE"""),"#VALUE!")</f>
        <v>#VALUE!</v>
      </c>
      <c r="CA361" t="str">
        <f ca="1">IFERROR(__xludf.DUMMYFUNCTION("""COMPUTED_VALUE"""),"#VALUE!")</f>
        <v>#VALUE!</v>
      </c>
      <c r="CC361" t="str">
        <f ca="1">IFERROR(__xludf.DUMMYFUNCTION("""COMPUTED_VALUE"""),"#VALUE!")</f>
        <v>#VALUE!</v>
      </c>
      <c r="CD361" t="str">
        <f ca="1">IFERROR(__xludf.DUMMYFUNCTION("""COMPUTED_VALUE"""),"C3598")</f>
        <v>C3598</v>
      </c>
      <c r="CE361" t="str">
        <f ca="1">IFERROR(__xludf.DUMMYFUNCTION("""COMPUTED_VALUE"""),"location of congregation")</f>
        <v>location of congregation</v>
      </c>
      <c r="CF361" t="str">
        <f ca="1">IFERROR(__xludf.DUMMYFUNCTION("""COMPUTED_VALUE"""),"L0076#L0133")</f>
        <v>L0076#L0133</v>
      </c>
      <c r="CG361" t="str">
        <f ca="1">IFERROR(__xludf.DUMMYFUNCTION("""COMPUTED_VALUE"""),"domus Iohannis Torenchi #domus Sandrie Torenchi")</f>
        <v>domus Iohannis Torenchi #domus Sandrie Torenchi</v>
      </c>
      <c r="CH361" t="str">
        <f ca="1">IFERROR(__xludf.DUMMYFUNCTION("""COMPUTED_VALUE"""),"P0249")</f>
        <v>P0249</v>
      </c>
      <c r="CI361" t="str">
        <f ca="1">IFERROR(__xludf.DUMMYFUNCTION("""COMPUTED_VALUE"""),"Iohannes Torenchi")</f>
        <v>Iohannes Torenchi</v>
      </c>
      <c r="CJ361" t="str">
        <f ca="1">IFERROR(__xludf.DUMMYFUNCTION("""COMPUTED_VALUE"""),"P0390")</f>
        <v>P0390</v>
      </c>
      <c r="CK361" t="str">
        <f ca="1">IFERROR(__xludf.DUMMYFUNCTION("""COMPUTED_VALUE"""),"Bellona, uxor Martini Dominici")</f>
        <v>Bellona, uxor Martini Dominici</v>
      </c>
      <c r="CS361" t="str">
        <f ca="1">IFERROR(__xludf.DUMMYFUNCTION("""COMPUTED_VALUE"""),"#VALUE!")</f>
        <v>#VALUE!</v>
      </c>
      <c r="CU361" t="str">
        <f ca="1">IFERROR(__xludf.DUMMYFUNCTION("""COMPUTED_VALUE"""),"#VALUE!")</f>
        <v>#VALUE!</v>
      </c>
      <c r="CW361" t="str">
        <f ca="1">IFERROR(__xludf.DUMMYFUNCTION("""COMPUTED_VALUE"""),"#VALUE!")</f>
        <v>#VALUE!</v>
      </c>
      <c r="CY361" t="str">
        <f ca="1">IFERROR(__xludf.DUMMYFUNCTION("""COMPUTED_VALUE"""),"#VALUE!")</f>
        <v>#VALUE!</v>
      </c>
      <c r="DC361" t="str">
        <f ca="1">IFERROR(__xludf.DUMMYFUNCTION("""COMPUTED_VALUE"""),"#VALUE!")</f>
        <v>#VALUE!</v>
      </c>
      <c r="DE361" t="str">
        <f ca="1">IFERROR(__xludf.DUMMYFUNCTION("""COMPUTED_VALUE"""),"#VALUE!")</f>
        <v>#VALUE!</v>
      </c>
      <c r="DF361" t="str">
        <f ca="1">IFERROR(__xludf.DUMMYFUNCTION("""COMPUTED_VALUE"""),"y")</f>
        <v>y</v>
      </c>
      <c r="DG361" t="str">
        <f ca="1">IFERROR(__xludf.DUMMYFUNCTION("""COMPUTED_VALUE"""),"229")</f>
        <v>229</v>
      </c>
      <c r="DH361" t="str">
        <f ca="1">IFERROR(__xludf.DUMMYFUNCTION("""COMPUTED_VALUE"""),"L0076#L0133")</f>
        <v>L0076#L0133</v>
      </c>
      <c r="DI361" t="str">
        <f ca="1">IFERROR(__xludf.DUMMYFUNCTION("""COMPUTED_VALUE"""),"domus Iohannis Torenchi #domus Sandrie Torenchi")</f>
        <v>domus Iohannis Torenchi #domus Sandrie Torenchi</v>
      </c>
      <c r="DJ361" t="str">
        <f ca="1">IFERROR(__xludf.DUMMYFUNCTION("""COMPUTED_VALUE"""),"domus #domus")</f>
        <v>domus #domus</v>
      </c>
      <c r="DL361" t="str">
        <f ca="1">IFERROR(__xludf.DUMMYFUNCTION("""COMPUTED_VALUE"""),"Davor Salihović")</f>
        <v>Davor Salihović</v>
      </c>
    </row>
    <row r="362" spans="1:116" ht="13.2" x14ac:dyDescent="0.25">
      <c r="A362" t="str">
        <f ca="1">IFERROR(__xludf.DUMMYFUNCTION("""COMPUTED_VALUE"""),"P0369")</f>
        <v>P0369</v>
      </c>
      <c r="B362" t="str">
        <f ca="1">IFERROR(__xludf.DUMMYFUNCTION("""COMPUTED_VALUE"""),"Iacometus Capitani")</f>
        <v>Iacometus Capitani</v>
      </c>
      <c r="D362" t="str">
        <f ca="1">IFERROR(__xludf.DUMMYFUNCTION("""COMPUTED_VALUE"""),"#VALUE!")</f>
        <v>#VALUE!</v>
      </c>
      <c r="E362" t="str">
        <f ca="1">IFERROR(__xludf.DUMMYFUNCTION("""COMPUTED_VALUE"""),"Iacometus")</f>
        <v>Iacometus</v>
      </c>
      <c r="K362" t="str">
        <f ca="1">IFERROR(__xludf.DUMMYFUNCTION("""COMPUTED_VALUE"""),"Capitani")</f>
        <v>Capitani</v>
      </c>
      <c r="L362" t="str">
        <f ca="1">IFERROR(__xludf.DUMMYFUNCTION("""COMPUTED_VALUE"""),"Capitani")</f>
        <v>Capitani</v>
      </c>
      <c r="S362" t="str">
        <f ca="1">IFERROR(__xludf.DUMMYFUNCTION("""COMPUTED_VALUE"""),"Latin")</f>
        <v>Latin</v>
      </c>
      <c r="T362" t="str">
        <f ca="1">IFERROR(__xludf.DUMMYFUNCTION("""COMPUTED_VALUE"""),"definite")</f>
        <v>definite</v>
      </c>
      <c r="U362" t="str">
        <f ca="1">IFERROR(__xludf.DUMMYFUNCTION("""COMPUTED_VALUE"""),"C2553")</f>
        <v>C2553</v>
      </c>
      <c r="V362" t="str">
        <f ca="1">IFERROR(__xludf.DUMMYFUNCTION("""COMPUTED_VALUE"""),"male")</f>
        <v>male</v>
      </c>
      <c r="Z362" t="str">
        <f ca="1">IFERROR(__xludf.DUMMYFUNCTION("""COMPUTED_VALUE"""),"214")</f>
        <v>214</v>
      </c>
      <c r="AA362" t="str">
        <f ca="1">IFERROR(__xludf.DUMMYFUNCTION("""COMPUTED_VALUE"""),"d")</f>
        <v>d</v>
      </c>
      <c r="AB362" t="str">
        <f ca="1">IFERROR(__xludf.DUMMYFUNCTION("""COMPUTED_VALUE"""),"NA")</f>
        <v>NA</v>
      </c>
      <c r="AD362" t="str">
        <f ca="1">IFERROR(__xludf.DUMMYFUNCTION("""COMPUTED_VALUE"""),"C3287")</f>
        <v>C3287</v>
      </c>
      <c r="AE362" t="str">
        <f ca="1">IFERROR(__xludf.DUMMYFUNCTION("""COMPUTED_VALUE"""),"alive")</f>
        <v>alive</v>
      </c>
      <c r="AF362" t="str">
        <f ca="1">IFERROR(__xludf.DUMMYFUNCTION("""COMPUTED_VALUE"""),"C1753")</f>
        <v>C1753</v>
      </c>
      <c r="AG362" t="str">
        <f ca="1">IFERROR(__xludf.DUMMYFUNCTION("""COMPUTED_VALUE"""),"1335-01-20")</f>
        <v>1335-01-20</v>
      </c>
      <c r="AI362" t="str">
        <f ca="1">IFERROR(__xludf.DUMMYFUNCTION("""COMPUTED_VALUE"""),"#VALUE!")</f>
        <v>#VALUE!</v>
      </c>
      <c r="AK362" t="str">
        <f ca="1">IFERROR(__xludf.DUMMYFUNCTION("""COMPUTED_VALUE"""),"#VALUE!")</f>
        <v>#VALUE!</v>
      </c>
      <c r="AM362" t="str">
        <f ca="1">IFERROR(__xludf.DUMMYFUNCTION("""COMPUTED_VALUE"""),"#VALUE!")</f>
        <v>#VALUE!</v>
      </c>
      <c r="AO362" t="str">
        <f ca="1">IFERROR(__xludf.DUMMYFUNCTION("""COMPUTED_VALUE"""),"#VALUE!")</f>
        <v>#VALUE!</v>
      </c>
      <c r="AQ362" t="str">
        <f ca="1">IFERROR(__xludf.DUMMYFUNCTION("""COMPUTED_VALUE"""),"#VALUE!")</f>
        <v>#VALUE!</v>
      </c>
      <c r="AS362" t="str">
        <f ca="1">IFERROR(__xludf.DUMMYFUNCTION("""COMPUTED_VALUE"""),"#VALUE!")</f>
        <v>#VALUE!</v>
      </c>
      <c r="AU362" t="str">
        <f ca="1">IFERROR(__xludf.DUMMYFUNCTION("""COMPUTED_VALUE"""),"#VALUE!")</f>
        <v>#VALUE!</v>
      </c>
      <c r="AW362" t="str">
        <f ca="1">IFERROR(__xludf.DUMMYFUNCTION("""COMPUTED_VALUE"""),"#VALUE!")</f>
        <v>#VALUE!</v>
      </c>
      <c r="AY362" t="str">
        <f ca="1">IFERROR(__xludf.DUMMYFUNCTION("""COMPUTED_VALUE"""),"#VALUE!")</f>
        <v>#VALUE!</v>
      </c>
      <c r="BA362" t="str">
        <f ca="1">IFERROR(__xludf.DUMMYFUNCTION("""COMPUTED_VALUE"""),"#VALUE!")</f>
        <v>#VALUE!</v>
      </c>
      <c r="BC362" t="str">
        <f ca="1">IFERROR(__xludf.DUMMYFUNCTION("""COMPUTED_VALUE"""),"#VALUE!")</f>
        <v>#VALUE!</v>
      </c>
      <c r="BE362" t="str">
        <f ca="1">IFERROR(__xludf.DUMMYFUNCTION("""COMPUTED_VALUE"""),"#VALUE!")</f>
        <v>#VALUE!</v>
      </c>
      <c r="BG362" t="str">
        <f ca="1">IFERROR(__xludf.DUMMYFUNCTION("""COMPUTED_VALUE"""),"#VALUE!")</f>
        <v>#VALUE!</v>
      </c>
      <c r="BI362" t="str">
        <f ca="1">IFERROR(__xludf.DUMMYFUNCTION("""COMPUTED_VALUE"""),"#VALUE!")</f>
        <v>#VALUE!</v>
      </c>
      <c r="BK362" t="str">
        <f ca="1">IFERROR(__xludf.DUMMYFUNCTION("""COMPUTED_VALUE"""),"#VALUE!")</f>
        <v>#VALUE!</v>
      </c>
      <c r="BM362" t="str">
        <f ca="1">IFERROR(__xludf.DUMMYFUNCTION("""COMPUTED_VALUE"""),"#VALUE!")</f>
        <v>#VALUE!</v>
      </c>
      <c r="BO362" t="str">
        <f ca="1">IFERROR(__xludf.DUMMYFUNCTION("""COMPUTED_VALUE"""),"#VALUE!")</f>
        <v>#VALUE!</v>
      </c>
      <c r="BQ362" t="str">
        <f ca="1">IFERROR(__xludf.DUMMYFUNCTION("""COMPUTED_VALUE"""),"#VALUE!")</f>
        <v>#VALUE!</v>
      </c>
      <c r="BS362" t="str">
        <f ca="1">IFERROR(__xludf.DUMMYFUNCTION("""COMPUTED_VALUE"""),"#VALUE!")</f>
        <v>#VALUE!</v>
      </c>
      <c r="BU362" t="str">
        <f ca="1">IFERROR(__xludf.DUMMYFUNCTION("""COMPUTED_VALUE"""),"#VALUE!")</f>
        <v>#VALUE!</v>
      </c>
      <c r="BW362" t="str">
        <f ca="1">IFERROR(__xludf.DUMMYFUNCTION("""COMPUTED_VALUE"""),"#VALUE!")</f>
        <v>#VALUE!</v>
      </c>
      <c r="BY362" t="str">
        <f ca="1">IFERROR(__xludf.DUMMYFUNCTION("""COMPUTED_VALUE"""),"#VALUE!")</f>
        <v>#VALUE!</v>
      </c>
      <c r="CA362" t="str">
        <f ca="1">IFERROR(__xludf.DUMMYFUNCTION("""COMPUTED_VALUE"""),"#VALUE!")</f>
        <v>#VALUE!</v>
      </c>
      <c r="CC362" t="str">
        <f ca="1">IFERROR(__xludf.DUMMYFUNCTION("""COMPUTED_VALUE"""),"#VALUE!")</f>
        <v>#VALUE!</v>
      </c>
      <c r="CE362" t="str">
        <f ca="1">IFERROR(__xludf.DUMMYFUNCTION("""COMPUTED_VALUE"""),"#VALUE!")</f>
        <v>#VALUE!</v>
      </c>
      <c r="CG362" t="str">
        <f ca="1">IFERROR(__xludf.DUMMYFUNCTION("""COMPUTED_VALUE"""),"#VALUE!")</f>
        <v>#VALUE!</v>
      </c>
      <c r="CI362" t="str">
        <f ca="1">IFERROR(__xludf.DUMMYFUNCTION("""COMPUTED_VALUE"""),"#VALUE!")</f>
        <v>#VALUE!</v>
      </c>
      <c r="CK362" t="str">
        <f ca="1">IFERROR(__xludf.DUMMYFUNCTION("""COMPUTED_VALUE"""),"#VALUE!")</f>
        <v>#VALUE!</v>
      </c>
      <c r="CS362" t="str">
        <f ca="1">IFERROR(__xludf.DUMMYFUNCTION("""COMPUTED_VALUE"""),"#VALUE!")</f>
        <v>#VALUE!</v>
      </c>
      <c r="CU362" t="str">
        <f ca="1">IFERROR(__xludf.DUMMYFUNCTION("""COMPUTED_VALUE"""),"#VALUE!")</f>
        <v>#VALUE!</v>
      </c>
      <c r="CW362" t="str">
        <f ca="1">IFERROR(__xludf.DUMMYFUNCTION("""COMPUTED_VALUE"""),"#VALUE!")</f>
        <v>#VALUE!</v>
      </c>
      <c r="CY362" t="str">
        <f ca="1">IFERROR(__xludf.DUMMYFUNCTION("""COMPUTED_VALUE"""),"#VALUE!")</f>
        <v>#VALUE!</v>
      </c>
      <c r="DC362" t="str">
        <f ca="1">IFERROR(__xludf.DUMMYFUNCTION("""COMPUTED_VALUE"""),"#VALUE!")</f>
        <v>#VALUE!</v>
      </c>
      <c r="DE362" t="str">
        <f ca="1">IFERROR(__xludf.DUMMYFUNCTION("""COMPUTED_VALUE"""),"#VALUE!")</f>
        <v>#VALUE!</v>
      </c>
      <c r="DI362" t="str">
        <f ca="1">IFERROR(__xludf.DUMMYFUNCTION("""COMPUTED_VALUE"""),"#VALUE!")</f>
        <v>#VALUE!</v>
      </c>
      <c r="DJ362" t="str">
        <f ca="1">IFERROR(__xludf.DUMMYFUNCTION("""COMPUTED_VALUE"""),"#VALUE!")</f>
        <v>#VALUE!</v>
      </c>
      <c r="DL362" t="str">
        <f ca="1">IFERROR(__xludf.DUMMYFUNCTION("""COMPUTED_VALUE"""),"Davor Salihović")</f>
        <v>Davor Salihović</v>
      </c>
    </row>
    <row r="363" spans="1:116" ht="13.2" x14ac:dyDescent="0.25">
      <c r="A363" t="str">
        <f ca="1">IFERROR(__xludf.DUMMYFUNCTION("""COMPUTED_VALUE"""),"P0370")</f>
        <v>P0370</v>
      </c>
      <c r="B363" t="str">
        <f ca="1">IFERROR(__xludf.DUMMYFUNCTION("""COMPUTED_VALUE"""),"Petrus Soç")</f>
        <v>Petrus Soç</v>
      </c>
      <c r="D363" t="str">
        <f ca="1">IFERROR(__xludf.DUMMYFUNCTION("""COMPUTED_VALUE"""),"#VALUE!")</f>
        <v>#VALUE!</v>
      </c>
      <c r="E363" t="str">
        <f ca="1">IFERROR(__xludf.DUMMYFUNCTION("""COMPUTED_VALUE"""),"Petrus")</f>
        <v>Petrus</v>
      </c>
      <c r="K363" t="str">
        <f ca="1">IFERROR(__xludf.DUMMYFUNCTION("""COMPUTED_VALUE"""),"Soç")</f>
        <v>Soç</v>
      </c>
      <c r="L363" t="str">
        <f ca="1">IFERROR(__xludf.DUMMYFUNCTION("""COMPUTED_VALUE"""),"Soç")</f>
        <v>Soç</v>
      </c>
      <c r="S363" t="str">
        <f ca="1">IFERROR(__xludf.DUMMYFUNCTION("""COMPUTED_VALUE"""),"Latin")</f>
        <v>Latin</v>
      </c>
      <c r="T363" t="str">
        <f ca="1">IFERROR(__xludf.DUMMYFUNCTION("""COMPUTED_VALUE"""),"definite")</f>
        <v>definite</v>
      </c>
      <c r="U363" t="str">
        <f ca="1">IFERROR(__xludf.DUMMYFUNCTION("""COMPUTED_VALUE"""),"C2553")</f>
        <v>C2553</v>
      </c>
      <c r="V363" t="str">
        <f ca="1">IFERROR(__xludf.DUMMYFUNCTION("""COMPUTED_VALUE"""),"male")</f>
        <v>male</v>
      </c>
      <c r="Z363" t="str">
        <f ca="1">IFERROR(__xludf.DUMMYFUNCTION("""COMPUTED_VALUE"""),"214, 215, 234")</f>
        <v>214, 215, 234</v>
      </c>
      <c r="AA363" t="str">
        <f ca="1">IFERROR(__xludf.DUMMYFUNCTION("""COMPUTED_VALUE"""),"d")</f>
        <v>d</v>
      </c>
      <c r="AB363" t="str">
        <f ca="1">IFERROR(__xludf.DUMMYFUNCTION("""COMPUTED_VALUE"""),"NA")</f>
        <v>NA</v>
      </c>
      <c r="AD363" t="str">
        <f ca="1">IFERROR(__xludf.DUMMYFUNCTION("""COMPUTED_VALUE"""),"C3287")</f>
        <v>C3287</v>
      </c>
      <c r="AE363" t="str">
        <f ca="1">IFERROR(__xludf.DUMMYFUNCTION("""COMPUTED_VALUE"""),"alive")</f>
        <v>alive</v>
      </c>
      <c r="AF363" t="str">
        <f ca="1">IFERROR(__xludf.DUMMYFUNCTION("""COMPUTED_VALUE"""),"C1753")</f>
        <v>C1753</v>
      </c>
      <c r="AG363" t="str">
        <f ca="1">IFERROR(__xludf.DUMMYFUNCTION("""COMPUTED_VALUE"""),"1335-01-20")</f>
        <v>1335-01-20</v>
      </c>
      <c r="AI363" t="str">
        <f ca="1">IFERROR(__xludf.DUMMYFUNCTION("""COMPUTED_VALUE"""),"#VALUE!")</f>
        <v>#VALUE!</v>
      </c>
      <c r="AK363" t="str">
        <f ca="1">IFERROR(__xludf.DUMMYFUNCTION("""COMPUTED_VALUE"""),"#VALUE!")</f>
        <v>#VALUE!</v>
      </c>
      <c r="AM363" t="str">
        <f ca="1">IFERROR(__xludf.DUMMYFUNCTION("""COMPUTED_VALUE"""),"#VALUE!")</f>
        <v>#VALUE!</v>
      </c>
      <c r="AO363" t="str">
        <f ca="1">IFERROR(__xludf.DUMMYFUNCTION("""COMPUTED_VALUE"""),"#VALUE!")</f>
        <v>#VALUE!</v>
      </c>
      <c r="AQ363" t="str">
        <f ca="1">IFERROR(__xludf.DUMMYFUNCTION("""COMPUTED_VALUE"""),"#VALUE!")</f>
        <v>#VALUE!</v>
      </c>
      <c r="AS363" t="str">
        <f ca="1">IFERROR(__xludf.DUMMYFUNCTION("""COMPUTED_VALUE"""),"#VALUE!")</f>
        <v>#VALUE!</v>
      </c>
      <c r="AU363" t="str">
        <f ca="1">IFERROR(__xludf.DUMMYFUNCTION("""COMPUTED_VALUE"""),"#VALUE!")</f>
        <v>#VALUE!</v>
      </c>
      <c r="AW363" t="str">
        <f ca="1">IFERROR(__xludf.DUMMYFUNCTION("""COMPUTED_VALUE"""),"#VALUE!")</f>
        <v>#VALUE!</v>
      </c>
      <c r="AY363" t="str">
        <f ca="1">IFERROR(__xludf.DUMMYFUNCTION("""COMPUTED_VALUE"""),"#VALUE!")</f>
        <v>#VALUE!</v>
      </c>
      <c r="BA363" t="str">
        <f ca="1">IFERROR(__xludf.DUMMYFUNCTION("""COMPUTED_VALUE"""),"#VALUE!")</f>
        <v>#VALUE!</v>
      </c>
      <c r="BC363" t="str">
        <f ca="1">IFERROR(__xludf.DUMMYFUNCTION("""COMPUTED_VALUE"""),"#VALUE!")</f>
        <v>#VALUE!</v>
      </c>
      <c r="BE363" t="str">
        <f ca="1">IFERROR(__xludf.DUMMYFUNCTION("""COMPUTED_VALUE"""),"#VALUE!")</f>
        <v>#VALUE!</v>
      </c>
      <c r="BG363" t="str">
        <f ca="1">IFERROR(__xludf.DUMMYFUNCTION("""COMPUTED_VALUE"""),"#VALUE!")</f>
        <v>#VALUE!</v>
      </c>
      <c r="BI363" t="str">
        <f ca="1">IFERROR(__xludf.DUMMYFUNCTION("""COMPUTED_VALUE"""),"#VALUE!")</f>
        <v>#VALUE!</v>
      </c>
      <c r="BK363" t="str">
        <f ca="1">IFERROR(__xludf.DUMMYFUNCTION("""COMPUTED_VALUE"""),"#VALUE!")</f>
        <v>#VALUE!</v>
      </c>
      <c r="BM363" t="str">
        <f ca="1">IFERROR(__xludf.DUMMYFUNCTION("""COMPUTED_VALUE"""),"#VALUE!")</f>
        <v>#VALUE!</v>
      </c>
      <c r="BO363" t="str">
        <f ca="1">IFERROR(__xludf.DUMMYFUNCTION("""COMPUTED_VALUE"""),"#VALUE!")</f>
        <v>#VALUE!</v>
      </c>
      <c r="BQ363" t="str">
        <f ca="1">IFERROR(__xludf.DUMMYFUNCTION("""COMPUTED_VALUE"""),"#VALUE!")</f>
        <v>#VALUE!</v>
      </c>
      <c r="BS363" t="str">
        <f ca="1">IFERROR(__xludf.DUMMYFUNCTION("""COMPUTED_VALUE"""),"#VALUE!")</f>
        <v>#VALUE!</v>
      </c>
      <c r="BU363" t="str">
        <f ca="1">IFERROR(__xludf.DUMMYFUNCTION("""COMPUTED_VALUE"""),"#VALUE!")</f>
        <v>#VALUE!</v>
      </c>
      <c r="BW363" t="str">
        <f ca="1">IFERROR(__xludf.DUMMYFUNCTION("""COMPUTED_VALUE"""),"#VALUE!")</f>
        <v>#VALUE!</v>
      </c>
      <c r="BY363" t="str">
        <f ca="1">IFERROR(__xludf.DUMMYFUNCTION("""COMPUTED_VALUE"""),"#VALUE!")</f>
        <v>#VALUE!</v>
      </c>
      <c r="CA363" t="str">
        <f ca="1">IFERROR(__xludf.DUMMYFUNCTION("""COMPUTED_VALUE"""),"#VALUE!")</f>
        <v>#VALUE!</v>
      </c>
      <c r="CC363" t="str">
        <f ca="1">IFERROR(__xludf.DUMMYFUNCTION("""COMPUTED_VALUE"""),"#VALUE!")</f>
        <v>#VALUE!</v>
      </c>
      <c r="CE363" t="str">
        <f ca="1">IFERROR(__xludf.DUMMYFUNCTION("""COMPUTED_VALUE"""),"#VALUE!")</f>
        <v>#VALUE!</v>
      </c>
      <c r="CG363" t="str">
        <f ca="1">IFERROR(__xludf.DUMMYFUNCTION("""COMPUTED_VALUE"""),"#VALUE!")</f>
        <v>#VALUE!</v>
      </c>
      <c r="CI363" t="str">
        <f ca="1">IFERROR(__xludf.DUMMYFUNCTION("""COMPUTED_VALUE"""),"#VALUE!")</f>
        <v>#VALUE!</v>
      </c>
      <c r="CK363" t="str">
        <f ca="1">IFERROR(__xludf.DUMMYFUNCTION("""COMPUTED_VALUE"""),"#VALUE!")</f>
        <v>#VALUE!</v>
      </c>
      <c r="CS363" t="str">
        <f ca="1">IFERROR(__xludf.DUMMYFUNCTION("""COMPUTED_VALUE"""),"#VALUE!")</f>
        <v>#VALUE!</v>
      </c>
      <c r="CU363" t="str">
        <f ca="1">IFERROR(__xludf.DUMMYFUNCTION("""COMPUTED_VALUE"""),"#VALUE!")</f>
        <v>#VALUE!</v>
      </c>
      <c r="CW363" t="str">
        <f ca="1">IFERROR(__xludf.DUMMYFUNCTION("""COMPUTED_VALUE"""),"#VALUE!")</f>
        <v>#VALUE!</v>
      </c>
      <c r="CY363" t="str">
        <f ca="1">IFERROR(__xludf.DUMMYFUNCTION("""COMPUTED_VALUE"""),"#VALUE!")</f>
        <v>#VALUE!</v>
      </c>
      <c r="DC363" t="str">
        <f ca="1">IFERROR(__xludf.DUMMYFUNCTION("""COMPUTED_VALUE"""),"#VALUE!")</f>
        <v>#VALUE!</v>
      </c>
      <c r="DE363" t="str">
        <f ca="1">IFERROR(__xludf.DUMMYFUNCTION("""COMPUTED_VALUE"""),"#VALUE!")</f>
        <v>#VALUE!</v>
      </c>
      <c r="DI363" t="str">
        <f ca="1">IFERROR(__xludf.DUMMYFUNCTION("""COMPUTED_VALUE"""),"#VALUE!")</f>
        <v>#VALUE!</v>
      </c>
      <c r="DJ363" t="str">
        <f ca="1">IFERROR(__xludf.DUMMYFUNCTION("""COMPUTED_VALUE"""),"#VALUE!")</f>
        <v>#VALUE!</v>
      </c>
      <c r="DL363" t="str">
        <f ca="1">IFERROR(__xludf.DUMMYFUNCTION("""COMPUTED_VALUE"""),"Davor Salihović")</f>
        <v>Davor Salihović</v>
      </c>
    </row>
    <row r="364" spans="1:116" ht="13.2" x14ac:dyDescent="0.25">
      <c r="A364" t="str">
        <f ca="1">IFERROR(__xludf.DUMMYFUNCTION("""COMPUTED_VALUE"""),"P0371")</f>
        <v>P0371</v>
      </c>
      <c r="B364" t="str">
        <f ca="1">IFERROR(__xludf.DUMMYFUNCTION("""COMPUTED_VALUE"""),"frater Iohannis Borrelli de Iacobina")</f>
        <v>frater Iohannis Borrelli de Iacobina</v>
      </c>
      <c r="D364" t="str">
        <f ca="1">IFERROR(__xludf.DUMMYFUNCTION("""COMPUTED_VALUE"""),"#VALUE!")</f>
        <v>#VALUE!</v>
      </c>
      <c r="E364" t="str">
        <f ca="1">IFERROR(__xludf.DUMMYFUNCTION("""COMPUTED_VALUE"""),"frater Iohannis Borrelli de Iacobina")</f>
        <v>frater Iohannis Borrelli de Iacobina</v>
      </c>
      <c r="Q364" t="str">
        <f ca="1">IFERROR(__xludf.DUMMYFUNCTION("""COMPUTED_VALUE"""),"frater Iohannis Borrelli de Iacobina")</f>
        <v>frater Iohannis Borrelli de Iacobina</v>
      </c>
      <c r="S364" t="str">
        <f ca="1">IFERROR(__xludf.DUMMYFUNCTION("""COMPUTED_VALUE"""),"Latin")</f>
        <v>Latin</v>
      </c>
      <c r="T364" t="str">
        <f ca="1">IFERROR(__xludf.DUMMYFUNCTION("""COMPUTED_VALUE"""),"definite")</f>
        <v>definite</v>
      </c>
      <c r="U364" t="str">
        <f ca="1">IFERROR(__xludf.DUMMYFUNCTION("""COMPUTED_VALUE"""),"C2553")</f>
        <v>C2553</v>
      </c>
      <c r="V364" t="str">
        <f ca="1">IFERROR(__xludf.DUMMYFUNCTION("""COMPUTED_VALUE"""),"male")</f>
        <v>male</v>
      </c>
      <c r="Z364" t="str">
        <f ca="1">IFERROR(__xludf.DUMMYFUNCTION("""COMPUTED_VALUE"""),"216")</f>
        <v>216</v>
      </c>
      <c r="AA364" t="str">
        <f ca="1">IFERROR(__xludf.DUMMYFUNCTION("""COMPUTED_VALUE"""),"d")</f>
        <v>d</v>
      </c>
      <c r="AB364" t="str">
        <f ca="1">IFERROR(__xludf.DUMMYFUNCTION("""COMPUTED_VALUE"""),"suspect")</f>
        <v>suspect</v>
      </c>
      <c r="AE364" t="str">
        <f ca="1">IFERROR(__xludf.DUMMYFUNCTION("""COMPUTED_VALUE"""),"#VALUE!")</f>
        <v>#VALUE!</v>
      </c>
      <c r="AF364" t="str">
        <f ca="1">IFERROR(__xludf.DUMMYFUNCTION("""COMPUTED_VALUE"""),"#N/A")</f>
        <v>#N/A</v>
      </c>
      <c r="AG364" t="str">
        <f ca="1">IFERROR(__xludf.DUMMYFUNCTION("""COMPUTED_VALUE"""),"#N/A")</f>
        <v>#N/A</v>
      </c>
      <c r="AI364" t="str">
        <f ca="1">IFERROR(__xludf.DUMMYFUNCTION("""COMPUTED_VALUE"""),"#VALUE!")</f>
        <v>#VALUE!</v>
      </c>
      <c r="AK364" t="str">
        <f ca="1">IFERROR(__xludf.DUMMYFUNCTION("""COMPUTED_VALUE"""),"#VALUE!")</f>
        <v>#VALUE!</v>
      </c>
      <c r="AM364" t="str">
        <f ca="1">IFERROR(__xludf.DUMMYFUNCTION("""COMPUTED_VALUE"""),"#VALUE!")</f>
        <v>#VALUE!</v>
      </c>
      <c r="AO364" t="str">
        <f ca="1">IFERROR(__xludf.DUMMYFUNCTION("""COMPUTED_VALUE"""),"#VALUE!")</f>
        <v>#VALUE!</v>
      </c>
      <c r="AQ364" t="str">
        <f ca="1">IFERROR(__xludf.DUMMYFUNCTION("""COMPUTED_VALUE"""),"#VALUE!")</f>
        <v>#VALUE!</v>
      </c>
      <c r="AS364" t="str">
        <f ca="1">IFERROR(__xludf.DUMMYFUNCTION("""COMPUTED_VALUE"""),"#VALUE!")</f>
        <v>#VALUE!</v>
      </c>
      <c r="AU364" t="str">
        <f ca="1">IFERROR(__xludf.DUMMYFUNCTION("""COMPUTED_VALUE"""),"#VALUE!")</f>
        <v>#VALUE!</v>
      </c>
      <c r="AW364" t="str">
        <f ca="1">IFERROR(__xludf.DUMMYFUNCTION("""COMPUTED_VALUE"""),"#VALUE!")</f>
        <v>#VALUE!</v>
      </c>
      <c r="AY364" t="str">
        <f ca="1">IFERROR(__xludf.DUMMYFUNCTION("""COMPUTED_VALUE"""),"#VALUE!")</f>
        <v>#VALUE!</v>
      </c>
      <c r="BA364" t="str">
        <f ca="1">IFERROR(__xludf.DUMMYFUNCTION("""COMPUTED_VALUE"""),"#VALUE!")</f>
        <v>#VALUE!</v>
      </c>
      <c r="BC364" t="str">
        <f ca="1">IFERROR(__xludf.DUMMYFUNCTION("""COMPUTED_VALUE"""),"#VALUE!")</f>
        <v>#VALUE!</v>
      </c>
      <c r="BE364" t="str">
        <f ca="1">IFERROR(__xludf.DUMMYFUNCTION("""COMPUTED_VALUE"""),"#VALUE!")</f>
        <v>#VALUE!</v>
      </c>
      <c r="BG364" t="str">
        <f ca="1">IFERROR(__xludf.DUMMYFUNCTION("""COMPUTED_VALUE"""),"#VALUE!")</f>
        <v>#VALUE!</v>
      </c>
      <c r="BI364" t="str">
        <f ca="1">IFERROR(__xludf.DUMMYFUNCTION("""COMPUTED_VALUE"""),"#VALUE!")</f>
        <v>#VALUE!</v>
      </c>
      <c r="BK364" t="str">
        <f ca="1">IFERROR(__xludf.DUMMYFUNCTION("""COMPUTED_VALUE"""),"#VALUE!")</f>
        <v>#VALUE!</v>
      </c>
      <c r="BM364" t="str">
        <f ca="1">IFERROR(__xludf.DUMMYFUNCTION("""COMPUTED_VALUE"""),"#VALUE!")</f>
        <v>#VALUE!</v>
      </c>
      <c r="BO364" t="str">
        <f ca="1">IFERROR(__xludf.DUMMYFUNCTION("""COMPUTED_VALUE"""),"#VALUE!")</f>
        <v>#VALUE!</v>
      </c>
      <c r="BQ364" t="str">
        <f ca="1">IFERROR(__xludf.DUMMYFUNCTION("""COMPUTED_VALUE"""),"#VALUE!")</f>
        <v>#VALUE!</v>
      </c>
      <c r="BS364" t="str">
        <f ca="1">IFERROR(__xludf.DUMMYFUNCTION("""COMPUTED_VALUE"""),"#VALUE!")</f>
        <v>#VALUE!</v>
      </c>
      <c r="BU364" t="str">
        <f ca="1">IFERROR(__xludf.DUMMYFUNCTION("""COMPUTED_VALUE"""),"#VALUE!")</f>
        <v>#VALUE!</v>
      </c>
      <c r="BW364" t="str">
        <f ca="1">IFERROR(__xludf.DUMMYFUNCTION("""COMPUTED_VALUE"""),"#VALUE!")</f>
        <v>#VALUE!</v>
      </c>
      <c r="BY364" t="str">
        <f ca="1">IFERROR(__xludf.DUMMYFUNCTION("""COMPUTED_VALUE"""),"#VALUE!")</f>
        <v>#VALUE!</v>
      </c>
      <c r="CA364" t="str">
        <f ca="1">IFERROR(__xludf.DUMMYFUNCTION("""COMPUTED_VALUE"""),"#VALUE!")</f>
        <v>#VALUE!</v>
      </c>
      <c r="CC364" t="str">
        <f ca="1">IFERROR(__xludf.DUMMYFUNCTION("""COMPUTED_VALUE"""),"#VALUE!")</f>
        <v>#VALUE!</v>
      </c>
      <c r="CE364" t="str">
        <f ca="1">IFERROR(__xludf.DUMMYFUNCTION("""COMPUTED_VALUE"""),"#VALUE!")</f>
        <v>#VALUE!</v>
      </c>
      <c r="CG364" t="str">
        <f ca="1">IFERROR(__xludf.DUMMYFUNCTION("""COMPUTED_VALUE"""),"#VALUE!")</f>
        <v>#VALUE!</v>
      </c>
      <c r="CI364" t="str">
        <f ca="1">IFERROR(__xludf.DUMMYFUNCTION("""COMPUTED_VALUE"""),"#VALUE!")</f>
        <v>#VALUE!</v>
      </c>
      <c r="CK364" t="str">
        <f ca="1">IFERROR(__xludf.DUMMYFUNCTION("""COMPUTED_VALUE"""),"#VALUE!")</f>
        <v>#VALUE!</v>
      </c>
      <c r="CS364" t="str">
        <f ca="1">IFERROR(__xludf.DUMMYFUNCTION("""COMPUTED_VALUE"""),"#VALUE!")</f>
        <v>#VALUE!</v>
      </c>
      <c r="CU364" t="str">
        <f ca="1">IFERROR(__xludf.DUMMYFUNCTION("""COMPUTED_VALUE"""),"#VALUE!")</f>
        <v>#VALUE!</v>
      </c>
      <c r="CW364" t="str">
        <f ca="1">IFERROR(__xludf.DUMMYFUNCTION("""COMPUTED_VALUE"""),"#VALUE!")</f>
        <v>#VALUE!</v>
      </c>
      <c r="CY364" t="str">
        <f ca="1">IFERROR(__xludf.DUMMYFUNCTION("""COMPUTED_VALUE"""),"#VALUE!")</f>
        <v>#VALUE!</v>
      </c>
      <c r="DC364" t="str">
        <f ca="1">IFERROR(__xludf.DUMMYFUNCTION("""COMPUTED_VALUE"""),"#VALUE!")</f>
        <v>#VALUE!</v>
      </c>
      <c r="DE364" t="str">
        <f ca="1">IFERROR(__xludf.DUMMYFUNCTION("""COMPUTED_VALUE"""),"#VALUE!")</f>
        <v>#VALUE!</v>
      </c>
      <c r="DI364" t="str">
        <f ca="1">IFERROR(__xludf.DUMMYFUNCTION("""COMPUTED_VALUE"""),"#VALUE!")</f>
        <v>#VALUE!</v>
      </c>
      <c r="DJ364" t="str">
        <f ca="1">IFERROR(__xludf.DUMMYFUNCTION("""COMPUTED_VALUE"""),"#VALUE!")</f>
        <v>#VALUE!</v>
      </c>
      <c r="DL364" t="str">
        <f ca="1">IFERROR(__xludf.DUMMYFUNCTION("""COMPUTED_VALUE"""),"Davor Salihović")</f>
        <v>Davor Salihović</v>
      </c>
    </row>
    <row r="365" spans="1:116" ht="13.2" x14ac:dyDescent="0.25">
      <c r="A365" t="str">
        <f ca="1">IFERROR(__xludf.DUMMYFUNCTION("""COMPUTED_VALUE"""),"P0372")</f>
        <v>P0372</v>
      </c>
      <c r="B365" t="str">
        <f ca="1">IFERROR(__xludf.DUMMYFUNCTION("""COMPUTED_VALUE"""),"Petrus Sacherii")</f>
        <v>Petrus Sacherii</v>
      </c>
      <c r="D365" t="str">
        <f ca="1">IFERROR(__xludf.DUMMYFUNCTION("""COMPUTED_VALUE"""),"#VALUE!")</f>
        <v>#VALUE!</v>
      </c>
      <c r="E365" t="str">
        <f ca="1">IFERROR(__xludf.DUMMYFUNCTION("""COMPUTED_VALUE"""),"Petrus")</f>
        <v>Petrus</v>
      </c>
      <c r="K365" t="str">
        <f ca="1">IFERROR(__xludf.DUMMYFUNCTION("""COMPUTED_VALUE"""),"Sacherii")</f>
        <v>Sacherii</v>
      </c>
      <c r="L365" t="str">
        <f ca="1">IFERROR(__xludf.DUMMYFUNCTION("""COMPUTED_VALUE"""),"Sacherii")</f>
        <v>Sacherii</v>
      </c>
      <c r="S365" t="str">
        <f ca="1">IFERROR(__xludf.DUMMYFUNCTION("""COMPUTED_VALUE"""),"Latin")</f>
        <v>Latin</v>
      </c>
      <c r="T365" t="str">
        <f ca="1">IFERROR(__xludf.DUMMYFUNCTION("""COMPUTED_VALUE"""),"definite")</f>
        <v>definite</v>
      </c>
      <c r="U365" t="str">
        <f ca="1">IFERROR(__xludf.DUMMYFUNCTION("""COMPUTED_VALUE"""),"C2553")</f>
        <v>C2553</v>
      </c>
      <c r="V365" t="str">
        <f ca="1">IFERROR(__xludf.DUMMYFUNCTION("""COMPUTED_VALUE"""),"male")</f>
        <v>male</v>
      </c>
      <c r="Z365" t="str">
        <f ca="1">IFERROR(__xludf.DUMMYFUNCTION("""COMPUTED_VALUE"""),"217, 231")</f>
        <v>217, 231</v>
      </c>
      <c r="AA365" t="str">
        <f ca="1">IFERROR(__xludf.DUMMYFUNCTION("""COMPUTED_VALUE"""),"d")</f>
        <v>d</v>
      </c>
      <c r="AB365" t="str">
        <f ca="1">IFERROR(__xludf.DUMMYFUNCTION("""COMPUTED_VALUE"""),"suspect")</f>
        <v>suspect</v>
      </c>
      <c r="AD365" t="str">
        <f ca="1">IFERROR(__xludf.DUMMYFUNCTION("""COMPUTED_VALUE"""),"C3287")</f>
        <v>C3287</v>
      </c>
      <c r="AE365" t="str">
        <f ca="1">IFERROR(__xludf.DUMMYFUNCTION("""COMPUTED_VALUE"""),"alive")</f>
        <v>alive</v>
      </c>
      <c r="AF365" t="str">
        <f ca="1">IFERROR(__xludf.DUMMYFUNCTION("""COMPUTED_VALUE"""),"C1753")</f>
        <v>C1753</v>
      </c>
      <c r="AG365" t="str">
        <f ca="1">IFERROR(__xludf.DUMMYFUNCTION("""COMPUTED_VALUE"""),"1335-01-20")</f>
        <v>1335-01-20</v>
      </c>
      <c r="AI365" t="str">
        <f ca="1">IFERROR(__xludf.DUMMYFUNCTION("""COMPUTED_VALUE"""),"#VALUE!")</f>
        <v>#VALUE!</v>
      </c>
      <c r="AK365" t="str">
        <f ca="1">IFERROR(__xludf.DUMMYFUNCTION("""COMPUTED_VALUE"""),"#VALUE!")</f>
        <v>#VALUE!</v>
      </c>
      <c r="AM365" t="str">
        <f ca="1">IFERROR(__xludf.DUMMYFUNCTION("""COMPUTED_VALUE"""),"#VALUE!")</f>
        <v>#VALUE!</v>
      </c>
      <c r="AO365" t="str">
        <f ca="1">IFERROR(__xludf.DUMMYFUNCTION("""COMPUTED_VALUE"""),"#VALUE!")</f>
        <v>#VALUE!</v>
      </c>
      <c r="AQ365" t="str">
        <f ca="1">IFERROR(__xludf.DUMMYFUNCTION("""COMPUTED_VALUE"""),"#VALUE!")</f>
        <v>#VALUE!</v>
      </c>
      <c r="AS365" t="str">
        <f ca="1">IFERROR(__xludf.DUMMYFUNCTION("""COMPUTED_VALUE"""),"#VALUE!")</f>
        <v>#VALUE!</v>
      </c>
      <c r="AU365" t="str">
        <f ca="1">IFERROR(__xludf.DUMMYFUNCTION("""COMPUTED_VALUE"""),"#VALUE!")</f>
        <v>#VALUE!</v>
      </c>
      <c r="AW365" t="str">
        <f ca="1">IFERROR(__xludf.DUMMYFUNCTION("""COMPUTED_VALUE"""),"#VALUE!")</f>
        <v>#VALUE!</v>
      </c>
      <c r="AY365" t="str">
        <f ca="1">IFERROR(__xludf.DUMMYFUNCTION("""COMPUTED_VALUE"""),"#VALUE!")</f>
        <v>#VALUE!</v>
      </c>
      <c r="BA365" t="str">
        <f ca="1">IFERROR(__xludf.DUMMYFUNCTION("""COMPUTED_VALUE"""),"#VALUE!")</f>
        <v>#VALUE!</v>
      </c>
      <c r="BC365" t="str">
        <f ca="1">IFERROR(__xludf.DUMMYFUNCTION("""COMPUTED_VALUE"""),"#VALUE!")</f>
        <v>#VALUE!</v>
      </c>
      <c r="BE365" t="str">
        <f ca="1">IFERROR(__xludf.DUMMYFUNCTION("""COMPUTED_VALUE"""),"#VALUE!")</f>
        <v>#VALUE!</v>
      </c>
      <c r="BG365" t="str">
        <f ca="1">IFERROR(__xludf.DUMMYFUNCTION("""COMPUTED_VALUE"""),"#VALUE!")</f>
        <v>#VALUE!</v>
      </c>
      <c r="BI365" t="str">
        <f ca="1">IFERROR(__xludf.DUMMYFUNCTION("""COMPUTED_VALUE"""),"#VALUE!")</f>
        <v>#VALUE!</v>
      </c>
      <c r="BK365" t="str">
        <f ca="1">IFERROR(__xludf.DUMMYFUNCTION("""COMPUTED_VALUE"""),"#VALUE!")</f>
        <v>#VALUE!</v>
      </c>
      <c r="BM365" t="str">
        <f ca="1">IFERROR(__xludf.DUMMYFUNCTION("""COMPUTED_VALUE"""),"#VALUE!")</f>
        <v>#VALUE!</v>
      </c>
      <c r="BO365" t="str">
        <f ca="1">IFERROR(__xludf.DUMMYFUNCTION("""COMPUTED_VALUE"""),"#VALUE!")</f>
        <v>#VALUE!</v>
      </c>
      <c r="BQ365" t="str">
        <f ca="1">IFERROR(__xludf.DUMMYFUNCTION("""COMPUTED_VALUE"""),"#VALUE!")</f>
        <v>#VALUE!</v>
      </c>
      <c r="BS365" t="str">
        <f ca="1">IFERROR(__xludf.DUMMYFUNCTION("""COMPUTED_VALUE"""),"#VALUE!")</f>
        <v>#VALUE!</v>
      </c>
      <c r="BU365" t="str">
        <f ca="1">IFERROR(__xludf.DUMMYFUNCTION("""COMPUTED_VALUE"""),"#VALUE!")</f>
        <v>#VALUE!</v>
      </c>
      <c r="BW365" t="str">
        <f ca="1">IFERROR(__xludf.DUMMYFUNCTION("""COMPUTED_VALUE"""),"#VALUE!")</f>
        <v>#VALUE!</v>
      </c>
      <c r="BY365" t="str">
        <f ca="1">IFERROR(__xludf.DUMMYFUNCTION("""COMPUTED_VALUE"""),"#VALUE!")</f>
        <v>#VALUE!</v>
      </c>
      <c r="CA365" t="str">
        <f ca="1">IFERROR(__xludf.DUMMYFUNCTION("""COMPUTED_VALUE"""),"#VALUE!")</f>
        <v>#VALUE!</v>
      </c>
      <c r="CC365" t="str">
        <f ca="1">IFERROR(__xludf.DUMMYFUNCTION("""COMPUTED_VALUE"""),"#VALUE!")</f>
        <v>#VALUE!</v>
      </c>
      <c r="CD365" t="str">
        <f ca="1">IFERROR(__xludf.DUMMYFUNCTION("""COMPUTED_VALUE"""),"C3598")</f>
        <v>C3598</v>
      </c>
      <c r="CE365" t="str">
        <f ca="1">IFERROR(__xludf.DUMMYFUNCTION("""COMPUTED_VALUE"""),"location of congregation")</f>
        <v>location of congregation</v>
      </c>
      <c r="CF365" t="str">
        <f ca="1">IFERROR(__xludf.DUMMYFUNCTION("""COMPUTED_VALUE"""),"L0032")</f>
        <v>L0032</v>
      </c>
      <c r="CG365" t="str">
        <f ca="1">IFERROR(__xludf.DUMMYFUNCTION("""COMPUTED_VALUE"""),"domus Villelmi de Oddo")</f>
        <v>domus Villelmi de Oddo</v>
      </c>
      <c r="CI365" t="str">
        <f ca="1">IFERROR(__xludf.DUMMYFUNCTION("""COMPUTED_VALUE"""),"#VALUE!")</f>
        <v>#VALUE!</v>
      </c>
      <c r="CK365" t="str">
        <f ca="1">IFERROR(__xludf.DUMMYFUNCTION("""COMPUTED_VALUE"""),"#VALUE!")</f>
        <v>#VALUE!</v>
      </c>
      <c r="CS365" t="str">
        <f ca="1">IFERROR(__xludf.DUMMYFUNCTION("""COMPUTED_VALUE"""),"#VALUE!")</f>
        <v>#VALUE!</v>
      </c>
      <c r="CU365" t="str">
        <f ca="1">IFERROR(__xludf.DUMMYFUNCTION("""COMPUTED_VALUE"""),"#VALUE!")</f>
        <v>#VALUE!</v>
      </c>
      <c r="CW365" t="str">
        <f ca="1">IFERROR(__xludf.DUMMYFUNCTION("""COMPUTED_VALUE"""),"#VALUE!")</f>
        <v>#VALUE!</v>
      </c>
      <c r="CY365" t="str">
        <f ca="1">IFERROR(__xludf.DUMMYFUNCTION("""COMPUTED_VALUE"""),"#VALUE!")</f>
        <v>#VALUE!</v>
      </c>
      <c r="DC365" t="str">
        <f ca="1">IFERROR(__xludf.DUMMYFUNCTION("""COMPUTED_VALUE"""),"#VALUE!")</f>
        <v>#VALUE!</v>
      </c>
      <c r="DE365" t="str">
        <f ca="1">IFERROR(__xludf.DUMMYFUNCTION("""COMPUTED_VALUE"""),"#VALUE!")</f>
        <v>#VALUE!</v>
      </c>
      <c r="DF365" t="str">
        <f ca="1">IFERROR(__xludf.DUMMYFUNCTION("""COMPUTED_VALUE"""),"y")</f>
        <v>y</v>
      </c>
      <c r="DG365" t="str">
        <f ca="1">IFERROR(__xludf.DUMMYFUNCTION("""COMPUTED_VALUE"""),"231")</f>
        <v>231</v>
      </c>
      <c r="DH365" t="str">
        <f ca="1">IFERROR(__xludf.DUMMYFUNCTION("""COMPUTED_VALUE"""),"L0032")</f>
        <v>L0032</v>
      </c>
      <c r="DI365" t="str">
        <f ca="1">IFERROR(__xludf.DUMMYFUNCTION("""COMPUTED_VALUE"""),"domus Villelmi de Oddo")</f>
        <v>domus Villelmi de Oddo</v>
      </c>
      <c r="DJ365" t="str">
        <f ca="1">IFERROR(__xludf.DUMMYFUNCTION("""COMPUTED_VALUE"""),"domus")</f>
        <v>domus</v>
      </c>
      <c r="DL365" t="str">
        <f ca="1">IFERROR(__xludf.DUMMYFUNCTION("""COMPUTED_VALUE"""),"Davor Salihović")</f>
        <v>Davor Salihović</v>
      </c>
    </row>
    <row r="366" spans="1:116" ht="13.2" x14ac:dyDescent="0.25">
      <c r="A366" t="str">
        <f ca="1">IFERROR(__xludf.DUMMYFUNCTION("""COMPUTED_VALUE"""),"P0373")</f>
        <v>P0373</v>
      </c>
      <c r="B366" t="str">
        <f ca="1">IFERROR(__xludf.DUMMYFUNCTION("""COMPUTED_VALUE"""),"quedam amica Aleysete, de Villa Nova")</f>
        <v>quedam amica Aleysete, de Villa Nova</v>
      </c>
      <c r="D366" t="str">
        <f ca="1">IFERROR(__xludf.DUMMYFUNCTION("""COMPUTED_VALUE"""),"#VALUE!")</f>
        <v>#VALUE!</v>
      </c>
      <c r="E366" t="str">
        <f ca="1">IFERROR(__xludf.DUMMYFUNCTION("""COMPUTED_VALUE"""),"quedam amica Aleysete, de Villa Nova")</f>
        <v>quedam amica Aleysete, de Villa Nova</v>
      </c>
      <c r="Q366" t="str">
        <f ca="1">IFERROR(__xludf.DUMMYFUNCTION("""COMPUTED_VALUE"""),"quemdam amica Aleysete")</f>
        <v>quemdam amica Aleysete</v>
      </c>
      <c r="S366" t="str">
        <f ca="1">IFERROR(__xludf.DUMMYFUNCTION("""COMPUTED_VALUE"""),"Latin")</f>
        <v>Latin</v>
      </c>
      <c r="T366" t="str">
        <f ca="1">IFERROR(__xludf.DUMMYFUNCTION("""COMPUTED_VALUE"""),"indefinite")</f>
        <v>indefinite</v>
      </c>
      <c r="U366" t="str">
        <f ca="1">IFERROR(__xludf.DUMMYFUNCTION("""COMPUTED_VALUE"""),"C2552")</f>
        <v>C2552</v>
      </c>
      <c r="V366" t="str">
        <f ca="1">IFERROR(__xludf.DUMMYFUNCTION("""COMPUTED_VALUE"""),"female")</f>
        <v>female</v>
      </c>
      <c r="Z366" t="str">
        <f ca="1">IFERROR(__xludf.DUMMYFUNCTION("""COMPUTED_VALUE"""),"216")</f>
        <v>216</v>
      </c>
      <c r="AA366" t="str">
        <f ca="1">IFERROR(__xludf.DUMMYFUNCTION("""COMPUTED_VALUE"""),"d")</f>
        <v>d</v>
      </c>
      <c r="AB366" t="str">
        <f ca="1">IFERROR(__xludf.DUMMYFUNCTION("""COMPUTED_VALUE"""),"suspect")</f>
        <v>suspect</v>
      </c>
      <c r="AE366" t="str">
        <f ca="1">IFERROR(__xludf.DUMMYFUNCTION("""COMPUTED_VALUE"""),"#VALUE!")</f>
        <v>#VALUE!</v>
      </c>
      <c r="AF366" t="str">
        <f ca="1">IFERROR(__xludf.DUMMYFUNCTION("""COMPUTED_VALUE"""),"#N/A")</f>
        <v>#N/A</v>
      </c>
      <c r="AG366" t="str">
        <f ca="1">IFERROR(__xludf.DUMMYFUNCTION("""COMPUTED_VALUE"""),"#N/A")</f>
        <v>#N/A</v>
      </c>
      <c r="AI366" t="str">
        <f ca="1">IFERROR(__xludf.DUMMYFUNCTION("""COMPUTED_VALUE"""),"#VALUE!")</f>
        <v>#VALUE!</v>
      </c>
      <c r="AK366" t="str">
        <f ca="1">IFERROR(__xludf.DUMMYFUNCTION("""COMPUTED_VALUE"""),"#VALUE!")</f>
        <v>#VALUE!</v>
      </c>
      <c r="AM366" t="str">
        <f ca="1">IFERROR(__xludf.DUMMYFUNCTION("""COMPUTED_VALUE"""),"#VALUE!")</f>
        <v>#VALUE!</v>
      </c>
      <c r="AO366" t="str">
        <f ca="1">IFERROR(__xludf.DUMMYFUNCTION("""COMPUTED_VALUE"""),"#VALUE!")</f>
        <v>#VALUE!</v>
      </c>
      <c r="AQ366" t="str">
        <f ca="1">IFERROR(__xludf.DUMMYFUNCTION("""COMPUTED_VALUE"""),"#VALUE!")</f>
        <v>#VALUE!</v>
      </c>
      <c r="AS366" t="str">
        <f ca="1">IFERROR(__xludf.DUMMYFUNCTION("""COMPUTED_VALUE"""),"#VALUE!")</f>
        <v>#VALUE!</v>
      </c>
      <c r="AU366" t="str">
        <f ca="1">IFERROR(__xludf.DUMMYFUNCTION("""COMPUTED_VALUE"""),"#VALUE!")</f>
        <v>#VALUE!</v>
      </c>
      <c r="AW366" t="str">
        <f ca="1">IFERROR(__xludf.DUMMYFUNCTION("""COMPUTED_VALUE"""),"#VALUE!")</f>
        <v>#VALUE!</v>
      </c>
      <c r="AY366" t="str">
        <f ca="1">IFERROR(__xludf.DUMMYFUNCTION("""COMPUTED_VALUE"""),"#VALUE!")</f>
        <v>#VALUE!</v>
      </c>
      <c r="BA366" t="str">
        <f ca="1">IFERROR(__xludf.DUMMYFUNCTION("""COMPUTED_VALUE"""),"#VALUE!")</f>
        <v>#VALUE!</v>
      </c>
      <c r="BC366" t="str">
        <f ca="1">IFERROR(__xludf.DUMMYFUNCTION("""COMPUTED_VALUE"""),"#VALUE!")</f>
        <v>#VALUE!</v>
      </c>
      <c r="BE366" t="str">
        <f ca="1">IFERROR(__xludf.DUMMYFUNCTION("""COMPUTED_VALUE"""),"#VALUE!")</f>
        <v>#VALUE!</v>
      </c>
      <c r="BG366" t="str">
        <f ca="1">IFERROR(__xludf.DUMMYFUNCTION("""COMPUTED_VALUE"""),"#VALUE!")</f>
        <v>#VALUE!</v>
      </c>
      <c r="BI366" t="str">
        <f ca="1">IFERROR(__xludf.DUMMYFUNCTION("""COMPUTED_VALUE"""),"#VALUE!")</f>
        <v>#VALUE!</v>
      </c>
      <c r="BK366" t="str">
        <f ca="1">IFERROR(__xludf.DUMMYFUNCTION("""COMPUTED_VALUE"""),"#VALUE!")</f>
        <v>#VALUE!</v>
      </c>
      <c r="BM366" t="str">
        <f ca="1">IFERROR(__xludf.DUMMYFUNCTION("""COMPUTED_VALUE"""),"#VALUE!")</f>
        <v>#VALUE!</v>
      </c>
      <c r="BO366" t="str">
        <f ca="1">IFERROR(__xludf.DUMMYFUNCTION("""COMPUTED_VALUE"""),"#VALUE!")</f>
        <v>#VALUE!</v>
      </c>
      <c r="BQ366" t="str">
        <f ca="1">IFERROR(__xludf.DUMMYFUNCTION("""COMPUTED_VALUE"""),"#VALUE!")</f>
        <v>#VALUE!</v>
      </c>
      <c r="BS366" t="str">
        <f ca="1">IFERROR(__xludf.DUMMYFUNCTION("""COMPUTED_VALUE"""),"#VALUE!")</f>
        <v>#VALUE!</v>
      </c>
      <c r="BU366" t="str">
        <f ca="1">IFERROR(__xludf.DUMMYFUNCTION("""COMPUTED_VALUE"""),"#VALUE!")</f>
        <v>#VALUE!</v>
      </c>
      <c r="BW366" t="str">
        <f ca="1">IFERROR(__xludf.DUMMYFUNCTION("""COMPUTED_VALUE"""),"#VALUE!")</f>
        <v>#VALUE!</v>
      </c>
      <c r="BY366" t="str">
        <f ca="1">IFERROR(__xludf.DUMMYFUNCTION("""COMPUTED_VALUE"""),"#VALUE!")</f>
        <v>#VALUE!</v>
      </c>
      <c r="CA366" t="str">
        <f ca="1">IFERROR(__xludf.DUMMYFUNCTION("""COMPUTED_VALUE"""),"#VALUE!")</f>
        <v>#VALUE!</v>
      </c>
      <c r="CC366" t="str">
        <f ca="1">IFERROR(__xludf.DUMMYFUNCTION("""COMPUTED_VALUE"""),"#VALUE!")</f>
        <v>#VALUE!</v>
      </c>
      <c r="CD366" t="str">
        <f ca="1">IFERROR(__xludf.DUMMYFUNCTION("""COMPUTED_VALUE"""),"C3598")</f>
        <v>C3598</v>
      </c>
      <c r="CE366" t="str">
        <f ca="1">IFERROR(__xludf.DUMMYFUNCTION("""COMPUTED_VALUE"""),"location of congregation")</f>
        <v>location of congregation</v>
      </c>
      <c r="CF366" t="str">
        <f ca="1">IFERROR(__xludf.DUMMYFUNCTION("""COMPUTED_VALUE"""),"L0079")</f>
        <v>L0079</v>
      </c>
      <c r="CG366" t="str">
        <f ca="1">IFERROR(__xludf.DUMMYFUNCTION("""COMPUTED_VALUE"""),"domus Martinii Dominici")</f>
        <v>domus Martinii Dominici</v>
      </c>
      <c r="CI366" t="str">
        <f ca="1">IFERROR(__xludf.DUMMYFUNCTION("""COMPUTED_VALUE"""),"#VALUE!")</f>
        <v>#VALUE!</v>
      </c>
      <c r="CK366" t="str">
        <f ca="1">IFERROR(__xludf.DUMMYFUNCTION("""COMPUTED_VALUE"""),"#VALUE!")</f>
        <v>#VALUE!</v>
      </c>
      <c r="CS366" t="str">
        <f ca="1">IFERROR(__xludf.DUMMYFUNCTION("""COMPUTED_VALUE"""),"#VALUE!")</f>
        <v>#VALUE!</v>
      </c>
      <c r="CU366" t="str">
        <f ca="1">IFERROR(__xludf.DUMMYFUNCTION("""COMPUTED_VALUE"""),"#VALUE!")</f>
        <v>#VALUE!</v>
      </c>
      <c r="CW366" t="str">
        <f ca="1">IFERROR(__xludf.DUMMYFUNCTION("""COMPUTED_VALUE"""),"#VALUE!")</f>
        <v>#VALUE!</v>
      </c>
      <c r="CY366" t="str">
        <f ca="1">IFERROR(__xludf.DUMMYFUNCTION("""COMPUTED_VALUE"""),"#VALUE!")</f>
        <v>#VALUE!</v>
      </c>
      <c r="DC366" t="str">
        <f ca="1">IFERROR(__xludf.DUMMYFUNCTION("""COMPUTED_VALUE"""),"#VALUE!")</f>
        <v>#VALUE!</v>
      </c>
      <c r="DE366" t="str">
        <f ca="1">IFERROR(__xludf.DUMMYFUNCTION("""COMPUTED_VALUE"""),"#VALUE!")</f>
        <v>#VALUE!</v>
      </c>
      <c r="DH366" t="str">
        <f ca="1">IFERROR(__xludf.DUMMYFUNCTION("""COMPUTED_VALUE"""),"L0079")</f>
        <v>L0079</v>
      </c>
      <c r="DI366" t="str">
        <f ca="1">IFERROR(__xludf.DUMMYFUNCTION("""COMPUTED_VALUE"""),"domus Martinii Dominici")</f>
        <v>domus Martinii Dominici</v>
      </c>
      <c r="DJ366" t="str">
        <f ca="1">IFERROR(__xludf.DUMMYFUNCTION("""COMPUTED_VALUE"""),"domus")</f>
        <v>domus</v>
      </c>
      <c r="DL366" t="str">
        <f ca="1">IFERROR(__xludf.DUMMYFUNCTION("""COMPUTED_VALUE"""),"Davor Salihović")</f>
        <v>Davor Salihović</v>
      </c>
    </row>
    <row r="367" spans="1:116" ht="13.2" x14ac:dyDescent="0.25">
      <c r="A367" t="str">
        <f ca="1">IFERROR(__xludf.DUMMYFUNCTION("""COMPUTED_VALUE"""),"P0374")</f>
        <v>P0374</v>
      </c>
      <c r="B367" t="str">
        <f ca="1">IFERROR(__xludf.DUMMYFUNCTION("""COMPUTED_VALUE"""),"Caterina Bruneta")</f>
        <v>Caterina Bruneta</v>
      </c>
      <c r="D367" t="str">
        <f ca="1">IFERROR(__xludf.DUMMYFUNCTION("""COMPUTED_VALUE"""),"#VALUE!")</f>
        <v>#VALUE!</v>
      </c>
      <c r="E367" t="str">
        <f ca="1">IFERROR(__xludf.DUMMYFUNCTION("""COMPUTED_VALUE"""),"Caterina")</f>
        <v>Caterina</v>
      </c>
      <c r="K367" t="str">
        <f ca="1">IFERROR(__xludf.DUMMYFUNCTION("""COMPUTED_VALUE"""),"Bruneta")</f>
        <v>Bruneta</v>
      </c>
      <c r="L367" t="str">
        <f ca="1">IFERROR(__xludf.DUMMYFUNCTION("""COMPUTED_VALUE"""),"Bruneta")</f>
        <v>Bruneta</v>
      </c>
      <c r="Q367" t="str">
        <f ca="1">IFERROR(__xludf.DUMMYFUNCTION("""COMPUTED_VALUE"""),"filia Domenge")</f>
        <v>filia Domenge</v>
      </c>
      <c r="S367" t="str">
        <f ca="1">IFERROR(__xludf.DUMMYFUNCTION("""COMPUTED_VALUE"""),"Latin")</f>
        <v>Latin</v>
      </c>
      <c r="T367" t="str">
        <f ca="1">IFERROR(__xludf.DUMMYFUNCTION("""COMPUTED_VALUE"""),"definite")</f>
        <v>definite</v>
      </c>
      <c r="U367" t="str">
        <f ca="1">IFERROR(__xludf.DUMMYFUNCTION("""COMPUTED_VALUE"""),"C2552")</f>
        <v>C2552</v>
      </c>
      <c r="V367" t="str">
        <f ca="1">IFERROR(__xludf.DUMMYFUNCTION("""COMPUTED_VALUE"""),"female")</f>
        <v>female</v>
      </c>
      <c r="Z367" t="str">
        <f ca="1">IFERROR(__xludf.DUMMYFUNCTION("""COMPUTED_VALUE"""),"217")</f>
        <v>217</v>
      </c>
      <c r="AA367" t="str">
        <f ca="1">IFERROR(__xludf.DUMMYFUNCTION("""COMPUTED_VALUE"""),"d")</f>
        <v>d</v>
      </c>
      <c r="AB367" t="str">
        <f ca="1">IFERROR(__xludf.DUMMYFUNCTION("""COMPUTED_VALUE"""),"suspect")</f>
        <v>suspect</v>
      </c>
      <c r="AE367" t="str">
        <f ca="1">IFERROR(__xludf.DUMMYFUNCTION("""COMPUTED_VALUE"""),"#VALUE!")</f>
        <v>#VALUE!</v>
      </c>
      <c r="AF367" t="str">
        <f ca="1">IFERROR(__xludf.DUMMYFUNCTION("""COMPUTED_VALUE"""),"#N/A")</f>
        <v>#N/A</v>
      </c>
      <c r="AG367" t="str">
        <f ca="1">IFERROR(__xludf.DUMMYFUNCTION("""COMPUTED_VALUE"""),"#N/A")</f>
        <v>#N/A</v>
      </c>
      <c r="AI367" t="str">
        <f ca="1">IFERROR(__xludf.DUMMYFUNCTION("""COMPUTED_VALUE"""),"#VALUE!")</f>
        <v>#VALUE!</v>
      </c>
      <c r="AK367" t="str">
        <f ca="1">IFERROR(__xludf.DUMMYFUNCTION("""COMPUTED_VALUE"""),"#VALUE!")</f>
        <v>#VALUE!</v>
      </c>
      <c r="AM367" t="str">
        <f ca="1">IFERROR(__xludf.DUMMYFUNCTION("""COMPUTED_VALUE"""),"#VALUE!")</f>
        <v>#VALUE!</v>
      </c>
      <c r="AO367" t="str">
        <f ca="1">IFERROR(__xludf.DUMMYFUNCTION("""COMPUTED_VALUE"""),"#VALUE!")</f>
        <v>#VALUE!</v>
      </c>
      <c r="AQ367" t="str">
        <f ca="1">IFERROR(__xludf.DUMMYFUNCTION("""COMPUTED_VALUE"""),"#VALUE!")</f>
        <v>#VALUE!</v>
      </c>
      <c r="AS367" t="str">
        <f ca="1">IFERROR(__xludf.DUMMYFUNCTION("""COMPUTED_VALUE"""),"#VALUE!")</f>
        <v>#VALUE!</v>
      </c>
      <c r="AU367" t="str">
        <f ca="1">IFERROR(__xludf.DUMMYFUNCTION("""COMPUTED_VALUE"""),"#VALUE!")</f>
        <v>#VALUE!</v>
      </c>
      <c r="AW367" t="str">
        <f ca="1">IFERROR(__xludf.DUMMYFUNCTION("""COMPUTED_VALUE"""),"#VALUE!")</f>
        <v>#VALUE!</v>
      </c>
      <c r="AY367" t="str">
        <f ca="1">IFERROR(__xludf.DUMMYFUNCTION("""COMPUTED_VALUE"""),"#VALUE!")</f>
        <v>#VALUE!</v>
      </c>
      <c r="BA367" t="str">
        <f ca="1">IFERROR(__xludf.DUMMYFUNCTION("""COMPUTED_VALUE"""),"#VALUE!")</f>
        <v>#VALUE!</v>
      </c>
      <c r="BC367" t="str">
        <f ca="1">IFERROR(__xludf.DUMMYFUNCTION("""COMPUTED_VALUE"""),"#VALUE!")</f>
        <v>#VALUE!</v>
      </c>
      <c r="BE367" t="str">
        <f ca="1">IFERROR(__xludf.DUMMYFUNCTION("""COMPUTED_VALUE"""),"#VALUE!")</f>
        <v>#VALUE!</v>
      </c>
      <c r="BG367" t="str">
        <f ca="1">IFERROR(__xludf.DUMMYFUNCTION("""COMPUTED_VALUE"""),"#VALUE!")</f>
        <v>#VALUE!</v>
      </c>
      <c r="BI367" t="str">
        <f ca="1">IFERROR(__xludf.DUMMYFUNCTION("""COMPUTED_VALUE"""),"#VALUE!")</f>
        <v>#VALUE!</v>
      </c>
      <c r="BK367" t="str">
        <f ca="1">IFERROR(__xludf.DUMMYFUNCTION("""COMPUTED_VALUE"""),"#VALUE!")</f>
        <v>#VALUE!</v>
      </c>
      <c r="BM367" t="str">
        <f ca="1">IFERROR(__xludf.DUMMYFUNCTION("""COMPUTED_VALUE"""),"#VALUE!")</f>
        <v>#VALUE!</v>
      </c>
      <c r="BO367" t="str">
        <f ca="1">IFERROR(__xludf.DUMMYFUNCTION("""COMPUTED_VALUE"""),"#VALUE!")</f>
        <v>#VALUE!</v>
      </c>
      <c r="BQ367" t="str">
        <f ca="1">IFERROR(__xludf.DUMMYFUNCTION("""COMPUTED_VALUE"""),"#VALUE!")</f>
        <v>#VALUE!</v>
      </c>
      <c r="BS367" t="str">
        <f ca="1">IFERROR(__xludf.DUMMYFUNCTION("""COMPUTED_VALUE"""),"#VALUE!")</f>
        <v>#VALUE!</v>
      </c>
      <c r="BU367" t="str">
        <f ca="1">IFERROR(__xludf.DUMMYFUNCTION("""COMPUTED_VALUE"""),"#VALUE!")</f>
        <v>#VALUE!</v>
      </c>
      <c r="BW367" t="str">
        <f ca="1">IFERROR(__xludf.DUMMYFUNCTION("""COMPUTED_VALUE"""),"#VALUE!")</f>
        <v>#VALUE!</v>
      </c>
      <c r="BY367" t="str">
        <f ca="1">IFERROR(__xludf.DUMMYFUNCTION("""COMPUTED_VALUE"""),"#VALUE!")</f>
        <v>#VALUE!</v>
      </c>
      <c r="CA367" t="str">
        <f ca="1">IFERROR(__xludf.DUMMYFUNCTION("""COMPUTED_VALUE"""),"#VALUE!")</f>
        <v>#VALUE!</v>
      </c>
      <c r="CC367" t="str">
        <f ca="1">IFERROR(__xludf.DUMMYFUNCTION("""COMPUTED_VALUE"""),"#VALUE!")</f>
        <v>#VALUE!</v>
      </c>
      <c r="CE367" t="str">
        <f ca="1">IFERROR(__xludf.DUMMYFUNCTION("""COMPUTED_VALUE"""),"#VALUE!")</f>
        <v>#VALUE!</v>
      </c>
      <c r="CG367" t="str">
        <f ca="1">IFERROR(__xludf.DUMMYFUNCTION("""COMPUTED_VALUE"""),"#VALUE!")</f>
        <v>#VALUE!</v>
      </c>
      <c r="CI367" t="str">
        <f ca="1">IFERROR(__xludf.DUMMYFUNCTION("""COMPUTED_VALUE"""),"#VALUE!")</f>
        <v>#VALUE!</v>
      </c>
      <c r="CK367" t="str">
        <f ca="1">IFERROR(__xludf.DUMMYFUNCTION("""COMPUTED_VALUE"""),"#VALUE!")</f>
        <v>#VALUE!</v>
      </c>
      <c r="CS367" t="str">
        <f ca="1">IFERROR(__xludf.DUMMYFUNCTION("""COMPUTED_VALUE"""),"#VALUE!")</f>
        <v>#VALUE!</v>
      </c>
      <c r="CU367" t="str">
        <f ca="1">IFERROR(__xludf.DUMMYFUNCTION("""COMPUTED_VALUE"""),"#VALUE!")</f>
        <v>#VALUE!</v>
      </c>
      <c r="CW367" t="str">
        <f ca="1">IFERROR(__xludf.DUMMYFUNCTION("""COMPUTED_VALUE"""),"#VALUE!")</f>
        <v>#VALUE!</v>
      </c>
      <c r="CY367" t="str">
        <f ca="1">IFERROR(__xludf.DUMMYFUNCTION("""COMPUTED_VALUE"""),"#VALUE!")</f>
        <v>#VALUE!</v>
      </c>
      <c r="DC367" t="str">
        <f ca="1">IFERROR(__xludf.DUMMYFUNCTION("""COMPUTED_VALUE"""),"#VALUE!")</f>
        <v>#VALUE!</v>
      </c>
      <c r="DE367" t="str">
        <f ca="1">IFERROR(__xludf.DUMMYFUNCTION("""COMPUTED_VALUE"""),"#VALUE!")</f>
        <v>#VALUE!</v>
      </c>
      <c r="DI367" t="str">
        <f ca="1">IFERROR(__xludf.DUMMYFUNCTION("""COMPUTED_VALUE"""),"#VALUE!")</f>
        <v>#VALUE!</v>
      </c>
      <c r="DJ367" t="str">
        <f ca="1">IFERROR(__xludf.DUMMYFUNCTION("""COMPUTED_VALUE"""),"#VALUE!")</f>
        <v>#VALUE!</v>
      </c>
      <c r="DL367" t="str">
        <f ca="1">IFERROR(__xludf.DUMMYFUNCTION("""COMPUTED_VALUE"""),"Davor Salihović")</f>
        <v>Davor Salihović</v>
      </c>
    </row>
    <row r="368" spans="1:116" ht="13.2" x14ac:dyDescent="0.25">
      <c r="A368" t="str">
        <f ca="1">IFERROR(__xludf.DUMMYFUNCTION("""COMPUTED_VALUE"""),"P0375")</f>
        <v>P0375</v>
      </c>
      <c r="B368" t="str">
        <f ca="1">IFERROR(__xludf.DUMMYFUNCTION("""COMPUTED_VALUE"""),"Domenga")</f>
        <v>Domenga</v>
      </c>
      <c r="D368" t="str">
        <f ca="1">IFERROR(__xludf.DUMMYFUNCTION("""COMPUTED_VALUE"""),"#VALUE!")</f>
        <v>#VALUE!</v>
      </c>
      <c r="E368" t="str">
        <f ca="1">IFERROR(__xludf.DUMMYFUNCTION("""COMPUTED_VALUE"""),"Domenga")</f>
        <v>Domenga</v>
      </c>
      <c r="S368" t="str">
        <f ca="1">IFERROR(__xludf.DUMMYFUNCTION("""COMPUTED_VALUE"""),"Latin")</f>
        <v>Latin</v>
      </c>
      <c r="T368" t="str">
        <f ca="1">IFERROR(__xludf.DUMMYFUNCTION("""COMPUTED_VALUE"""),"definite")</f>
        <v>definite</v>
      </c>
      <c r="U368" t="str">
        <f ca="1">IFERROR(__xludf.DUMMYFUNCTION("""COMPUTED_VALUE"""),"C2552")</f>
        <v>C2552</v>
      </c>
      <c r="V368" t="str">
        <f ca="1">IFERROR(__xludf.DUMMYFUNCTION("""COMPUTED_VALUE"""),"female")</f>
        <v>female</v>
      </c>
      <c r="Z368" t="str">
        <f ca="1">IFERROR(__xludf.DUMMYFUNCTION("""COMPUTED_VALUE"""),"217")</f>
        <v>217</v>
      </c>
      <c r="AA368" t="str">
        <f ca="1">IFERROR(__xludf.DUMMYFUNCTION("""COMPUTED_VALUE"""),"d")</f>
        <v>d</v>
      </c>
      <c r="AB368" t="str">
        <f ca="1">IFERROR(__xludf.DUMMYFUNCTION("""COMPUTED_VALUE"""),"NA")</f>
        <v>NA</v>
      </c>
      <c r="AE368" t="str">
        <f ca="1">IFERROR(__xludf.DUMMYFUNCTION("""COMPUTED_VALUE"""),"#VALUE!")</f>
        <v>#VALUE!</v>
      </c>
      <c r="AF368" t="str">
        <f ca="1">IFERROR(__xludf.DUMMYFUNCTION("""COMPUTED_VALUE"""),"#N/A")</f>
        <v>#N/A</v>
      </c>
      <c r="AG368" t="str">
        <f ca="1">IFERROR(__xludf.DUMMYFUNCTION("""COMPUTED_VALUE"""),"#N/A")</f>
        <v>#N/A</v>
      </c>
      <c r="AH368" t="str">
        <f ca="1">IFERROR(__xludf.DUMMYFUNCTION("""COMPUTED_VALUE"""),"C2335")</f>
        <v>C2335</v>
      </c>
      <c r="AI368" t="str">
        <f ca="1">IFERROR(__xludf.DUMMYFUNCTION("""COMPUTED_VALUE"""),"daughter")</f>
        <v>daughter</v>
      </c>
      <c r="AJ368" t="str">
        <f ca="1">IFERROR(__xludf.DUMMYFUNCTION("""COMPUTED_VALUE"""),"P0374")</f>
        <v>P0374</v>
      </c>
      <c r="AK368" t="str">
        <f ca="1">IFERROR(__xludf.DUMMYFUNCTION("""COMPUTED_VALUE"""),"Caterina Bruneta")</f>
        <v>Caterina Bruneta</v>
      </c>
      <c r="AM368" t="str">
        <f ca="1">IFERROR(__xludf.DUMMYFUNCTION("""COMPUTED_VALUE"""),"#VALUE!")</f>
        <v>#VALUE!</v>
      </c>
      <c r="AO368" t="str">
        <f ca="1">IFERROR(__xludf.DUMMYFUNCTION("""COMPUTED_VALUE"""),"#VALUE!")</f>
        <v>#VALUE!</v>
      </c>
      <c r="AQ368" t="str">
        <f ca="1">IFERROR(__xludf.DUMMYFUNCTION("""COMPUTED_VALUE"""),"#VALUE!")</f>
        <v>#VALUE!</v>
      </c>
      <c r="AS368" t="str">
        <f ca="1">IFERROR(__xludf.DUMMYFUNCTION("""COMPUTED_VALUE"""),"#VALUE!")</f>
        <v>#VALUE!</v>
      </c>
      <c r="AU368" t="str">
        <f ca="1">IFERROR(__xludf.DUMMYFUNCTION("""COMPUTED_VALUE"""),"#VALUE!")</f>
        <v>#VALUE!</v>
      </c>
      <c r="AW368" t="str">
        <f ca="1">IFERROR(__xludf.DUMMYFUNCTION("""COMPUTED_VALUE"""),"#VALUE!")</f>
        <v>#VALUE!</v>
      </c>
      <c r="AY368" t="str">
        <f ca="1">IFERROR(__xludf.DUMMYFUNCTION("""COMPUTED_VALUE"""),"#VALUE!")</f>
        <v>#VALUE!</v>
      </c>
      <c r="BA368" t="str">
        <f ca="1">IFERROR(__xludf.DUMMYFUNCTION("""COMPUTED_VALUE"""),"#VALUE!")</f>
        <v>#VALUE!</v>
      </c>
      <c r="BC368" t="str">
        <f ca="1">IFERROR(__xludf.DUMMYFUNCTION("""COMPUTED_VALUE"""),"#VALUE!")</f>
        <v>#VALUE!</v>
      </c>
      <c r="BE368" t="str">
        <f ca="1">IFERROR(__xludf.DUMMYFUNCTION("""COMPUTED_VALUE"""),"#VALUE!")</f>
        <v>#VALUE!</v>
      </c>
      <c r="BG368" t="str">
        <f ca="1">IFERROR(__xludf.DUMMYFUNCTION("""COMPUTED_VALUE"""),"#VALUE!")</f>
        <v>#VALUE!</v>
      </c>
      <c r="BI368" t="str">
        <f ca="1">IFERROR(__xludf.DUMMYFUNCTION("""COMPUTED_VALUE"""),"#VALUE!")</f>
        <v>#VALUE!</v>
      </c>
      <c r="BK368" t="str">
        <f ca="1">IFERROR(__xludf.DUMMYFUNCTION("""COMPUTED_VALUE"""),"#VALUE!")</f>
        <v>#VALUE!</v>
      </c>
      <c r="BM368" t="str">
        <f ca="1">IFERROR(__xludf.DUMMYFUNCTION("""COMPUTED_VALUE"""),"#VALUE!")</f>
        <v>#VALUE!</v>
      </c>
      <c r="BO368" t="str">
        <f ca="1">IFERROR(__xludf.DUMMYFUNCTION("""COMPUTED_VALUE"""),"#VALUE!")</f>
        <v>#VALUE!</v>
      </c>
      <c r="BQ368" t="str">
        <f ca="1">IFERROR(__xludf.DUMMYFUNCTION("""COMPUTED_VALUE"""),"#VALUE!")</f>
        <v>#VALUE!</v>
      </c>
      <c r="BS368" t="str">
        <f ca="1">IFERROR(__xludf.DUMMYFUNCTION("""COMPUTED_VALUE"""),"#VALUE!")</f>
        <v>#VALUE!</v>
      </c>
      <c r="BU368" t="str">
        <f ca="1">IFERROR(__xludf.DUMMYFUNCTION("""COMPUTED_VALUE"""),"#VALUE!")</f>
        <v>#VALUE!</v>
      </c>
      <c r="BW368" t="str">
        <f ca="1">IFERROR(__xludf.DUMMYFUNCTION("""COMPUTED_VALUE"""),"#VALUE!")</f>
        <v>#VALUE!</v>
      </c>
      <c r="BY368" t="str">
        <f ca="1">IFERROR(__xludf.DUMMYFUNCTION("""COMPUTED_VALUE"""),"#VALUE!")</f>
        <v>#VALUE!</v>
      </c>
      <c r="CA368" t="str">
        <f ca="1">IFERROR(__xludf.DUMMYFUNCTION("""COMPUTED_VALUE"""),"#VALUE!")</f>
        <v>#VALUE!</v>
      </c>
      <c r="CC368" t="str">
        <f ca="1">IFERROR(__xludf.DUMMYFUNCTION("""COMPUTED_VALUE"""),"#VALUE!")</f>
        <v>#VALUE!</v>
      </c>
      <c r="CE368" t="str">
        <f ca="1">IFERROR(__xludf.DUMMYFUNCTION("""COMPUTED_VALUE"""),"#VALUE!")</f>
        <v>#VALUE!</v>
      </c>
      <c r="CG368" t="str">
        <f ca="1">IFERROR(__xludf.DUMMYFUNCTION("""COMPUTED_VALUE"""),"#VALUE!")</f>
        <v>#VALUE!</v>
      </c>
      <c r="CI368" t="str">
        <f ca="1">IFERROR(__xludf.DUMMYFUNCTION("""COMPUTED_VALUE"""),"#VALUE!")</f>
        <v>#VALUE!</v>
      </c>
      <c r="CK368" t="str">
        <f ca="1">IFERROR(__xludf.DUMMYFUNCTION("""COMPUTED_VALUE"""),"#VALUE!")</f>
        <v>#VALUE!</v>
      </c>
      <c r="CS368" t="str">
        <f ca="1">IFERROR(__xludf.DUMMYFUNCTION("""COMPUTED_VALUE"""),"#VALUE!")</f>
        <v>#VALUE!</v>
      </c>
      <c r="CU368" t="str">
        <f ca="1">IFERROR(__xludf.DUMMYFUNCTION("""COMPUTED_VALUE"""),"#VALUE!")</f>
        <v>#VALUE!</v>
      </c>
      <c r="CW368" t="str">
        <f ca="1">IFERROR(__xludf.DUMMYFUNCTION("""COMPUTED_VALUE"""),"#VALUE!")</f>
        <v>#VALUE!</v>
      </c>
      <c r="CY368" t="str">
        <f ca="1">IFERROR(__xludf.DUMMYFUNCTION("""COMPUTED_VALUE"""),"#VALUE!")</f>
        <v>#VALUE!</v>
      </c>
      <c r="DC368" t="str">
        <f ca="1">IFERROR(__xludf.DUMMYFUNCTION("""COMPUTED_VALUE"""),"#VALUE!")</f>
        <v>#VALUE!</v>
      </c>
      <c r="DE368" t="str">
        <f ca="1">IFERROR(__xludf.DUMMYFUNCTION("""COMPUTED_VALUE"""),"#VALUE!")</f>
        <v>#VALUE!</v>
      </c>
      <c r="DI368" t="str">
        <f ca="1">IFERROR(__xludf.DUMMYFUNCTION("""COMPUTED_VALUE"""),"#VALUE!")</f>
        <v>#VALUE!</v>
      </c>
      <c r="DJ368" t="str">
        <f ca="1">IFERROR(__xludf.DUMMYFUNCTION("""COMPUTED_VALUE"""),"#VALUE!")</f>
        <v>#VALUE!</v>
      </c>
      <c r="DL368" t="str">
        <f ca="1">IFERROR(__xludf.DUMMYFUNCTION("""COMPUTED_VALUE"""),"Davor Salihović")</f>
        <v>Davor Salihović</v>
      </c>
    </row>
    <row r="369" spans="1:116" ht="13.2" x14ac:dyDescent="0.25">
      <c r="A369" t="str">
        <f ca="1">IFERROR(__xludf.DUMMYFUNCTION("""COMPUTED_VALUE"""),"P0376")</f>
        <v>P0376</v>
      </c>
      <c r="B369" t="str">
        <f ca="1">IFERROR(__xludf.DUMMYFUNCTION("""COMPUTED_VALUE"""),"Iohannes Rabelati")</f>
        <v>Iohannes Rabelati</v>
      </c>
      <c r="D369" t="str">
        <f ca="1">IFERROR(__xludf.DUMMYFUNCTION("""COMPUTED_VALUE"""),"#VALUE!")</f>
        <v>#VALUE!</v>
      </c>
      <c r="E369" t="str">
        <f ca="1">IFERROR(__xludf.DUMMYFUNCTION("""COMPUTED_VALUE"""),"Iohannes")</f>
        <v>Iohannes</v>
      </c>
      <c r="K369" t="str">
        <f ca="1">IFERROR(__xludf.DUMMYFUNCTION("""COMPUTED_VALUE"""),"Rabelati")</f>
        <v>Rabelati</v>
      </c>
      <c r="L369" t="str">
        <f ca="1">IFERROR(__xludf.DUMMYFUNCTION("""COMPUTED_VALUE"""),"Rabelati")</f>
        <v>Rabelati</v>
      </c>
      <c r="S369" t="str">
        <f ca="1">IFERROR(__xludf.DUMMYFUNCTION("""COMPUTED_VALUE"""),"Latin")</f>
        <v>Latin</v>
      </c>
      <c r="T369" t="str">
        <f ca="1">IFERROR(__xludf.DUMMYFUNCTION("""COMPUTED_VALUE"""),"indefinite")</f>
        <v>indefinite</v>
      </c>
      <c r="U369" t="str">
        <f ca="1">IFERROR(__xludf.DUMMYFUNCTION("""COMPUTED_VALUE"""),"C2553")</f>
        <v>C2553</v>
      </c>
      <c r="V369" t="str">
        <f ca="1">IFERROR(__xludf.DUMMYFUNCTION("""COMPUTED_VALUE"""),"male")</f>
        <v>male</v>
      </c>
      <c r="Z369" t="str">
        <f ca="1">IFERROR(__xludf.DUMMYFUNCTION("""COMPUTED_VALUE"""),"218")</f>
        <v>218</v>
      </c>
      <c r="AA369" t="str">
        <f ca="1">IFERROR(__xludf.DUMMYFUNCTION("""COMPUTED_VALUE"""),"d")</f>
        <v>d</v>
      </c>
      <c r="AB369" t="str">
        <f ca="1">IFERROR(__xludf.DUMMYFUNCTION("""COMPUTED_VALUE"""),"suspect")</f>
        <v>suspect</v>
      </c>
      <c r="AE369" t="str">
        <f ca="1">IFERROR(__xludf.DUMMYFUNCTION("""COMPUTED_VALUE"""),"#VALUE!")</f>
        <v>#VALUE!</v>
      </c>
      <c r="AF369" t="str">
        <f ca="1">IFERROR(__xludf.DUMMYFUNCTION("""COMPUTED_VALUE"""),"#N/A")</f>
        <v>#N/A</v>
      </c>
      <c r="AG369" t="str">
        <f ca="1">IFERROR(__xludf.DUMMYFUNCTION("""COMPUTED_VALUE"""),"#N/A")</f>
        <v>#N/A</v>
      </c>
      <c r="AI369" t="str">
        <f ca="1">IFERROR(__xludf.DUMMYFUNCTION("""COMPUTED_VALUE"""),"#VALUE!")</f>
        <v>#VALUE!</v>
      </c>
      <c r="AK369" t="str">
        <f ca="1">IFERROR(__xludf.DUMMYFUNCTION("""COMPUTED_VALUE"""),"#VALUE!")</f>
        <v>#VALUE!</v>
      </c>
      <c r="AM369" t="str">
        <f ca="1">IFERROR(__xludf.DUMMYFUNCTION("""COMPUTED_VALUE"""),"#VALUE!")</f>
        <v>#VALUE!</v>
      </c>
      <c r="AO369" t="str">
        <f ca="1">IFERROR(__xludf.DUMMYFUNCTION("""COMPUTED_VALUE"""),"#VALUE!")</f>
        <v>#VALUE!</v>
      </c>
      <c r="AQ369" t="str">
        <f ca="1">IFERROR(__xludf.DUMMYFUNCTION("""COMPUTED_VALUE"""),"#VALUE!")</f>
        <v>#VALUE!</v>
      </c>
      <c r="AS369" t="str">
        <f ca="1">IFERROR(__xludf.DUMMYFUNCTION("""COMPUTED_VALUE"""),"#VALUE!")</f>
        <v>#VALUE!</v>
      </c>
      <c r="AU369" t="str">
        <f ca="1">IFERROR(__xludf.DUMMYFUNCTION("""COMPUTED_VALUE"""),"#VALUE!")</f>
        <v>#VALUE!</v>
      </c>
      <c r="AW369" t="str">
        <f ca="1">IFERROR(__xludf.DUMMYFUNCTION("""COMPUTED_VALUE"""),"#VALUE!")</f>
        <v>#VALUE!</v>
      </c>
      <c r="AY369" t="str">
        <f ca="1">IFERROR(__xludf.DUMMYFUNCTION("""COMPUTED_VALUE"""),"#VALUE!")</f>
        <v>#VALUE!</v>
      </c>
      <c r="BA369" t="str">
        <f ca="1">IFERROR(__xludf.DUMMYFUNCTION("""COMPUTED_VALUE"""),"#VALUE!")</f>
        <v>#VALUE!</v>
      </c>
      <c r="BC369" t="str">
        <f ca="1">IFERROR(__xludf.DUMMYFUNCTION("""COMPUTED_VALUE"""),"#VALUE!")</f>
        <v>#VALUE!</v>
      </c>
      <c r="BE369" t="str">
        <f ca="1">IFERROR(__xludf.DUMMYFUNCTION("""COMPUTED_VALUE"""),"#VALUE!")</f>
        <v>#VALUE!</v>
      </c>
      <c r="BG369" t="str">
        <f ca="1">IFERROR(__xludf.DUMMYFUNCTION("""COMPUTED_VALUE"""),"#VALUE!")</f>
        <v>#VALUE!</v>
      </c>
      <c r="BI369" t="str">
        <f ca="1">IFERROR(__xludf.DUMMYFUNCTION("""COMPUTED_VALUE"""),"#VALUE!")</f>
        <v>#VALUE!</v>
      </c>
      <c r="BK369" t="str">
        <f ca="1">IFERROR(__xludf.DUMMYFUNCTION("""COMPUTED_VALUE"""),"#VALUE!")</f>
        <v>#VALUE!</v>
      </c>
      <c r="BM369" t="str">
        <f ca="1">IFERROR(__xludf.DUMMYFUNCTION("""COMPUTED_VALUE"""),"#VALUE!")</f>
        <v>#VALUE!</v>
      </c>
      <c r="BO369" t="str">
        <f ca="1">IFERROR(__xludf.DUMMYFUNCTION("""COMPUTED_VALUE"""),"#VALUE!")</f>
        <v>#VALUE!</v>
      </c>
      <c r="BQ369" t="str">
        <f ca="1">IFERROR(__xludf.DUMMYFUNCTION("""COMPUTED_VALUE"""),"#VALUE!")</f>
        <v>#VALUE!</v>
      </c>
      <c r="BS369" t="str">
        <f ca="1">IFERROR(__xludf.DUMMYFUNCTION("""COMPUTED_VALUE"""),"#VALUE!")</f>
        <v>#VALUE!</v>
      </c>
      <c r="BU369" t="str">
        <f ca="1">IFERROR(__xludf.DUMMYFUNCTION("""COMPUTED_VALUE"""),"#VALUE!")</f>
        <v>#VALUE!</v>
      </c>
      <c r="BW369" t="str">
        <f ca="1">IFERROR(__xludf.DUMMYFUNCTION("""COMPUTED_VALUE"""),"#VALUE!")</f>
        <v>#VALUE!</v>
      </c>
      <c r="BY369" t="str">
        <f ca="1">IFERROR(__xludf.DUMMYFUNCTION("""COMPUTED_VALUE"""),"#VALUE!")</f>
        <v>#VALUE!</v>
      </c>
      <c r="CA369" t="str">
        <f ca="1">IFERROR(__xludf.DUMMYFUNCTION("""COMPUTED_VALUE"""),"#VALUE!")</f>
        <v>#VALUE!</v>
      </c>
      <c r="CC369" t="str">
        <f ca="1">IFERROR(__xludf.DUMMYFUNCTION("""COMPUTED_VALUE"""),"#VALUE!")</f>
        <v>#VALUE!</v>
      </c>
      <c r="CE369" t="str">
        <f ca="1">IFERROR(__xludf.DUMMYFUNCTION("""COMPUTED_VALUE"""),"#VALUE!")</f>
        <v>#VALUE!</v>
      </c>
      <c r="CG369" t="str">
        <f ca="1">IFERROR(__xludf.DUMMYFUNCTION("""COMPUTED_VALUE"""),"#VALUE!")</f>
        <v>#VALUE!</v>
      </c>
      <c r="CI369" t="str">
        <f ca="1">IFERROR(__xludf.DUMMYFUNCTION("""COMPUTED_VALUE"""),"#VALUE!")</f>
        <v>#VALUE!</v>
      </c>
      <c r="CK369" t="str">
        <f ca="1">IFERROR(__xludf.DUMMYFUNCTION("""COMPUTED_VALUE"""),"#VALUE!")</f>
        <v>#VALUE!</v>
      </c>
      <c r="CS369" t="str">
        <f ca="1">IFERROR(__xludf.DUMMYFUNCTION("""COMPUTED_VALUE"""),"#VALUE!")</f>
        <v>#VALUE!</v>
      </c>
      <c r="CU369" t="str">
        <f ca="1">IFERROR(__xludf.DUMMYFUNCTION("""COMPUTED_VALUE"""),"#VALUE!")</f>
        <v>#VALUE!</v>
      </c>
      <c r="CW369" t="str">
        <f ca="1">IFERROR(__xludf.DUMMYFUNCTION("""COMPUTED_VALUE"""),"#VALUE!")</f>
        <v>#VALUE!</v>
      </c>
      <c r="CY369" t="str">
        <f ca="1">IFERROR(__xludf.DUMMYFUNCTION("""COMPUTED_VALUE"""),"#VALUE!")</f>
        <v>#VALUE!</v>
      </c>
      <c r="DC369" t="str">
        <f ca="1">IFERROR(__xludf.DUMMYFUNCTION("""COMPUTED_VALUE"""),"#VALUE!")</f>
        <v>#VALUE!</v>
      </c>
      <c r="DE369" t="str">
        <f ca="1">IFERROR(__xludf.DUMMYFUNCTION("""COMPUTED_VALUE"""),"#VALUE!")</f>
        <v>#VALUE!</v>
      </c>
      <c r="DI369" t="str">
        <f ca="1">IFERROR(__xludf.DUMMYFUNCTION("""COMPUTED_VALUE"""),"#VALUE!")</f>
        <v>#VALUE!</v>
      </c>
      <c r="DJ369" t="str">
        <f ca="1">IFERROR(__xludf.DUMMYFUNCTION("""COMPUTED_VALUE"""),"#VALUE!")</f>
        <v>#VALUE!</v>
      </c>
      <c r="DK369" t="str">
        <f ca="1">IFERROR(__xludf.DUMMYFUNCTION("""COMPUTED_VALUE"""),"Seems to be a mistake (or another name), probably refers to Iohannes Borrellati")</f>
        <v>Seems to be a mistake (or another name), probably refers to Iohannes Borrellati</v>
      </c>
      <c r="DL369" t="str">
        <f ca="1">IFERROR(__xludf.DUMMYFUNCTION("""COMPUTED_VALUE"""),"Davor Salihović")</f>
        <v>Davor Salihović</v>
      </c>
    </row>
    <row r="370" spans="1:116" ht="13.2" x14ac:dyDescent="0.25">
      <c r="A370" t="str">
        <f ca="1">IFERROR(__xludf.DUMMYFUNCTION("""COMPUTED_VALUE"""),"P0377")</f>
        <v>P0377</v>
      </c>
      <c r="B370" t="str">
        <f ca="1">IFERROR(__xludf.DUMMYFUNCTION("""COMPUTED_VALUE"""),"Iohannes de Fabricis")</f>
        <v>Iohannes de Fabricis</v>
      </c>
      <c r="D370" t="str">
        <f ca="1">IFERROR(__xludf.DUMMYFUNCTION("""COMPUTED_VALUE"""),"#VALUE!")</f>
        <v>#VALUE!</v>
      </c>
      <c r="E370" t="str">
        <f ca="1">IFERROR(__xludf.DUMMYFUNCTION("""COMPUTED_VALUE"""),"Iohannes")</f>
        <v>Iohannes</v>
      </c>
      <c r="J370" t="str">
        <f ca="1">IFERROR(__xludf.DUMMYFUNCTION("""COMPUTED_VALUE"""),"de")</f>
        <v>de</v>
      </c>
      <c r="K370" t="str">
        <f ca="1">IFERROR(__xludf.DUMMYFUNCTION("""COMPUTED_VALUE"""),"Fabricis")</f>
        <v>Fabricis</v>
      </c>
      <c r="L370" t="str">
        <f ca="1">IFERROR(__xludf.DUMMYFUNCTION("""COMPUTED_VALUE"""),"de Fabricis")</f>
        <v>de Fabricis</v>
      </c>
      <c r="S370" t="str">
        <f ca="1">IFERROR(__xludf.DUMMYFUNCTION("""COMPUTED_VALUE"""),"Latin")</f>
        <v>Latin</v>
      </c>
      <c r="T370" t="str">
        <f ca="1">IFERROR(__xludf.DUMMYFUNCTION("""COMPUTED_VALUE"""),"definite")</f>
        <v>definite</v>
      </c>
      <c r="U370" t="str">
        <f ca="1">IFERROR(__xludf.DUMMYFUNCTION("""COMPUTED_VALUE"""),"C2553")</f>
        <v>C2553</v>
      </c>
      <c r="V370" t="str">
        <f ca="1">IFERROR(__xludf.DUMMYFUNCTION("""COMPUTED_VALUE"""),"male")</f>
        <v>male</v>
      </c>
      <c r="Z370" t="str">
        <f ca="1">IFERROR(__xludf.DUMMYFUNCTION("""COMPUTED_VALUE"""),"218, 219")</f>
        <v>218, 219</v>
      </c>
      <c r="AA370" t="str">
        <f ca="1">IFERROR(__xludf.DUMMYFUNCTION("""COMPUTED_VALUE"""),"i")</f>
        <v>i</v>
      </c>
      <c r="AB370" t="str">
        <f ca="1">IFERROR(__xludf.DUMMYFUNCTION("""COMPUTED_VALUE"""),"assessor")</f>
        <v>assessor</v>
      </c>
      <c r="AD370" t="str">
        <f ca="1">IFERROR(__xludf.DUMMYFUNCTION("""COMPUTED_VALUE"""),"C3287")</f>
        <v>C3287</v>
      </c>
      <c r="AE370" t="str">
        <f ca="1">IFERROR(__xludf.DUMMYFUNCTION("""COMPUTED_VALUE"""),"alive")</f>
        <v>alive</v>
      </c>
      <c r="AF370" t="str">
        <f ca="1">IFERROR(__xludf.DUMMYFUNCTION("""COMPUTED_VALUE"""),"C1753")</f>
        <v>C1753</v>
      </c>
      <c r="AG370" t="str">
        <f ca="1">IFERROR(__xludf.DUMMYFUNCTION("""COMPUTED_VALUE"""),"1335-01-20")</f>
        <v>1335-01-20</v>
      </c>
      <c r="AI370" t="str">
        <f ca="1">IFERROR(__xludf.DUMMYFUNCTION("""COMPUTED_VALUE"""),"#VALUE!")</f>
        <v>#VALUE!</v>
      </c>
      <c r="AK370" t="str">
        <f ca="1">IFERROR(__xludf.DUMMYFUNCTION("""COMPUTED_VALUE"""),"#VALUE!")</f>
        <v>#VALUE!</v>
      </c>
      <c r="AM370" t="str">
        <f ca="1">IFERROR(__xludf.DUMMYFUNCTION("""COMPUTED_VALUE"""),"#VALUE!")</f>
        <v>#VALUE!</v>
      </c>
      <c r="AO370" t="str">
        <f ca="1">IFERROR(__xludf.DUMMYFUNCTION("""COMPUTED_VALUE"""),"#VALUE!")</f>
        <v>#VALUE!</v>
      </c>
      <c r="AQ370" t="str">
        <f ca="1">IFERROR(__xludf.DUMMYFUNCTION("""COMPUTED_VALUE"""),"#VALUE!")</f>
        <v>#VALUE!</v>
      </c>
      <c r="AS370" t="str">
        <f ca="1">IFERROR(__xludf.DUMMYFUNCTION("""COMPUTED_VALUE"""),"#VALUE!")</f>
        <v>#VALUE!</v>
      </c>
      <c r="AU370" t="str">
        <f ca="1">IFERROR(__xludf.DUMMYFUNCTION("""COMPUTED_VALUE"""),"#VALUE!")</f>
        <v>#VALUE!</v>
      </c>
      <c r="AW370" t="str">
        <f ca="1">IFERROR(__xludf.DUMMYFUNCTION("""COMPUTED_VALUE"""),"#VALUE!")</f>
        <v>#VALUE!</v>
      </c>
      <c r="AY370" t="str">
        <f ca="1">IFERROR(__xludf.DUMMYFUNCTION("""COMPUTED_VALUE"""),"#VALUE!")</f>
        <v>#VALUE!</v>
      </c>
      <c r="BA370" t="str">
        <f ca="1">IFERROR(__xludf.DUMMYFUNCTION("""COMPUTED_VALUE"""),"#VALUE!")</f>
        <v>#VALUE!</v>
      </c>
      <c r="BC370" t="str">
        <f ca="1">IFERROR(__xludf.DUMMYFUNCTION("""COMPUTED_VALUE"""),"#VALUE!")</f>
        <v>#VALUE!</v>
      </c>
      <c r="BE370" t="str">
        <f ca="1">IFERROR(__xludf.DUMMYFUNCTION("""COMPUTED_VALUE"""),"#VALUE!")</f>
        <v>#VALUE!</v>
      </c>
      <c r="BG370" t="str">
        <f ca="1">IFERROR(__xludf.DUMMYFUNCTION("""COMPUTED_VALUE"""),"#VALUE!")</f>
        <v>#VALUE!</v>
      </c>
      <c r="BI370" t="str">
        <f ca="1">IFERROR(__xludf.DUMMYFUNCTION("""COMPUTED_VALUE"""),"#VALUE!")</f>
        <v>#VALUE!</v>
      </c>
      <c r="BK370" t="str">
        <f ca="1">IFERROR(__xludf.DUMMYFUNCTION("""COMPUTED_VALUE"""),"#VALUE!")</f>
        <v>#VALUE!</v>
      </c>
      <c r="BM370" t="str">
        <f ca="1">IFERROR(__xludf.DUMMYFUNCTION("""COMPUTED_VALUE"""),"#VALUE!")</f>
        <v>#VALUE!</v>
      </c>
      <c r="BO370" t="str">
        <f ca="1">IFERROR(__xludf.DUMMYFUNCTION("""COMPUTED_VALUE"""),"#VALUE!")</f>
        <v>#VALUE!</v>
      </c>
      <c r="BQ370" t="str">
        <f ca="1">IFERROR(__xludf.DUMMYFUNCTION("""COMPUTED_VALUE"""),"#VALUE!")</f>
        <v>#VALUE!</v>
      </c>
      <c r="BS370" t="str">
        <f ca="1">IFERROR(__xludf.DUMMYFUNCTION("""COMPUTED_VALUE"""),"#VALUE!")</f>
        <v>#VALUE!</v>
      </c>
      <c r="BU370" t="str">
        <f ca="1">IFERROR(__xludf.DUMMYFUNCTION("""COMPUTED_VALUE"""),"#VALUE!")</f>
        <v>#VALUE!</v>
      </c>
      <c r="BW370" t="str">
        <f ca="1">IFERROR(__xludf.DUMMYFUNCTION("""COMPUTED_VALUE"""),"#VALUE!")</f>
        <v>#VALUE!</v>
      </c>
      <c r="BY370" t="str">
        <f ca="1">IFERROR(__xludf.DUMMYFUNCTION("""COMPUTED_VALUE"""),"#VALUE!")</f>
        <v>#VALUE!</v>
      </c>
      <c r="CA370" t="str">
        <f ca="1">IFERROR(__xludf.DUMMYFUNCTION("""COMPUTED_VALUE"""),"#VALUE!")</f>
        <v>#VALUE!</v>
      </c>
      <c r="CC370" t="str">
        <f ca="1">IFERROR(__xludf.DUMMYFUNCTION("""COMPUTED_VALUE"""),"#VALUE!")</f>
        <v>#VALUE!</v>
      </c>
      <c r="CE370" t="str">
        <f ca="1">IFERROR(__xludf.DUMMYFUNCTION("""COMPUTED_VALUE"""),"#VALUE!")</f>
        <v>#VALUE!</v>
      </c>
      <c r="CG370" t="str">
        <f ca="1">IFERROR(__xludf.DUMMYFUNCTION("""COMPUTED_VALUE"""),"#VALUE!")</f>
        <v>#VALUE!</v>
      </c>
      <c r="CI370" t="str">
        <f ca="1">IFERROR(__xludf.DUMMYFUNCTION("""COMPUTED_VALUE"""),"#VALUE!")</f>
        <v>#VALUE!</v>
      </c>
      <c r="CK370" t="str">
        <f ca="1">IFERROR(__xludf.DUMMYFUNCTION("""COMPUTED_VALUE"""),"#VALUE!")</f>
        <v>#VALUE!</v>
      </c>
      <c r="CS370" t="str">
        <f ca="1">IFERROR(__xludf.DUMMYFUNCTION("""COMPUTED_VALUE"""),"#VALUE!")</f>
        <v>#VALUE!</v>
      </c>
      <c r="CU370" t="str">
        <f ca="1">IFERROR(__xludf.DUMMYFUNCTION("""COMPUTED_VALUE"""),"#VALUE!")</f>
        <v>#VALUE!</v>
      </c>
      <c r="CW370" t="str">
        <f ca="1">IFERROR(__xludf.DUMMYFUNCTION("""COMPUTED_VALUE"""),"#VALUE!")</f>
        <v>#VALUE!</v>
      </c>
      <c r="CY370" t="str">
        <f ca="1">IFERROR(__xludf.DUMMYFUNCTION("""COMPUTED_VALUE"""),"#VALUE!")</f>
        <v>#VALUE!</v>
      </c>
      <c r="DC370" t="str">
        <f ca="1">IFERROR(__xludf.DUMMYFUNCTION("""COMPUTED_VALUE"""),"#VALUE!")</f>
        <v>#VALUE!</v>
      </c>
      <c r="DE370" t="str">
        <f ca="1">IFERROR(__xludf.DUMMYFUNCTION("""COMPUTED_VALUE"""),"#VALUE!")</f>
        <v>#VALUE!</v>
      </c>
      <c r="DI370" t="str">
        <f ca="1">IFERROR(__xludf.DUMMYFUNCTION("""COMPUTED_VALUE"""),"#VALUE!")</f>
        <v>#VALUE!</v>
      </c>
      <c r="DJ370" t="str">
        <f ca="1">IFERROR(__xludf.DUMMYFUNCTION("""COMPUTED_VALUE"""),"#VALUE!")</f>
        <v>#VALUE!</v>
      </c>
      <c r="DL370" t="str">
        <f ca="1">IFERROR(__xludf.DUMMYFUNCTION("""COMPUTED_VALUE"""),"Davor Salihović")</f>
        <v>Davor Salihović</v>
      </c>
    </row>
    <row r="371" spans="1:116" ht="13.2" x14ac:dyDescent="0.25">
      <c r="A371" t="str">
        <f ca="1">IFERROR(__xludf.DUMMYFUNCTION("""COMPUTED_VALUE"""),"P0378")</f>
        <v>P0378</v>
      </c>
      <c r="B371" t="str">
        <f ca="1">IFERROR(__xludf.DUMMYFUNCTION("""COMPUTED_VALUE"""),"Iordana de Covaciis")</f>
        <v>Iordana de Covaciis</v>
      </c>
      <c r="D371" t="str">
        <f ca="1">IFERROR(__xludf.DUMMYFUNCTION("""COMPUTED_VALUE"""),"#VALUE!")</f>
        <v>#VALUE!</v>
      </c>
      <c r="E371" t="str">
        <f ca="1">IFERROR(__xludf.DUMMYFUNCTION("""COMPUTED_VALUE"""),"Iordana")</f>
        <v>Iordana</v>
      </c>
      <c r="J371" t="str">
        <f ca="1">IFERROR(__xludf.DUMMYFUNCTION("""COMPUTED_VALUE"""),"de")</f>
        <v>de</v>
      </c>
      <c r="K371" t="str">
        <f ca="1">IFERROR(__xludf.DUMMYFUNCTION("""COMPUTED_VALUE"""),"Covaciis")</f>
        <v>Covaciis</v>
      </c>
      <c r="L371" t="str">
        <f ca="1">IFERROR(__xludf.DUMMYFUNCTION("""COMPUTED_VALUE"""),"de Covaciis")</f>
        <v>de Covaciis</v>
      </c>
      <c r="S371" t="str">
        <f ca="1">IFERROR(__xludf.DUMMYFUNCTION("""COMPUTED_VALUE"""),"Latin")</f>
        <v>Latin</v>
      </c>
      <c r="T371" t="str">
        <f ca="1">IFERROR(__xludf.DUMMYFUNCTION("""COMPUTED_VALUE"""),"definite")</f>
        <v>definite</v>
      </c>
      <c r="U371" t="str">
        <f ca="1">IFERROR(__xludf.DUMMYFUNCTION("""COMPUTED_VALUE"""),"C2552")</f>
        <v>C2552</v>
      </c>
      <c r="V371" t="str">
        <f ca="1">IFERROR(__xludf.DUMMYFUNCTION("""COMPUTED_VALUE"""),"female")</f>
        <v>female</v>
      </c>
      <c r="Z371" t="str">
        <f ca="1">IFERROR(__xludf.DUMMYFUNCTION("""COMPUTED_VALUE"""),"219, 223, 230, 233")</f>
        <v>219, 223, 230, 233</v>
      </c>
      <c r="AA371" t="str">
        <f ca="1">IFERROR(__xludf.DUMMYFUNCTION("""COMPUTED_VALUE"""),"d")</f>
        <v>d</v>
      </c>
      <c r="AB371" t="str">
        <f ca="1">IFERROR(__xludf.DUMMYFUNCTION("""COMPUTED_VALUE"""),"suspect")</f>
        <v>suspect</v>
      </c>
      <c r="AE371" t="str">
        <f ca="1">IFERROR(__xludf.DUMMYFUNCTION("""COMPUTED_VALUE"""),"#VALUE!")</f>
        <v>#VALUE!</v>
      </c>
      <c r="AF371" t="str">
        <f ca="1">IFERROR(__xludf.DUMMYFUNCTION("""COMPUTED_VALUE"""),"#N/A")</f>
        <v>#N/A</v>
      </c>
      <c r="AG371" t="str">
        <f ca="1">IFERROR(__xludf.DUMMYFUNCTION("""COMPUTED_VALUE"""),"#N/A")</f>
        <v>#N/A</v>
      </c>
      <c r="AH371" t="str">
        <f ca="1">IFERROR(__xludf.DUMMYFUNCTION("""COMPUTED_VALUE"""),"C2039")</f>
        <v>C2039</v>
      </c>
      <c r="AI371" t="str">
        <f ca="1">IFERROR(__xludf.DUMMYFUNCTION("""COMPUTED_VALUE"""),"kinperson")</f>
        <v>kinperson</v>
      </c>
      <c r="AJ371" t="str">
        <f ca="1">IFERROR(__xludf.DUMMYFUNCTION("""COMPUTED_VALUE"""),"P0191")</f>
        <v>P0191</v>
      </c>
      <c r="AK371" t="str">
        <f ca="1">IFERROR(__xludf.DUMMYFUNCTION("""COMPUTED_VALUE"""),"Petrus Balbi junior")</f>
        <v>Petrus Balbi junior</v>
      </c>
      <c r="AM371" t="str">
        <f ca="1">IFERROR(__xludf.DUMMYFUNCTION("""COMPUTED_VALUE"""),"#VALUE!")</f>
        <v>#VALUE!</v>
      </c>
      <c r="AO371" t="str">
        <f ca="1">IFERROR(__xludf.DUMMYFUNCTION("""COMPUTED_VALUE"""),"#VALUE!")</f>
        <v>#VALUE!</v>
      </c>
      <c r="AQ371" t="str">
        <f ca="1">IFERROR(__xludf.DUMMYFUNCTION("""COMPUTED_VALUE"""),"#VALUE!")</f>
        <v>#VALUE!</v>
      </c>
      <c r="AS371" t="str">
        <f ca="1">IFERROR(__xludf.DUMMYFUNCTION("""COMPUTED_VALUE"""),"#VALUE!")</f>
        <v>#VALUE!</v>
      </c>
      <c r="AU371" t="str">
        <f ca="1">IFERROR(__xludf.DUMMYFUNCTION("""COMPUTED_VALUE"""),"#VALUE!")</f>
        <v>#VALUE!</v>
      </c>
      <c r="AW371" t="str">
        <f ca="1">IFERROR(__xludf.DUMMYFUNCTION("""COMPUTED_VALUE"""),"#VALUE!")</f>
        <v>#VALUE!</v>
      </c>
      <c r="AY371" t="str">
        <f ca="1">IFERROR(__xludf.DUMMYFUNCTION("""COMPUTED_VALUE"""),"#VALUE!")</f>
        <v>#VALUE!</v>
      </c>
      <c r="BA371" t="str">
        <f ca="1">IFERROR(__xludf.DUMMYFUNCTION("""COMPUTED_VALUE"""),"#VALUE!")</f>
        <v>#VALUE!</v>
      </c>
      <c r="BC371" t="str">
        <f ca="1">IFERROR(__xludf.DUMMYFUNCTION("""COMPUTED_VALUE"""),"#VALUE!")</f>
        <v>#VALUE!</v>
      </c>
      <c r="BE371" t="str">
        <f ca="1">IFERROR(__xludf.DUMMYFUNCTION("""COMPUTED_VALUE"""),"#VALUE!")</f>
        <v>#VALUE!</v>
      </c>
      <c r="BG371" t="str">
        <f ca="1">IFERROR(__xludf.DUMMYFUNCTION("""COMPUTED_VALUE"""),"#VALUE!")</f>
        <v>#VALUE!</v>
      </c>
      <c r="BI371" t="str">
        <f ca="1">IFERROR(__xludf.DUMMYFUNCTION("""COMPUTED_VALUE"""),"#VALUE!")</f>
        <v>#VALUE!</v>
      </c>
      <c r="BK371" t="str">
        <f ca="1">IFERROR(__xludf.DUMMYFUNCTION("""COMPUTED_VALUE"""),"#VALUE!")</f>
        <v>#VALUE!</v>
      </c>
      <c r="BM371" t="str">
        <f ca="1">IFERROR(__xludf.DUMMYFUNCTION("""COMPUTED_VALUE"""),"#VALUE!")</f>
        <v>#VALUE!</v>
      </c>
      <c r="BO371" t="str">
        <f ca="1">IFERROR(__xludf.DUMMYFUNCTION("""COMPUTED_VALUE"""),"#VALUE!")</f>
        <v>#VALUE!</v>
      </c>
      <c r="BQ371" t="str">
        <f ca="1">IFERROR(__xludf.DUMMYFUNCTION("""COMPUTED_VALUE"""),"#VALUE!")</f>
        <v>#VALUE!</v>
      </c>
      <c r="BS371" t="str">
        <f ca="1">IFERROR(__xludf.DUMMYFUNCTION("""COMPUTED_VALUE"""),"#VALUE!")</f>
        <v>#VALUE!</v>
      </c>
      <c r="BU371" t="str">
        <f ca="1">IFERROR(__xludf.DUMMYFUNCTION("""COMPUTED_VALUE"""),"#VALUE!")</f>
        <v>#VALUE!</v>
      </c>
      <c r="BW371" t="str">
        <f ca="1">IFERROR(__xludf.DUMMYFUNCTION("""COMPUTED_VALUE"""),"#VALUE!")</f>
        <v>#VALUE!</v>
      </c>
      <c r="BY371" t="str">
        <f ca="1">IFERROR(__xludf.DUMMYFUNCTION("""COMPUTED_VALUE"""),"#VALUE!")</f>
        <v>#VALUE!</v>
      </c>
      <c r="CA371" t="str">
        <f ca="1">IFERROR(__xludf.DUMMYFUNCTION("""COMPUTED_VALUE"""),"#VALUE!")</f>
        <v>#VALUE!</v>
      </c>
      <c r="CC371" t="str">
        <f ca="1">IFERROR(__xludf.DUMMYFUNCTION("""COMPUTED_VALUE"""),"#VALUE!")</f>
        <v>#VALUE!</v>
      </c>
      <c r="CD371" t="str">
        <f ca="1">IFERROR(__xludf.DUMMYFUNCTION("""COMPUTED_VALUE"""),"C3598")</f>
        <v>C3598</v>
      </c>
      <c r="CE371" t="str">
        <f ca="1">IFERROR(__xludf.DUMMYFUNCTION("""COMPUTED_VALUE"""),"location of congregation")</f>
        <v>location of congregation</v>
      </c>
      <c r="CF371" t="str">
        <f ca="1">IFERROR(__xludf.DUMMYFUNCTION("""COMPUTED_VALUE"""),"L0032#L0096#L0106")</f>
        <v>L0032#L0096#L0106</v>
      </c>
      <c r="CG371" t="str">
        <f ca="1">IFERROR(__xludf.DUMMYFUNCTION("""COMPUTED_VALUE"""),"domus Villelmi de Oddo #domus Iohannis de Bonaudo #domus Petri de Boysono")</f>
        <v>domus Villelmi de Oddo #domus Iohannis de Bonaudo #domus Petri de Boysono</v>
      </c>
      <c r="CI371" t="str">
        <f ca="1">IFERROR(__xludf.DUMMYFUNCTION("""COMPUTED_VALUE"""),"#VALUE!")</f>
        <v>#VALUE!</v>
      </c>
      <c r="CK371" t="str">
        <f ca="1">IFERROR(__xludf.DUMMYFUNCTION("""COMPUTED_VALUE"""),"#VALUE!")</f>
        <v>#VALUE!</v>
      </c>
      <c r="CS371" t="str">
        <f ca="1">IFERROR(__xludf.DUMMYFUNCTION("""COMPUTED_VALUE"""),"#VALUE!")</f>
        <v>#VALUE!</v>
      </c>
      <c r="CU371" t="str">
        <f ca="1">IFERROR(__xludf.DUMMYFUNCTION("""COMPUTED_VALUE"""),"#VALUE!")</f>
        <v>#VALUE!</v>
      </c>
      <c r="CW371" t="str">
        <f ca="1">IFERROR(__xludf.DUMMYFUNCTION("""COMPUTED_VALUE"""),"#VALUE!")</f>
        <v>#VALUE!</v>
      </c>
      <c r="CY371" t="str">
        <f ca="1">IFERROR(__xludf.DUMMYFUNCTION("""COMPUTED_VALUE"""),"#VALUE!")</f>
        <v>#VALUE!</v>
      </c>
      <c r="DC371" t="str">
        <f ca="1">IFERROR(__xludf.DUMMYFUNCTION("""COMPUTED_VALUE"""),"#VALUE!")</f>
        <v>#VALUE!</v>
      </c>
      <c r="DE371" t="str">
        <f ca="1">IFERROR(__xludf.DUMMYFUNCTION("""COMPUTED_VALUE"""),"#VALUE!")</f>
        <v>#VALUE!</v>
      </c>
      <c r="DH371" t="str">
        <f ca="1">IFERROR(__xludf.DUMMYFUNCTION("""COMPUTED_VALUE"""),"L0032#L0096#L0106")</f>
        <v>L0032#L0096#L0106</v>
      </c>
      <c r="DI371" t="str">
        <f ca="1">IFERROR(__xludf.DUMMYFUNCTION("""COMPUTED_VALUE"""),"domus Villelmi de Oddo #domus Iohannis de Bonaudo #domus Petri de Boysono")</f>
        <v>domus Villelmi de Oddo #domus Iohannis de Bonaudo #domus Petri de Boysono</v>
      </c>
      <c r="DJ371" t="str">
        <f ca="1">IFERROR(__xludf.DUMMYFUNCTION("""COMPUTED_VALUE"""),"domus #domus #domus")</f>
        <v>domus #domus #domus</v>
      </c>
      <c r="DL371" t="str">
        <f ca="1">IFERROR(__xludf.DUMMYFUNCTION("""COMPUTED_VALUE"""),"Davor Salihović")</f>
        <v>Davor Salihović</v>
      </c>
    </row>
    <row r="372" spans="1:116" ht="13.2" x14ac:dyDescent="0.25">
      <c r="A372" t="str">
        <f ca="1">IFERROR(__xludf.DUMMYFUNCTION("""COMPUTED_VALUE"""),"P0379")</f>
        <v>P0379</v>
      </c>
      <c r="B372" t="str">
        <f ca="1">IFERROR(__xludf.DUMMYFUNCTION("""COMPUTED_VALUE"""),"uxor Iohannis Borrelli")</f>
        <v>uxor Iohannis Borrelli</v>
      </c>
      <c r="D372" t="str">
        <f ca="1">IFERROR(__xludf.DUMMYFUNCTION("""COMPUTED_VALUE"""),"#VALUE!")</f>
        <v>#VALUE!</v>
      </c>
      <c r="E372" t="str">
        <f ca="1">IFERROR(__xludf.DUMMYFUNCTION("""COMPUTED_VALUE"""),"uxor Iohannis Borrelli")</f>
        <v>uxor Iohannis Borrelli</v>
      </c>
      <c r="Q372" t="str">
        <f ca="1">IFERROR(__xludf.DUMMYFUNCTION("""COMPUTED_VALUE"""),"uxor Iohannis Borrelli")</f>
        <v>uxor Iohannis Borrelli</v>
      </c>
      <c r="S372" t="str">
        <f ca="1">IFERROR(__xludf.DUMMYFUNCTION("""COMPUTED_VALUE"""),"Latin")</f>
        <v>Latin</v>
      </c>
      <c r="T372" t="str">
        <f ca="1">IFERROR(__xludf.DUMMYFUNCTION("""COMPUTED_VALUE"""),"definite")</f>
        <v>definite</v>
      </c>
      <c r="U372" t="str">
        <f ca="1">IFERROR(__xludf.DUMMYFUNCTION("""COMPUTED_VALUE"""),"C2552")</f>
        <v>C2552</v>
      </c>
      <c r="V372" t="str">
        <f ca="1">IFERROR(__xludf.DUMMYFUNCTION("""COMPUTED_VALUE"""),"female")</f>
        <v>female</v>
      </c>
      <c r="Z372" t="str">
        <f ca="1">IFERROR(__xludf.DUMMYFUNCTION("""COMPUTED_VALUE"""),"219")</f>
        <v>219</v>
      </c>
      <c r="AA372" t="str">
        <f ca="1">IFERROR(__xludf.DUMMYFUNCTION("""COMPUTED_VALUE"""),"d")</f>
        <v>d</v>
      </c>
      <c r="AB372" t="str">
        <f ca="1">IFERROR(__xludf.DUMMYFUNCTION("""COMPUTED_VALUE"""),"suspect")</f>
        <v>suspect</v>
      </c>
      <c r="AE372" t="str">
        <f ca="1">IFERROR(__xludf.DUMMYFUNCTION("""COMPUTED_VALUE"""),"#VALUE!")</f>
        <v>#VALUE!</v>
      </c>
      <c r="AF372" t="str">
        <f ca="1">IFERROR(__xludf.DUMMYFUNCTION("""COMPUTED_VALUE"""),"#N/A")</f>
        <v>#N/A</v>
      </c>
      <c r="AG372" t="str">
        <f ca="1">IFERROR(__xludf.DUMMYFUNCTION("""COMPUTED_VALUE"""),"#N/A")</f>
        <v>#N/A</v>
      </c>
      <c r="AI372" t="str">
        <f ca="1">IFERROR(__xludf.DUMMYFUNCTION("""COMPUTED_VALUE"""),"#VALUE!")</f>
        <v>#VALUE!</v>
      </c>
      <c r="AK372" t="str">
        <f ca="1">IFERROR(__xludf.DUMMYFUNCTION("""COMPUTED_VALUE"""),"#VALUE!")</f>
        <v>#VALUE!</v>
      </c>
      <c r="AM372" t="str">
        <f ca="1">IFERROR(__xludf.DUMMYFUNCTION("""COMPUTED_VALUE"""),"#VALUE!")</f>
        <v>#VALUE!</v>
      </c>
      <c r="AO372" t="str">
        <f ca="1">IFERROR(__xludf.DUMMYFUNCTION("""COMPUTED_VALUE"""),"#VALUE!")</f>
        <v>#VALUE!</v>
      </c>
      <c r="AQ372" t="str">
        <f ca="1">IFERROR(__xludf.DUMMYFUNCTION("""COMPUTED_VALUE"""),"#VALUE!")</f>
        <v>#VALUE!</v>
      </c>
      <c r="AS372" t="str">
        <f ca="1">IFERROR(__xludf.DUMMYFUNCTION("""COMPUTED_VALUE"""),"#VALUE!")</f>
        <v>#VALUE!</v>
      </c>
      <c r="AU372" t="str">
        <f ca="1">IFERROR(__xludf.DUMMYFUNCTION("""COMPUTED_VALUE"""),"#VALUE!")</f>
        <v>#VALUE!</v>
      </c>
      <c r="AW372" t="str">
        <f ca="1">IFERROR(__xludf.DUMMYFUNCTION("""COMPUTED_VALUE"""),"#VALUE!")</f>
        <v>#VALUE!</v>
      </c>
      <c r="AY372" t="str">
        <f ca="1">IFERROR(__xludf.DUMMYFUNCTION("""COMPUTED_VALUE"""),"#VALUE!")</f>
        <v>#VALUE!</v>
      </c>
      <c r="BA372" t="str">
        <f ca="1">IFERROR(__xludf.DUMMYFUNCTION("""COMPUTED_VALUE"""),"#VALUE!")</f>
        <v>#VALUE!</v>
      </c>
      <c r="BC372" t="str">
        <f ca="1">IFERROR(__xludf.DUMMYFUNCTION("""COMPUTED_VALUE"""),"#VALUE!")</f>
        <v>#VALUE!</v>
      </c>
      <c r="BE372" t="str">
        <f ca="1">IFERROR(__xludf.DUMMYFUNCTION("""COMPUTED_VALUE"""),"#VALUE!")</f>
        <v>#VALUE!</v>
      </c>
      <c r="BG372" t="str">
        <f ca="1">IFERROR(__xludf.DUMMYFUNCTION("""COMPUTED_VALUE"""),"#VALUE!")</f>
        <v>#VALUE!</v>
      </c>
      <c r="BI372" t="str">
        <f ca="1">IFERROR(__xludf.DUMMYFUNCTION("""COMPUTED_VALUE"""),"#VALUE!")</f>
        <v>#VALUE!</v>
      </c>
      <c r="BK372" t="str">
        <f ca="1">IFERROR(__xludf.DUMMYFUNCTION("""COMPUTED_VALUE"""),"#VALUE!")</f>
        <v>#VALUE!</v>
      </c>
      <c r="BM372" t="str">
        <f ca="1">IFERROR(__xludf.DUMMYFUNCTION("""COMPUTED_VALUE"""),"#VALUE!")</f>
        <v>#VALUE!</v>
      </c>
      <c r="BO372" t="str">
        <f ca="1">IFERROR(__xludf.DUMMYFUNCTION("""COMPUTED_VALUE"""),"#VALUE!")</f>
        <v>#VALUE!</v>
      </c>
      <c r="BQ372" t="str">
        <f ca="1">IFERROR(__xludf.DUMMYFUNCTION("""COMPUTED_VALUE"""),"#VALUE!")</f>
        <v>#VALUE!</v>
      </c>
      <c r="BS372" t="str">
        <f ca="1">IFERROR(__xludf.DUMMYFUNCTION("""COMPUTED_VALUE"""),"#VALUE!")</f>
        <v>#VALUE!</v>
      </c>
      <c r="BU372" t="str">
        <f ca="1">IFERROR(__xludf.DUMMYFUNCTION("""COMPUTED_VALUE"""),"#VALUE!")</f>
        <v>#VALUE!</v>
      </c>
      <c r="BW372" t="str">
        <f ca="1">IFERROR(__xludf.DUMMYFUNCTION("""COMPUTED_VALUE"""),"#VALUE!")</f>
        <v>#VALUE!</v>
      </c>
      <c r="BY372" t="str">
        <f ca="1">IFERROR(__xludf.DUMMYFUNCTION("""COMPUTED_VALUE"""),"#VALUE!")</f>
        <v>#VALUE!</v>
      </c>
      <c r="CA372" t="str">
        <f ca="1">IFERROR(__xludf.DUMMYFUNCTION("""COMPUTED_VALUE"""),"#VALUE!")</f>
        <v>#VALUE!</v>
      </c>
      <c r="CC372" t="str">
        <f ca="1">IFERROR(__xludf.DUMMYFUNCTION("""COMPUTED_VALUE"""),"#VALUE!")</f>
        <v>#VALUE!</v>
      </c>
      <c r="CD372" t="str">
        <f ca="1">IFERROR(__xludf.DUMMYFUNCTION("""COMPUTED_VALUE"""),"C3598")</f>
        <v>C3598</v>
      </c>
      <c r="CE372" t="str">
        <f ca="1">IFERROR(__xludf.DUMMYFUNCTION("""COMPUTED_VALUE"""),"location of congregation")</f>
        <v>location of congregation</v>
      </c>
      <c r="CF372" t="str">
        <f ca="1">IFERROR(__xludf.DUMMYFUNCTION("""COMPUTED_VALUE"""),"L0032")</f>
        <v>L0032</v>
      </c>
      <c r="CG372" t="str">
        <f ca="1">IFERROR(__xludf.DUMMYFUNCTION("""COMPUTED_VALUE"""),"domus Villelmi de Oddo")</f>
        <v>domus Villelmi de Oddo</v>
      </c>
      <c r="CI372" t="str">
        <f ca="1">IFERROR(__xludf.DUMMYFUNCTION("""COMPUTED_VALUE"""),"#VALUE!")</f>
        <v>#VALUE!</v>
      </c>
      <c r="CK372" t="str">
        <f ca="1">IFERROR(__xludf.DUMMYFUNCTION("""COMPUTED_VALUE"""),"#VALUE!")</f>
        <v>#VALUE!</v>
      </c>
      <c r="CS372" t="str">
        <f ca="1">IFERROR(__xludf.DUMMYFUNCTION("""COMPUTED_VALUE"""),"#VALUE!")</f>
        <v>#VALUE!</v>
      </c>
      <c r="CU372" t="str">
        <f ca="1">IFERROR(__xludf.DUMMYFUNCTION("""COMPUTED_VALUE"""),"#VALUE!")</f>
        <v>#VALUE!</v>
      </c>
      <c r="CW372" t="str">
        <f ca="1">IFERROR(__xludf.DUMMYFUNCTION("""COMPUTED_VALUE"""),"#VALUE!")</f>
        <v>#VALUE!</v>
      </c>
      <c r="CY372" t="str">
        <f ca="1">IFERROR(__xludf.DUMMYFUNCTION("""COMPUTED_VALUE"""),"#VALUE!")</f>
        <v>#VALUE!</v>
      </c>
      <c r="DC372" t="str">
        <f ca="1">IFERROR(__xludf.DUMMYFUNCTION("""COMPUTED_VALUE"""),"#VALUE!")</f>
        <v>#VALUE!</v>
      </c>
      <c r="DE372" t="str">
        <f ca="1">IFERROR(__xludf.DUMMYFUNCTION("""COMPUTED_VALUE"""),"#VALUE!")</f>
        <v>#VALUE!</v>
      </c>
      <c r="DH372" t="str">
        <f ca="1">IFERROR(__xludf.DUMMYFUNCTION("""COMPUTED_VALUE"""),"L0032")</f>
        <v>L0032</v>
      </c>
      <c r="DI372" t="str">
        <f ca="1">IFERROR(__xludf.DUMMYFUNCTION("""COMPUTED_VALUE"""),"domus Villelmi de Oddo")</f>
        <v>domus Villelmi de Oddo</v>
      </c>
      <c r="DJ372" t="str">
        <f ca="1">IFERROR(__xludf.DUMMYFUNCTION("""COMPUTED_VALUE"""),"domus")</f>
        <v>domus</v>
      </c>
      <c r="DL372" t="str">
        <f ca="1">IFERROR(__xludf.DUMMYFUNCTION("""COMPUTED_VALUE"""),"Davor Salihović")</f>
        <v>Davor Salihović</v>
      </c>
    </row>
    <row r="373" spans="1:116" ht="13.2" x14ac:dyDescent="0.25">
      <c r="A373" t="str">
        <f ca="1">IFERROR(__xludf.DUMMYFUNCTION("""COMPUTED_VALUE"""),"P0380")</f>
        <v>P0380</v>
      </c>
      <c r="B373" t="str">
        <f ca="1">IFERROR(__xludf.DUMMYFUNCTION("""COMPUTED_VALUE"""),"Iohannes Tonerii")</f>
        <v>Iohannes Tonerii</v>
      </c>
      <c r="D373" t="str">
        <f ca="1">IFERROR(__xludf.DUMMYFUNCTION("""COMPUTED_VALUE"""),"#VALUE!")</f>
        <v>#VALUE!</v>
      </c>
      <c r="E373" t="str">
        <f ca="1">IFERROR(__xludf.DUMMYFUNCTION("""COMPUTED_VALUE"""),"Iohannes")</f>
        <v>Iohannes</v>
      </c>
      <c r="K373" t="str">
        <f ca="1">IFERROR(__xludf.DUMMYFUNCTION("""COMPUTED_VALUE"""),"Tonerii")</f>
        <v>Tonerii</v>
      </c>
      <c r="L373" t="str">
        <f ca="1">IFERROR(__xludf.DUMMYFUNCTION("""COMPUTED_VALUE"""),"Tonerii")</f>
        <v>Tonerii</v>
      </c>
      <c r="S373" t="str">
        <f ca="1">IFERROR(__xludf.DUMMYFUNCTION("""COMPUTED_VALUE"""),"Latin")</f>
        <v>Latin</v>
      </c>
      <c r="T373" t="str">
        <f ca="1">IFERROR(__xludf.DUMMYFUNCTION("""COMPUTED_VALUE"""),"definite")</f>
        <v>definite</v>
      </c>
      <c r="U373" t="str">
        <f ca="1">IFERROR(__xludf.DUMMYFUNCTION("""COMPUTED_VALUE"""),"C2553")</f>
        <v>C2553</v>
      </c>
      <c r="V373" t="str">
        <f ca="1">IFERROR(__xludf.DUMMYFUNCTION("""COMPUTED_VALUE"""),"male")</f>
        <v>male</v>
      </c>
      <c r="Z373" t="str">
        <f ca="1">IFERROR(__xludf.DUMMYFUNCTION("""COMPUTED_VALUE"""),"220")</f>
        <v>220</v>
      </c>
      <c r="AA373" t="str">
        <f ca="1">IFERROR(__xludf.DUMMYFUNCTION("""COMPUTED_VALUE"""),"d")</f>
        <v>d</v>
      </c>
      <c r="AB373" t="str">
        <f ca="1">IFERROR(__xludf.DUMMYFUNCTION("""COMPUTED_VALUE"""),"NA")</f>
        <v>NA</v>
      </c>
      <c r="AD373" t="str">
        <f ca="1">IFERROR(__xludf.DUMMYFUNCTION("""COMPUTED_VALUE"""),"C3287")</f>
        <v>C3287</v>
      </c>
      <c r="AE373" t="str">
        <f ca="1">IFERROR(__xludf.DUMMYFUNCTION("""COMPUTED_VALUE"""),"alive")</f>
        <v>alive</v>
      </c>
      <c r="AF373" t="str">
        <f ca="1">IFERROR(__xludf.DUMMYFUNCTION("""COMPUTED_VALUE"""),"C1753")</f>
        <v>C1753</v>
      </c>
      <c r="AG373" t="str">
        <f ca="1">IFERROR(__xludf.DUMMYFUNCTION("""COMPUTED_VALUE"""),"1335-01-20")</f>
        <v>1335-01-20</v>
      </c>
      <c r="AH373" t="str">
        <f ca="1">IFERROR(__xludf.DUMMYFUNCTION("""COMPUTED_VALUE"""),"C2348")</f>
        <v>C2348</v>
      </c>
      <c r="AI373" t="str">
        <f ca="1">IFERROR(__xludf.DUMMYFUNCTION("""COMPUTED_VALUE"""),"wife")</f>
        <v>wife</v>
      </c>
      <c r="AJ373" t="str">
        <f ca="1">IFERROR(__xludf.DUMMYFUNCTION("""COMPUTED_VALUE"""),"P0234")</f>
        <v>P0234</v>
      </c>
      <c r="AK373" t="str">
        <f ca="1">IFERROR(__xludf.DUMMYFUNCTION("""COMPUTED_VALUE"""),"Bruna, soror Michaelis Planchi")</f>
        <v>Bruna, soror Michaelis Planchi</v>
      </c>
      <c r="AM373" t="str">
        <f ca="1">IFERROR(__xludf.DUMMYFUNCTION("""COMPUTED_VALUE"""),"#VALUE!")</f>
        <v>#VALUE!</v>
      </c>
      <c r="AO373" t="str">
        <f ca="1">IFERROR(__xludf.DUMMYFUNCTION("""COMPUTED_VALUE"""),"#VALUE!")</f>
        <v>#VALUE!</v>
      </c>
      <c r="AQ373" t="str">
        <f ca="1">IFERROR(__xludf.DUMMYFUNCTION("""COMPUTED_VALUE"""),"#VALUE!")</f>
        <v>#VALUE!</v>
      </c>
      <c r="AS373" t="str">
        <f ca="1">IFERROR(__xludf.DUMMYFUNCTION("""COMPUTED_VALUE"""),"#VALUE!")</f>
        <v>#VALUE!</v>
      </c>
      <c r="AU373" t="str">
        <f ca="1">IFERROR(__xludf.DUMMYFUNCTION("""COMPUTED_VALUE"""),"#VALUE!")</f>
        <v>#VALUE!</v>
      </c>
      <c r="AW373" t="str">
        <f ca="1">IFERROR(__xludf.DUMMYFUNCTION("""COMPUTED_VALUE"""),"#VALUE!")</f>
        <v>#VALUE!</v>
      </c>
      <c r="AY373" t="str">
        <f ca="1">IFERROR(__xludf.DUMMYFUNCTION("""COMPUTED_VALUE"""),"#VALUE!")</f>
        <v>#VALUE!</v>
      </c>
      <c r="BA373" t="str">
        <f ca="1">IFERROR(__xludf.DUMMYFUNCTION("""COMPUTED_VALUE"""),"#VALUE!")</f>
        <v>#VALUE!</v>
      </c>
      <c r="BC373" t="str">
        <f ca="1">IFERROR(__xludf.DUMMYFUNCTION("""COMPUTED_VALUE"""),"#VALUE!")</f>
        <v>#VALUE!</v>
      </c>
      <c r="BE373" t="str">
        <f ca="1">IFERROR(__xludf.DUMMYFUNCTION("""COMPUTED_VALUE"""),"#VALUE!")</f>
        <v>#VALUE!</v>
      </c>
      <c r="BG373" t="str">
        <f ca="1">IFERROR(__xludf.DUMMYFUNCTION("""COMPUTED_VALUE"""),"#VALUE!")</f>
        <v>#VALUE!</v>
      </c>
      <c r="BI373" t="str">
        <f ca="1">IFERROR(__xludf.DUMMYFUNCTION("""COMPUTED_VALUE"""),"#VALUE!")</f>
        <v>#VALUE!</v>
      </c>
      <c r="BK373" t="str">
        <f ca="1">IFERROR(__xludf.DUMMYFUNCTION("""COMPUTED_VALUE"""),"#VALUE!")</f>
        <v>#VALUE!</v>
      </c>
      <c r="BM373" t="str">
        <f ca="1">IFERROR(__xludf.DUMMYFUNCTION("""COMPUTED_VALUE"""),"#VALUE!")</f>
        <v>#VALUE!</v>
      </c>
      <c r="BO373" t="str">
        <f ca="1">IFERROR(__xludf.DUMMYFUNCTION("""COMPUTED_VALUE"""),"#VALUE!")</f>
        <v>#VALUE!</v>
      </c>
      <c r="BQ373" t="str">
        <f ca="1">IFERROR(__xludf.DUMMYFUNCTION("""COMPUTED_VALUE"""),"#VALUE!")</f>
        <v>#VALUE!</v>
      </c>
      <c r="BS373" t="str">
        <f ca="1">IFERROR(__xludf.DUMMYFUNCTION("""COMPUTED_VALUE"""),"#VALUE!")</f>
        <v>#VALUE!</v>
      </c>
      <c r="BU373" t="str">
        <f ca="1">IFERROR(__xludf.DUMMYFUNCTION("""COMPUTED_VALUE"""),"#VALUE!")</f>
        <v>#VALUE!</v>
      </c>
      <c r="BW373" t="str">
        <f ca="1">IFERROR(__xludf.DUMMYFUNCTION("""COMPUTED_VALUE"""),"#VALUE!")</f>
        <v>#VALUE!</v>
      </c>
      <c r="BY373" t="str">
        <f ca="1">IFERROR(__xludf.DUMMYFUNCTION("""COMPUTED_VALUE"""),"#VALUE!")</f>
        <v>#VALUE!</v>
      </c>
      <c r="CA373" t="str">
        <f ca="1">IFERROR(__xludf.DUMMYFUNCTION("""COMPUTED_VALUE"""),"#VALUE!")</f>
        <v>#VALUE!</v>
      </c>
      <c r="CC373" t="str">
        <f ca="1">IFERROR(__xludf.DUMMYFUNCTION("""COMPUTED_VALUE"""),"#VALUE!")</f>
        <v>#VALUE!</v>
      </c>
      <c r="CE373" t="str">
        <f ca="1">IFERROR(__xludf.DUMMYFUNCTION("""COMPUTED_VALUE"""),"#VALUE!")</f>
        <v>#VALUE!</v>
      </c>
      <c r="CG373" t="str">
        <f ca="1">IFERROR(__xludf.DUMMYFUNCTION("""COMPUTED_VALUE"""),"#VALUE!")</f>
        <v>#VALUE!</v>
      </c>
      <c r="CI373" t="str">
        <f ca="1">IFERROR(__xludf.DUMMYFUNCTION("""COMPUTED_VALUE"""),"#VALUE!")</f>
        <v>#VALUE!</v>
      </c>
      <c r="CK373" t="str">
        <f ca="1">IFERROR(__xludf.DUMMYFUNCTION("""COMPUTED_VALUE"""),"#VALUE!")</f>
        <v>#VALUE!</v>
      </c>
      <c r="CS373" t="str">
        <f ca="1">IFERROR(__xludf.DUMMYFUNCTION("""COMPUTED_VALUE"""),"#VALUE!")</f>
        <v>#VALUE!</v>
      </c>
      <c r="CU373" t="str">
        <f ca="1">IFERROR(__xludf.DUMMYFUNCTION("""COMPUTED_VALUE"""),"#VALUE!")</f>
        <v>#VALUE!</v>
      </c>
      <c r="CW373" t="str">
        <f ca="1">IFERROR(__xludf.DUMMYFUNCTION("""COMPUTED_VALUE"""),"#VALUE!")</f>
        <v>#VALUE!</v>
      </c>
      <c r="CY373" t="str">
        <f ca="1">IFERROR(__xludf.DUMMYFUNCTION("""COMPUTED_VALUE"""),"#VALUE!")</f>
        <v>#VALUE!</v>
      </c>
      <c r="DC373" t="str">
        <f ca="1">IFERROR(__xludf.DUMMYFUNCTION("""COMPUTED_VALUE"""),"#VALUE!")</f>
        <v>#VALUE!</v>
      </c>
      <c r="DE373" t="str">
        <f ca="1">IFERROR(__xludf.DUMMYFUNCTION("""COMPUTED_VALUE"""),"#VALUE!")</f>
        <v>#VALUE!</v>
      </c>
      <c r="DI373" t="str">
        <f ca="1">IFERROR(__xludf.DUMMYFUNCTION("""COMPUTED_VALUE"""),"#VALUE!")</f>
        <v>#VALUE!</v>
      </c>
      <c r="DJ373" t="str">
        <f ca="1">IFERROR(__xludf.DUMMYFUNCTION("""COMPUTED_VALUE"""),"#VALUE!")</f>
        <v>#VALUE!</v>
      </c>
      <c r="DL373" t="str">
        <f ca="1">IFERROR(__xludf.DUMMYFUNCTION("""COMPUTED_VALUE"""),"Davor Salihović")</f>
        <v>Davor Salihović</v>
      </c>
    </row>
    <row r="374" spans="1:116" ht="13.2" x14ac:dyDescent="0.25">
      <c r="A374" t="str">
        <f ca="1">IFERROR(__xludf.DUMMYFUNCTION("""COMPUTED_VALUE"""),"P0381")</f>
        <v>P0381</v>
      </c>
      <c r="B374" t="str">
        <f ca="1">IFERROR(__xludf.DUMMYFUNCTION("""COMPUTED_VALUE"""),"Petrus de Boyssono")</f>
        <v>Petrus de Boyssono</v>
      </c>
      <c r="D374" t="str">
        <f ca="1">IFERROR(__xludf.DUMMYFUNCTION("""COMPUTED_VALUE"""),"#VALUE!")</f>
        <v>#VALUE!</v>
      </c>
      <c r="E374" t="str">
        <f ca="1">IFERROR(__xludf.DUMMYFUNCTION("""COMPUTED_VALUE"""),"Petrus")</f>
        <v>Petrus</v>
      </c>
      <c r="J374" t="str">
        <f ca="1">IFERROR(__xludf.DUMMYFUNCTION("""COMPUTED_VALUE"""),"de")</f>
        <v>de</v>
      </c>
      <c r="K374" t="str">
        <f ca="1">IFERROR(__xludf.DUMMYFUNCTION("""COMPUTED_VALUE"""),"Boyssono")</f>
        <v>Boyssono</v>
      </c>
      <c r="L374" t="str">
        <f ca="1">IFERROR(__xludf.DUMMYFUNCTION("""COMPUTED_VALUE"""),"de Boyssono")</f>
        <v>de Boyssono</v>
      </c>
      <c r="M374" t="str">
        <f ca="1">IFERROR(__xludf.DUMMYFUNCTION("""COMPUTED_VALUE"""),"de")</f>
        <v>de</v>
      </c>
      <c r="N374" t="str">
        <f ca="1">IFERROR(__xludf.DUMMYFUNCTION("""COMPUTED_VALUE"""),"Bruna")</f>
        <v>Bruna</v>
      </c>
      <c r="O374" t="str">
        <f ca="1">IFERROR(__xludf.DUMMYFUNCTION("""COMPUTED_VALUE"""),"de Bruna")</f>
        <v>de Bruna</v>
      </c>
      <c r="S374" t="str">
        <f ca="1">IFERROR(__xludf.DUMMYFUNCTION("""COMPUTED_VALUE"""),"Latin")</f>
        <v>Latin</v>
      </c>
      <c r="T374" t="str">
        <f ca="1">IFERROR(__xludf.DUMMYFUNCTION("""COMPUTED_VALUE"""),"definite")</f>
        <v>definite</v>
      </c>
      <c r="U374" t="str">
        <f ca="1">IFERROR(__xludf.DUMMYFUNCTION("""COMPUTED_VALUE"""),"C2553")</f>
        <v>C2553</v>
      </c>
      <c r="V374" t="str">
        <f ca="1">IFERROR(__xludf.DUMMYFUNCTION("""COMPUTED_VALUE"""),"male")</f>
        <v>male</v>
      </c>
      <c r="Z374" t="str">
        <f ca="1">IFERROR(__xludf.DUMMYFUNCTION("""COMPUTED_VALUE"""),"222")</f>
        <v>222</v>
      </c>
      <c r="AA374" t="str">
        <f ca="1">IFERROR(__xludf.DUMMYFUNCTION("""COMPUTED_VALUE"""),"d")</f>
        <v>d</v>
      </c>
      <c r="AB374" t="str">
        <f ca="1">IFERROR(__xludf.DUMMYFUNCTION("""COMPUTED_VALUE"""),"NA")</f>
        <v>NA</v>
      </c>
      <c r="AE374" t="str">
        <f ca="1">IFERROR(__xludf.DUMMYFUNCTION("""COMPUTED_VALUE"""),"#VALUE!")</f>
        <v>#VALUE!</v>
      </c>
      <c r="AF374" t="str">
        <f ca="1">IFERROR(__xludf.DUMMYFUNCTION("""COMPUTED_VALUE"""),"#N/A")</f>
        <v>#N/A</v>
      </c>
      <c r="AG374" t="str">
        <f ca="1">IFERROR(__xludf.DUMMYFUNCTION("""COMPUTED_VALUE"""),"#N/A")</f>
        <v>#N/A</v>
      </c>
      <c r="AH374" t="str">
        <f ca="1">IFERROR(__xludf.DUMMYFUNCTION("""COMPUTED_VALUE"""),"C2336")</f>
        <v>C2336</v>
      </c>
      <c r="AI374" t="str">
        <f ca="1">IFERROR(__xludf.DUMMYFUNCTION("""COMPUTED_VALUE"""),"son")</f>
        <v>son</v>
      </c>
      <c r="AJ374" t="str">
        <f ca="1">IFERROR(__xludf.DUMMYFUNCTION("""COMPUTED_VALUE"""),"P0355")</f>
        <v>P0355</v>
      </c>
      <c r="AK374" t="str">
        <f ca="1">IFERROR(__xludf.DUMMYFUNCTION("""COMPUTED_VALUE"""),"Petrus de Boyssono")</f>
        <v>Petrus de Boyssono</v>
      </c>
      <c r="AM374" t="str">
        <f ca="1">IFERROR(__xludf.DUMMYFUNCTION("""COMPUTED_VALUE"""),"#VALUE!")</f>
        <v>#VALUE!</v>
      </c>
      <c r="AO374" t="str">
        <f ca="1">IFERROR(__xludf.DUMMYFUNCTION("""COMPUTED_VALUE"""),"#VALUE!")</f>
        <v>#VALUE!</v>
      </c>
      <c r="AQ374" t="str">
        <f ca="1">IFERROR(__xludf.DUMMYFUNCTION("""COMPUTED_VALUE"""),"#VALUE!")</f>
        <v>#VALUE!</v>
      </c>
      <c r="AS374" t="str">
        <f ca="1">IFERROR(__xludf.DUMMYFUNCTION("""COMPUTED_VALUE"""),"#VALUE!")</f>
        <v>#VALUE!</v>
      </c>
      <c r="AU374" t="str">
        <f ca="1">IFERROR(__xludf.DUMMYFUNCTION("""COMPUTED_VALUE"""),"#VALUE!")</f>
        <v>#VALUE!</v>
      </c>
      <c r="AW374" t="str">
        <f ca="1">IFERROR(__xludf.DUMMYFUNCTION("""COMPUTED_VALUE"""),"#VALUE!")</f>
        <v>#VALUE!</v>
      </c>
      <c r="AY374" t="str">
        <f ca="1">IFERROR(__xludf.DUMMYFUNCTION("""COMPUTED_VALUE"""),"#VALUE!")</f>
        <v>#VALUE!</v>
      </c>
      <c r="BA374" t="str">
        <f ca="1">IFERROR(__xludf.DUMMYFUNCTION("""COMPUTED_VALUE"""),"#VALUE!")</f>
        <v>#VALUE!</v>
      </c>
      <c r="BC374" t="str">
        <f ca="1">IFERROR(__xludf.DUMMYFUNCTION("""COMPUTED_VALUE"""),"#VALUE!")</f>
        <v>#VALUE!</v>
      </c>
      <c r="BE374" t="str">
        <f ca="1">IFERROR(__xludf.DUMMYFUNCTION("""COMPUTED_VALUE"""),"#VALUE!")</f>
        <v>#VALUE!</v>
      </c>
      <c r="BG374" t="str">
        <f ca="1">IFERROR(__xludf.DUMMYFUNCTION("""COMPUTED_VALUE"""),"#VALUE!")</f>
        <v>#VALUE!</v>
      </c>
      <c r="BI374" t="str">
        <f ca="1">IFERROR(__xludf.DUMMYFUNCTION("""COMPUTED_VALUE"""),"#VALUE!")</f>
        <v>#VALUE!</v>
      </c>
      <c r="BK374" t="str">
        <f ca="1">IFERROR(__xludf.DUMMYFUNCTION("""COMPUTED_VALUE"""),"#VALUE!")</f>
        <v>#VALUE!</v>
      </c>
      <c r="BM374" t="str">
        <f ca="1">IFERROR(__xludf.DUMMYFUNCTION("""COMPUTED_VALUE"""),"#VALUE!")</f>
        <v>#VALUE!</v>
      </c>
      <c r="BO374" t="str">
        <f ca="1">IFERROR(__xludf.DUMMYFUNCTION("""COMPUTED_VALUE"""),"#VALUE!")</f>
        <v>#VALUE!</v>
      </c>
      <c r="BQ374" t="str">
        <f ca="1">IFERROR(__xludf.DUMMYFUNCTION("""COMPUTED_VALUE"""),"#VALUE!")</f>
        <v>#VALUE!</v>
      </c>
      <c r="BS374" t="str">
        <f ca="1">IFERROR(__xludf.DUMMYFUNCTION("""COMPUTED_VALUE"""),"#VALUE!")</f>
        <v>#VALUE!</v>
      </c>
      <c r="BU374" t="str">
        <f ca="1">IFERROR(__xludf.DUMMYFUNCTION("""COMPUTED_VALUE"""),"#VALUE!")</f>
        <v>#VALUE!</v>
      </c>
      <c r="BW374" t="str">
        <f ca="1">IFERROR(__xludf.DUMMYFUNCTION("""COMPUTED_VALUE"""),"#VALUE!")</f>
        <v>#VALUE!</v>
      </c>
      <c r="BY374" t="str">
        <f ca="1">IFERROR(__xludf.DUMMYFUNCTION("""COMPUTED_VALUE"""),"#VALUE!")</f>
        <v>#VALUE!</v>
      </c>
      <c r="CA374" t="str">
        <f ca="1">IFERROR(__xludf.DUMMYFUNCTION("""COMPUTED_VALUE"""),"#VALUE!")</f>
        <v>#VALUE!</v>
      </c>
      <c r="CC374" t="str">
        <f ca="1">IFERROR(__xludf.DUMMYFUNCTION("""COMPUTED_VALUE"""),"#VALUE!")</f>
        <v>#VALUE!</v>
      </c>
      <c r="CE374" t="str">
        <f ca="1">IFERROR(__xludf.DUMMYFUNCTION("""COMPUTED_VALUE"""),"#VALUE!")</f>
        <v>#VALUE!</v>
      </c>
      <c r="CG374" t="str">
        <f ca="1">IFERROR(__xludf.DUMMYFUNCTION("""COMPUTED_VALUE"""),"#VALUE!")</f>
        <v>#VALUE!</v>
      </c>
      <c r="CI374" t="str">
        <f ca="1">IFERROR(__xludf.DUMMYFUNCTION("""COMPUTED_VALUE"""),"#VALUE!")</f>
        <v>#VALUE!</v>
      </c>
      <c r="CK374" t="str">
        <f ca="1">IFERROR(__xludf.DUMMYFUNCTION("""COMPUTED_VALUE"""),"#VALUE!")</f>
        <v>#VALUE!</v>
      </c>
      <c r="CS374" t="str">
        <f ca="1">IFERROR(__xludf.DUMMYFUNCTION("""COMPUTED_VALUE"""),"#VALUE!")</f>
        <v>#VALUE!</v>
      </c>
      <c r="CU374" t="str">
        <f ca="1">IFERROR(__xludf.DUMMYFUNCTION("""COMPUTED_VALUE"""),"#VALUE!")</f>
        <v>#VALUE!</v>
      </c>
      <c r="CW374" t="str">
        <f ca="1">IFERROR(__xludf.DUMMYFUNCTION("""COMPUTED_VALUE"""),"#VALUE!")</f>
        <v>#VALUE!</v>
      </c>
      <c r="CY374" t="str">
        <f ca="1">IFERROR(__xludf.DUMMYFUNCTION("""COMPUTED_VALUE"""),"#VALUE!")</f>
        <v>#VALUE!</v>
      </c>
      <c r="DC374" t="str">
        <f ca="1">IFERROR(__xludf.DUMMYFUNCTION("""COMPUTED_VALUE"""),"#VALUE!")</f>
        <v>#VALUE!</v>
      </c>
      <c r="DE374" t="str">
        <f ca="1">IFERROR(__xludf.DUMMYFUNCTION("""COMPUTED_VALUE"""),"#VALUE!")</f>
        <v>#VALUE!</v>
      </c>
      <c r="DI374" t="str">
        <f ca="1">IFERROR(__xludf.DUMMYFUNCTION("""COMPUTED_VALUE"""),"#VALUE!")</f>
        <v>#VALUE!</v>
      </c>
      <c r="DJ374" t="str">
        <f ca="1">IFERROR(__xludf.DUMMYFUNCTION("""COMPUTED_VALUE"""),"#VALUE!")</f>
        <v>#VALUE!</v>
      </c>
      <c r="DK374" t="str">
        <f ca="1">IFERROR(__xludf.DUMMYFUNCTION("""COMPUTED_VALUE"""),"P0302???")</f>
        <v>P0302???</v>
      </c>
      <c r="DL374" t="str">
        <f ca="1">IFERROR(__xludf.DUMMYFUNCTION("""COMPUTED_VALUE"""),"Davor Salihović")</f>
        <v>Davor Salihović</v>
      </c>
    </row>
    <row r="375" spans="1:116" ht="13.2" x14ac:dyDescent="0.25">
      <c r="A375" t="str">
        <f ca="1">IFERROR(__xludf.DUMMYFUNCTION("""COMPUTED_VALUE"""),"P0382")</f>
        <v>P0382</v>
      </c>
      <c r="B375" t="str">
        <f ca="1">IFERROR(__xludf.DUMMYFUNCTION("""COMPUTED_VALUE"""),"quidam alter")</f>
        <v>quidam alter</v>
      </c>
      <c r="D375" t="str">
        <f ca="1">IFERROR(__xludf.DUMMYFUNCTION("""COMPUTED_VALUE"""),"#VALUE!")</f>
        <v>#VALUE!</v>
      </c>
      <c r="E375" t="str">
        <f ca="1">IFERROR(__xludf.DUMMYFUNCTION("""COMPUTED_VALUE"""),"quidam alter")</f>
        <v>quidam alter</v>
      </c>
      <c r="Q375" t="str">
        <f ca="1">IFERROR(__xludf.DUMMYFUNCTION("""COMPUTED_VALUE"""),"quidam alter")</f>
        <v>quidam alter</v>
      </c>
      <c r="S375" t="str">
        <f ca="1">IFERROR(__xludf.DUMMYFUNCTION("""COMPUTED_VALUE"""),"Latin")</f>
        <v>Latin</v>
      </c>
      <c r="T375" t="str">
        <f ca="1">IFERROR(__xludf.DUMMYFUNCTION("""COMPUTED_VALUE"""),"definite")</f>
        <v>definite</v>
      </c>
      <c r="U375" t="str">
        <f ca="1">IFERROR(__xludf.DUMMYFUNCTION("""COMPUTED_VALUE"""),"C2553")</f>
        <v>C2553</v>
      </c>
      <c r="V375" t="str">
        <f ca="1">IFERROR(__xludf.DUMMYFUNCTION("""COMPUTED_VALUE"""),"male")</f>
        <v>male</v>
      </c>
      <c r="Z375" t="str">
        <f ca="1">IFERROR(__xludf.DUMMYFUNCTION("""COMPUTED_VALUE"""),"222")</f>
        <v>222</v>
      </c>
      <c r="AA375" t="str">
        <f ca="1">IFERROR(__xludf.DUMMYFUNCTION("""COMPUTED_VALUE"""),"d")</f>
        <v>d</v>
      </c>
      <c r="AB375" t="str">
        <f ca="1">IFERROR(__xludf.DUMMYFUNCTION("""COMPUTED_VALUE"""),"suspect")</f>
        <v>suspect</v>
      </c>
      <c r="AE375" t="str">
        <f ca="1">IFERROR(__xludf.DUMMYFUNCTION("""COMPUTED_VALUE"""),"#VALUE!")</f>
        <v>#VALUE!</v>
      </c>
      <c r="AF375" t="str">
        <f ca="1">IFERROR(__xludf.DUMMYFUNCTION("""COMPUTED_VALUE"""),"#N/A")</f>
        <v>#N/A</v>
      </c>
      <c r="AG375" t="str">
        <f ca="1">IFERROR(__xludf.DUMMYFUNCTION("""COMPUTED_VALUE"""),"#N/A")</f>
        <v>#N/A</v>
      </c>
      <c r="AI375" t="str">
        <f ca="1">IFERROR(__xludf.DUMMYFUNCTION("""COMPUTED_VALUE"""),"#VALUE!")</f>
        <v>#VALUE!</v>
      </c>
      <c r="AK375" t="str">
        <f ca="1">IFERROR(__xludf.DUMMYFUNCTION("""COMPUTED_VALUE"""),"#VALUE!")</f>
        <v>#VALUE!</v>
      </c>
      <c r="AM375" t="str">
        <f ca="1">IFERROR(__xludf.DUMMYFUNCTION("""COMPUTED_VALUE"""),"#VALUE!")</f>
        <v>#VALUE!</v>
      </c>
      <c r="AO375" t="str">
        <f ca="1">IFERROR(__xludf.DUMMYFUNCTION("""COMPUTED_VALUE"""),"#VALUE!")</f>
        <v>#VALUE!</v>
      </c>
      <c r="AQ375" t="str">
        <f ca="1">IFERROR(__xludf.DUMMYFUNCTION("""COMPUTED_VALUE"""),"#VALUE!")</f>
        <v>#VALUE!</v>
      </c>
      <c r="AS375" t="str">
        <f ca="1">IFERROR(__xludf.DUMMYFUNCTION("""COMPUTED_VALUE"""),"#VALUE!")</f>
        <v>#VALUE!</v>
      </c>
      <c r="AU375" t="str">
        <f ca="1">IFERROR(__xludf.DUMMYFUNCTION("""COMPUTED_VALUE"""),"#VALUE!")</f>
        <v>#VALUE!</v>
      </c>
      <c r="AW375" t="str">
        <f ca="1">IFERROR(__xludf.DUMMYFUNCTION("""COMPUTED_VALUE"""),"#VALUE!")</f>
        <v>#VALUE!</v>
      </c>
      <c r="AY375" t="str">
        <f ca="1">IFERROR(__xludf.DUMMYFUNCTION("""COMPUTED_VALUE"""),"#VALUE!")</f>
        <v>#VALUE!</v>
      </c>
      <c r="BA375" t="str">
        <f ca="1">IFERROR(__xludf.DUMMYFUNCTION("""COMPUTED_VALUE"""),"#VALUE!")</f>
        <v>#VALUE!</v>
      </c>
      <c r="BC375" t="str">
        <f ca="1">IFERROR(__xludf.DUMMYFUNCTION("""COMPUTED_VALUE"""),"#VALUE!")</f>
        <v>#VALUE!</v>
      </c>
      <c r="BE375" t="str">
        <f ca="1">IFERROR(__xludf.DUMMYFUNCTION("""COMPUTED_VALUE"""),"#VALUE!")</f>
        <v>#VALUE!</v>
      </c>
      <c r="BG375" t="str">
        <f ca="1">IFERROR(__xludf.DUMMYFUNCTION("""COMPUTED_VALUE"""),"#VALUE!")</f>
        <v>#VALUE!</v>
      </c>
      <c r="BI375" t="str">
        <f ca="1">IFERROR(__xludf.DUMMYFUNCTION("""COMPUTED_VALUE"""),"#VALUE!")</f>
        <v>#VALUE!</v>
      </c>
      <c r="BK375" t="str">
        <f ca="1">IFERROR(__xludf.DUMMYFUNCTION("""COMPUTED_VALUE"""),"#VALUE!")</f>
        <v>#VALUE!</v>
      </c>
      <c r="BM375" t="str">
        <f ca="1">IFERROR(__xludf.DUMMYFUNCTION("""COMPUTED_VALUE"""),"#VALUE!")</f>
        <v>#VALUE!</v>
      </c>
      <c r="BO375" t="str">
        <f ca="1">IFERROR(__xludf.DUMMYFUNCTION("""COMPUTED_VALUE"""),"#VALUE!")</f>
        <v>#VALUE!</v>
      </c>
      <c r="BQ375" t="str">
        <f ca="1">IFERROR(__xludf.DUMMYFUNCTION("""COMPUTED_VALUE"""),"#VALUE!")</f>
        <v>#VALUE!</v>
      </c>
      <c r="BS375" t="str">
        <f ca="1">IFERROR(__xludf.DUMMYFUNCTION("""COMPUTED_VALUE"""),"#VALUE!")</f>
        <v>#VALUE!</v>
      </c>
      <c r="BU375" t="str">
        <f ca="1">IFERROR(__xludf.DUMMYFUNCTION("""COMPUTED_VALUE"""),"#VALUE!")</f>
        <v>#VALUE!</v>
      </c>
      <c r="BW375" t="str">
        <f ca="1">IFERROR(__xludf.DUMMYFUNCTION("""COMPUTED_VALUE"""),"#VALUE!")</f>
        <v>#VALUE!</v>
      </c>
      <c r="BY375" t="str">
        <f ca="1">IFERROR(__xludf.DUMMYFUNCTION("""COMPUTED_VALUE"""),"#VALUE!")</f>
        <v>#VALUE!</v>
      </c>
      <c r="CA375" t="str">
        <f ca="1">IFERROR(__xludf.DUMMYFUNCTION("""COMPUTED_VALUE"""),"#VALUE!")</f>
        <v>#VALUE!</v>
      </c>
      <c r="CC375" t="str">
        <f ca="1">IFERROR(__xludf.DUMMYFUNCTION("""COMPUTED_VALUE"""),"#VALUE!")</f>
        <v>#VALUE!</v>
      </c>
      <c r="CD375" t="str">
        <f ca="1">IFERROR(__xludf.DUMMYFUNCTION("""COMPUTED_VALUE"""),"C3598")</f>
        <v>C3598</v>
      </c>
      <c r="CE375" t="str">
        <f ca="1">IFERROR(__xludf.DUMMYFUNCTION("""COMPUTED_VALUE"""),"location of congregation")</f>
        <v>location of congregation</v>
      </c>
      <c r="CF375" t="str">
        <f ca="1">IFERROR(__xludf.DUMMYFUNCTION("""COMPUTED_VALUE"""),"L0121")</f>
        <v>L0121</v>
      </c>
      <c r="CG375" t="str">
        <f ca="1">IFERROR(__xludf.DUMMYFUNCTION("""COMPUTED_VALUE"""),"domus Broxie, uxoris Iacobi Bernardi")</f>
        <v>domus Broxie, uxoris Iacobi Bernardi</v>
      </c>
      <c r="CI375" t="str">
        <f ca="1">IFERROR(__xludf.DUMMYFUNCTION("""COMPUTED_VALUE"""),"#VALUE!")</f>
        <v>#VALUE!</v>
      </c>
      <c r="CK375" t="str">
        <f ca="1">IFERROR(__xludf.DUMMYFUNCTION("""COMPUTED_VALUE"""),"#VALUE!")</f>
        <v>#VALUE!</v>
      </c>
      <c r="CS375" t="str">
        <f ca="1">IFERROR(__xludf.DUMMYFUNCTION("""COMPUTED_VALUE"""),"#VALUE!")</f>
        <v>#VALUE!</v>
      </c>
      <c r="CU375" t="str">
        <f ca="1">IFERROR(__xludf.DUMMYFUNCTION("""COMPUTED_VALUE"""),"#VALUE!")</f>
        <v>#VALUE!</v>
      </c>
      <c r="CV375" t="str">
        <f ca="1">IFERROR(__xludf.DUMMYFUNCTION("""COMPUTED_VALUE"""),"L0005")</f>
        <v>L0005</v>
      </c>
      <c r="CW375" t="str">
        <f ca="1">IFERROR(__xludf.DUMMYFUNCTION("""COMPUTED_VALUE"""),"Valgioie")</f>
        <v>Valgioie</v>
      </c>
      <c r="CY375" t="str">
        <f ca="1">IFERROR(__xludf.DUMMYFUNCTION("""COMPUTED_VALUE"""),"#VALUE!")</f>
        <v>#VALUE!</v>
      </c>
      <c r="DC375" t="str">
        <f ca="1">IFERROR(__xludf.DUMMYFUNCTION("""COMPUTED_VALUE"""),"#VALUE!")</f>
        <v>#VALUE!</v>
      </c>
      <c r="DE375" t="str">
        <f ca="1">IFERROR(__xludf.DUMMYFUNCTION("""COMPUTED_VALUE"""),"#VALUE!")</f>
        <v>#VALUE!</v>
      </c>
      <c r="DH375" t="str">
        <f ca="1">IFERROR(__xludf.DUMMYFUNCTION("""COMPUTED_VALUE"""),"L0121")</f>
        <v>L0121</v>
      </c>
      <c r="DI375" t="str">
        <f ca="1">IFERROR(__xludf.DUMMYFUNCTION("""COMPUTED_VALUE"""),"domus Broxie, uxoris Iacobi Bernardi")</f>
        <v>domus Broxie, uxoris Iacobi Bernardi</v>
      </c>
      <c r="DJ375" t="str">
        <f ca="1">IFERROR(__xludf.DUMMYFUNCTION("""COMPUTED_VALUE"""),"domus")</f>
        <v>domus</v>
      </c>
      <c r="DL375" t="str">
        <f ca="1">IFERROR(__xludf.DUMMYFUNCTION("""COMPUTED_VALUE"""),"Davor Salihović")</f>
        <v>Davor Salihović</v>
      </c>
    </row>
    <row r="376" spans="1:116" ht="13.2" x14ac:dyDescent="0.25">
      <c r="A376" t="str">
        <f ca="1">IFERROR(__xludf.DUMMYFUNCTION("""COMPUTED_VALUE"""),"P0383")</f>
        <v>P0383</v>
      </c>
      <c r="B376" t="str">
        <f ca="1">IFERROR(__xludf.DUMMYFUNCTION("""COMPUTED_VALUE"""),"Galiçona")</f>
        <v>Galiçona</v>
      </c>
      <c r="D376" t="str">
        <f ca="1">IFERROR(__xludf.DUMMYFUNCTION("""COMPUTED_VALUE"""),"#VALUE!")</f>
        <v>#VALUE!</v>
      </c>
      <c r="E376" t="str">
        <f ca="1">IFERROR(__xludf.DUMMYFUNCTION("""COMPUTED_VALUE"""),"Galiçona")</f>
        <v>Galiçona</v>
      </c>
      <c r="S376" t="str">
        <f ca="1">IFERROR(__xludf.DUMMYFUNCTION("""COMPUTED_VALUE"""),"Latin")</f>
        <v>Latin</v>
      </c>
      <c r="T376" t="str">
        <f ca="1">IFERROR(__xludf.DUMMYFUNCTION("""COMPUTED_VALUE"""),"indefinite")</f>
        <v>indefinite</v>
      </c>
      <c r="U376" t="str">
        <f ca="1">IFERROR(__xludf.DUMMYFUNCTION("""COMPUTED_VALUE"""),"C2552")</f>
        <v>C2552</v>
      </c>
      <c r="V376" t="str">
        <f ca="1">IFERROR(__xludf.DUMMYFUNCTION("""COMPUTED_VALUE"""),"female")</f>
        <v>female</v>
      </c>
      <c r="Z376" t="str">
        <f ca="1">IFERROR(__xludf.DUMMYFUNCTION("""COMPUTED_VALUE"""),"222, 229")</f>
        <v>222, 229</v>
      </c>
      <c r="AA376" t="str">
        <f ca="1">IFERROR(__xludf.DUMMYFUNCTION("""COMPUTED_VALUE"""),"d")</f>
        <v>d</v>
      </c>
      <c r="AB376" t="str">
        <f ca="1">IFERROR(__xludf.DUMMYFUNCTION("""COMPUTED_VALUE"""),"suspect")</f>
        <v>suspect</v>
      </c>
      <c r="AE376" t="str">
        <f ca="1">IFERROR(__xludf.DUMMYFUNCTION("""COMPUTED_VALUE"""),"#VALUE!")</f>
        <v>#VALUE!</v>
      </c>
      <c r="AF376" t="str">
        <f ca="1">IFERROR(__xludf.DUMMYFUNCTION("""COMPUTED_VALUE"""),"#N/A")</f>
        <v>#N/A</v>
      </c>
      <c r="AG376" t="str">
        <f ca="1">IFERROR(__xludf.DUMMYFUNCTION("""COMPUTED_VALUE"""),"#N/A")</f>
        <v>#N/A</v>
      </c>
      <c r="AI376" t="str">
        <f ca="1">IFERROR(__xludf.DUMMYFUNCTION("""COMPUTED_VALUE"""),"#VALUE!")</f>
        <v>#VALUE!</v>
      </c>
      <c r="AK376" t="str">
        <f ca="1">IFERROR(__xludf.DUMMYFUNCTION("""COMPUTED_VALUE"""),"#VALUE!")</f>
        <v>#VALUE!</v>
      </c>
      <c r="AM376" t="str">
        <f ca="1">IFERROR(__xludf.DUMMYFUNCTION("""COMPUTED_VALUE"""),"#VALUE!")</f>
        <v>#VALUE!</v>
      </c>
      <c r="AO376" t="str">
        <f ca="1">IFERROR(__xludf.DUMMYFUNCTION("""COMPUTED_VALUE"""),"#VALUE!")</f>
        <v>#VALUE!</v>
      </c>
      <c r="AQ376" t="str">
        <f ca="1">IFERROR(__xludf.DUMMYFUNCTION("""COMPUTED_VALUE"""),"#VALUE!")</f>
        <v>#VALUE!</v>
      </c>
      <c r="AS376" t="str">
        <f ca="1">IFERROR(__xludf.DUMMYFUNCTION("""COMPUTED_VALUE"""),"#VALUE!")</f>
        <v>#VALUE!</v>
      </c>
      <c r="AU376" t="str">
        <f ca="1">IFERROR(__xludf.DUMMYFUNCTION("""COMPUTED_VALUE"""),"#VALUE!")</f>
        <v>#VALUE!</v>
      </c>
      <c r="AW376" t="str">
        <f ca="1">IFERROR(__xludf.DUMMYFUNCTION("""COMPUTED_VALUE"""),"#VALUE!")</f>
        <v>#VALUE!</v>
      </c>
      <c r="AY376" t="str">
        <f ca="1">IFERROR(__xludf.DUMMYFUNCTION("""COMPUTED_VALUE"""),"#VALUE!")</f>
        <v>#VALUE!</v>
      </c>
      <c r="BA376" t="str">
        <f ca="1">IFERROR(__xludf.DUMMYFUNCTION("""COMPUTED_VALUE"""),"#VALUE!")</f>
        <v>#VALUE!</v>
      </c>
      <c r="BC376" t="str">
        <f ca="1">IFERROR(__xludf.DUMMYFUNCTION("""COMPUTED_VALUE"""),"#VALUE!")</f>
        <v>#VALUE!</v>
      </c>
      <c r="BE376" t="str">
        <f ca="1">IFERROR(__xludf.DUMMYFUNCTION("""COMPUTED_VALUE"""),"#VALUE!")</f>
        <v>#VALUE!</v>
      </c>
      <c r="BG376" t="str">
        <f ca="1">IFERROR(__xludf.DUMMYFUNCTION("""COMPUTED_VALUE"""),"#VALUE!")</f>
        <v>#VALUE!</v>
      </c>
      <c r="BI376" t="str">
        <f ca="1">IFERROR(__xludf.DUMMYFUNCTION("""COMPUTED_VALUE"""),"#VALUE!")</f>
        <v>#VALUE!</v>
      </c>
      <c r="BK376" t="str">
        <f ca="1">IFERROR(__xludf.DUMMYFUNCTION("""COMPUTED_VALUE"""),"#VALUE!")</f>
        <v>#VALUE!</v>
      </c>
      <c r="BM376" t="str">
        <f ca="1">IFERROR(__xludf.DUMMYFUNCTION("""COMPUTED_VALUE"""),"#VALUE!")</f>
        <v>#VALUE!</v>
      </c>
      <c r="BO376" t="str">
        <f ca="1">IFERROR(__xludf.DUMMYFUNCTION("""COMPUTED_VALUE"""),"#VALUE!")</f>
        <v>#VALUE!</v>
      </c>
      <c r="BQ376" t="str">
        <f ca="1">IFERROR(__xludf.DUMMYFUNCTION("""COMPUTED_VALUE"""),"#VALUE!")</f>
        <v>#VALUE!</v>
      </c>
      <c r="BS376" t="str">
        <f ca="1">IFERROR(__xludf.DUMMYFUNCTION("""COMPUTED_VALUE"""),"#VALUE!")</f>
        <v>#VALUE!</v>
      </c>
      <c r="BU376" t="str">
        <f ca="1">IFERROR(__xludf.DUMMYFUNCTION("""COMPUTED_VALUE"""),"#VALUE!")</f>
        <v>#VALUE!</v>
      </c>
      <c r="BW376" t="str">
        <f ca="1">IFERROR(__xludf.DUMMYFUNCTION("""COMPUTED_VALUE"""),"#VALUE!")</f>
        <v>#VALUE!</v>
      </c>
      <c r="BY376" t="str">
        <f ca="1">IFERROR(__xludf.DUMMYFUNCTION("""COMPUTED_VALUE"""),"#VALUE!")</f>
        <v>#VALUE!</v>
      </c>
      <c r="CA376" t="str">
        <f ca="1">IFERROR(__xludf.DUMMYFUNCTION("""COMPUTED_VALUE"""),"#VALUE!")</f>
        <v>#VALUE!</v>
      </c>
      <c r="CC376" t="str">
        <f ca="1">IFERROR(__xludf.DUMMYFUNCTION("""COMPUTED_VALUE"""),"#VALUE!")</f>
        <v>#VALUE!</v>
      </c>
      <c r="CD376" t="str">
        <f ca="1">IFERROR(__xludf.DUMMYFUNCTION("""COMPUTED_VALUE"""),"C3598")</f>
        <v>C3598</v>
      </c>
      <c r="CE376" t="str">
        <f ca="1">IFERROR(__xludf.DUMMYFUNCTION("""COMPUTED_VALUE"""),"location of congregation")</f>
        <v>location of congregation</v>
      </c>
      <c r="CF376" t="str">
        <f ca="1">IFERROR(__xludf.DUMMYFUNCTION("""COMPUTED_VALUE"""),"L0121")</f>
        <v>L0121</v>
      </c>
      <c r="CG376" t="str">
        <f ca="1">IFERROR(__xludf.DUMMYFUNCTION("""COMPUTED_VALUE"""),"domus Broxie, uxoris Iacobi Bernardi")</f>
        <v>domus Broxie, uxoris Iacobi Bernardi</v>
      </c>
      <c r="CI376" t="str">
        <f ca="1">IFERROR(__xludf.DUMMYFUNCTION("""COMPUTED_VALUE"""),"#VALUE!")</f>
        <v>#VALUE!</v>
      </c>
      <c r="CK376" t="str">
        <f ca="1">IFERROR(__xludf.DUMMYFUNCTION("""COMPUTED_VALUE"""),"#VALUE!")</f>
        <v>#VALUE!</v>
      </c>
      <c r="CS376" t="str">
        <f ca="1">IFERROR(__xludf.DUMMYFUNCTION("""COMPUTED_VALUE"""),"#VALUE!")</f>
        <v>#VALUE!</v>
      </c>
      <c r="CU376" t="str">
        <f ca="1">IFERROR(__xludf.DUMMYFUNCTION("""COMPUTED_VALUE"""),"#VALUE!")</f>
        <v>#VALUE!</v>
      </c>
      <c r="CW376" t="str">
        <f ca="1">IFERROR(__xludf.DUMMYFUNCTION("""COMPUTED_VALUE"""),"#VALUE!")</f>
        <v>#VALUE!</v>
      </c>
      <c r="CY376" t="str">
        <f ca="1">IFERROR(__xludf.DUMMYFUNCTION("""COMPUTED_VALUE"""),"#VALUE!")</f>
        <v>#VALUE!</v>
      </c>
      <c r="DC376" t="str">
        <f ca="1">IFERROR(__xludf.DUMMYFUNCTION("""COMPUTED_VALUE"""),"#VALUE!")</f>
        <v>#VALUE!</v>
      </c>
      <c r="DE376" t="str">
        <f ca="1">IFERROR(__xludf.DUMMYFUNCTION("""COMPUTED_VALUE"""),"#VALUE!")</f>
        <v>#VALUE!</v>
      </c>
      <c r="DH376" t="str">
        <f ca="1">IFERROR(__xludf.DUMMYFUNCTION("""COMPUTED_VALUE"""),"L0121")</f>
        <v>L0121</v>
      </c>
      <c r="DI376" t="str">
        <f ca="1">IFERROR(__xludf.DUMMYFUNCTION("""COMPUTED_VALUE"""),"domus Broxie, uxoris Iacobi Bernardi")</f>
        <v>domus Broxie, uxoris Iacobi Bernardi</v>
      </c>
      <c r="DJ376" t="str">
        <f ca="1">IFERROR(__xludf.DUMMYFUNCTION("""COMPUTED_VALUE"""),"domus")</f>
        <v>domus</v>
      </c>
      <c r="DL376" t="str">
        <f ca="1">IFERROR(__xludf.DUMMYFUNCTION("""COMPUTED_VALUE"""),"Davor Salihović")</f>
        <v>Davor Salihović</v>
      </c>
    </row>
    <row r="377" spans="1:116" ht="13.2" x14ac:dyDescent="0.25">
      <c r="A377" t="str">
        <f ca="1">IFERROR(__xludf.DUMMYFUNCTION("""COMPUTED_VALUE"""),"P0384")</f>
        <v>P0384</v>
      </c>
      <c r="B377" t="str">
        <f ca="1">IFERROR(__xludf.DUMMYFUNCTION("""COMPUTED_VALUE"""),"Colonba, amica Aleysete Filiole")</f>
        <v>Colonba, amica Aleysete Filiole</v>
      </c>
      <c r="D377" t="str">
        <f ca="1">IFERROR(__xludf.DUMMYFUNCTION("""COMPUTED_VALUE"""),"#VALUE!")</f>
        <v>#VALUE!</v>
      </c>
      <c r="E377" t="str">
        <f ca="1">IFERROR(__xludf.DUMMYFUNCTION("""COMPUTED_VALUE"""),"Colonba")</f>
        <v>Colonba</v>
      </c>
      <c r="Q377" t="str">
        <f ca="1">IFERROR(__xludf.DUMMYFUNCTION("""COMPUTED_VALUE"""),"amica Aleysete Filiole")</f>
        <v>amica Aleysete Filiole</v>
      </c>
      <c r="S377" t="str">
        <f ca="1">IFERROR(__xludf.DUMMYFUNCTION("""COMPUTED_VALUE"""),"Latin")</f>
        <v>Latin</v>
      </c>
      <c r="T377" t="str">
        <f ca="1">IFERROR(__xludf.DUMMYFUNCTION("""COMPUTED_VALUE"""),"definite")</f>
        <v>definite</v>
      </c>
      <c r="U377" t="str">
        <f ca="1">IFERROR(__xludf.DUMMYFUNCTION("""COMPUTED_VALUE"""),"C2552")</f>
        <v>C2552</v>
      </c>
      <c r="V377" t="str">
        <f ca="1">IFERROR(__xludf.DUMMYFUNCTION("""COMPUTED_VALUE"""),"female")</f>
        <v>female</v>
      </c>
      <c r="Z377" t="str">
        <f ca="1">IFERROR(__xludf.DUMMYFUNCTION("""COMPUTED_VALUE"""),"222")</f>
        <v>222</v>
      </c>
      <c r="AA377" t="str">
        <f ca="1">IFERROR(__xludf.DUMMYFUNCTION("""COMPUTED_VALUE"""),"d")</f>
        <v>d</v>
      </c>
      <c r="AB377" t="str">
        <f ca="1">IFERROR(__xludf.DUMMYFUNCTION("""COMPUTED_VALUE"""),"suspect")</f>
        <v>suspect</v>
      </c>
      <c r="AC377" t="str">
        <f ca="1">IFERROR(__xludf.DUMMYFUNCTION("""COMPUTED_VALUE"""),"y")</f>
        <v>y</v>
      </c>
      <c r="AD377" t="str">
        <f ca="1">IFERROR(__xludf.DUMMYFUNCTION("""COMPUTED_VALUE"""),"C3288")</f>
        <v>C3288</v>
      </c>
      <c r="AE377" t="str">
        <f ca="1">IFERROR(__xludf.DUMMYFUNCTION("""COMPUTED_VALUE"""),"dead")</f>
        <v>dead</v>
      </c>
      <c r="AF377" t="str">
        <f ca="1">IFERROR(__xludf.DUMMYFUNCTION("""COMPUTED_VALUE"""),"C1749")</f>
        <v>C1749</v>
      </c>
      <c r="AG377" t="str">
        <f ca="1">IFERROR(__xludf.DUMMYFUNCTION("""COMPUTED_VALUE"""),"1335-01-20")</f>
        <v>1335-01-20</v>
      </c>
      <c r="AI377" t="str">
        <f ca="1">IFERROR(__xludf.DUMMYFUNCTION("""COMPUTED_VALUE"""),"#VALUE!")</f>
        <v>#VALUE!</v>
      </c>
      <c r="AK377" t="str">
        <f ca="1">IFERROR(__xludf.DUMMYFUNCTION("""COMPUTED_VALUE"""),"#VALUE!")</f>
        <v>#VALUE!</v>
      </c>
      <c r="AM377" t="str">
        <f ca="1">IFERROR(__xludf.DUMMYFUNCTION("""COMPUTED_VALUE"""),"#VALUE!")</f>
        <v>#VALUE!</v>
      </c>
      <c r="AO377" t="str">
        <f ca="1">IFERROR(__xludf.DUMMYFUNCTION("""COMPUTED_VALUE"""),"#VALUE!")</f>
        <v>#VALUE!</v>
      </c>
      <c r="AQ377" t="str">
        <f ca="1">IFERROR(__xludf.DUMMYFUNCTION("""COMPUTED_VALUE"""),"#VALUE!")</f>
        <v>#VALUE!</v>
      </c>
      <c r="AS377" t="str">
        <f ca="1">IFERROR(__xludf.DUMMYFUNCTION("""COMPUTED_VALUE"""),"#VALUE!")</f>
        <v>#VALUE!</v>
      </c>
      <c r="AU377" t="str">
        <f ca="1">IFERROR(__xludf.DUMMYFUNCTION("""COMPUTED_VALUE"""),"#VALUE!")</f>
        <v>#VALUE!</v>
      </c>
      <c r="AW377" t="str">
        <f ca="1">IFERROR(__xludf.DUMMYFUNCTION("""COMPUTED_VALUE"""),"#VALUE!")</f>
        <v>#VALUE!</v>
      </c>
      <c r="AY377" t="str">
        <f ca="1">IFERROR(__xludf.DUMMYFUNCTION("""COMPUTED_VALUE"""),"#VALUE!")</f>
        <v>#VALUE!</v>
      </c>
      <c r="BA377" t="str">
        <f ca="1">IFERROR(__xludf.DUMMYFUNCTION("""COMPUTED_VALUE"""),"#VALUE!")</f>
        <v>#VALUE!</v>
      </c>
      <c r="BC377" t="str">
        <f ca="1">IFERROR(__xludf.DUMMYFUNCTION("""COMPUTED_VALUE"""),"#VALUE!")</f>
        <v>#VALUE!</v>
      </c>
      <c r="BE377" t="str">
        <f ca="1">IFERROR(__xludf.DUMMYFUNCTION("""COMPUTED_VALUE"""),"#VALUE!")</f>
        <v>#VALUE!</v>
      </c>
      <c r="BG377" t="str">
        <f ca="1">IFERROR(__xludf.DUMMYFUNCTION("""COMPUTED_VALUE"""),"#VALUE!")</f>
        <v>#VALUE!</v>
      </c>
      <c r="BI377" t="str">
        <f ca="1">IFERROR(__xludf.DUMMYFUNCTION("""COMPUTED_VALUE"""),"#VALUE!")</f>
        <v>#VALUE!</v>
      </c>
      <c r="BK377" t="str">
        <f ca="1">IFERROR(__xludf.DUMMYFUNCTION("""COMPUTED_VALUE"""),"#VALUE!")</f>
        <v>#VALUE!</v>
      </c>
      <c r="BM377" t="str">
        <f ca="1">IFERROR(__xludf.DUMMYFUNCTION("""COMPUTED_VALUE"""),"#VALUE!")</f>
        <v>#VALUE!</v>
      </c>
      <c r="BO377" t="str">
        <f ca="1">IFERROR(__xludf.DUMMYFUNCTION("""COMPUTED_VALUE"""),"#VALUE!")</f>
        <v>#VALUE!</v>
      </c>
      <c r="BQ377" t="str">
        <f ca="1">IFERROR(__xludf.DUMMYFUNCTION("""COMPUTED_VALUE"""),"#VALUE!")</f>
        <v>#VALUE!</v>
      </c>
      <c r="BS377" t="str">
        <f ca="1">IFERROR(__xludf.DUMMYFUNCTION("""COMPUTED_VALUE"""),"#VALUE!")</f>
        <v>#VALUE!</v>
      </c>
      <c r="BU377" t="str">
        <f ca="1">IFERROR(__xludf.DUMMYFUNCTION("""COMPUTED_VALUE"""),"#VALUE!")</f>
        <v>#VALUE!</v>
      </c>
      <c r="BW377" t="str">
        <f ca="1">IFERROR(__xludf.DUMMYFUNCTION("""COMPUTED_VALUE"""),"#VALUE!")</f>
        <v>#VALUE!</v>
      </c>
      <c r="BY377" t="str">
        <f ca="1">IFERROR(__xludf.DUMMYFUNCTION("""COMPUTED_VALUE"""),"#VALUE!")</f>
        <v>#VALUE!</v>
      </c>
      <c r="CA377" t="str">
        <f ca="1">IFERROR(__xludf.DUMMYFUNCTION("""COMPUTED_VALUE"""),"#VALUE!")</f>
        <v>#VALUE!</v>
      </c>
      <c r="CC377" t="str">
        <f ca="1">IFERROR(__xludf.DUMMYFUNCTION("""COMPUTED_VALUE"""),"#VALUE!")</f>
        <v>#VALUE!</v>
      </c>
      <c r="CD377" t="str">
        <f ca="1">IFERROR(__xludf.DUMMYFUNCTION("""COMPUTED_VALUE"""),"C3598")</f>
        <v>C3598</v>
      </c>
      <c r="CE377" t="str">
        <f ca="1">IFERROR(__xludf.DUMMYFUNCTION("""COMPUTED_VALUE"""),"location of congregation")</f>
        <v>location of congregation</v>
      </c>
      <c r="CF377" t="str">
        <f ca="1">IFERROR(__xludf.DUMMYFUNCTION("""COMPUTED_VALUE"""),"L0079")</f>
        <v>L0079</v>
      </c>
      <c r="CG377" t="str">
        <f ca="1">IFERROR(__xludf.DUMMYFUNCTION("""COMPUTED_VALUE"""),"domus Martinii Dominici")</f>
        <v>domus Martinii Dominici</v>
      </c>
      <c r="CI377" t="str">
        <f ca="1">IFERROR(__xludf.DUMMYFUNCTION("""COMPUTED_VALUE"""),"#VALUE!")</f>
        <v>#VALUE!</v>
      </c>
      <c r="CK377" t="str">
        <f ca="1">IFERROR(__xludf.DUMMYFUNCTION("""COMPUTED_VALUE"""),"#VALUE!")</f>
        <v>#VALUE!</v>
      </c>
      <c r="CS377" t="str">
        <f ca="1">IFERROR(__xludf.DUMMYFUNCTION("""COMPUTED_VALUE"""),"#VALUE!")</f>
        <v>#VALUE!</v>
      </c>
      <c r="CU377" t="str">
        <f ca="1">IFERROR(__xludf.DUMMYFUNCTION("""COMPUTED_VALUE"""),"#VALUE!")</f>
        <v>#VALUE!</v>
      </c>
      <c r="CV377" t="str">
        <f ca="1">IFERROR(__xludf.DUMMYFUNCTION("""COMPUTED_VALUE"""),"L0005")</f>
        <v>L0005</v>
      </c>
      <c r="CW377" t="str">
        <f ca="1">IFERROR(__xludf.DUMMYFUNCTION("""COMPUTED_VALUE"""),"Valgioie")</f>
        <v>Valgioie</v>
      </c>
      <c r="CY377" t="str">
        <f ca="1">IFERROR(__xludf.DUMMYFUNCTION("""COMPUTED_VALUE"""),"#VALUE!")</f>
        <v>#VALUE!</v>
      </c>
      <c r="DC377" t="str">
        <f ca="1">IFERROR(__xludf.DUMMYFUNCTION("""COMPUTED_VALUE"""),"#VALUE!")</f>
        <v>#VALUE!</v>
      </c>
      <c r="DE377" t="str">
        <f ca="1">IFERROR(__xludf.DUMMYFUNCTION("""COMPUTED_VALUE"""),"#VALUE!")</f>
        <v>#VALUE!</v>
      </c>
      <c r="DH377" t="str">
        <f ca="1">IFERROR(__xludf.DUMMYFUNCTION("""COMPUTED_VALUE"""),"L0079")</f>
        <v>L0079</v>
      </c>
      <c r="DI377" t="str">
        <f ca="1">IFERROR(__xludf.DUMMYFUNCTION("""COMPUTED_VALUE"""),"domus Martinii Dominici")</f>
        <v>domus Martinii Dominici</v>
      </c>
      <c r="DJ377" t="str">
        <f ca="1">IFERROR(__xludf.DUMMYFUNCTION("""COMPUTED_VALUE"""),"domus")</f>
        <v>domus</v>
      </c>
      <c r="DL377" t="str">
        <f ca="1">IFERROR(__xludf.DUMMYFUNCTION("""COMPUTED_VALUE"""),"Davor Salihović")</f>
        <v>Davor Salihović</v>
      </c>
    </row>
    <row r="378" spans="1:116" ht="13.2" x14ac:dyDescent="0.25">
      <c r="A378" t="str">
        <f ca="1">IFERROR(__xludf.DUMMYFUNCTION("""COMPUTED_VALUE"""),"P0385")</f>
        <v>P0385</v>
      </c>
      <c r="B378" t="str">
        <f ca="1">IFERROR(__xludf.DUMMYFUNCTION("""COMPUTED_VALUE"""),"Iohanna, filia Iohannis de Bonaudo")</f>
        <v>Iohanna, filia Iohannis de Bonaudo</v>
      </c>
      <c r="D378" t="str">
        <f ca="1">IFERROR(__xludf.DUMMYFUNCTION("""COMPUTED_VALUE"""),"#VALUE!")</f>
        <v>#VALUE!</v>
      </c>
      <c r="E378" t="str">
        <f ca="1">IFERROR(__xludf.DUMMYFUNCTION("""COMPUTED_VALUE"""),"Iohanna")</f>
        <v>Iohanna</v>
      </c>
      <c r="Q378" t="str">
        <f ca="1">IFERROR(__xludf.DUMMYFUNCTION("""COMPUTED_VALUE"""),"filia Iohannis de Bonaudo")</f>
        <v>filia Iohannis de Bonaudo</v>
      </c>
      <c r="S378" t="str">
        <f ca="1">IFERROR(__xludf.DUMMYFUNCTION("""COMPUTED_VALUE"""),"Latin")</f>
        <v>Latin</v>
      </c>
      <c r="T378" t="str">
        <f ca="1">IFERROR(__xludf.DUMMYFUNCTION("""COMPUTED_VALUE"""),"definite")</f>
        <v>definite</v>
      </c>
      <c r="U378" t="str">
        <f ca="1">IFERROR(__xludf.DUMMYFUNCTION("""COMPUTED_VALUE"""),"C2552")</f>
        <v>C2552</v>
      </c>
      <c r="V378" t="str">
        <f ca="1">IFERROR(__xludf.DUMMYFUNCTION("""COMPUTED_VALUE"""),"female")</f>
        <v>female</v>
      </c>
      <c r="Z378" t="str">
        <f ca="1">IFERROR(__xludf.DUMMYFUNCTION("""COMPUTED_VALUE"""),"223, 231")</f>
        <v>223, 231</v>
      </c>
      <c r="AA378" t="str">
        <f ca="1">IFERROR(__xludf.DUMMYFUNCTION("""COMPUTED_VALUE"""),"d")</f>
        <v>d</v>
      </c>
      <c r="AB378" t="str">
        <f ca="1">IFERROR(__xludf.DUMMYFUNCTION("""COMPUTED_VALUE"""),"suspect")</f>
        <v>suspect</v>
      </c>
      <c r="AD378" t="str">
        <f ca="1">IFERROR(__xludf.DUMMYFUNCTION("""COMPUTED_VALUE"""),"C3287")</f>
        <v>C3287</v>
      </c>
      <c r="AE378" t="str">
        <f ca="1">IFERROR(__xludf.DUMMYFUNCTION("""COMPUTED_VALUE"""),"alive")</f>
        <v>alive</v>
      </c>
      <c r="AF378" t="str">
        <f ca="1">IFERROR(__xludf.DUMMYFUNCTION("""COMPUTED_VALUE"""),"C1753")</f>
        <v>C1753</v>
      </c>
      <c r="AG378" t="str">
        <f ca="1">IFERROR(__xludf.DUMMYFUNCTION("""COMPUTED_VALUE"""),"1335-01-20")</f>
        <v>1335-01-20</v>
      </c>
      <c r="AI378" t="str">
        <f ca="1">IFERROR(__xludf.DUMMYFUNCTION("""COMPUTED_VALUE"""),"#VALUE!")</f>
        <v>#VALUE!</v>
      </c>
      <c r="AK378" t="str">
        <f ca="1">IFERROR(__xludf.DUMMYFUNCTION("""COMPUTED_VALUE"""),"#VALUE!")</f>
        <v>#VALUE!</v>
      </c>
      <c r="AM378" t="str">
        <f ca="1">IFERROR(__xludf.DUMMYFUNCTION("""COMPUTED_VALUE"""),"#VALUE!")</f>
        <v>#VALUE!</v>
      </c>
      <c r="AO378" t="str">
        <f ca="1">IFERROR(__xludf.DUMMYFUNCTION("""COMPUTED_VALUE"""),"#VALUE!")</f>
        <v>#VALUE!</v>
      </c>
      <c r="AQ378" t="str">
        <f ca="1">IFERROR(__xludf.DUMMYFUNCTION("""COMPUTED_VALUE"""),"#VALUE!")</f>
        <v>#VALUE!</v>
      </c>
      <c r="AS378" t="str">
        <f ca="1">IFERROR(__xludf.DUMMYFUNCTION("""COMPUTED_VALUE"""),"#VALUE!")</f>
        <v>#VALUE!</v>
      </c>
      <c r="AU378" t="str">
        <f ca="1">IFERROR(__xludf.DUMMYFUNCTION("""COMPUTED_VALUE"""),"#VALUE!")</f>
        <v>#VALUE!</v>
      </c>
      <c r="AW378" t="str">
        <f ca="1">IFERROR(__xludf.DUMMYFUNCTION("""COMPUTED_VALUE"""),"#VALUE!")</f>
        <v>#VALUE!</v>
      </c>
      <c r="AY378" t="str">
        <f ca="1">IFERROR(__xludf.DUMMYFUNCTION("""COMPUTED_VALUE"""),"#VALUE!")</f>
        <v>#VALUE!</v>
      </c>
      <c r="BA378" t="str">
        <f ca="1">IFERROR(__xludf.DUMMYFUNCTION("""COMPUTED_VALUE"""),"#VALUE!")</f>
        <v>#VALUE!</v>
      </c>
      <c r="BC378" t="str">
        <f ca="1">IFERROR(__xludf.DUMMYFUNCTION("""COMPUTED_VALUE"""),"#VALUE!")</f>
        <v>#VALUE!</v>
      </c>
      <c r="BE378" t="str">
        <f ca="1">IFERROR(__xludf.DUMMYFUNCTION("""COMPUTED_VALUE"""),"#VALUE!")</f>
        <v>#VALUE!</v>
      </c>
      <c r="BG378" t="str">
        <f ca="1">IFERROR(__xludf.DUMMYFUNCTION("""COMPUTED_VALUE"""),"#VALUE!")</f>
        <v>#VALUE!</v>
      </c>
      <c r="BI378" t="str">
        <f ca="1">IFERROR(__xludf.DUMMYFUNCTION("""COMPUTED_VALUE"""),"#VALUE!")</f>
        <v>#VALUE!</v>
      </c>
      <c r="BK378" t="str">
        <f ca="1">IFERROR(__xludf.DUMMYFUNCTION("""COMPUTED_VALUE"""),"#VALUE!")</f>
        <v>#VALUE!</v>
      </c>
      <c r="BM378" t="str">
        <f ca="1">IFERROR(__xludf.DUMMYFUNCTION("""COMPUTED_VALUE"""),"#VALUE!")</f>
        <v>#VALUE!</v>
      </c>
      <c r="BO378" t="str">
        <f ca="1">IFERROR(__xludf.DUMMYFUNCTION("""COMPUTED_VALUE"""),"#VALUE!")</f>
        <v>#VALUE!</v>
      </c>
      <c r="BQ378" t="str">
        <f ca="1">IFERROR(__xludf.DUMMYFUNCTION("""COMPUTED_VALUE"""),"#VALUE!")</f>
        <v>#VALUE!</v>
      </c>
      <c r="BS378" t="str">
        <f ca="1">IFERROR(__xludf.DUMMYFUNCTION("""COMPUTED_VALUE"""),"#VALUE!")</f>
        <v>#VALUE!</v>
      </c>
      <c r="BU378" t="str">
        <f ca="1">IFERROR(__xludf.DUMMYFUNCTION("""COMPUTED_VALUE"""),"#VALUE!")</f>
        <v>#VALUE!</v>
      </c>
      <c r="BW378" t="str">
        <f ca="1">IFERROR(__xludf.DUMMYFUNCTION("""COMPUTED_VALUE"""),"#VALUE!")</f>
        <v>#VALUE!</v>
      </c>
      <c r="BY378" t="str">
        <f ca="1">IFERROR(__xludf.DUMMYFUNCTION("""COMPUTED_VALUE"""),"#VALUE!")</f>
        <v>#VALUE!</v>
      </c>
      <c r="CA378" t="str">
        <f ca="1">IFERROR(__xludf.DUMMYFUNCTION("""COMPUTED_VALUE"""),"#VALUE!")</f>
        <v>#VALUE!</v>
      </c>
      <c r="CC378" t="str">
        <f ca="1">IFERROR(__xludf.DUMMYFUNCTION("""COMPUTED_VALUE"""),"#VALUE!")</f>
        <v>#VALUE!</v>
      </c>
      <c r="CD378" t="str">
        <f ca="1">IFERROR(__xludf.DUMMYFUNCTION("""COMPUTED_VALUE"""),"C3598")</f>
        <v>C3598</v>
      </c>
      <c r="CE378" t="str">
        <f ca="1">IFERROR(__xludf.DUMMYFUNCTION("""COMPUTED_VALUE"""),"location of congregation")</f>
        <v>location of congregation</v>
      </c>
      <c r="CF378" t="str">
        <f ca="1">IFERROR(__xludf.DUMMYFUNCTION("""COMPUTED_VALUE"""),"L0066")</f>
        <v>L0066</v>
      </c>
      <c r="CG378" t="str">
        <f ca="1">IFERROR(__xludf.DUMMYFUNCTION("""COMPUTED_VALUE"""),"domus Bernardi de Rosseto")</f>
        <v>domus Bernardi de Rosseto</v>
      </c>
      <c r="CI378" t="str">
        <f ca="1">IFERROR(__xludf.DUMMYFUNCTION("""COMPUTED_VALUE"""),"#VALUE!")</f>
        <v>#VALUE!</v>
      </c>
      <c r="CK378" t="str">
        <f ca="1">IFERROR(__xludf.DUMMYFUNCTION("""COMPUTED_VALUE"""),"#VALUE!")</f>
        <v>#VALUE!</v>
      </c>
      <c r="CS378" t="str">
        <f ca="1">IFERROR(__xludf.DUMMYFUNCTION("""COMPUTED_VALUE"""),"#VALUE!")</f>
        <v>#VALUE!</v>
      </c>
      <c r="CU378" t="str">
        <f ca="1">IFERROR(__xludf.DUMMYFUNCTION("""COMPUTED_VALUE"""),"#VALUE!")</f>
        <v>#VALUE!</v>
      </c>
      <c r="CW378" t="str">
        <f ca="1">IFERROR(__xludf.DUMMYFUNCTION("""COMPUTED_VALUE"""),"#VALUE!")</f>
        <v>#VALUE!</v>
      </c>
      <c r="CY378" t="str">
        <f ca="1">IFERROR(__xludf.DUMMYFUNCTION("""COMPUTED_VALUE"""),"#VALUE!")</f>
        <v>#VALUE!</v>
      </c>
      <c r="DC378" t="str">
        <f ca="1">IFERROR(__xludf.DUMMYFUNCTION("""COMPUTED_VALUE"""),"#VALUE!")</f>
        <v>#VALUE!</v>
      </c>
      <c r="DE378" t="str">
        <f ca="1">IFERROR(__xludf.DUMMYFUNCTION("""COMPUTED_VALUE"""),"#VALUE!")</f>
        <v>#VALUE!</v>
      </c>
      <c r="DF378" t="str">
        <f ca="1">IFERROR(__xludf.DUMMYFUNCTION("""COMPUTED_VALUE"""),"y")</f>
        <v>y</v>
      </c>
      <c r="DG378" t="str">
        <f ca="1">IFERROR(__xludf.DUMMYFUNCTION("""COMPUTED_VALUE"""),"231")</f>
        <v>231</v>
      </c>
      <c r="DH378" t="str">
        <f ca="1">IFERROR(__xludf.DUMMYFUNCTION("""COMPUTED_VALUE"""),"L0066")</f>
        <v>L0066</v>
      </c>
      <c r="DI378" t="str">
        <f ca="1">IFERROR(__xludf.DUMMYFUNCTION("""COMPUTED_VALUE"""),"domus Bernardi de Rosseto")</f>
        <v>domus Bernardi de Rosseto</v>
      </c>
      <c r="DJ378" t="str">
        <f ca="1">IFERROR(__xludf.DUMMYFUNCTION("""COMPUTED_VALUE"""),"domus")</f>
        <v>domus</v>
      </c>
      <c r="DL378" t="str">
        <f ca="1">IFERROR(__xludf.DUMMYFUNCTION("""COMPUTED_VALUE"""),"Davor Salihović")</f>
        <v>Davor Salihović</v>
      </c>
    </row>
    <row r="379" spans="1:116" ht="13.2" x14ac:dyDescent="0.25">
      <c r="A379" t="str">
        <f ca="1">IFERROR(__xludf.DUMMYFUNCTION("""COMPUTED_VALUE"""),"P0386")</f>
        <v>P0386</v>
      </c>
      <c r="B379" t="str">
        <f ca="1">IFERROR(__xludf.DUMMYFUNCTION("""COMPUTED_VALUE"""),"Bonetus")</f>
        <v>Bonetus</v>
      </c>
      <c r="D379" t="str">
        <f ca="1">IFERROR(__xludf.DUMMYFUNCTION("""COMPUTED_VALUE"""),"#VALUE!")</f>
        <v>#VALUE!</v>
      </c>
      <c r="E379" t="str">
        <f ca="1">IFERROR(__xludf.DUMMYFUNCTION("""COMPUTED_VALUE"""),"Bonetus")</f>
        <v>Bonetus</v>
      </c>
      <c r="S379" t="str">
        <f ca="1">IFERROR(__xludf.DUMMYFUNCTION("""COMPUTED_VALUE"""),"Latin")</f>
        <v>Latin</v>
      </c>
      <c r="T379" t="str">
        <f ca="1">IFERROR(__xludf.DUMMYFUNCTION("""COMPUTED_VALUE"""),"indefinite")</f>
        <v>indefinite</v>
      </c>
      <c r="U379" t="str">
        <f ca="1">IFERROR(__xludf.DUMMYFUNCTION("""COMPUTED_VALUE"""),"C2553")</f>
        <v>C2553</v>
      </c>
      <c r="V379" t="str">
        <f ca="1">IFERROR(__xludf.DUMMYFUNCTION("""COMPUTED_VALUE"""),"male")</f>
        <v>male</v>
      </c>
      <c r="Z379" t="str">
        <f ca="1">IFERROR(__xludf.DUMMYFUNCTION("""COMPUTED_VALUE"""),"224")</f>
        <v>224</v>
      </c>
      <c r="AA379" t="str">
        <f ca="1">IFERROR(__xludf.DUMMYFUNCTION("""COMPUTED_VALUE"""),"d")</f>
        <v>d</v>
      </c>
      <c r="AB379" t="str">
        <f ca="1">IFERROR(__xludf.DUMMYFUNCTION("""COMPUTED_VALUE"""),"suspect")</f>
        <v>suspect</v>
      </c>
      <c r="AE379" t="str">
        <f ca="1">IFERROR(__xludf.DUMMYFUNCTION("""COMPUTED_VALUE"""),"#VALUE!")</f>
        <v>#VALUE!</v>
      </c>
      <c r="AF379" t="str">
        <f ca="1">IFERROR(__xludf.DUMMYFUNCTION("""COMPUTED_VALUE"""),"#N/A")</f>
        <v>#N/A</v>
      </c>
      <c r="AG379" t="str">
        <f ca="1">IFERROR(__xludf.DUMMYFUNCTION("""COMPUTED_VALUE"""),"#N/A")</f>
        <v>#N/A</v>
      </c>
      <c r="AI379" t="str">
        <f ca="1">IFERROR(__xludf.DUMMYFUNCTION("""COMPUTED_VALUE"""),"#VALUE!")</f>
        <v>#VALUE!</v>
      </c>
      <c r="AK379" t="str">
        <f ca="1">IFERROR(__xludf.DUMMYFUNCTION("""COMPUTED_VALUE"""),"#VALUE!")</f>
        <v>#VALUE!</v>
      </c>
      <c r="AM379" t="str">
        <f ca="1">IFERROR(__xludf.DUMMYFUNCTION("""COMPUTED_VALUE"""),"#VALUE!")</f>
        <v>#VALUE!</v>
      </c>
      <c r="AO379" t="str">
        <f ca="1">IFERROR(__xludf.DUMMYFUNCTION("""COMPUTED_VALUE"""),"#VALUE!")</f>
        <v>#VALUE!</v>
      </c>
      <c r="AQ379" t="str">
        <f ca="1">IFERROR(__xludf.DUMMYFUNCTION("""COMPUTED_VALUE"""),"#VALUE!")</f>
        <v>#VALUE!</v>
      </c>
      <c r="AS379" t="str">
        <f ca="1">IFERROR(__xludf.DUMMYFUNCTION("""COMPUTED_VALUE"""),"#VALUE!")</f>
        <v>#VALUE!</v>
      </c>
      <c r="AU379" t="str">
        <f ca="1">IFERROR(__xludf.DUMMYFUNCTION("""COMPUTED_VALUE"""),"#VALUE!")</f>
        <v>#VALUE!</v>
      </c>
      <c r="AW379" t="str">
        <f ca="1">IFERROR(__xludf.DUMMYFUNCTION("""COMPUTED_VALUE"""),"#VALUE!")</f>
        <v>#VALUE!</v>
      </c>
      <c r="AY379" t="str">
        <f ca="1">IFERROR(__xludf.DUMMYFUNCTION("""COMPUTED_VALUE"""),"#VALUE!")</f>
        <v>#VALUE!</v>
      </c>
      <c r="BA379" t="str">
        <f ca="1">IFERROR(__xludf.DUMMYFUNCTION("""COMPUTED_VALUE"""),"#VALUE!")</f>
        <v>#VALUE!</v>
      </c>
      <c r="BC379" t="str">
        <f ca="1">IFERROR(__xludf.DUMMYFUNCTION("""COMPUTED_VALUE"""),"#VALUE!")</f>
        <v>#VALUE!</v>
      </c>
      <c r="BE379" t="str">
        <f ca="1">IFERROR(__xludf.DUMMYFUNCTION("""COMPUTED_VALUE"""),"#VALUE!")</f>
        <v>#VALUE!</v>
      </c>
      <c r="BG379" t="str">
        <f ca="1">IFERROR(__xludf.DUMMYFUNCTION("""COMPUTED_VALUE"""),"#VALUE!")</f>
        <v>#VALUE!</v>
      </c>
      <c r="BI379" t="str">
        <f ca="1">IFERROR(__xludf.DUMMYFUNCTION("""COMPUTED_VALUE"""),"#VALUE!")</f>
        <v>#VALUE!</v>
      </c>
      <c r="BK379" t="str">
        <f ca="1">IFERROR(__xludf.DUMMYFUNCTION("""COMPUTED_VALUE"""),"#VALUE!")</f>
        <v>#VALUE!</v>
      </c>
      <c r="BM379" t="str">
        <f ca="1">IFERROR(__xludf.DUMMYFUNCTION("""COMPUTED_VALUE"""),"#VALUE!")</f>
        <v>#VALUE!</v>
      </c>
      <c r="BO379" t="str">
        <f ca="1">IFERROR(__xludf.DUMMYFUNCTION("""COMPUTED_VALUE"""),"#VALUE!")</f>
        <v>#VALUE!</v>
      </c>
      <c r="BQ379" t="str">
        <f ca="1">IFERROR(__xludf.DUMMYFUNCTION("""COMPUTED_VALUE"""),"#VALUE!")</f>
        <v>#VALUE!</v>
      </c>
      <c r="BS379" t="str">
        <f ca="1">IFERROR(__xludf.DUMMYFUNCTION("""COMPUTED_VALUE"""),"#VALUE!")</f>
        <v>#VALUE!</v>
      </c>
      <c r="BU379" t="str">
        <f ca="1">IFERROR(__xludf.DUMMYFUNCTION("""COMPUTED_VALUE"""),"#VALUE!")</f>
        <v>#VALUE!</v>
      </c>
      <c r="BW379" t="str">
        <f ca="1">IFERROR(__xludf.DUMMYFUNCTION("""COMPUTED_VALUE"""),"#VALUE!")</f>
        <v>#VALUE!</v>
      </c>
      <c r="BY379" t="str">
        <f ca="1">IFERROR(__xludf.DUMMYFUNCTION("""COMPUTED_VALUE"""),"#VALUE!")</f>
        <v>#VALUE!</v>
      </c>
      <c r="CA379" t="str">
        <f ca="1">IFERROR(__xludf.DUMMYFUNCTION("""COMPUTED_VALUE"""),"#VALUE!")</f>
        <v>#VALUE!</v>
      </c>
      <c r="CC379" t="str">
        <f ca="1">IFERROR(__xludf.DUMMYFUNCTION("""COMPUTED_VALUE"""),"#VALUE!")</f>
        <v>#VALUE!</v>
      </c>
      <c r="CE379" t="str">
        <f ca="1">IFERROR(__xludf.DUMMYFUNCTION("""COMPUTED_VALUE"""),"#VALUE!")</f>
        <v>#VALUE!</v>
      </c>
      <c r="CG379" t="str">
        <f ca="1">IFERROR(__xludf.DUMMYFUNCTION("""COMPUTED_VALUE"""),"#VALUE!")</f>
        <v>#VALUE!</v>
      </c>
      <c r="CI379" t="str">
        <f ca="1">IFERROR(__xludf.DUMMYFUNCTION("""COMPUTED_VALUE"""),"#VALUE!")</f>
        <v>#VALUE!</v>
      </c>
      <c r="CK379" t="str">
        <f ca="1">IFERROR(__xludf.DUMMYFUNCTION("""COMPUTED_VALUE"""),"#VALUE!")</f>
        <v>#VALUE!</v>
      </c>
      <c r="CS379" t="str">
        <f ca="1">IFERROR(__xludf.DUMMYFUNCTION("""COMPUTED_VALUE"""),"#VALUE!")</f>
        <v>#VALUE!</v>
      </c>
      <c r="CU379" t="str">
        <f ca="1">IFERROR(__xludf.DUMMYFUNCTION("""COMPUTED_VALUE"""),"#VALUE!")</f>
        <v>#VALUE!</v>
      </c>
      <c r="CW379" t="str">
        <f ca="1">IFERROR(__xludf.DUMMYFUNCTION("""COMPUTED_VALUE"""),"#VALUE!")</f>
        <v>#VALUE!</v>
      </c>
      <c r="CY379" t="str">
        <f ca="1">IFERROR(__xludf.DUMMYFUNCTION("""COMPUTED_VALUE"""),"#VALUE!")</f>
        <v>#VALUE!</v>
      </c>
      <c r="DC379" t="str">
        <f ca="1">IFERROR(__xludf.DUMMYFUNCTION("""COMPUTED_VALUE"""),"#VALUE!")</f>
        <v>#VALUE!</v>
      </c>
      <c r="DE379" t="str">
        <f ca="1">IFERROR(__xludf.DUMMYFUNCTION("""COMPUTED_VALUE"""),"#VALUE!")</f>
        <v>#VALUE!</v>
      </c>
      <c r="DF379" t="str">
        <f ca="1">IFERROR(__xludf.DUMMYFUNCTION("""COMPUTED_VALUE"""),"y")</f>
        <v>y</v>
      </c>
      <c r="DG379" t="str">
        <f ca="1">IFERROR(__xludf.DUMMYFUNCTION("""COMPUTED_VALUE"""),"224")</f>
        <v>224</v>
      </c>
      <c r="DI379" t="str">
        <f ca="1">IFERROR(__xludf.DUMMYFUNCTION("""COMPUTED_VALUE"""),"#VALUE!")</f>
        <v>#VALUE!</v>
      </c>
      <c r="DJ379" t="str">
        <f ca="1">IFERROR(__xludf.DUMMYFUNCTION("""COMPUTED_VALUE"""),"#VALUE!")</f>
        <v>#VALUE!</v>
      </c>
      <c r="DL379" t="str">
        <f ca="1">IFERROR(__xludf.DUMMYFUNCTION("""COMPUTED_VALUE"""),"Davor Salihović")</f>
        <v>Davor Salihović</v>
      </c>
    </row>
    <row r="380" spans="1:116" ht="13.2" x14ac:dyDescent="0.25">
      <c r="A380" t="str">
        <f ca="1">IFERROR(__xludf.DUMMYFUNCTION("""COMPUTED_VALUE"""),"P0387")</f>
        <v>P0387</v>
      </c>
      <c r="B380" t="str">
        <f ca="1">IFERROR(__xludf.DUMMYFUNCTION("""COMPUTED_VALUE"""),"Villelmina, soror Iohannis de Facio Ferrandi")</f>
        <v>Villelmina, soror Iohannis de Facio Ferrandi</v>
      </c>
      <c r="D380" t="str">
        <f ca="1">IFERROR(__xludf.DUMMYFUNCTION("""COMPUTED_VALUE"""),"#VALUE!")</f>
        <v>#VALUE!</v>
      </c>
      <c r="E380" t="str">
        <f ca="1">IFERROR(__xludf.DUMMYFUNCTION("""COMPUTED_VALUE"""),"Villelmina")</f>
        <v>Villelmina</v>
      </c>
      <c r="Q380" t="str">
        <f ca="1">IFERROR(__xludf.DUMMYFUNCTION("""COMPUTED_VALUE"""),"soror Iohannis de Facio Ferrandi")</f>
        <v>soror Iohannis de Facio Ferrandi</v>
      </c>
      <c r="S380" t="str">
        <f ca="1">IFERROR(__xludf.DUMMYFUNCTION("""COMPUTED_VALUE"""),"Latin")</f>
        <v>Latin</v>
      </c>
      <c r="T380" t="str">
        <f ca="1">IFERROR(__xludf.DUMMYFUNCTION("""COMPUTED_VALUE"""),"definite")</f>
        <v>definite</v>
      </c>
      <c r="U380" t="str">
        <f ca="1">IFERROR(__xludf.DUMMYFUNCTION("""COMPUTED_VALUE"""),"C2552")</f>
        <v>C2552</v>
      </c>
      <c r="V380" t="str">
        <f ca="1">IFERROR(__xludf.DUMMYFUNCTION("""COMPUTED_VALUE"""),"female")</f>
        <v>female</v>
      </c>
      <c r="Z380" t="str">
        <f ca="1">IFERROR(__xludf.DUMMYFUNCTION("""COMPUTED_VALUE"""),"224")</f>
        <v>224</v>
      </c>
      <c r="AA380" t="str">
        <f ca="1">IFERROR(__xludf.DUMMYFUNCTION("""COMPUTED_VALUE"""),"d")</f>
        <v>d</v>
      </c>
      <c r="AB380" t="str">
        <f ca="1">IFERROR(__xludf.DUMMYFUNCTION("""COMPUTED_VALUE"""),"suspect")</f>
        <v>suspect</v>
      </c>
      <c r="AD380" t="str">
        <f ca="1">IFERROR(__xludf.DUMMYFUNCTION("""COMPUTED_VALUE"""),"C3287")</f>
        <v>C3287</v>
      </c>
      <c r="AE380" t="str">
        <f ca="1">IFERROR(__xludf.DUMMYFUNCTION("""COMPUTED_VALUE"""),"alive")</f>
        <v>alive</v>
      </c>
      <c r="AF380" t="str">
        <f ca="1">IFERROR(__xludf.DUMMYFUNCTION("""COMPUTED_VALUE"""),"C1753")</f>
        <v>C1753</v>
      </c>
      <c r="AG380" t="str">
        <f ca="1">IFERROR(__xludf.DUMMYFUNCTION("""COMPUTED_VALUE"""),"1335-01-20")</f>
        <v>1335-01-20</v>
      </c>
      <c r="AI380" t="str">
        <f ca="1">IFERROR(__xludf.DUMMYFUNCTION("""COMPUTED_VALUE"""),"#VALUE!")</f>
        <v>#VALUE!</v>
      </c>
      <c r="AK380" t="str">
        <f ca="1">IFERROR(__xludf.DUMMYFUNCTION("""COMPUTED_VALUE"""),"#VALUE!")</f>
        <v>#VALUE!</v>
      </c>
      <c r="AM380" t="str">
        <f ca="1">IFERROR(__xludf.DUMMYFUNCTION("""COMPUTED_VALUE"""),"#VALUE!")</f>
        <v>#VALUE!</v>
      </c>
      <c r="AO380" t="str">
        <f ca="1">IFERROR(__xludf.DUMMYFUNCTION("""COMPUTED_VALUE"""),"#VALUE!")</f>
        <v>#VALUE!</v>
      </c>
      <c r="AQ380" t="str">
        <f ca="1">IFERROR(__xludf.DUMMYFUNCTION("""COMPUTED_VALUE"""),"#VALUE!")</f>
        <v>#VALUE!</v>
      </c>
      <c r="AS380" t="str">
        <f ca="1">IFERROR(__xludf.DUMMYFUNCTION("""COMPUTED_VALUE"""),"#VALUE!")</f>
        <v>#VALUE!</v>
      </c>
      <c r="AU380" t="str">
        <f ca="1">IFERROR(__xludf.DUMMYFUNCTION("""COMPUTED_VALUE"""),"#VALUE!")</f>
        <v>#VALUE!</v>
      </c>
      <c r="AW380" t="str">
        <f ca="1">IFERROR(__xludf.DUMMYFUNCTION("""COMPUTED_VALUE"""),"#VALUE!")</f>
        <v>#VALUE!</v>
      </c>
      <c r="AY380" t="str">
        <f ca="1">IFERROR(__xludf.DUMMYFUNCTION("""COMPUTED_VALUE"""),"#VALUE!")</f>
        <v>#VALUE!</v>
      </c>
      <c r="BA380" t="str">
        <f ca="1">IFERROR(__xludf.DUMMYFUNCTION("""COMPUTED_VALUE"""),"#VALUE!")</f>
        <v>#VALUE!</v>
      </c>
      <c r="BC380" t="str">
        <f ca="1">IFERROR(__xludf.DUMMYFUNCTION("""COMPUTED_VALUE"""),"#VALUE!")</f>
        <v>#VALUE!</v>
      </c>
      <c r="BE380" t="str">
        <f ca="1">IFERROR(__xludf.DUMMYFUNCTION("""COMPUTED_VALUE"""),"#VALUE!")</f>
        <v>#VALUE!</v>
      </c>
      <c r="BG380" t="str">
        <f ca="1">IFERROR(__xludf.DUMMYFUNCTION("""COMPUTED_VALUE"""),"#VALUE!")</f>
        <v>#VALUE!</v>
      </c>
      <c r="BI380" t="str">
        <f ca="1">IFERROR(__xludf.DUMMYFUNCTION("""COMPUTED_VALUE"""),"#VALUE!")</f>
        <v>#VALUE!</v>
      </c>
      <c r="BK380" t="str">
        <f ca="1">IFERROR(__xludf.DUMMYFUNCTION("""COMPUTED_VALUE"""),"#VALUE!")</f>
        <v>#VALUE!</v>
      </c>
      <c r="BM380" t="str">
        <f ca="1">IFERROR(__xludf.DUMMYFUNCTION("""COMPUTED_VALUE"""),"#VALUE!")</f>
        <v>#VALUE!</v>
      </c>
      <c r="BO380" t="str">
        <f ca="1">IFERROR(__xludf.DUMMYFUNCTION("""COMPUTED_VALUE"""),"#VALUE!")</f>
        <v>#VALUE!</v>
      </c>
      <c r="BQ380" t="str">
        <f ca="1">IFERROR(__xludf.DUMMYFUNCTION("""COMPUTED_VALUE"""),"#VALUE!")</f>
        <v>#VALUE!</v>
      </c>
      <c r="BS380" t="str">
        <f ca="1">IFERROR(__xludf.DUMMYFUNCTION("""COMPUTED_VALUE"""),"#VALUE!")</f>
        <v>#VALUE!</v>
      </c>
      <c r="BU380" t="str">
        <f ca="1">IFERROR(__xludf.DUMMYFUNCTION("""COMPUTED_VALUE"""),"#VALUE!")</f>
        <v>#VALUE!</v>
      </c>
      <c r="BW380" t="str">
        <f ca="1">IFERROR(__xludf.DUMMYFUNCTION("""COMPUTED_VALUE"""),"#VALUE!")</f>
        <v>#VALUE!</v>
      </c>
      <c r="BY380" t="str">
        <f ca="1">IFERROR(__xludf.DUMMYFUNCTION("""COMPUTED_VALUE"""),"#VALUE!")</f>
        <v>#VALUE!</v>
      </c>
      <c r="CA380" t="str">
        <f ca="1">IFERROR(__xludf.DUMMYFUNCTION("""COMPUTED_VALUE"""),"#VALUE!")</f>
        <v>#VALUE!</v>
      </c>
      <c r="CC380" t="str">
        <f ca="1">IFERROR(__xludf.DUMMYFUNCTION("""COMPUTED_VALUE"""),"#VALUE!")</f>
        <v>#VALUE!</v>
      </c>
      <c r="CD380" t="str">
        <f ca="1">IFERROR(__xludf.DUMMYFUNCTION("""COMPUTED_VALUE"""),"C3598")</f>
        <v>C3598</v>
      </c>
      <c r="CE380" t="str">
        <f ca="1">IFERROR(__xludf.DUMMYFUNCTION("""COMPUTED_VALUE"""),"location of congregation")</f>
        <v>location of congregation</v>
      </c>
      <c r="CF380" t="str">
        <f ca="1">IFERROR(__xludf.DUMMYFUNCTION("""COMPUTED_VALUE"""),"L0068")</f>
        <v>L0068</v>
      </c>
      <c r="CG380" t="str">
        <f ca="1">IFERROR(__xludf.DUMMYFUNCTION("""COMPUTED_VALUE"""),"domus Vieti de Mondino")</f>
        <v>domus Vieti de Mondino</v>
      </c>
      <c r="CI380" t="str">
        <f ca="1">IFERROR(__xludf.DUMMYFUNCTION("""COMPUTED_VALUE"""),"#VALUE!")</f>
        <v>#VALUE!</v>
      </c>
      <c r="CK380" t="str">
        <f ca="1">IFERROR(__xludf.DUMMYFUNCTION("""COMPUTED_VALUE"""),"#VALUE!")</f>
        <v>#VALUE!</v>
      </c>
      <c r="CS380" t="str">
        <f ca="1">IFERROR(__xludf.DUMMYFUNCTION("""COMPUTED_VALUE"""),"#VALUE!")</f>
        <v>#VALUE!</v>
      </c>
      <c r="CU380" t="str">
        <f ca="1">IFERROR(__xludf.DUMMYFUNCTION("""COMPUTED_VALUE"""),"#VALUE!")</f>
        <v>#VALUE!</v>
      </c>
      <c r="CW380" t="str">
        <f ca="1">IFERROR(__xludf.DUMMYFUNCTION("""COMPUTED_VALUE"""),"#VALUE!")</f>
        <v>#VALUE!</v>
      </c>
      <c r="CY380" t="str">
        <f ca="1">IFERROR(__xludf.DUMMYFUNCTION("""COMPUTED_VALUE"""),"#VALUE!")</f>
        <v>#VALUE!</v>
      </c>
      <c r="DC380" t="str">
        <f ca="1">IFERROR(__xludf.DUMMYFUNCTION("""COMPUTED_VALUE"""),"#VALUE!")</f>
        <v>#VALUE!</v>
      </c>
      <c r="DE380" t="str">
        <f ca="1">IFERROR(__xludf.DUMMYFUNCTION("""COMPUTED_VALUE"""),"#VALUE!")</f>
        <v>#VALUE!</v>
      </c>
      <c r="DF380" t="str">
        <f ca="1">IFERROR(__xludf.DUMMYFUNCTION("""COMPUTED_VALUE"""),"y")</f>
        <v>y</v>
      </c>
      <c r="DG380" t="str">
        <f ca="1">IFERROR(__xludf.DUMMYFUNCTION("""COMPUTED_VALUE"""),"224")</f>
        <v>224</v>
      </c>
      <c r="DH380" t="str">
        <f ca="1">IFERROR(__xludf.DUMMYFUNCTION("""COMPUTED_VALUE"""),"L0068")</f>
        <v>L0068</v>
      </c>
      <c r="DI380" t="str">
        <f ca="1">IFERROR(__xludf.DUMMYFUNCTION("""COMPUTED_VALUE"""),"domus Vieti de Mondino")</f>
        <v>domus Vieti de Mondino</v>
      </c>
      <c r="DJ380" t="str">
        <f ca="1">IFERROR(__xludf.DUMMYFUNCTION("""COMPUTED_VALUE"""),"domus")</f>
        <v>domus</v>
      </c>
      <c r="DL380" t="str">
        <f ca="1">IFERROR(__xludf.DUMMYFUNCTION("""COMPUTED_VALUE"""),"Davor Salihović")</f>
        <v>Davor Salihović</v>
      </c>
    </row>
    <row r="381" spans="1:116" ht="13.2" x14ac:dyDescent="0.25">
      <c r="A381" t="str">
        <f ca="1">IFERROR(__xludf.DUMMYFUNCTION("""COMPUTED_VALUE"""),"P0388")</f>
        <v>P0388</v>
      </c>
      <c r="B381" t="str">
        <f ca="1">IFERROR(__xludf.DUMMYFUNCTION("""COMPUTED_VALUE"""),"Mathondina, soror Petri Rupphini")</f>
        <v>Mathondina, soror Petri Rupphini</v>
      </c>
      <c r="D381" t="str">
        <f ca="1">IFERROR(__xludf.DUMMYFUNCTION("""COMPUTED_VALUE"""),"#VALUE!")</f>
        <v>#VALUE!</v>
      </c>
      <c r="E381" t="str">
        <f ca="1">IFERROR(__xludf.DUMMYFUNCTION("""COMPUTED_VALUE"""),"Mathondina")</f>
        <v>Mathondina</v>
      </c>
      <c r="Q381" t="str">
        <f ca="1">IFERROR(__xludf.DUMMYFUNCTION("""COMPUTED_VALUE"""),"soror Petri Rupphini")</f>
        <v>soror Petri Rupphini</v>
      </c>
      <c r="S381" t="str">
        <f ca="1">IFERROR(__xludf.DUMMYFUNCTION("""COMPUTED_VALUE"""),"Latin")</f>
        <v>Latin</v>
      </c>
      <c r="T381" t="str">
        <f ca="1">IFERROR(__xludf.DUMMYFUNCTION("""COMPUTED_VALUE"""),"definite")</f>
        <v>definite</v>
      </c>
      <c r="U381" t="str">
        <f ca="1">IFERROR(__xludf.DUMMYFUNCTION("""COMPUTED_VALUE"""),"C2552")</f>
        <v>C2552</v>
      </c>
      <c r="V381" t="str">
        <f ca="1">IFERROR(__xludf.DUMMYFUNCTION("""COMPUTED_VALUE"""),"female")</f>
        <v>female</v>
      </c>
      <c r="Z381" t="str">
        <f ca="1">IFERROR(__xludf.DUMMYFUNCTION("""COMPUTED_VALUE"""),"224, 225, 226, 227, 228, 229, 230, 231, 235, 236, 237, 238")</f>
        <v>224, 225, 226, 227, 228, 229, 230, 231, 235, 236, 237, 238</v>
      </c>
      <c r="AA381" t="str">
        <f ca="1">IFERROR(__xludf.DUMMYFUNCTION("""COMPUTED_VALUE"""),"d")</f>
        <v>d</v>
      </c>
      <c r="AB381" t="str">
        <f ca="1">IFERROR(__xludf.DUMMYFUNCTION("""COMPUTED_VALUE"""),"suspect")</f>
        <v>suspect</v>
      </c>
      <c r="AD381" t="str">
        <f ca="1">IFERROR(__xludf.DUMMYFUNCTION("""COMPUTED_VALUE"""),"C3287")</f>
        <v>C3287</v>
      </c>
      <c r="AE381" t="str">
        <f ca="1">IFERROR(__xludf.DUMMYFUNCTION("""COMPUTED_VALUE"""),"alive")</f>
        <v>alive</v>
      </c>
      <c r="AF381" t="str">
        <f ca="1">IFERROR(__xludf.DUMMYFUNCTION("""COMPUTED_VALUE"""),"C1753")</f>
        <v>C1753</v>
      </c>
      <c r="AG381" t="str">
        <f ca="1">IFERROR(__xludf.DUMMYFUNCTION("""COMPUTED_VALUE"""),"1335-01-20")</f>
        <v>1335-01-20</v>
      </c>
      <c r="AI381" t="str">
        <f ca="1">IFERROR(__xludf.DUMMYFUNCTION("""COMPUTED_VALUE"""),"#VALUE!")</f>
        <v>#VALUE!</v>
      </c>
      <c r="AK381" t="str">
        <f ca="1">IFERROR(__xludf.DUMMYFUNCTION("""COMPUTED_VALUE"""),"#VALUE!")</f>
        <v>#VALUE!</v>
      </c>
      <c r="AM381" t="str">
        <f ca="1">IFERROR(__xludf.DUMMYFUNCTION("""COMPUTED_VALUE"""),"#VALUE!")</f>
        <v>#VALUE!</v>
      </c>
      <c r="AO381" t="str">
        <f ca="1">IFERROR(__xludf.DUMMYFUNCTION("""COMPUTED_VALUE"""),"#VALUE!")</f>
        <v>#VALUE!</v>
      </c>
      <c r="AQ381" t="str">
        <f ca="1">IFERROR(__xludf.DUMMYFUNCTION("""COMPUTED_VALUE"""),"#VALUE!")</f>
        <v>#VALUE!</v>
      </c>
      <c r="AS381" t="str">
        <f ca="1">IFERROR(__xludf.DUMMYFUNCTION("""COMPUTED_VALUE"""),"#VALUE!")</f>
        <v>#VALUE!</v>
      </c>
      <c r="AU381" t="str">
        <f ca="1">IFERROR(__xludf.DUMMYFUNCTION("""COMPUTED_VALUE"""),"#VALUE!")</f>
        <v>#VALUE!</v>
      </c>
      <c r="AW381" t="str">
        <f ca="1">IFERROR(__xludf.DUMMYFUNCTION("""COMPUTED_VALUE"""),"#VALUE!")</f>
        <v>#VALUE!</v>
      </c>
      <c r="AY381" t="str">
        <f ca="1">IFERROR(__xludf.DUMMYFUNCTION("""COMPUTED_VALUE"""),"#VALUE!")</f>
        <v>#VALUE!</v>
      </c>
      <c r="BA381" t="str">
        <f ca="1">IFERROR(__xludf.DUMMYFUNCTION("""COMPUTED_VALUE"""),"#VALUE!")</f>
        <v>#VALUE!</v>
      </c>
      <c r="BC381" t="str">
        <f ca="1">IFERROR(__xludf.DUMMYFUNCTION("""COMPUTED_VALUE"""),"#VALUE!")</f>
        <v>#VALUE!</v>
      </c>
      <c r="BE381" t="str">
        <f ca="1">IFERROR(__xludf.DUMMYFUNCTION("""COMPUTED_VALUE"""),"#VALUE!")</f>
        <v>#VALUE!</v>
      </c>
      <c r="BG381" t="str">
        <f ca="1">IFERROR(__xludf.DUMMYFUNCTION("""COMPUTED_VALUE"""),"#VALUE!")</f>
        <v>#VALUE!</v>
      </c>
      <c r="BI381" t="str">
        <f ca="1">IFERROR(__xludf.DUMMYFUNCTION("""COMPUTED_VALUE"""),"#VALUE!")</f>
        <v>#VALUE!</v>
      </c>
      <c r="BK381" t="str">
        <f ca="1">IFERROR(__xludf.DUMMYFUNCTION("""COMPUTED_VALUE"""),"#VALUE!")</f>
        <v>#VALUE!</v>
      </c>
      <c r="BM381" t="str">
        <f ca="1">IFERROR(__xludf.DUMMYFUNCTION("""COMPUTED_VALUE"""),"#VALUE!")</f>
        <v>#VALUE!</v>
      </c>
      <c r="BO381" t="str">
        <f ca="1">IFERROR(__xludf.DUMMYFUNCTION("""COMPUTED_VALUE"""),"#VALUE!")</f>
        <v>#VALUE!</v>
      </c>
      <c r="BQ381" t="str">
        <f ca="1">IFERROR(__xludf.DUMMYFUNCTION("""COMPUTED_VALUE"""),"#VALUE!")</f>
        <v>#VALUE!</v>
      </c>
      <c r="BS381" t="str">
        <f ca="1">IFERROR(__xludf.DUMMYFUNCTION("""COMPUTED_VALUE"""),"#VALUE!")</f>
        <v>#VALUE!</v>
      </c>
      <c r="BU381" t="str">
        <f ca="1">IFERROR(__xludf.DUMMYFUNCTION("""COMPUTED_VALUE"""),"#VALUE!")</f>
        <v>#VALUE!</v>
      </c>
      <c r="BW381" t="str">
        <f ca="1">IFERROR(__xludf.DUMMYFUNCTION("""COMPUTED_VALUE"""),"#VALUE!")</f>
        <v>#VALUE!</v>
      </c>
      <c r="BY381" t="str">
        <f ca="1">IFERROR(__xludf.DUMMYFUNCTION("""COMPUTED_VALUE"""),"#VALUE!")</f>
        <v>#VALUE!</v>
      </c>
      <c r="CA381" t="str">
        <f ca="1">IFERROR(__xludf.DUMMYFUNCTION("""COMPUTED_VALUE"""),"#VALUE!")</f>
        <v>#VALUE!</v>
      </c>
      <c r="CC381" t="str">
        <f ca="1">IFERROR(__xludf.DUMMYFUNCTION("""COMPUTED_VALUE"""),"#VALUE!")</f>
        <v>#VALUE!</v>
      </c>
      <c r="CE381" t="str">
        <f ca="1">IFERROR(__xludf.DUMMYFUNCTION("""COMPUTED_VALUE"""),"#VALUE!")</f>
        <v>#VALUE!</v>
      </c>
      <c r="CG381" t="str">
        <f ca="1">IFERROR(__xludf.DUMMYFUNCTION("""COMPUTED_VALUE"""),"#VALUE!")</f>
        <v>#VALUE!</v>
      </c>
      <c r="CI381" t="str">
        <f ca="1">IFERROR(__xludf.DUMMYFUNCTION("""COMPUTED_VALUE"""),"#VALUE!")</f>
        <v>#VALUE!</v>
      </c>
      <c r="CK381" t="str">
        <f ca="1">IFERROR(__xludf.DUMMYFUNCTION("""COMPUTED_VALUE"""),"#VALUE!")</f>
        <v>#VALUE!</v>
      </c>
      <c r="CS381" t="str">
        <f ca="1">IFERROR(__xludf.DUMMYFUNCTION("""COMPUTED_VALUE"""),"#VALUE!")</f>
        <v>#VALUE!</v>
      </c>
      <c r="CU381" t="str">
        <f ca="1">IFERROR(__xludf.DUMMYFUNCTION("""COMPUTED_VALUE"""),"#VALUE!")</f>
        <v>#VALUE!</v>
      </c>
      <c r="CV381" t="str">
        <f ca="1">IFERROR(__xludf.DUMMYFUNCTION("""COMPUTED_VALUE"""),"L0138")</f>
        <v>L0138</v>
      </c>
      <c r="CW381" t="str">
        <f ca="1">IFERROR(__xludf.DUMMYFUNCTION("""COMPUTED_VALUE"""),"Avigliana")</f>
        <v>Avigliana</v>
      </c>
      <c r="CY381" t="str">
        <f ca="1">IFERROR(__xludf.DUMMYFUNCTION("""COMPUTED_VALUE"""),"#VALUE!")</f>
        <v>#VALUE!</v>
      </c>
      <c r="DC381" t="str">
        <f ca="1">IFERROR(__xludf.DUMMYFUNCTION("""COMPUTED_VALUE"""),"#VALUE!")</f>
        <v>#VALUE!</v>
      </c>
      <c r="DE381" t="str">
        <f ca="1">IFERROR(__xludf.DUMMYFUNCTION("""COMPUTED_VALUE"""),"#VALUE!")</f>
        <v>#VALUE!</v>
      </c>
      <c r="DF381" t="str">
        <f ca="1">IFERROR(__xludf.DUMMYFUNCTION("""COMPUTED_VALUE"""),"y")</f>
        <v>y</v>
      </c>
      <c r="DG381" t="str">
        <f ca="1">IFERROR(__xludf.DUMMYFUNCTION("""COMPUTED_VALUE"""),"?")</f>
        <v>?</v>
      </c>
      <c r="DI381" t="str">
        <f ca="1">IFERROR(__xludf.DUMMYFUNCTION("""COMPUTED_VALUE"""),"#VALUE!")</f>
        <v>#VALUE!</v>
      </c>
      <c r="DJ381" t="str">
        <f ca="1">IFERROR(__xludf.DUMMYFUNCTION("""COMPUTED_VALUE"""),"#VALUE!")</f>
        <v>#VALUE!</v>
      </c>
      <c r="DK381" t="str">
        <f ca="1">IFERROR(__xludf.DUMMYFUNCTION("""COMPUTED_VALUE"""),"Folios containing Mathondina's deposition are missing (at least from Merlo's edition)")</f>
        <v>Folios containing Mathondina's deposition are missing (at least from Merlo's edition)</v>
      </c>
      <c r="DL381" t="str">
        <f ca="1">IFERROR(__xludf.DUMMYFUNCTION("""COMPUTED_VALUE"""),"Davor Salihović")</f>
        <v>Davor Salihović</v>
      </c>
    </row>
    <row r="382" spans="1:116" ht="13.2" x14ac:dyDescent="0.25">
      <c r="A382" t="str">
        <f ca="1">IFERROR(__xludf.DUMMYFUNCTION("""COMPUTED_VALUE"""),"P0389")</f>
        <v>P0389</v>
      </c>
      <c r="B382" t="str">
        <f ca="1">IFERROR(__xludf.DUMMYFUNCTION("""COMPUTED_VALUE"""),"Ehufemia")</f>
        <v>Ehufemia</v>
      </c>
      <c r="D382" t="str">
        <f ca="1">IFERROR(__xludf.DUMMYFUNCTION("""COMPUTED_VALUE"""),"#VALUE!")</f>
        <v>#VALUE!</v>
      </c>
      <c r="E382" t="str">
        <f ca="1">IFERROR(__xludf.DUMMYFUNCTION("""COMPUTED_VALUE"""),"Ehufemia")</f>
        <v>Ehufemia</v>
      </c>
      <c r="S382" t="str">
        <f ca="1">IFERROR(__xludf.DUMMYFUNCTION("""COMPUTED_VALUE"""),"Latin")</f>
        <v>Latin</v>
      </c>
      <c r="T382" t="str">
        <f ca="1">IFERROR(__xludf.DUMMYFUNCTION("""COMPUTED_VALUE"""),"definite")</f>
        <v>definite</v>
      </c>
      <c r="U382" t="str">
        <f ca="1">IFERROR(__xludf.DUMMYFUNCTION("""COMPUTED_VALUE"""),"C2552")</f>
        <v>C2552</v>
      </c>
      <c r="V382" t="str">
        <f ca="1">IFERROR(__xludf.DUMMYFUNCTION("""COMPUTED_VALUE"""),"female")</f>
        <v>female</v>
      </c>
      <c r="Z382" t="str">
        <f ca="1">IFERROR(__xludf.DUMMYFUNCTION("""COMPUTED_VALUE"""),"229")</f>
        <v>229</v>
      </c>
      <c r="AA382" t="str">
        <f ca="1">IFERROR(__xludf.DUMMYFUNCTION("""COMPUTED_VALUE"""),"d")</f>
        <v>d</v>
      </c>
      <c r="AB382" t="str">
        <f ca="1">IFERROR(__xludf.DUMMYFUNCTION("""COMPUTED_VALUE"""),"suspect")</f>
        <v>suspect</v>
      </c>
      <c r="AD382" t="str">
        <f ca="1">IFERROR(__xludf.DUMMYFUNCTION("""COMPUTED_VALUE"""),"C3287")</f>
        <v>C3287</v>
      </c>
      <c r="AE382" t="str">
        <f ca="1">IFERROR(__xludf.DUMMYFUNCTION("""COMPUTED_VALUE"""),"alive")</f>
        <v>alive</v>
      </c>
      <c r="AF382" t="str">
        <f ca="1">IFERROR(__xludf.DUMMYFUNCTION("""COMPUTED_VALUE"""),"C1753")</f>
        <v>C1753</v>
      </c>
      <c r="AG382" t="str">
        <f ca="1">IFERROR(__xludf.DUMMYFUNCTION("""COMPUTED_VALUE"""),"1335-01-20")</f>
        <v>1335-01-20</v>
      </c>
      <c r="AI382" t="str">
        <f ca="1">IFERROR(__xludf.DUMMYFUNCTION("""COMPUTED_VALUE"""),"#VALUE!")</f>
        <v>#VALUE!</v>
      </c>
      <c r="AK382" t="str">
        <f ca="1">IFERROR(__xludf.DUMMYFUNCTION("""COMPUTED_VALUE"""),"#VALUE!")</f>
        <v>#VALUE!</v>
      </c>
      <c r="AM382" t="str">
        <f ca="1">IFERROR(__xludf.DUMMYFUNCTION("""COMPUTED_VALUE"""),"#VALUE!")</f>
        <v>#VALUE!</v>
      </c>
      <c r="AO382" t="str">
        <f ca="1">IFERROR(__xludf.DUMMYFUNCTION("""COMPUTED_VALUE"""),"#VALUE!")</f>
        <v>#VALUE!</v>
      </c>
      <c r="AQ382" t="str">
        <f ca="1">IFERROR(__xludf.DUMMYFUNCTION("""COMPUTED_VALUE"""),"#VALUE!")</f>
        <v>#VALUE!</v>
      </c>
      <c r="AS382" t="str">
        <f ca="1">IFERROR(__xludf.DUMMYFUNCTION("""COMPUTED_VALUE"""),"#VALUE!")</f>
        <v>#VALUE!</v>
      </c>
      <c r="AU382" t="str">
        <f ca="1">IFERROR(__xludf.DUMMYFUNCTION("""COMPUTED_VALUE"""),"#VALUE!")</f>
        <v>#VALUE!</v>
      </c>
      <c r="AW382" t="str">
        <f ca="1">IFERROR(__xludf.DUMMYFUNCTION("""COMPUTED_VALUE"""),"#VALUE!")</f>
        <v>#VALUE!</v>
      </c>
      <c r="AY382" t="str">
        <f ca="1">IFERROR(__xludf.DUMMYFUNCTION("""COMPUTED_VALUE"""),"#VALUE!")</f>
        <v>#VALUE!</v>
      </c>
      <c r="BA382" t="str">
        <f ca="1">IFERROR(__xludf.DUMMYFUNCTION("""COMPUTED_VALUE"""),"#VALUE!")</f>
        <v>#VALUE!</v>
      </c>
      <c r="BC382" t="str">
        <f ca="1">IFERROR(__xludf.DUMMYFUNCTION("""COMPUTED_VALUE"""),"#VALUE!")</f>
        <v>#VALUE!</v>
      </c>
      <c r="BE382" t="str">
        <f ca="1">IFERROR(__xludf.DUMMYFUNCTION("""COMPUTED_VALUE"""),"#VALUE!")</f>
        <v>#VALUE!</v>
      </c>
      <c r="BG382" t="str">
        <f ca="1">IFERROR(__xludf.DUMMYFUNCTION("""COMPUTED_VALUE"""),"#VALUE!")</f>
        <v>#VALUE!</v>
      </c>
      <c r="BI382" t="str">
        <f ca="1">IFERROR(__xludf.DUMMYFUNCTION("""COMPUTED_VALUE"""),"#VALUE!")</f>
        <v>#VALUE!</v>
      </c>
      <c r="BK382" t="str">
        <f ca="1">IFERROR(__xludf.DUMMYFUNCTION("""COMPUTED_VALUE"""),"#VALUE!")</f>
        <v>#VALUE!</v>
      </c>
      <c r="BM382" t="str">
        <f ca="1">IFERROR(__xludf.DUMMYFUNCTION("""COMPUTED_VALUE"""),"#VALUE!")</f>
        <v>#VALUE!</v>
      </c>
      <c r="BO382" t="str">
        <f ca="1">IFERROR(__xludf.DUMMYFUNCTION("""COMPUTED_VALUE"""),"#VALUE!")</f>
        <v>#VALUE!</v>
      </c>
      <c r="BQ382" t="str">
        <f ca="1">IFERROR(__xludf.DUMMYFUNCTION("""COMPUTED_VALUE"""),"#VALUE!")</f>
        <v>#VALUE!</v>
      </c>
      <c r="BS382" t="str">
        <f ca="1">IFERROR(__xludf.DUMMYFUNCTION("""COMPUTED_VALUE"""),"#VALUE!")</f>
        <v>#VALUE!</v>
      </c>
      <c r="BU382" t="str">
        <f ca="1">IFERROR(__xludf.DUMMYFUNCTION("""COMPUTED_VALUE"""),"#VALUE!")</f>
        <v>#VALUE!</v>
      </c>
      <c r="BW382" t="str">
        <f ca="1">IFERROR(__xludf.DUMMYFUNCTION("""COMPUTED_VALUE"""),"#VALUE!")</f>
        <v>#VALUE!</v>
      </c>
      <c r="BY382" t="str">
        <f ca="1">IFERROR(__xludf.DUMMYFUNCTION("""COMPUTED_VALUE"""),"#VALUE!")</f>
        <v>#VALUE!</v>
      </c>
      <c r="CA382" t="str">
        <f ca="1">IFERROR(__xludf.DUMMYFUNCTION("""COMPUTED_VALUE"""),"#VALUE!")</f>
        <v>#VALUE!</v>
      </c>
      <c r="CC382" t="str">
        <f ca="1">IFERROR(__xludf.DUMMYFUNCTION("""COMPUTED_VALUE"""),"#VALUE!")</f>
        <v>#VALUE!</v>
      </c>
      <c r="CE382" t="str">
        <f ca="1">IFERROR(__xludf.DUMMYFUNCTION("""COMPUTED_VALUE"""),"#VALUE!")</f>
        <v>#VALUE!</v>
      </c>
      <c r="CG382" t="str">
        <f ca="1">IFERROR(__xludf.DUMMYFUNCTION("""COMPUTED_VALUE"""),"#VALUE!")</f>
        <v>#VALUE!</v>
      </c>
      <c r="CI382" t="str">
        <f ca="1">IFERROR(__xludf.DUMMYFUNCTION("""COMPUTED_VALUE"""),"#VALUE!")</f>
        <v>#VALUE!</v>
      </c>
      <c r="CK382" t="str">
        <f ca="1">IFERROR(__xludf.DUMMYFUNCTION("""COMPUTED_VALUE"""),"#VALUE!")</f>
        <v>#VALUE!</v>
      </c>
      <c r="CS382" t="str">
        <f ca="1">IFERROR(__xludf.DUMMYFUNCTION("""COMPUTED_VALUE"""),"#VALUE!")</f>
        <v>#VALUE!</v>
      </c>
      <c r="CU382" t="str">
        <f ca="1">IFERROR(__xludf.DUMMYFUNCTION("""COMPUTED_VALUE"""),"#VALUE!")</f>
        <v>#VALUE!</v>
      </c>
      <c r="CW382" t="str">
        <f ca="1">IFERROR(__xludf.DUMMYFUNCTION("""COMPUTED_VALUE"""),"#VALUE!")</f>
        <v>#VALUE!</v>
      </c>
      <c r="CY382" t="str">
        <f ca="1">IFERROR(__xludf.DUMMYFUNCTION("""COMPUTED_VALUE"""),"#VALUE!")</f>
        <v>#VALUE!</v>
      </c>
      <c r="DC382" t="str">
        <f ca="1">IFERROR(__xludf.DUMMYFUNCTION("""COMPUTED_VALUE"""),"#VALUE!")</f>
        <v>#VALUE!</v>
      </c>
      <c r="DE382" t="str">
        <f ca="1">IFERROR(__xludf.DUMMYFUNCTION("""COMPUTED_VALUE"""),"#VALUE!")</f>
        <v>#VALUE!</v>
      </c>
      <c r="DF382" t="str">
        <f ca="1">IFERROR(__xludf.DUMMYFUNCTION("""COMPUTED_VALUE"""),"y")</f>
        <v>y</v>
      </c>
      <c r="DG382" t="str">
        <f ca="1">IFERROR(__xludf.DUMMYFUNCTION("""COMPUTED_VALUE"""),"229")</f>
        <v>229</v>
      </c>
      <c r="DI382" t="str">
        <f ca="1">IFERROR(__xludf.DUMMYFUNCTION("""COMPUTED_VALUE"""),"#VALUE!")</f>
        <v>#VALUE!</v>
      </c>
      <c r="DJ382" t="str">
        <f ca="1">IFERROR(__xludf.DUMMYFUNCTION("""COMPUTED_VALUE"""),"#VALUE!")</f>
        <v>#VALUE!</v>
      </c>
      <c r="DL382" t="str">
        <f ca="1">IFERROR(__xludf.DUMMYFUNCTION("""COMPUTED_VALUE"""),"Davor Salihović")</f>
        <v>Davor Salihović</v>
      </c>
    </row>
    <row r="383" spans="1:116" ht="13.2" x14ac:dyDescent="0.25">
      <c r="A383" t="str">
        <f ca="1">IFERROR(__xludf.DUMMYFUNCTION("""COMPUTED_VALUE"""),"P0390")</f>
        <v>P0390</v>
      </c>
      <c r="B383" t="str">
        <f ca="1">IFERROR(__xludf.DUMMYFUNCTION("""COMPUTED_VALUE"""),"Bellona, uxor Martini Dominici")</f>
        <v>Bellona, uxor Martini Dominici</v>
      </c>
      <c r="D383" t="str">
        <f ca="1">IFERROR(__xludf.DUMMYFUNCTION("""COMPUTED_VALUE"""),"#VALUE!")</f>
        <v>#VALUE!</v>
      </c>
      <c r="E383" t="str">
        <f ca="1">IFERROR(__xludf.DUMMYFUNCTION("""COMPUTED_VALUE"""),"Bellona")</f>
        <v>Bellona</v>
      </c>
      <c r="Q383" t="str">
        <f ca="1">IFERROR(__xludf.DUMMYFUNCTION("""COMPUTED_VALUE"""),"uxor condam Martini Dominici #soror Sandriae")</f>
        <v>uxor condam Martini Dominici #soror Sandriae</v>
      </c>
      <c r="S383" t="str">
        <f ca="1">IFERROR(__xludf.DUMMYFUNCTION("""COMPUTED_VALUE"""),"Latin")</f>
        <v>Latin</v>
      </c>
      <c r="T383" t="str">
        <f ca="1">IFERROR(__xludf.DUMMYFUNCTION("""COMPUTED_VALUE"""),"definite")</f>
        <v>definite</v>
      </c>
      <c r="U383" t="str">
        <f ca="1">IFERROR(__xludf.DUMMYFUNCTION("""COMPUTED_VALUE"""),"C2552")</f>
        <v>C2552</v>
      </c>
      <c r="V383" t="str">
        <f ca="1">IFERROR(__xludf.DUMMYFUNCTION("""COMPUTED_VALUE"""),"female")</f>
        <v>female</v>
      </c>
      <c r="Z383" t="str">
        <f ca="1">IFERROR(__xludf.DUMMYFUNCTION("""COMPUTED_VALUE"""),"229")</f>
        <v>229</v>
      </c>
      <c r="AA383" t="str">
        <f ca="1">IFERROR(__xludf.DUMMYFUNCTION("""COMPUTED_VALUE"""),"d")</f>
        <v>d</v>
      </c>
      <c r="AB383" t="str">
        <f ca="1">IFERROR(__xludf.DUMMYFUNCTION("""COMPUTED_VALUE"""),"suspect")</f>
        <v>suspect</v>
      </c>
      <c r="AC383" t="str">
        <f ca="1">IFERROR(__xludf.DUMMYFUNCTION("""COMPUTED_VALUE"""),"y")</f>
        <v>y</v>
      </c>
      <c r="AD383" t="str">
        <f ca="1">IFERROR(__xludf.DUMMYFUNCTION("""COMPUTED_VALUE"""),"C3288")</f>
        <v>C3288</v>
      </c>
      <c r="AE383" t="str">
        <f ca="1">IFERROR(__xludf.DUMMYFUNCTION("""COMPUTED_VALUE"""),"dead")</f>
        <v>dead</v>
      </c>
      <c r="AF383" t="str">
        <f ca="1">IFERROR(__xludf.DUMMYFUNCTION("""COMPUTED_VALUE"""),"C1749")</f>
        <v>C1749</v>
      </c>
      <c r="AG383" t="str">
        <f ca="1">IFERROR(__xludf.DUMMYFUNCTION("""COMPUTED_VALUE"""),"1335-01-20")</f>
        <v>1335-01-20</v>
      </c>
      <c r="AI383" t="str">
        <f ca="1">IFERROR(__xludf.DUMMYFUNCTION("""COMPUTED_VALUE"""),"#VALUE!")</f>
        <v>#VALUE!</v>
      </c>
      <c r="AK383" t="str">
        <f ca="1">IFERROR(__xludf.DUMMYFUNCTION("""COMPUTED_VALUE"""),"#VALUE!")</f>
        <v>#VALUE!</v>
      </c>
      <c r="AM383" t="str">
        <f ca="1">IFERROR(__xludf.DUMMYFUNCTION("""COMPUTED_VALUE"""),"#VALUE!")</f>
        <v>#VALUE!</v>
      </c>
      <c r="AO383" t="str">
        <f ca="1">IFERROR(__xludf.DUMMYFUNCTION("""COMPUTED_VALUE"""),"#VALUE!")</f>
        <v>#VALUE!</v>
      </c>
      <c r="AQ383" t="str">
        <f ca="1">IFERROR(__xludf.DUMMYFUNCTION("""COMPUTED_VALUE"""),"#VALUE!")</f>
        <v>#VALUE!</v>
      </c>
      <c r="AS383" t="str">
        <f ca="1">IFERROR(__xludf.DUMMYFUNCTION("""COMPUTED_VALUE"""),"#VALUE!")</f>
        <v>#VALUE!</v>
      </c>
      <c r="AU383" t="str">
        <f ca="1">IFERROR(__xludf.DUMMYFUNCTION("""COMPUTED_VALUE"""),"#VALUE!")</f>
        <v>#VALUE!</v>
      </c>
      <c r="AW383" t="str">
        <f ca="1">IFERROR(__xludf.DUMMYFUNCTION("""COMPUTED_VALUE"""),"#VALUE!")</f>
        <v>#VALUE!</v>
      </c>
      <c r="AY383" t="str">
        <f ca="1">IFERROR(__xludf.DUMMYFUNCTION("""COMPUTED_VALUE"""),"#VALUE!")</f>
        <v>#VALUE!</v>
      </c>
      <c r="BA383" t="str">
        <f ca="1">IFERROR(__xludf.DUMMYFUNCTION("""COMPUTED_VALUE"""),"#VALUE!")</f>
        <v>#VALUE!</v>
      </c>
      <c r="BC383" t="str">
        <f ca="1">IFERROR(__xludf.DUMMYFUNCTION("""COMPUTED_VALUE"""),"#VALUE!")</f>
        <v>#VALUE!</v>
      </c>
      <c r="BE383" t="str">
        <f ca="1">IFERROR(__xludf.DUMMYFUNCTION("""COMPUTED_VALUE"""),"#VALUE!")</f>
        <v>#VALUE!</v>
      </c>
      <c r="BG383" t="str">
        <f ca="1">IFERROR(__xludf.DUMMYFUNCTION("""COMPUTED_VALUE"""),"#VALUE!")</f>
        <v>#VALUE!</v>
      </c>
      <c r="BI383" t="str">
        <f ca="1">IFERROR(__xludf.DUMMYFUNCTION("""COMPUTED_VALUE"""),"#VALUE!")</f>
        <v>#VALUE!</v>
      </c>
      <c r="BK383" t="str">
        <f ca="1">IFERROR(__xludf.DUMMYFUNCTION("""COMPUTED_VALUE"""),"#VALUE!")</f>
        <v>#VALUE!</v>
      </c>
      <c r="BM383" t="str">
        <f ca="1">IFERROR(__xludf.DUMMYFUNCTION("""COMPUTED_VALUE"""),"#VALUE!")</f>
        <v>#VALUE!</v>
      </c>
      <c r="BO383" t="str">
        <f ca="1">IFERROR(__xludf.DUMMYFUNCTION("""COMPUTED_VALUE"""),"#VALUE!")</f>
        <v>#VALUE!</v>
      </c>
      <c r="BQ383" t="str">
        <f ca="1">IFERROR(__xludf.DUMMYFUNCTION("""COMPUTED_VALUE"""),"#VALUE!")</f>
        <v>#VALUE!</v>
      </c>
      <c r="BS383" t="str">
        <f ca="1">IFERROR(__xludf.DUMMYFUNCTION("""COMPUTED_VALUE"""),"#VALUE!")</f>
        <v>#VALUE!</v>
      </c>
      <c r="BU383" t="str">
        <f ca="1">IFERROR(__xludf.DUMMYFUNCTION("""COMPUTED_VALUE"""),"#VALUE!")</f>
        <v>#VALUE!</v>
      </c>
      <c r="BW383" t="str">
        <f ca="1">IFERROR(__xludf.DUMMYFUNCTION("""COMPUTED_VALUE"""),"#VALUE!")</f>
        <v>#VALUE!</v>
      </c>
      <c r="BY383" t="str">
        <f ca="1">IFERROR(__xludf.DUMMYFUNCTION("""COMPUTED_VALUE"""),"#VALUE!")</f>
        <v>#VALUE!</v>
      </c>
      <c r="CA383" t="str">
        <f ca="1">IFERROR(__xludf.DUMMYFUNCTION("""COMPUTED_VALUE"""),"#VALUE!")</f>
        <v>#VALUE!</v>
      </c>
      <c r="CC383" t="str">
        <f ca="1">IFERROR(__xludf.DUMMYFUNCTION("""COMPUTED_VALUE"""),"#VALUE!")</f>
        <v>#VALUE!</v>
      </c>
      <c r="CE383" t="str">
        <f ca="1">IFERROR(__xludf.DUMMYFUNCTION("""COMPUTED_VALUE"""),"#VALUE!")</f>
        <v>#VALUE!</v>
      </c>
      <c r="CG383" t="str">
        <f ca="1">IFERROR(__xludf.DUMMYFUNCTION("""COMPUTED_VALUE"""),"#VALUE!")</f>
        <v>#VALUE!</v>
      </c>
      <c r="CI383" t="str">
        <f ca="1">IFERROR(__xludf.DUMMYFUNCTION("""COMPUTED_VALUE"""),"#VALUE!")</f>
        <v>#VALUE!</v>
      </c>
      <c r="CK383" t="str">
        <f ca="1">IFERROR(__xludf.DUMMYFUNCTION("""COMPUTED_VALUE"""),"#VALUE!")</f>
        <v>#VALUE!</v>
      </c>
      <c r="CS383" t="str">
        <f ca="1">IFERROR(__xludf.DUMMYFUNCTION("""COMPUTED_VALUE"""),"#VALUE!")</f>
        <v>#VALUE!</v>
      </c>
      <c r="CU383" t="str">
        <f ca="1">IFERROR(__xludf.DUMMYFUNCTION("""COMPUTED_VALUE"""),"#VALUE!")</f>
        <v>#VALUE!</v>
      </c>
      <c r="CW383" t="str">
        <f ca="1">IFERROR(__xludf.DUMMYFUNCTION("""COMPUTED_VALUE"""),"#VALUE!")</f>
        <v>#VALUE!</v>
      </c>
      <c r="CY383" t="str">
        <f ca="1">IFERROR(__xludf.DUMMYFUNCTION("""COMPUTED_VALUE"""),"#VALUE!")</f>
        <v>#VALUE!</v>
      </c>
      <c r="DC383" t="str">
        <f ca="1">IFERROR(__xludf.DUMMYFUNCTION("""COMPUTED_VALUE"""),"#VALUE!")</f>
        <v>#VALUE!</v>
      </c>
      <c r="DE383" t="str">
        <f ca="1">IFERROR(__xludf.DUMMYFUNCTION("""COMPUTED_VALUE"""),"#VALUE!")</f>
        <v>#VALUE!</v>
      </c>
      <c r="DI383" t="str">
        <f ca="1">IFERROR(__xludf.DUMMYFUNCTION("""COMPUTED_VALUE"""),"#VALUE!")</f>
        <v>#VALUE!</v>
      </c>
      <c r="DJ383" t="str">
        <f ca="1">IFERROR(__xludf.DUMMYFUNCTION("""COMPUTED_VALUE"""),"#VALUE!")</f>
        <v>#VALUE!</v>
      </c>
      <c r="DL383" t="str">
        <f ca="1">IFERROR(__xludf.DUMMYFUNCTION("""COMPUTED_VALUE"""),"Davor Salihović")</f>
        <v>Davor Salihović</v>
      </c>
    </row>
    <row r="384" spans="1:116" ht="13.2" x14ac:dyDescent="0.25">
      <c r="A384" t="str">
        <f ca="1">IFERROR(__xludf.DUMMYFUNCTION("""COMPUTED_VALUE"""),"P0391")</f>
        <v>P0391</v>
      </c>
      <c r="B384" t="str">
        <f ca="1">IFERROR(__xludf.DUMMYFUNCTION("""COMPUTED_VALUE"""),"Marguerita, filia Iohannis de Bonaudo")</f>
        <v>Marguerita, filia Iohannis de Bonaudo</v>
      </c>
      <c r="D384" t="str">
        <f ca="1">IFERROR(__xludf.DUMMYFUNCTION("""COMPUTED_VALUE"""),"#VALUE!")</f>
        <v>#VALUE!</v>
      </c>
      <c r="E384" t="str">
        <f ca="1">IFERROR(__xludf.DUMMYFUNCTION("""COMPUTED_VALUE"""),"Marguerita")</f>
        <v>Marguerita</v>
      </c>
      <c r="Q384" t="str">
        <f ca="1">IFERROR(__xludf.DUMMYFUNCTION("""COMPUTED_VALUE"""),"filia Iohannis de Bonaudo")</f>
        <v>filia Iohannis de Bonaudo</v>
      </c>
      <c r="S384" t="str">
        <f ca="1">IFERROR(__xludf.DUMMYFUNCTION("""COMPUTED_VALUE"""),"Latin")</f>
        <v>Latin</v>
      </c>
      <c r="T384" t="str">
        <f ca="1">IFERROR(__xludf.DUMMYFUNCTION("""COMPUTED_VALUE"""),"definite")</f>
        <v>definite</v>
      </c>
      <c r="U384" t="str">
        <f ca="1">IFERROR(__xludf.DUMMYFUNCTION("""COMPUTED_VALUE"""),"C2552")</f>
        <v>C2552</v>
      </c>
      <c r="V384" t="str">
        <f ca="1">IFERROR(__xludf.DUMMYFUNCTION("""COMPUTED_VALUE"""),"female")</f>
        <v>female</v>
      </c>
      <c r="Z384" t="str">
        <f ca="1">IFERROR(__xludf.DUMMYFUNCTION("""COMPUTED_VALUE"""),"229")</f>
        <v>229</v>
      </c>
      <c r="AA384" t="str">
        <f ca="1">IFERROR(__xludf.DUMMYFUNCTION("""COMPUTED_VALUE"""),"d")</f>
        <v>d</v>
      </c>
      <c r="AB384" t="str">
        <f ca="1">IFERROR(__xludf.DUMMYFUNCTION("""COMPUTED_VALUE"""),"suspect")</f>
        <v>suspect</v>
      </c>
      <c r="AD384" t="str">
        <f ca="1">IFERROR(__xludf.DUMMYFUNCTION("""COMPUTED_VALUE"""),"C3287")</f>
        <v>C3287</v>
      </c>
      <c r="AE384" t="str">
        <f ca="1">IFERROR(__xludf.DUMMYFUNCTION("""COMPUTED_VALUE"""),"alive")</f>
        <v>alive</v>
      </c>
      <c r="AF384" t="str">
        <f ca="1">IFERROR(__xludf.DUMMYFUNCTION("""COMPUTED_VALUE"""),"C1753")</f>
        <v>C1753</v>
      </c>
      <c r="AG384" t="str">
        <f ca="1">IFERROR(__xludf.DUMMYFUNCTION("""COMPUTED_VALUE"""),"1335-01-20")</f>
        <v>1335-01-20</v>
      </c>
      <c r="AI384" t="str">
        <f ca="1">IFERROR(__xludf.DUMMYFUNCTION("""COMPUTED_VALUE"""),"#VALUE!")</f>
        <v>#VALUE!</v>
      </c>
      <c r="AK384" t="str">
        <f ca="1">IFERROR(__xludf.DUMMYFUNCTION("""COMPUTED_VALUE"""),"#VALUE!")</f>
        <v>#VALUE!</v>
      </c>
      <c r="AM384" t="str">
        <f ca="1">IFERROR(__xludf.DUMMYFUNCTION("""COMPUTED_VALUE"""),"#VALUE!")</f>
        <v>#VALUE!</v>
      </c>
      <c r="AO384" t="str">
        <f ca="1">IFERROR(__xludf.DUMMYFUNCTION("""COMPUTED_VALUE"""),"#VALUE!")</f>
        <v>#VALUE!</v>
      </c>
      <c r="AQ384" t="str">
        <f ca="1">IFERROR(__xludf.DUMMYFUNCTION("""COMPUTED_VALUE"""),"#VALUE!")</f>
        <v>#VALUE!</v>
      </c>
      <c r="AS384" t="str">
        <f ca="1">IFERROR(__xludf.DUMMYFUNCTION("""COMPUTED_VALUE"""),"#VALUE!")</f>
        <v>#VALUE!</v>
      </c>
      <c r="AU384" t="str">
        <f ca="1">IFERROR(__xludf.DUMMYFUNCTION("""COMPUTED_VALUE"""),"#VALUE!")</f>
        <v>#VALUE!</v>
      </c>
      <c r="AW384" t="str">
        <f ca="1">IFERROR(__xludf.DUMMYFUNCTION("""COMPUTED_VALUE"""),"#VALUE!")</f>
        <v>#VALUE!</v>
      </c>
      <c r="AY384" t="str">
        <f ca="1">IFERROR(__xludf.DUMMYFUNCTION("""COMPUTED_VALUE"""),"#VALUE!")</f>
        <v>#VALUE!</v>
      </c>
      <c r="BA384" t="str">
        <f ca="1">IFERROR(__xludf.DUMMYFUNCTION("""COMPUTED_VALUE"""),"#VALUE!")</f>
        <v>#VALUE!</v>
      </c>
      <c r="BC384" t="str">
        <f ca="1">IFERROR(__xludf.DUMMYFUNCTION("""COMPUTED_VALUE"""),"#VALUE!")</f>
        <v>#VALUE!</v>
      </c>
      <c r="BE384" t="str">
        <f ca="1">IFERROR(__xludf.DUMMYFUNCTION("""COMPUTED_VALUE"""),"#VALUE!")</f>
        <v>#VALUE!</v>
      </c>
      <c r="BG384" t="str">
        <f ca="1">IFERROR(__xludf.DUMMYFUNCTION("""COMPUTED_VALUE"""),"#VALUE!")</f>
        <v>#VALUE!</v>
      </c>
      <c r="BI384" t="str">
        <f ca="1">IFERROR(__xludf.DUMMYFUNCTION("""COMPUTED_VALUE"""),"#VALUE!")</f>
        <v>#VALUE!</v>
      </c>
      <c r="BK384" t="str">
        <f ca="1">IFERROR(__xludf.DUMMYFUNCTION("""COMPUTED_VALUE"""),"#VALUE!")</f>
        <v>#VALUE!</v>
      </c>
      <c r="BM384" t="str">
        <f ca="1">IFERROR(__xludf.DUMMYFUNCTION("""COMPUTED_VALUE"""),"#VALUE!")</f>
        <v>#VALUE!</v>
      </c>
      <c r="BO384" t="str">
        <f ca="1">IFERROR(__xludf.DUMMYFUNCTION("""COMPUTED_VALUE"""),"#VALUE!")</f>
        <v>#VALUE!</v>
      </c>
      <c r="BQ384" t="str">
        <f ca="1">IFERROR(__xludf.DUMMYFUNCTION("""COMPUTED_VALUE"""),"#VALUE!")</f>
        <v>#VALUE!</v>
      </c>
      <c r="BS384" t="str">
        <f ca="1">IFERROR(__xludf.DUMMYFUNCTION("""COMPUTED_VALUE"""),"#VALUE!")</f>
        <v>#VALUE!</v>
      </c>
      <c r="BU384" t="str">
        <f ca="1">IFERROR(__xludf.DUMMYFUNCTION("""COMPUTED_VALUE"""),"#VALUE!")</f>
        <v>#VALUE!</v>
      </c>
      <c r="BW384" t="str">
        <f ca="1">IFERROR(__xludf.DUMMYFUNCTION("""COMPUTED_VALUE"""),"#VALUE!")</f>
        <v>#VALUE!</v>
      </c>
      <c r="BY384" t="str">
        <f ca="1">IFERROR(__xludf.DUMMYFUNCTION("""COMPUTED_VALUE"""),"#VALUE!")</f>
        <v>#VALUE!</v>
      </c>
      <c r="CA384" t="str">
        <f ca="1">IFERROR(__xludf.DUMMYFUNCTION("""COMPUTED_VALUE"""),"#VALUE!")</f>
        <v>#VALUE!</v>
      </c>
      <c r="CC384" t="str">
        <f ca="1">IFERROR(__xludf.DUMMYFUNCTION("""COMPUTED_VALUE"""),"#VALUE!")</f>
        <v>#VALUE!</v>
      </c>
      <c r="CD384" t="str">
        <f ca="1">IFERROR(__xludf.DUMMYFUNCTION("""COMPUTED_VALUE"""),"C3598")</f>
        <v>C3598</v>
      </c>
      <c r="CE384" t="str">
        <f ca="1">IFERROR(__xludf.DUMMYFUNCTION("""COMPUTED_VALUE"""),"location of congregation")</f>
        <v>location of congregation</v>
      </c>
      <c r="CF384" t="str">
        <f ca="1">IFERROR(__xludf.DUMMYFUNCTION("""COMPUTED_VALUE"""),"L0096")</f>
        <v>L0096</v>
      </c>
      <c r="CG384" t="str">
        <f ca="1">IFERROR(__xludf.DUMMYFUNCTION("""COMPUTED_VALUE"""),"domus Iohannis de Bonaudo")</f>
        <v>domus Iohannis de Bonaudo</v>
      </c>
      <c r="CI384" t="str">
        <f ca="1">IFERROR(__xludf.DUMMYFUNCTION("""COMPUTED_VALUE"""),"#VALUE!")</f>
        <v>#VALUE!</v>
      </c>
      <c r="CK384" t="str">
        <f ca="1">IFERROR(__xludf.DUMMYFUNCTION("""COMPUTED_VALUE"""),"#VALUE!")</f>
        <v>#VALUE!</v>
      </c>
      <c r="CS384" t="str">
        <f ca="1">IFERROR(__xludf.DUMMYFUNCTION("""COMPUTED_VALUE"""),"#VALUE!")</f>
        <v>#VALUE!</v>
      </c>
      <c r="CU384" t="str">
        <f ca="1">IFERROR(__xludf.DUMMYFUNCTION("""COMPUTED_VALUE"""),"#VALUE!")</f>
        <v>#VALUE!</v>
      </c>
      <c r="CW384" t="str">
        <f ca="1">IFERROR(__xludf.DUMMYFUNCTION("""COMPUTED_VALUE"""),"#VALUE!")</f>
        <v>#VALUE!</v>
      </c>
      <c r="CY384" t="str">
        <f ca="1">IFERROR(__xludf.DUMMYFUNCTION("""COMPUTED_VALUE"""),"#VALUE!")</f>
        <v>#VALUE!</v>
      </c>
      <c r="DC384" t="str">
        <f ca="1">IFERROR(__xludf.DUMMYFUNCTION("""COMPUTED_VALUE"""),"#VALUE!")</f>
        <v>#VALUE!</v>
      </c>
      <c r="DE384" t="str">
        <f ca="1">IFERROR(__xludf.DUMMYFUNCTION("""COMPUTED_VALUE"""),"#VALUE!")</f>
        <v>#VALUE!</v>
      </c>
      <c r="DF384" t="str">
        <f ca="1">IFERROR(__xludf.DUMMYFUNCTION("""COMPUTED_VALUE"""),"y")</f>
        <v>y</v>
      </c>
      <c r="DG384" t="str">
        <f ca="1">IFERROR(__xludf.DUMMYFUNCTION("""COMPUTED_VALUE"""),"229-230")</f>
        <v>229-230</v>
      </c>
      <c r="DH384" t="str">
        <f ca="1">IFERROR(__xludf.DUMMYFUNCTION("""COMPUTED_VALUE"""),"L0096")</f>
        <v>L0096</v>
      </c>
      <c r="DI384" t="str">
        <f ca="1">IFERROR(__xludf.DUMMYFUNCTION("""COMPUTED_VALUE"""),"domus Iohannis de Bonaudo")</f>
        <v>domus Iohannis de Bonaudo</v>
      </c>
      <c r="DJ384" t="str">
        <f ca="1">IFERROR(__xludf.DUMMYFUNCTION("""COMPUTED_VALUE"""),"domus")</f>
        <v>domus</v>
      </c>
      <c r="DL384" t="str">
        <f ca="1">IFERROR(__xludf.DUMMYFUNCTION("""COMPUTED_VALUE"""),"Davor Salihović")</f>
        <v>Davor Salihović</v>
      </c>
    </row>
    <row r="385" spans="1:116" ht="13.2" x14ac:dyDescent="0.25">
      <c r="A385" t="str">
        <f ca="1">IFERROR(__xludf.DUMMYFUNCTION("""COMPUTED_VALUE"""),"P0392")</f>
        <v>P0392</v>
      </c>
      <c r="B385" t="str">
        <f ca="1">IFERROR(__xludf.DUMMYFUNCTION("""COMPUTED_VALUE"""),"Martinetus, socius Martini")</f>
        <v>Martinetus, socius Martini</v>
      </c>
      <c r="D385" t="str">
        <f ca="1">IFERROR(__xludf.DUMMYFUNCTION("""COMPUTED_VALUE"""),"#VALUE!")</f>
        <v>#VALUE!</v>
      </c>
      <c r="E385" t="str">
        <f ca="1">IFERROR(__xludf.DUMMYFUNCTION("""COMPUTED_VALUE"""),"Martinetus")</f>
        <v>Martinetus</v>
      </c>
      <c r="Q385" t="str">
        <f ca="1">IFERROR(__xludf.DUMMYFUNCTION("""COMPUTED_VALUE"""),"socius seygnor Martini")</f>
        <v>socius seygnor Martini</v>
      </c>
      <c r="S385" t="str">
        <f ca="1">IFERROR(__xludf.DUMMYFUNCTION("""COMPUTED_VALUE"""),"Latin")</f>
        <v>Latin</v>
      </c>
      <c r="T385" t="str">
        <f ca="1">IFERROR(__xludf.DUMMYFUNCTION("""COMPUTED_VALUE"""),"indefinite")</f>
        <v>indefinite</v>
      </c>
      <c r="U385" t="str">
        <f ca="1">IFERROR(__xludf.DUMMYFUNCTION("""COMPUTED_VALUE"""),"C2553")</f>
        <v>C2553</v>
      </c>
      <c r="V385" t="str">
        <f ca="1">IFERROR(__xludf.DUMMYFUNCTION("""COMPUTED_VALUE"""),"male")</f>
        <v>male</v>
      </c>
      <c r="Z385" t="str">
        <f ca="1">IFERROR(__xludf.DUMMYFUNCTION("""COMPUTED_VALUE"""),"230, 233, 247, 249")</f>
        <v>230, 233, 247, 249</v>
      </c>
      <c r="AA385" t="str">
        <f ca="1">IFERROR(__xludf.DUMMYFUNCTION("""COMPUTED_VALUE"""),"d")</f>
        <v>d</v>
      </c>
      <c r="AB385" t="str">
        <f ca="1">IFERROR(__xludf.DUMMYFUNCTION("""COMPUTED_VALUE"""),"suspect")</f>
        <v>suspect</v>
      </c>
      <c r="AE385" t="str">
        <f ca="1">IFERROR(__xludf.DUMMYFUNCTION("""COMPUTED_VALUE"""),"#VALUE!")</f>
        <v>#VALUE!</v>
      </c>
      <c r="AF385" t="str">
        <f ca="1">IFERROR(__xludf.DUMMYFUNCTION("""COMPUTED_VALUE"""),"#N/A")</f>
        <v>#N/A</v>
      </c>
      <c r="AG385" t="str">
        <f ca="1">IFERROR(__xludf.DUMMYFUNCTION("""COMPUTED_VALUE"""),"#N/A")</f>
        <v>#N/A</v>
      </c>
      <c r="AH385" t="str">
        <f ca="1">IFERROR(__xludf.DUMMYFUNCTION("""COMPUTED_VALUE"""),"C2358")</f>
        <v>C2358</v>
      </c>
      <c r="AI385" t="str">
        <f ca="1">IFERROR(__xludf.DUMMYFUNCTION("""COMPUTED_VALUE"""),"associate")</f>
        <v>associate</v>
      </c>
      <c r="AJ385" t="str">
        <f ca="1">IFERROR(__xludf.DUMMYFUNCTION("""COMPUTED_VALUE"""),"P0315")</f>
        <v>P0315</v>
      </c>
      <c r="AK385" t="str">
        <f ca="1">IFERROR(__xludf.DUMMYFUNCTION("""COMPUTED_VALUE"""),"Martinus")</f>
        <v>Martinus</v>
      </c>
      <c r="AM385" t="str">
        <f ca="1">IFERROR(__xludf.DUMMYFUNCTION("""COMPUTED_VALUE"""),"#VALUE!")</f>
        <v>#VALUE!</v>
      </c>
      <c r="AO385" t="str">
        <f ca="1">IFERROR(__xludf.DUMMYFUNCTION("""COMPUTED_VALUE"""),"#VALUE!")</f>
        <v>#VALUE!</v>
      </c>
      <c r="AQ385" t="str">
        <f ca="1">IFERROR(__xludf.DUMMYFUNCTION("""COMPUTED_VALUE"""),"#VALUE!")</f>
        <v>#VALUE!</v>
      </c>
      <c r="AS385" t="str">
        <f ca="1">IFERROR(__xludf.DUMMYFUNCTION("""COMPUTED_VALUE"""),"#VALUE!")</f>
        <v>#VALUE!</v>
      </c>
      <c r="AU385" t="str">
        <f ca="1">IFERROR(__xludf.DUMMYFUNCTION("""COMPUTED_VALUE"""),"#VALUE!")</f>
        <v>#VALUE!</v>
      </c>
      <c r="AW385" t="str">
        <f ca="1">IFERROR(__xludf.DUMMYFUNCTION("""COMPUTED_VALUE"""),"#VALUE!")</f>
        <v>#VALUE!</v>
      </c>
      <c r="AY385" t="str">
        <f ca="1">IFERROR(__xludf.DUMMYFUNCTION("""COMPUTED_VALUE"""),"#VALUE!")</f>
        <v>#VALUE!</v>
      </c>
      <c r="BA385" t="str">
        <f ca="1">IFERROR(__xludf.DUMMYFUNCTION("""COMPUTED_VALUE"""),"#VALUE!")</f>
        <v>#VALUE!</v>
      </c>
      <c r="BC385" t="str">
        <f ca="1">IFERROR(__xludf.DUMMYFUNCTION("""COMPUTED_VALUE"""),"#VALUE!")</f>
        <v>#VALUE!</v>
      </c>
      <c r="BE385" t="str">
        <f ca="1">IFERROR(__xludf.DUMMYFUNCTION("""COMPUTED_VALUE"""),"#VALUE!")</f>
        <v>#VALUE!</v>
      </c>
      <c r="BG385" t="str">
        <f ca="1">IFERROR(__xludf.DUMMYFUNCTION("""COMPUTED_VALUE"""),"#VALUE!")</f>
        <v>#VALUE!</v>
      </c>
      <c r="BI385" t="str">
        <f ca="1">IFERROR(__xludf.DUMMYFUNCTION("""COMPUTED_VALUE"""),"#VALUE!")</f>
        <v>#VALUE!</v>
      </c>
      <c r="BK385" t="str">
        <f ca="1">IFERROR(__xludf.DUMMYFUNCTION("""COMPUTED_VALUE"""),"#VALUE!")</f>
        <v>#VALUE!</v>
      </c>
      <c r="BM385" t="str">
        <f ca="1">IFERROR(__xludf.DUMMYFUNCTION("""COMPUTED_VALUE"""),"#VALUE!")</f>
        <v>#VALUE!</v>
      </c>
      <c r="BO385" t="str">
        <f ca="1">IFERROR(__xludf.DUMMYFUNCTION("""COMPUTED_VALUE"""),"#VALUE!")</f>
        <v>#VALUE!</v>
      </c>
      <c r="BQ385" t="str">
        <f ca="1">IFERROR(__xludf.DUMMYFUNCTION("""COMPUTED_VALUE"""),"#VALUE!")</f>
        <v>#VALUE!</v>
      </c>
      <c r="BS385" t="str">
        <f ca="1">IFERROR(__xludf.DUMMYFUNCTION("""COMPUTED_VALUE"""),"#VALUE!")</f>
        <v>#VALUE!</v>
      </c>
      <c r="BU385" t="str">
        <f ca="1">IFERROR(__xludf.DUMMYFUNCTION("""COMPUTED_VALUE"""),"#VALUE!")</f>
        <v>#VALUE!</v>
      </c>
      <c r="BW385" t="str">
        <f ca="1">IFERROR(__xludf.DUMMYFUNCTION("""COMPUTED_VALUE"""),"#VALUE!")</f>
        <v>#VALUE!</v>
      </c>
      <c r="BY385" t="str">
        <f ca="1">IFERROR(__xludf.DUMMYFUNCTION("""COMPUTED_VALUE"""),"#VALUE!")</f>
        <v>#VALUE!</v>
      </c>
      <c r="CA385" t="str">
        <f ca="1">IFERROR(__xludf.DUMMYFUNCTION("""COMPUTED_VALUE"""),"#VALUE!")</f>
        <v>#VALUE!</v>
      </c>
      <c r="CC385" t="str">
        <f ca="1">IFERROR(__xludf.DUMMYFUNCTION("""COMPUTED_VALUE"""),"#VALUE!")</f>
        <v>#VALUE!</v>
      </c>
      <c r="CD385" t="str">
        <f ca="1">IFERROR(__xludf.DUMMYFUNCTION("""COMPUTED_VALUE"""),"C3598")</f>
        <v>C3598</v>
      </c>
      <c r="CE385" t="str">
        <f ca="1">IFERROR(__xludf.DUMMYFUNCTION("""COMPUTED_VALUE"""),"location of congregation")</f>
        <v>location of congregation</v>
      </c>
      <c r="CF385" t="str">
        <f ca="1">IFERROR(__xludf.DUMMYFUNCTION("""COMPUTED_VALUE"""),"L0096#L0065")</f>
        <v>L0096#L0065</v>
      </c>
      <c r="CG385" t="str">
        <f ca="1">IFERROR(__xludf.DUMMYFUNCTION("""COMPUTED_VALUE"""),"domus Iohannis de Bonaudo #domus Iohannis de Castagno de Giaveno")</f>
        <v>domus Iohannis de Bonaudo #domus Iohannis de Castagno de Giaveno</v>
      </c>
      <c r="CI385" t="str">
        <f ca="1">IFERROR(__xludf.DUMMYFUNCTION("""COMPUTED_VALUE"""),"#VALUE!")</f>
        <v>#VALUE!</v>
      </c>
      <c r="CK385" t="str">
        <f ca="1">IFERROR(__xludf.DUMMYFUNCTION("""COMPUTED_VALUE"""),"#VALUE!")</f>
        <v>#VALUE!</v>
      </c>
      <c r="CS385" t="str">
        <f ca="1">IFERROR(__xludf.DUMMYFUNCTION("""COMPUTED_VALUE"""),"#VALUE!")</f>
        <v>#VALUE!</v>
      </c>
      <c r="CU385" t="str">
        <f ca="1">IFERROR(__xludf.DUMMYFUNCTION("""COMPUTED_VALUE"""),"#VALUE!")</f>
        <v>#VALUE!</v>
      </c>
      <c r="CW385" t="str">
        <f ca="1">IFERROR(__xludf.DUMMYFUNCTION("""COMPUTED_VALUE"""),"#VALUE!")</f>
        <v>#VALUE!</v>
      </c>
      <c r="CY385" t="str">
        <f ca="1">IFERROR(__xludf.DUMMYFUNCTION("""COMPUTED_VALUE"""),"#VALUE!")</f>
        <v>#VALUE!</v>
      </c>
      <c r="DA385" t="str">
        <f ca="1">IFERROR(__xludf.DUMMYFUNCTION("""COMPUTED_VALUE"""),"dissident minister")</f>
        <v>dissident minister</v>
      </c>
      <c r="DC385" t="str">
        <f ca="1">IFERROR(__xludf.DUMMYFUNCTION("""COMPUTED_VALUE"""),"#VALUE!")</f>
        <v>#VALUE!</v>
      </c>
      <c r="DE385" t="str">
        <f ca="1">IFERROR(__xludf.DUMMYFUNCTION("""COMPUTED_VALUE"""),"#VALUE!")</f>
        <v>#VALUE!</v>
      </c>
      <c r="DH385" t="str">
        <f ca="1">IFERROR(__xludf.DUMMYFUNCTION("""COMPUTED_VALUE"""),"L0096#L0065")</f>
        <v>L0096#L0065</v>
      </c>
      <c r="DI385" t="str">
        <f ca="1">IFERROR(__xludf.DUMMYFUNCTION("""COMPUTED_VALUE"""),"domus Iohannis de Bonaudo #domus Iohannis de Castagno de Giaveno")</f>
        <v>domus Iohannis de Bonaudo #domus Iohannis de Castagno de Giaveno</v>
      </c>
      <c r="DJ385" t="str">
        <f ca="1">IFERROR(__xludf.DUMMYFUNCTION("""COMPUTED_VALUE"""),"domus #domus")</f>
        <v>domus #domus</v>
      </c>
      <c r="DK385" t="str">
        <f ca="1">IFERROR(__xludf.DUMMYFUNCTION("""COMPUTED_VALUE"""),"Could be Martinus de Lacu (also called Martinetus in one of the depositions)")</f>
        <v>Could be Martinus de Lacu (also called Martinetus in one of the depositions)</v>
      </c>
      <c r="DL385" t="str">
        <f ca="1">IFERROR(__xludf.DUMMYFUNCTION("""COMPUTED_VALUE"""),"Davor Salihović")</f>
        <v>Davor Salihović</v>
      </c>
    </row>
    <row r="386" spans="1:116" ht="13.2" x14ac:dyDescent="0.25">
      <c r="A386" t="str">
        <f ca="1">IFERROR(__xludf.DUMMYFUNCTION("""COMPUTED_VALUE"""),"P0393")</f>
        <v>P0393</v>
      </c>
      <c r="B386" t="str">
        <f ca="1">IFERROR(__xludf.DUMMYFUNCTION("""COMPUTED_VALUE"""),"Ermeniona, uxor Iohannis Borrellati")</f>
        <v>Ermeniona, uxor Iohannis Borrellati</v>
      </c>
      <c r="D386" t="str">
        <f ca="1">IFERROR(__xludf.DUMMYFUNCTION("""COMPUTED_VALUE"""),"#VALUE!")</f>
        <v>#VALUE!</v>
      </c>
      <c r="E386" t="str">
        <f ca="1">IFERROR(__xludf.DUMMYFUNCTION("""COMPUTED_VALUE"""),"Ermeniona")</f>
        <v>Ermeniona</v>
      </c>
      <c r="F386" t="str">
        <f ca="1">IFERROR(__xludf.DUMMYFUNCTION("""COMPUTED_VALUE"""),"Meniona")</f>
        <v>Meniona</v>
      </c>
      <c r="Q386" t="str">
        <f ca="1">IFERROR(__xludf.DUMMYFUNCTION("""COMPUTED_VALUE"""),"uxor Iohannis Borrellati")</f>
        <v>uxor Iohannis Borrellati</v>
      </c>
      <c r="S386" t="str">
        <f ca="1">IFERROR(__xludf.DUMMYFUNCTION("""COMPUTED_VALUE"""),"Latin")</f>
        <v>Latin</v>
      </c>
      <c r="T386" t="str">
        <f ca="1">IFERROR(__xludf.DUMMYFUNCTION("""COMPUTED_VALUE"""),"definite")</f>
        <v>definite</v>
      </c>
      <c r="U386" t="str">
        <f ca="1">IFERROR(__xludf.DUMMYFUNCTION("""COMPUTED_VALUE"""),"C2552")</f>
        <v>C2552</v>
      </c>
      <c r="V386" t="str">
        <f ca="1">IFERROR(__xludf.DUMMYFUNCTION("""COMPUTED_VALUE"""),"female")</f>
        <v>female</v>
      </c>
      <c r="Z386" t="str">
        <f ca="1">IFERROR(__xludf.DUMMYFUNCTION("""COMPUTED_VALUE"""),"230, 233")</f>
        <v>230, 233</v>
      </c>
      <c r="AA386" t="str">
        <f ca="1">IFERROR(__xludf.DUMMYFUNCTION("""COMPUTED_VALUE"""),"d")</f>
        <v>d</v>
      </c>
      <c r="AB386" t="str">
        <f ca="1">IFERROR(__xludf.DUMMYFUNCTION("""COMPUTED_VALUE"""),"suspect")</f>
        <v>suspect</v>
      </c>
      <c r="AE386" t="str">
        <f ca="1">IFERROR(__xludf.DUMMYFUNCTION("""COMPUTED_VALUE"""),"#VALUE!")</f>
        <v>#VALUE!</v>
      </c>
      <c r="AF386" t="str">
        <f ca="1">IFERROR(__xludf.DUMMYFUNCTION("""COMPUTED_VALUE"""),"#N/A")</f>
        <v>#N/A</v>
      </c>
      <c r="AG386" t="str">
        <f ca="1">IFERROR(__xludf.DUMMYFUNCTION("""COMPUTED_VALUE"""),"#N/A")</f>
        <v>#N/A</v>
      </c>
      <c r="AI386" t="str">
        <f ca="1">IFERROR(__xludf.DUMMYFUNCTION("""COMPUTED_VALUE"""),"#VALUE!")</f>
        <v>#VALUE!</v>
      </c>
      <c r="AK386" t="str">
        <f ca="1">IFERROR(__xludf.DUMMYFUNCTION("""COMPUTED_VALUE"""),"#VALUE!")</f>
        <v>#VALUE!</v>
      </c>
      <c r="AM386" t="str">
        <f ca="1">IFERROR(__xludf.DUMMYFUNCTION("""COMPUTED_VALUE"""),"#VALUE!")</f>
        <v>#VALUE!</v>
      </c>
      <c r="AO386" t="str">
        <f ca="1">IFERROR(__xludf.DUMMYFUNCTION("""COMPUTED_VALUE"""),"#VALUE!")</f>
        <v>#VALUE!</v>
      </c>
      <c r="AQ386" t="str">
        <f ca="1">IFERROR(__xludf.DUMMYFUNCTION("""COMPUTED_VALUE"""),"#VALUE!")</f>
        <v>#VALUE!</v>
      </c>
      <c r="AS386" t="str">
        <f ca="1">IFERROR(__xludf.DUMMYFUNCTION("""COMPUTED_VALUE"""),"#VALUE!")</f>
        <v>#VALUE!</v>
      </c>
      <c r="AU386" t="str">
        <f ca="1">IFERROR(__xludf.DUMMYFUNCTION("""COMPUTED_VALUE"""),"#VALUE!")</f>
        <v>#VALUE!</v>
      </c>
      <c r="AW386" t="str">
        <f ca="1">IFERROR(__xludf.DUMMYFUNCTION("""COMPUTED_VALUE"""),"#VALUE!")</f>
        <v>#VALUE!</v>
      </c>
      <c r="AY386" t="str">
        <f ca="1">IFERROR(__xludf.DUMMYFUNCTION("""COMPUTED_VALUE"""),"#VALUE!")</f>
        <v>#VALUE!</v>
      </c>
      <c r="BA386" t="str">
        <f ca="1">IFERROR(__xludf.DUMMYFUNCTION("""COMPUTED_VALUE"""),"#VALUE!")</f>
        <v>#VALUE!</v>
      </c>
      <c r="BC386" t="str">
        <f ca="1">IFERROR(__xludf.DUMMYFUNCTION("""COMPUTED_VALUE"""),"#VALUE!")</f>
        <v>#VALUE!</v>
      </c>
      <c r="BE386" t="str">
        <f ca="1">IFERROR(__xludf.DUMMYFUNCTION("""COMPUTED_VALUE"""),"#VALUE!")</f>
        <v>#VALUE!</v>
      </c>
      <c r="BG386" t="str">
        <f ca="1">IFERROR(__xludf.DUMMYFUNCTION("""COMPUTED_VALUE"""),"#VALUE!")</f>
        <v>#VALUE!</v>
      </c>
      <c r="BI386" t="str">
        <f ca="1">IFERROR(__xludf.DUMMYFUNCTION("""COMPUTED_VALUE"""),"#VALUE!")</f>
        <v>#VALUE!</v>
      </c>
      <c r="BK386" t="str">
        <f ca="1">IFERROR(__xludf.DUMMYFUNCTION("""COMPUTED_VALUE"""),"#VALUE!")</f>
        <v>#VALUE!</v>
      </c>
      <c r="BM386" t="str">
        <f ca="1">IFERROR(__xludf.DUMMYFUNCTION("""COMPUTED_VALUE"""),"#VALUE!")</f>
        <v>#VALUE!</v>
      </c>
      <c r="BO386" t="str">
        <f ca="1">IFERROR(__xludf.DUMMYFUNCTION("""COMPUTED_VALUE"""),"#VALUE!")</f>
        <v>#VALUE!</v>
      </c>
      <c r="BQ386" t="str">
        <f ca="1">IFERROR(__xludf.DUMMYFUNCTION("""COMPUTED_VALUE"""),"#VALUE!")</f>
        <v>#VALUE!</v>
      </c>
      <c r="BS386" t="str">
        <f ca="1">IFERROR(__xludf.DUMMYFUNCTION("""COMPUTED_VALUE"""),"#VALUE!")</f>
        <v>#VALUE!</v>
      </c>
      <c r="BU386" t="str">
        <f ca="1">IFERROR(__xludf.DUMMYFUNCTION("""COMPUTED_VALUE"""),"#VALUE!")</f>
        <v>#VALUE!</v>
      </c>
      <c r="BW386" t="str">
        <f ca="1">IFERROR(__xludf.DUMMYFUNCTION("""COMPUTED_VALUE"""),"#VALUE!")</f>
        <v>#VALUE!</v>
      </c>
      <c r="BY386" t="str">
        <f ca="1">IFERROR(__xludf.DUMMYFUNCTION("""COMPUTED_VALUE"""),"#VALUE!")</f>
        <v>#VALUE!</v>
      </c>
      <c r="CA386" t="str">
        <f ca="1">IFERROR(__xludf.DUMMYFUNCTION("""COMPUTED_VALUE"""),"#VALUE!")</f>
        <v>#VALUE!</v>
      </c>
      <c r="CC386" t="str">
        <f ca="1">IFERROR(__xludf.DUMMYFUNCTION("""COMPUTED_VALUE"""),"#VALUE!")</f>
        <v>#VALUE!</v>
      </c>
      <c r="CD386" t="str">
        <f ca="1">IFERROR(__xludf.DUMMYFUNCTION("""COMPUTED_VALUE"""),"C3598")</f>
        <v>C3598</v>
      </c>
      <c r="CE386" t="str">
        <f ca="1">IFERROR(__xludf.DUMMYFUNCTION("""COMPUTED_VALUE"""),"location of congregation")</f>
        <v>location of congregation</v>
      </c>
      <c r="CF386" t="str">
        <f ca="1">IFERROR(__xludf.DUMMYFUNCTION("""COMPUTED_VALUE"""),"L0097")</f>
        <v>L0097</v>
      </c>
      <c r="CG386" t="str">
        <f ca="1">IFERROR(__xludf.DUMMYFUNCTION("""COMPUTED_VALUE"""),"domus Iohannis Borrellati")</f>
        <v>domus Iohannis Borrellati</v>
      </c>
      <c r="CI386" t="str">
        <f ca="1">IFERROR(__xludf.DUMMYFUNCTION("""COMPUTED_VALUE"""),"#VALUE!")</f>
        <v>#VALUE!</v>
      </c>
      <c r="CK386" t="str">
        <f ca="1">IFERROR(__xludf.DUMMYFUNCTION("""COMPUTED_VALUE"""),"#VALUE!")</f>
        <v>#VALUE!</v>
      </c>
      <c r="CS386" t="str">
        <f ca="1">IFERROR(__xludf.DUMMYFUNCTION("""COMPUTED_VALUE"""),"#VALUE!")</f>
        <v>#VALUE!</v>
      </c>
      <c r="CU386" t="str">
        <f ca="1">IFERROR(__xludf.DUMMYFUNCTION("""COMPUTED_VALUE"""),"#VALUE!")</f>
        <v>#VALUE!</v>
      </c>
      <c r="CW386" t="str">
        <f ca="1">IFERROR(__xludf.DUMMYFUNCTION("""COMPUTED_VALUE"""),"#VALUE!")</f>
        <v>#VALUE!</v>
      </c>
      <c r="CY386" t="str">
        <f ca="1">IFERROR(__xludf.DUMMYFUNCTION("""COMPUTED_VALUE"""),"#VALUE!")</f>
        <v>#VALUE!</v>
      </c>
      <c r="DC386" t="str">
        <f ca="1">IFERROR(__xludf.DUMMYFUNCTION("""COMPUTED_VALUE"""),"#VALUE!")</f>
        <v>#VALUE!</v>
      </c>
      <c r="DE386" t="str">
        <f ca="1">IFERROR(__xludf.DUMMYFUNCTION("""COMPUTED_VALUE"""),"#VALUE!")</f>
        <v>#VALUE!</v>
      </c>
      <c r="DH386" t="str">
        <f ca="1">IFERROR(__xludf.DUMMYFUNCTION("""COMPUTED_VALUE"""),"L0097")</f>
        <v>L0097</v>
      </c>
      <c r="DI386" t="str">
        <f ca="1">IFERROR(__xludf.DUMMYFUNCTION("""COMPUTED_VALUE"""),"domus Iohannis Borrellati")</f>
        <v>domus Iohannis Borrellati</v>
      </c>
      <c r="DJ386" t="str">
        <f ca="1">IFERROR(__xludf.DUMMYFUNCTION("""COMPUTED_VALUE"""),"domus")</f>
        <v>domus</v>
      </c>
      <c r="DL386" t="str">
        <f ca="1">IFERROR(__xludf.DUMMYFUNCTION("""COMPUTED_VALUE"""),"Davor Salihović")</f>
        <v>Davor Salihović</v>
      </c>
    </row>
    <row r="387" spans="1:116" ht="13.2" x14ac:dyDescent="0.25">
      <c r="A387" t="str">
        <f ca="1">IFERROR(__xludf.DUMMYFUNCTION("""COMPUTED_VALUE"""),"P0394")</f>
        <v>P0394</v>
      </c>
      <c r="B387" t="str">
        <f ca="1">IFERROR(__xludf.DUMMYFUNCTION("""COMPUTED_VALUE"""),"quidam homo estraneus")</f>
        <v>quidam homo estraneus</v>
      </c>
      <c r="D387" t="str">
        <f ca="1">IFERROR(__xludf.DUMMYFUNCTION("""COMPUTED_VALUE"""),"#VALUE!")</f>
        <v>#VALUE!</v>
      </c>
      <c r="E387" t="str">
        <f ca="1">IFERROR(__xludf.DUMMYFUNCTION("""COMPUTED_VALUE"""),"quidam homo estraneus")</f>
        <v>quidam homo estraneus</v>
      </c>
      <c r="Q387" t="str">
        <f ca="1">IFERROR(__xludf.DUMMYFUNCTION("""COMPUTED_VALUE"""),"quidam homo estraneus")</f>
        <v>quidam homo estraneus</v>
      </c>
      <c r="S387" t="str">
        <f ca="1">IFERROR(__xludf.DUMMYFUNCTION("""COMPUTED_VALUE"""),"Latin")</f>
        <v>Latin</v>
      </c>
      <c r="T387" t="str">
        <f ca="1">IFERROR(__xludf.DUMMYFUNCTION("""COMPUTED_VALUE"""),"indefinite")</f>
        <v>indefinite</v>
      </c>
      <c r="U387" t="str">
        <f ca="1">IFERROR(__xludf.DUMMYFUNCTION("""COMPUTED_VALUE"""),"C2553")</f>
        <v>C2553</v>
      </c>
      <c r="V387" t="str">
        <f ca="1">IFERROR(__xludf.DUMMYFUNCTION("""COMPUTED_VALUE"""),"male")</f>
        <v>male</v>
      </c>
      <c r="Z387" t="str">
        <f ca="1">IFERROR(__xludf.DUMMYFUNCTION("""COMPUTED_VALUE"""),"231, 232")</f>
        <v>231, 232</v>
      </c>
      <c r="AA387" t="str">
        <f ca="1">IFERROR(__xludf.DUMMYFUNCTION("""COMPUTED_VALUE"""),"d")</f>
        <v>d</v>
      </c>
      <c r="AB387" t="str">
        <f ca="1">IFERROR(__xludf.DUMMYFUNCTION("""COMPUTED_VALUE"""),"NA")</f>
        <v>NA</v>
      </c>
      <c r="AE387" t="str">
        <f ca="1">IFERROR(__xludf.DUMMYFUNCTION("""COMPUTED_VALUE"""),"#VALUE!")</f>
        <v>#VALUE!</v>
      </c>
      <c r="AF387" t="str">
        <f ca="1">IFERROR(__xludf.DUMMYFUNCTION("""COMPUTED_VALUE"""),"#N/A")</f>
        <v>#N/A</v>
      </c>
      <c r="AG387" t="str">
        <f ca="1">IFERROR(__xludf.DUMMYFUNCTION("""COMPUTED_VALUE"""),"#N/A")</f>
        <v>#N/A</v>
      </c>
      <c r="AI387" t="str">
        <f ca="1">IFERROR(__xludf.DUMMYFUNCTION("""COMPUTED_VALUE"""),"#VALUE!")</f>
        <v>#VALUE!</v>
      </c>
      <c r="AK387" t="str">
        <f ca="1">IFERROR(__xludf.DUMMYFUNCTION("""COMPUTED_VALUE"""),"#VALUE!")</f>
        <v>#VALUE!</v>
      </c>
      <c r="AM387" t="str">
        <f ca="1">IFERROR(__xludf.DUMMYFUNCTION("""COMPUTED_VALUE"""),"#VALUE!")</f>
        <v>#VALUE!</v>
      </c>
      <c r="AO387" t="str">
        <f ca="1">IFERROR(__xludf.DUMMYFUNCTION("""COMPUTED_VALUE"""),"#VALUE!")</f>
        <v>#VALUE!</v>
      </c>
      <c r="AQ387" t="str">
        <f ca="1">IFERROR(__xludf.DUMMYFUNCTION("""COMPUTED_VALUE"""),"#VALUE!")</f>
        <v>#VALUE!</v>
      </c>
      <c r="AS387" t="str">
        <f ca="1">IFERROR(__xludf.DUMMYFUNCTION("""COMPUTED_VALUE"""),"#VALUE!")</f>
        <v>#VALUE!</v>
      </c>
      <c r="AU387" t="str">
        <f ca="1">IFERROR(__xludf.DUMMYFUNCTION("""COMPUTED_VALUE"""),"#VALUE!")</f>
        <v>#VALUE!</v>
      </c>
      <c r="AW387" t="str">
        <f ca="1">IFERROR(__xludf.DUMMYFUNCTION("""COMPUTED_VALUE"""),"#VALUE!")</f>
        <v>#VALUE!</v>
      </c>
      <c r="AY387" t="str">
        <f ca="1">IFERROR(__xludf.DUMMYFUNCTION("""COMPUTED_VALUE"""),"#VALUE!")</f>
        <v>#VALUE!</v>
      </c>
      <c r="BA387" t="str">
        <f ca="1">IFERROR(__xludf.DUMMYFUNCTION("""COMPUTED_VALUE"""),"#VALUE!")</f>
        <v>#VALUE!</v>
      </c>
      <c r="BC387" t="str">
        <f ca="1">IFERROR(__xludf.DUMMYFUNCTION("""COMPUTED_VALUE"""),"#VALUE!")</f>
        <v>#VALUE!</v>
      </c>
      <c r="BE387" t="str">
        <f ca="1">IFERROR(__xludf.DUMMYFUNCTION("""COMPUTED_VALUE"""),"#VALUE!")</f>
        <v>#VALUE!</v>
      </c>
      <c r="BG387" t="str">
        <f ca="1">IFERROR(__xludf.DUMMYFUNCTION("""COMPUTED_VALUE"""),"#VALUE!")</f>
        <v>#VALUE!</v>
      </c>
      <c r="BI387" t="str">
        <f ca="1">IFERROR(__xludf.DUMMYFUNCTION("""COMPUTED_VALUE"""),"#VALUE!")</f>
        <v>#VALUE!</v>
      </c>
      <c r="BK387" t="str">
        <f ca="1">IFERROR(__xludf.DUMMYFUNCTION("""COMPUTED_VALUE"""),"#VALUE!")</f>
        <v>#VALUE!</v>
      </c>
      <c r="BM387" t="str">
        <f ca="1">IFERROR(__xludf.DUMMYFUNCTION("""COMPUTED_VALUE"""),"#VALUE!")</f>
        <v>#VALUE!</v>
      </c>
      <c r="BO387" t="str">
        <f ca="1">IFERROR(__xludf.DUMMYFUNCTION("""COMPUTED_VALUE"""),"#VALUE!")</f>
        <v>#VALUE!</v>
      </c>
      <c r="BQ387" t="str">
        <f ca="1">IFERROR(__xludf.DUMMYFUNCTION("""COMPUTED_VALUE"""),"#VALUE!")</f>
        <v>#VALUE!</v>
      </c>
      <c r="BS387" t="str">
        <f ca="1">IFERROR(__xludf.DUMMYFUNCTION("""COMPUTED_VALUE"""),"#VALUE!")</f>
        <v>#VALUE!</v>
      </c>
      <c r="BU387" t="str">
        <f ca="1">IFERROR(__xludf.DUMMYFUNCTION("""COMPUTED_VALUE"""),"#VALUE!")</f>
        <v>#VALUE!</v>
      </c>
      <c r="BW387" t="str">
        <f ca="1">IFERROR(__xludf.DUMMYFUNCTION("""COMPUTED_VALUE"""),"#VALUE!")</f>
        <v>#VALUE!</v>
      </c>
      <c r="BY387" t="str">
        <f ca="1">IFERROR(__xludf.DUMMYFUNCTION("""COMPUTED_VALUE"""),"#VALUE!")</f>
        <v>#VALUE!</v>
      </c>
      <c r="CA387" t="str">
        <f ca="1">IFERROR(__xludf.DUMMYFUNCTION("""COMPUTED_VALUE"""),"#VALUE!")</f>
        <v>#VALUE!</v>
      </c>
      <c r="CC387" t="str">
        <f ca="1">IFERROR(__xludf.DUMMYFUNCTION("""COMPUTED_VALUE"""),"#VALUE!")</f>
        <v>#VALUE!</v>
      </c>
      <c r="CE387" t="str">
        <f ca="1">IFERROR(__xludf.DUMMYFUNCTION("""COMPUTED_VALUE"""),"#VALUE!")</f>
        <v>#VALUE!</v>
      </c>
      <c r="CG387" t="str">
        <f ca="1">IFERROR(__xludf.DUMMYFUNCTION("""COMPUTED_VALUE"""),"#VALUE!")</f>
        <v>#VALUE!</v>
      </c>
      <c r="CI387" t="str">
        <f ca="1">IFERROR(__xludf.DUMMYFUNCTION("""COMPUTED_VALUE"""),"#VALUE!")</f>
        <v>#VALUE!</v>
      </c>
      <c r="CK387" t="str">
        <f ca="1">IFERROR(__xludf.DUMMYFUNCTION("""COMPUTED_VALUE"""),"#VALUE!")</f>
        <v>#VALUE!</v>
      </c>
      <c r="CS387" t="str">
        <f ca="1">IFERROR(__xludf.DUMMYFUNCTION("""COMPUTED_VALUE"""),"#VALUE!")</f>
        <v>#VALUE!</v>
      </c>
      <c r="CU387" t="str">
        <f ca="1">IFERROR(__xludf.DUMMYFUNCTION("""COMPUTED_VALUE"""),"#VALUE!")</f>
        <v>#VALUE!</v>
      </c>
      <c r="CW387" t="str">
        <f ca="1">IFERROR(__xludf.DUMMYFUNCTION("""COMPUTED_VALUE"""),"#VALUE!")</f>
        <v>#VALUE!</v>
      </c>
      <c r="CY387" t="str">
        <f ca="1">IFERROR(__xludf.DUMMYFUNCTION("""COMPUTED_VALUE"""),"#VALUE!")</f>
        <v>#VALUE!</v>
      </c>
      <c r="DC387" t="str">
        <f ca="1">IFERROR(__xludf.DUMMYFUNCTION("""COMPUTED_VALUE"""),"#VALUE!")</f>
        <v>#VALUE!</v>
      </c>
      <c r="DE387" t="str">
        <f ca="1">IFERROR(__xludf.DUMMYFUNCTION("""COMPUTED_VALUE"""),"#VALUE!")</f>
        <v>#VALUE!</v>
      </c>
      <c r="DI387" t="str">
        <f ca="1">IFERROR(__xludf.DUMMYFUNCTION("""COMPUTED_VALUE"""),"#VALUE!")</f>
        <v>#VALUE!</v>
      </c>
      <c r="DJ387" t="str">
        <f ca="1">IFERROR(__xludf.DUMMYFUNCTION("""COMPUTED_VALUE"""),"#VALUE!")</f>
        <v>#VALUE!</v>
      </c>
      <c r="DL387" t="str">
        <f ca="1">IFERROR(__xludf.DUMMYFUNCTION("""COMPUTED_VALUE"""),"Davor Salihović")</f>
        <v>Davor Salihović</v>
      </c>
    </row>
    <row r="388" spans="1:116" ht="13.2" x14ac:dyDescent="0.25">
      <c r="A388" t="str">
        <f ca="1">IFERROR(__xludf.DUMMYFUNCTION("""COMPUTED_VALUE"""),"P0395")</f>
        <v>P0395</v>
      </c>
      <c r="B388" t="str">
        <f ca="1">IFERROR(__xludf.DUMMYFUNCTION("""COMPUTED_VALUE"""),"Iacobina, filia Iohannis de Castaygno")</f>
        <v>Iacobina, filia Iohannis de Castaygno</v>
      </c>
      <c r="D388" t="str">
        <f ca="1">IFERROR(__xludf.DUMMYFUNCTION("""COMPUTED_VALUE"""),"#VALUE!")</f>
        <v>#VALUE!</v>
      </c>
      <c r="E388" t="str">
        <f ca="1">IFERROR(__xludf.DUMMYFUNCTION("""COMPUTED_VALUE"""),"Iacobina")</f>
        <v>Iacobina</v>
      </c>
      <c r="Q388" t="str">
        <f ca="1">IFERROR(__xludf.DUMMYFUNCTION("""COMPUTED_VALUE"""),"filia Iohannis de Castaygno")</f>
        <v>filia Iohannis de Castaygno</v>
      </c>
      <c r="S388" t="str">
        <f ca="1">IFERROR(__xludf.DUMMYFUNCTION("""COMPUTED_VALUE"""),"Latin")</f>
        <v>Latin</v>
      </c>
      <c r="T388" t="str">
        <f ca="1">IFERROR(__xludf.DUMMYFUNCTION("""COMPUTED_VALUE"""),"definite")</f>
        <v>definite</v>
      </c>
      <c r="U388" t="str">
        <f ca="1">IFERROR(__xludf.DUMMYFUNCTION("""COMPUTED_VALUE"""),"C2552")</f>
        <v>C2552</v>
      </c>
      <c r="V388" t="str">
        <f ca="1">IFERROR(__xludf.DUMMYFUNCTION("""COMPUTED_VALUE"""),"female")</f>
        <v>female</v>
      </c>
      <c r="Z388" t="str">
        <f ca="1">IFERROR(__xludf.DUMMYFUNCTION("""COMPUTED_VALUE"""),"232, 235, 250")</f>
        <v>232, 235, 250</v>
      </c>
      <c r="AA388" t="str">
        <f ca="1">IFERROR(__xludf.DUMMYFUNCTION("""COMPUTED_VALUE"""),"d")</f>
        <v>d</v>
      </c>
      <c r="AB388" t="str">
        <f ca="1">IFERROR(__xludf.DUMMYFUNCTION("""COMPUTED_VALUE"""),"suspect")</f>
        <v>suspect</v>
      </c>
      <c r="AD388" t="str">
        <f ca="1">IFERROR(__xludf.DUMMYFUNCTION("""COMPUTED_VALUE"""),"C3287")</f>
        <v>C3287</v>
      </c>
      <c r="AE388" t="str">
        <f ca="1">IFERROR(__xludf.DUMMYFUNCTION("""COMPUTED_VALUE"""),"alive")</f>
        <v>alive</v>
      </c>
      <c r="AF388" t="str">
        <f ca="1">IFERROR(__xludf.DUMMYFUNCTION("""COMPUTED_VALUE"""),"C1753")</f>
        <v>C1753</v>
      </c>
      <c r="AG388" t="str">
        <f ca="1">IFERROR(__xludf.DUMMYFUNCTION("""COMPUTED_VALUE"""),"1335-01-20")</f>
        <v>1335-01-20</v>
      </c>
      <c r="AI388" t="str">
        <f ca="1">IFERROR(__xludf.DUMMYFUNCTION("""COMPUTED_VALUE"""),"#VALUE!")</f>
        <v>#VALUE!</v>
      </c>
      <c r="AK388" t="str">
        <f ca="1">IFERROR(__xludf.DUMMYFUNCTION("""COMPUTED_VALUE"""),"#VALUE!")</f>
        <v>#VALUE!</v>
      </c>
      <c r="AM388" t="str">
        <f ca="1">IFERROR(__xludf.DUMMYFUNCTION("""COMPUTED_VALUE"""),"#VALUE!")</f>
        <v>#VALUE!</v>
      </c>
      <c r="AO388" t="str">
        <f ca="1">IFERROR(__xludf.DUMMYFUNCTION("""COMPUTED_VALUE"""),"#VALUE!")</f>
        <v>#VALUE!</v>
      </c>
      <c r="AQ388" t="str">
        <f ca="1">IFERROR(__xludf.DUMMYFUNCTION("""COMPUTED_VALUE"""),"#VALUE!")</f>
        <v>#VALUE!</v>
      </c>
      <c r="AS388" t="str">
        <f ca="1">IFERROR(__xludf.DUMMYFUNCTION("""COMPUTED_VALUE"""),"#VALUE!")</f>
        <v>#VALUE!</v>
      </c>
      <c r="AU388" t="str">
        <f ca="1">IFERROR(__xludf.DUMMYFUNCTION("""COMPUTED_VALUE"""),"#VALUE!")</f>
        <v>#VALUE!</v>
      </c>
      <c r="AW388" t="str">
        <f ca="1">IFERROR(__xludf.DUMMYFUNCTION("""COMPUTED_VALUE"""),"#VALUE!")</f>
        <v>#VALUE!</v>
      </c>
      <c r="AY388" t="str">
        <f ca="1">IFERROR(__xludf.DUMMYFUNCTION("""COMPUTED_VALUE"""),"#VALUE!")</f>
        <v>#VALUE!</v>
      </c>
      <c r="BA388" t="str">
        <f ca="1">IFERROR(__xludf.DUMMYFUNCTION("""COMPUTED_VALUE"""),"#VALUE!")</f>
        <v>#VALUE!</v>
      </c>
      <c r="BC388" t="str">
        <f ca="1">IFERROR(__xludf.DUMMYFUNCTION("""COMPUTED_VALUE"""),"#VALUE!")</f>
        <v>#VALUE!</v>
      </c>
      <c r="BE388" t="str">
        <f ca="1">IFERROR(__xludf.DUMMYFUNCTION("""COMPUTED_VALUE"""),"#VALUE!")</f>
        <v>#VALUE!</v>
      </c>
      <c r="BG388" t="str">
        <f ca="1">IFERROR(__xludf.DUMMYFUNCTION("""COMPUTED_VALUE"""),"#VALUE!")</f>
        <v>#VALUE!</v>
      </c>
      <c r="BI388" t="str">
        <f ca="1">IFERROR(__xludf.DUMMYFUNCTION("""COMPUTED_VALUE"""),"#VALUE!")</f>
        <v>#VALUE!</v>
      </c>
      <c r="BK388" t="str">
        <f ca="1">IFERROR(__xludf.DUMMYFUNCTION("""COMPUTED_VALUE"""),"#VALUE!")</f>
        <v>#VALUE!</v>
      </c>
      <c r="BM388" t="str">
        <f ca="1">IFERROR(__xludf.DUMMYFUNCTION("""COMPUTED_VALUE"""),"#VALUE!")</f>
        <v>#VALUE!</v>
      </c>
      <c r="BO388" t="str">
        <f ca="1">IFERROR(__xludf.DUMMYFUNCTION("""COMPUTED_VALUE"""),"#VALUE!")</f>
        <v>#VALUE!</v>
      </c>
      <c r="BQ388" t="str">
        <f ca="1">IFERROR(__xludf.DUMMYFUNCTION("""COMPUTED_VALUE"""),"#VALUE!")</f>
        <v>#VALUE!</v>
      </c>
      <c r="BS388" t="str">
        <f ca="1">IFERROR(__xludf.DUMMYFUNCTION("""COMPUTED_VALUE"""),"#VALUE!")</f>
        <v>#VALUE!</v>
      </c>
      <c r="BU388" t="str">
        <f ca="1">IFERROR(__xludf.DUMMYFUNCTION("""COMPUTED_VALUE"""),"#VALUE!")</f>
        <v>#VALUE!</v>
      </c>
      <c r="BW388" t="str">
        <f ca="1">IFERROR(__xludf.DUMMYFUNCTION("""COMPUTED_VALUE"""),"#VALUE!")</f>
        <v>#VALUE!</v>
      </c>
      <c r="BY388" t="str">
        <f ca="1">IFERROR(__xludf.DUMMYFUNCTION("""COMPUTED_VALUE"""),"#VALUE!")</f>
        <v>#VALUE!</v>
      </c>
      <c r="CA388" t="str">
        <f ca="1">IFERROR(__xludf.DUMMYFUNCTION("""COMPUTED_VALUE"""),"#VALUE!")</f>
        <v>#VALUE!</v>
      </c>
      <c r="CC388" t="str">
        <f ca="1">IFERROR(__xludf.DUMMYFUNCTION("""COMPUTED_VALUE"""),"#VALUE!")</f>
        <v>#VALUE!</v>
      </c>
      <c r="CD388" t="str">
        <f ca="1">IFERROR(__xludf.DUMMYFUNCTION("""COMPUTED_VALUE"""),"C3598")</f>
        <v>C3598</v>
      </c>
      <c r="CE388" t="str">
        <f ca="1">IFERROR(__xludf.DUMMYFUNCTION("""COMPUTED_VALUE"""),"location of congregation")</f>
        <v>location of congregation</v>
      </c>
      <c r="CF388" t="str">
        <f ca="1">IFERROR(__xludf.DUMMYFUNCTION("""COMPUTED_VALUE"""),"L0065")</f>
        <v>L0065</v>
      </c>
      <c r="CG388" t="str">
        <f ca="1">IFERROR(__xludf.DUMMYFUNCTION("""COMPUTED_VALUE"""),"domus Iohannis de Castagno de Giaveno")</f>
        <v>domus Iohannis de Castagno de Giaveno</v>
      </c>
      <c r="CI388" t="str">
        <f ca="1">IFERROR(__xludf.DUMMYFUNCTION("""COMPUTED_VALUE"""),"#VALUE!")</f>
        <v>#VALUE!</v>
      </c>
      <c r="CJ388" t="str">
        <f ca="1">IFERROR(__xludf.DUMMYFUNCTION("""COMPUTED_VALUE"""),"P0229")</f>
        <v>P0229</v>
      </c>
      <c r="CK388" t="str">
        <f ca="1">IFERROR(__xludf.DUMMYFUNCTION("""COMPUTED_VALUE"""),"Marguerita Borsseta")</f>
        <v>Marguerita Borsseta</v>
      </c>
      <c r="CS388" t="str">
        <f ca="1">IFERROR(__xludf.DUMMYFUNCTION("""COMPUTED_VALUE"""),"#VALUE!")</f>
        <v>#VALUE!</v>
      </c>
      <c r="CU388" t="str">
        <f ca="1">IFERROR(__xludf.DUMMYFUNCTION("""COMPUTED_VALUE"""),"#VALUE!")</f>
        <v>#VALUE!</v>
      </c>
      <c r="CW388" t="str">
        <f ca="1">IFERROR(__xludf.DUMMYFUNCTION("""COMPUTED_VALUE"""),"#VALUE!")</f>
        <v>#VALUE!</v>
      </c>
      <c r="CY388" t="str">
        <f ca="1">IFERROR(__xludf.DUMMYFUNCTION("""COMPUTED_VALUE"""),"#VALUE!")</f>
        <v>#VALUE!</v>
      </c>
      <c r="DC388" t="str">
        <f ca="1">IFERROR(__xludf.DUMMYFUNCTION("""COMPUTED_VALUE"""),"#VALUE!")</f>
        <v>#VALUE!</v>
      </c>
      <c r="DE388" t="str">
        <f ca="1">IFERROR(__xludf.DUMMYFUNCTION("""COMPUTED_VALUE"""),"#VALUE!")</f>
        <v>#VALUE!</v>
      </c>
      <c r="DF388" t="str">
        <f ca="1">IFERROR(__xludf.DUMMYFUNCTION("""COMPUTED_VALUE"""),"y")</f>
        <v>y</v>
      </c>
      <c r="DG388" t="str">
        <f ca="1">IFERROR(__xludf.DUMMYFUNCTION("""COMPUTED_VALUE"""),"235")</f>
        <v>235</v>
      </c>
      <c r="DH388" t="str">
        <f ca="1">IFERROR(__xludf.DUMMYFUNCTION("""COMPUTED_VALUE"""),"L0065")</f>
        <v>L0065</v>
      </c>
      <c r="DI388" t="str">
        <f ca="1">IFERROR(__xludf.DUMMYFUNCTION("""COMPUTED_VALUE"""),"domus Iohannis de Castagno de Giaveno")</f>
        <v>domus Iohannis de Castagno de Giaveno</v>
      </c>
      <c r="DJ388" t="str">
        <f ca="1">IFERROR(__xludf.DUMMYFUNCTION("""COMPUTED_VALUE"""),"domus")</f>
        <v>domus</v>
      </c>
      <c r="DL388" t="str">
        <f ca="1">IFERROR(__xludf.DUMMYFUNCTION("""COMPUTED_VALUE"""),"Davor Salihović")</f>
        <v>Davor Salihović</v>
      </c>
    </row>
    <row r="389" spans="1:116" ht="13.2" x14ac:dyDescent="0.25">
      <c r="A389" t="str">
        <f ca="1">IFERROR(__xludf.DUMMYFUNCTION("""COMPUTED_VALUE"""),"P0396")</f>
        <v>P0396</v>
      </c>
      <c r="B389" t="str">
        <f ca="1">IFERROR(__xludf.DUMMYFUNCTION("""COMPUTED_VALUE"""),"Petrus de Guigo")</f>
        <v>Petrus de Guigo</v>
      </c>
      <c r="D389" t="str">
        <f ca="1">IFERROR(__xludf.DUMMYFUNCTION("""COMPUTED_VALUE"""),"#VALUE!")</f>
        <v>#VALUE!</v>
      </c>
      <c r="E389" t="str">
        <f ca="1">IFERROR(__xludf.DUMMYFUNCTION("""COMPUTED_VALUE"""),"Petrus")</f>
        <v>Petrus</v>
      </c>
      <c r="J389" t="str">
        <f ca="1">IFERROR(__xludf.DUMMYFUNCTION("""COMPUTED_VALUE"""),"de")</f>
        <v>de</v>
      </c>
      <c r="K389" t="str">
        <f ca="1">IFERROR(__xludf.DUMMYFUNCTION("""COMPUTED_VALUE"""),"Guigo")</f>
        <v>Guigo</v>
      </c>
      <c r="L389" t="str">
        <f ca="1">IFERROR(__xludf.DUMMYFUNCTION("""COMPUTED_VALUE"""),"de Guigo")</f>
        <v>de Guigo</v>
      </c>
      <c r="S389" t="str">
        <f ca="1">IFERROR(__xludf.DUMMYFUNCTION("""COMPUTED_VALUE"""),"Latin")</f>
        <v>Latin</v>
      </c>
      <c r="T389" t="str">
        <f ca="1">IFERROR(__xludf.DUMMYFUNCTION("""COMPUTED_VALUE"""),"definite")</f>
        <v>definite</v>
      </c>
      <c r="U389" t="str">
        <f ca="1">IFERROR(__xludf.DUMMYFUNCTION("""COMPUTED_VALUE"""),"C2553")</f>
        <v>C2553</v>
      </c>
      <c r="V389" t="str">
        <f ca="1">IFERROR(__xludf.DUMMYFUNCTION("""COMPUTED_VALUE"""),"male")</f>
        <v>male</v>
      </c>
      <c r="Z389" t="str">
        <f ca="1">IFERROR(__xludf.DUMMYFUNCTION("""COMPUTED_VALUE"""),"233")</f>
        <v>233</v>
      </c>
      <c r="AA389" t="str">
        <f ca="1">IFERROR(__xludf.DUMMYFUNCTION("""COMPUTED_VALUE"""),"d")</f>
        <v>d</v>
      </c>
      <c r="AB389" t="str">
        <f ca="1">IFERROR(__xludf.DUMMYFUNCTION("""COMPUTED_VALUE"""),"NA")</f>
        <v>NA</v>
      </c>
      <c r="AD389" t="str">
        <f ca="1">IFERROR(__xludf.DUMMYFUNCTION("""COMPUTED_VALUE"""),"C3287")</f>
        <v>C3287</v>
      </c>
      <c r="AE389" t="str">
        <f ca="1">IFERROR(__xludf.DUMMYFUNCTION("""COMPUTED_VALUE"""),"alive")</f>
        <v>alive</v>
      </c>
      <c r="AF389" t="str">
        <f ca="1">IFERROR(__xludf.DUMMYFUNCTION("""COMPUTED_VALUE"""),"C1753")</f>
        <v>C1753</v>
      </c>
      <c r="AG389" t="str">
        <f ca="1">IFERROR(__xludf.DUMMYFUNCTION("""COMPUTED_VALUE"""),"1335-01-20")</f>
        <v>1335-01-20</v>
      </c>
      <c r="AI389" t="str">
        <f ca="1">IFERROR(__xludf.DUMMYFUNCTION("""COMPUTED_VALUE"""),"#VALUE!")</f>
        <v>#VALUE!</v>
      </c>
      <c r="AK389" t="str">
        <f ca="1">IFERROR(__xludf.DUMMYFUNCTION("""COMPUTED_VALUE"""),"#VALUE!")</f>
        <v>#VALUE!</v>
      </c>
      <c r="AM389" t="str">
        <f ca="1">IFERROR(__xludf.DUMMYFUNCTION("""COMPUTED_VALUE"""),"#VALUE!")</f>
        <v>#VALUE!</v>
      </c>
      <c r="AO389" t="str">
        <f ca="1">IFERROR(__xludf.DUMMYFUNCTION("""COMPUTED_VALUE"""),"#VALUE!")</f>
        <v>#VALUE!</v>
      </c>
      <c r="AQ389" t="str">
        <f ca="1">IFERROR(__xludf.DUMMYFUNCTION("""COMPUTED_VALUE"""),"#VALUE!")</f>
        <v>#VALUE!</v>
      </c>
      <c r="AS389" t="str">
        <f ca="1">IFERROR(__xludf.DUMMYFUNCTION("""COMPUTED_VALUE"""),"#VALUE!")</f>
        <v>#VALUE!</v>
      </c>
      <c r="AU389" t="str">
        <f ca="1">IFERROR(__xludf.DUMMYFUNCTION("""COMPUTED_VALUE"""),"#VALUE!")</f>
        <v>#VALUE!</v>
      </c>
      <c r="AW389" t="str">
        <f ca="1">IFERROR(__xludf.DUMMYFUNCTION("""COMPUTED_VALUE"""),"#VALUE!")</f>
        <v>#VALUE!</v>
      </c>
      <c r="AY389" t="str">
        <f ca="1">IFERROR(__xludf.DUMMYFUNCTION("""COMPUTED_VALUE"""),"#VALUE!")</f>
        <v>#VALUE!</v>
      </c>
      <c r="BA389" t="str">
        <f ca="1">IFERROR(__xludf.DUMMYFUNCTION("""COMPUTED_VALUE"""),"#VALUE!")</f>
        <v>#VALUE!</v>
      </c>
      <c r="BC389" t="str">
        <f ca="1">IFERROR(__xludf.DUMMYFUNCTION("""COMPUTED_VALUE"""),"#VALUE!")</f>
        <v>#VALUE!</v>
      </c>
      <c r="BE389" t="str">
        <f ca="1">IFERROR(__xludf.DUMMYFUNCTION("""COMPUTED_VALUE"""),"#VALUE!")</f>
        <v>#VALUE!</v>
      </c>
      <c r="BG389" t="str">
        <f ca="1">IFERROR(__xludf.DUMMYFUNCTION("""COMPUTED_VALUE"""),"#VALUE!")</f>
        <v>#VALUE!</v>
      </c>
      <c r="BI389" t="str">
        <f ca="1">IFERROR(__xludf.DUMMYFUNCTION("""COMPUTED_VALUE"""),"#VALUE!")</f>
        <v>#VALUE!</v>
      </c>
      <c r="BK389" t="str">
        <f ca="1">IFERROR(__xludf.DUMMYFUNCTION("""COMPUTED_VALUE"""),"#VALUE!")</f>
        <v>#VALUE!</v>
      </c>
      <c r="BM389" t="str">
        <f ca="1">IFERROR(__xludf.DUMMYFUNCTION("""COMPUTED_VALUE"""),"#VALUE!")</f>
        <v>#VALUE!</v>
      </c>
      <c r="BO389" t="str">
        <f ca="1">IFERROR(__xludf.DUMMYFUNCTION("""COMPUTED_VALUE"""),"#VALUE!")</f>
        <v>#VALUE!</v>
      </c>
      <c r="BQ389" t="str">
        <f ca="1">IFERROR(__xludf.DUMMYFUNCTION("""COMPUTED_VALUE"""),"#VALUE!")</f>
        <v>#VALUE!</v>
      </c>
      <c r="BS389" t="str">
        <f ca="1">IFERROR(__xludf.DUMMYFUNCTION("""COMPUTED_VALUE"""),"#VALUE!")</f>
        <v>#VALUE!</v>
      </c>
      <c r="BU389" t="str">
        <f ca="1">IFERROR(__xludf.DUMMYFUNCTION("""COMPUTED_VALUE"""),"#VALUE!")</f>
        <v>#VALUE!</v>
      </c>
      <c r="BW389" t="str">
        <f ca="1">IFERROR(__xludf.DUMMYFUNCTION("""COMPUTED_VALUE"""),"#VALUE!")</f>
        <v>#VALUE!</v>
      </c>
      <c r="BY389" t="str">
        <f ca="1">IFERROR(__xludf.DUMMYFUNCTION("""COMPUTED_VALUE"""),"#VALUE!")</f>
        <v>#VALUE!</v>
      </c>
      <c r="CA389" t="str">
        <f ca="1">IFERROR(__xludf.DUMMYFUNCTION("""COMPUTED_VALUE"""),"#VALUE!")</f>
        <v>#VALUE!</v>
      </c>
      <c r="CC389" t="str">
        <f ca="1">IFERROR(__xludf.DUMMYFUNCTION("""COMPUTED_VALUE"""),"#VALUE!")</f>
        <v>#VALUE!</v>
      </c>
      <c r="CE389" t="str">
        <f ca="1">IFERROR(__xludf.DUMMYFUNCTION("""COMPUTED_VALUE"""),"#VALUE!")</f>
        <v>#VALUE!</v>
      </c>
      <c r="CG389" t="str">
        <f ca="1">IFERROR(__xludf.DUMMYFUNCTION("""COMPUTED_VALUE"""),"#VALUE!")</f>
        <v>#VALUE!</v>
      </c>
      <c r="CI389" t="str">
        <f ca="1">IFERROR(__xludf.DUMMYFUNCTION("""COMPUTED_VALUE"""),"#VALUE!")</f>
        <v>#VALUE!</v>
      </c>
      <c r="CK389" t="str">
        <f ca="1">IFERROR(__xludf.DUMMYFUNCTION("""COMPUTED_VALUE"""),"#VALUE!")</f>
        <v>#VALUE!</v>
      </c>
      <c r="CS389" t="str">
        <f ca="1">IFERROR(__xludf.DUMMYFUNCTION("""COMPUTED_VALUE"""),"#VALUE!")</f>
        <v>#VALUE!</v>
      </c>
      <c r="CU389" t="str">
        <f ca="1">IFERROR(__xludf.DUMMYFUNCTION("""COMPUTED_VALUE"""),"#VALUE!")</f>
        <v>#VALUE!</v>
      </c>
      <c r="CW389" t="str">
        <f ca="1">IFERROR(__xludf.DUMMYFUNCTION("""COMPUTED_VALUE"""),"#VALUE!")</f>
        <v>#VALUE!</v>
      </c>
      <c r="CY389" t="str">
        <f ca="1">IFERROR(__xludf.DUMMYFUNCTION("""COMPUTED_VALUE"""),"#VALUE!")</f>
        <v>#VALUE!</v>
      </c>
      <c r="DC389" t="str">
        <f ca="1">IFERROR(__xludf.DUMMYFUNCTION("""COMPUTED_VALUE"""),"#VALUE!")</f>
        <v>#VALUE!</v>
      </c>
      <c r="DE389" t="str">
        <f ca="1">IFERROR(__xludf.DUMMYFUNCTION("""COMPUTED_VALUE"""),"#VALUE!")</f>
        <v>#VALUE!</v>
      </c>
      <c r="DI389" t="str">
        <f ca="1">IFERROR(__xludf.DUMMYFUNCTION("""COMPUTED_VALUE"""),"#VALUE!")</f>
        <v>#VALUE!</v>
      </c>
      <c r="DJ389" t="str">
        <f ca="1">IFERROR(__xludf.DUMMYFUNCTION("""COMPUTED_VALUE"""),"#VALUE!")</f>
        <v>#VALUE!</v>
      </c>
      <c r="DL389" t="str">
        <f ca="1">IFERROR(__xludf.DUMMYFUNCTION("""COMPUTED_VALUE"""),"Davor Salihović")</f>
        <v>Davor Salihović</v>
      </c>
    </row>
    <row r="390" spans="1:116" ht="13.2" x14ac:dyDescent="0.25">
      <c r="A390" t="str">
        <f ca="1">IFERROR(__xludf.DUMMYFUNCTION("""COMPUTED_VALUE"""),"P0398")</f>
        <v>P0398</v>
      </c>
      <c r="B390" t="str">
        <f ca="1">IFERROR(__xludf.DUMMYFUNCTION("""COMPUTED_VALUE"""),"uxor Petri de Boyssono")</f>
        <v>uxor Petri de Boyssono</v>
      </c>
      <c r="D390" t="str">
        <f ca="1">IFERROR(__xludf.DUMMYFUNCTION("""COMPUTED_VALUE"""),"#VALUE!")</f>
        <v>#VALUE!</v>
      </c>
      <c r="E390" t="str">
        <f ca="1">IFERROR(__xludf.DUMMYFUNCTION("""COMPUTED_VALUE"""),"uxor Petri de Boyssono")</f>
        <v>uxor Petri de Boyssono</v>
      </c>
      <c r="Q390" t="str">
        <f ca="1">IFERROR(__xludf.DUMMYFUNCTION("""COMPUTED_VALUE"""),"uxor Petri de Boyssono")</f>
        <v>uxor Petri de Boyssono</v>
      </c>
      <c r="S390" t="str">
        <f ca="1">IFERROR(__xludf.DUMMYFUNCTION("""COMPUTED_VALUE"""),"Latin")</f>
        <v>Latin</v>
      </c>
      <c r="T390" t="str">
        <f ca="1">IFERROR(__xludf.DUMMYFUNCTION("""COMPUTED_VALUE"""),"definite")</f>
        <v>definite</v>
      </c>
      <c r="U390" t="str">
        <f ca="1">IFERROR(__xludf.DUMMYFUNCTION("""COMPUTED_VALUE"""),"C2552")</f>
        <v>C2552</v>
      </c>
      <c r="V390" t="str">
        <f ca="1">IFERROR(__xludf.DUMMYFUNCTION("""COMPUTED_VALUE"""),"female")</f>
        <v>female</v>
      </c>
      <c r="Z390" t="str">
        <f ca="1">IFERROR(__xludf.DUMMYFUNCTION("""COMPUTED_VALUE"""),"233")</f>
        <v>233</v>
      </c>
      <c r="AA390" t="str">
        <f ca="1">IFERROR(__xludf.DUMMYFUNCTION("""COMPUTED_VALUE"""),"d")</f>
        <v>d</v>
      </c>
      <c r="AB390" t="str">
        <f ca="1">IFERROR(__xludf.DUMMYFUNCTION("""COMPUTED_VALUE"""),"suspect")</f>
        <v>suspect</v>
      </c>
      <c r="AE390" t="str">
        <f ca="1">IFERROR(__xludf.DUMMYFUNCTION("""COMPUTED_VALUE"""),"#VALUE!")</f>
        <v>#VALUE!</v>
      </c>
      <c r="AF390" t="str">
        <f ca="1">IFERROR(__xludf.DUMMYFUNCTION("""COMPUTED_VALUE"""),"#N/A")</f>
        <v>#N/A</v>
      </c>
      <c r="AG390" t="str">
        <f ca="1">IFERROR(__xludf.DUMMYFUNCTION("""COMPUTED_VALUE"""),"#N/A")</f>
        <v>#N/A</v>
      </c>
      <c r="AI390" t="str">
        <f ca="1">IFERROR(__xludf.DUMMYFUNCTION("""COMPUTED_VALUE"""),"#VALUE!")</f>
        <v>#VALUE!</v>
      </c>
      <c r="AK390" t="str">
        <f ca="1">IFERROR(__xludf.DUMMYFUNCTION("""COMPUTED_VALUE"""),"#VALUE!")</f>
        <v>#VALUE!</v>
      </c>
      <c r="AM390" t="str">
        <f ca="1">IFERROR(__xludf.DUMMYFUNCTION("""COMPUTED_VALUE"""),"#VALUE!")</f>
        <v>#VALUE!</v>
      </c>
      <c r="AO390" t="str">
        <f ca="1">IFERROR(__xludf.DUMMYFUNCTION("""COMPUTED_VALUE"""),"#VALUE!")</f>
        <v>#VALUE!</v>
      </c>
      <c r="AQ390" t="str">
        <f ca="1">IFERROR(__xludf.DUMMYFUNCTION("""COMPUTED_VALUE"""),"#VALUE!")</f>
        <v>#VALUE!</v>
      </c>
      <c r="AS390" t="str">
        <f ca="1">IFERROR(__xludf.DUMMYFUNCTION("""COMPUTED_VALUE"""),"#VALUE!")</f>
        <v>#VALUE!</v>
      </c>
      <c r="AU390" t="str">
        <f ca="1">IFERROR(__xludf.DUMMYFUNCTION("""COMPUTED_VALUE"""),"#VALUE!")</f>
        <v>#VALUE!</v>
      </c>
      <c r="AW390" t="str">
        <f ca="1">IFERROR(__xludf.DUMMYFUNCTION("""COMPUTED_VALUE"""),"#VALUE!")</f>
        <v>#VALUE!</v>
      </c>
      <c r="AY390" t="str">
        <f ca="1">IFERROR(__xludf.DUMMYFUNCTION("""COMPUTED_VALUE"""),"#VALUE!")</f>
        <v>#VALUE!</v>
      </c>
      <c r="BA390" t="str">
        <f ca="1">IFERROR(__xludf.DUMMYFUNCTION("""COMPUTED_VALUE"""),"#VALUE!")</f>
        <v>#VALUE!</v>
      </c>
      <c r="BC390" t="str">
        <f ca="1">IFERROR(__xludf.DUMMYFUNCTION("""COMPUTED_VALUE"""),"#VALUE!")</f>
        <v>#VALUE!</v>
      </c>
      <c r="BE390" t="str">
        <f ca="1">IFERROR(__xludf.DUMMYFUNCTION("""COMPUTED_VALUE"""),"#VALUE!")</f>
        <v>#VALUE!</v>
      </c>
      <c r="BG390" t="str">
        <f ca="1">IFERROR(__xludf.DUMMYFUNCTION("""COMPUTED_VALUE"""),"#VALUE!")</f>
        <v>#VALUE!</v>
      </c>
      <c r="BI390" t="str">
        <f ca="1">IFERROR(__xludf.DUMMYFUNCTION("""COMPUTED_VALUE"""),"#VALUE!")</f>
        <v>#VALUE!</v>
      </c>
      <c r="BK390" t="str">
        <f ca="1">IFERROR(__xludf.DUMMYFUNCTION("""COMPUTED_VALUE"""),"#VALUE!")</f>
        <v>#VALUE!</v>
      </c>
      <c r="BM390" t="str">
        <f ca="1">IFERROR(__xludf.DUMMYFUNCTION("""COMPUTED_VALUE"""),"#VALUE!")</f>
        <v>#VALUE!</v>
      </c>
      <c r="BO390" t="str">
        <f ca="1">IFERROR(__xludf.DUMMYFUNCTION("""COMPUTED_VALUE"""),"#VALUE!")</f>
        <v>#VALUE!</v>
      </c>
      <c r="BQ390" t="str">
        <f ca="1">IFERROR(__xludf.DUMMYFUNCTION("""COMPUTED_VALUE"""),"#VALUE!")</f>
        <v>#VALUE!</v>
      </c>
      <c r="BS390" t="str">
        <f ca="1">IFERROR(__xludf.DUMMYFUNCTION("""COMPUTED_VALUE"""),"#VALUE!")</f>
        <v>#VALUE!</v>
      </c>
      <c r="BU390" t="str">
        <f ca="1">IFERROR(__xludf.DUMMYFUNCTION("""COMPUTED_VALUE"""),"#VALUE!")</f>
        <v>#VALUE!</v>
      </c>
      <c r="BW390" t="str">
        <f ca="1">IFERROR(__xludf.DUMMYFUNCTION("""COMPUTED_VALUE"""),"#VALUE!")</f>
        <v>#VALUE!</v>
      </c>
      <c r="BY390" t="str">
        <f ca="1">IFERROR(__xludf.DUMMYFUNCTION("""COMPUTED_VALUE"""),"#VALUE!")</f>
        <v>#VALUE!</v>
      </c>
      <c r="CA390" t="str">
        <f ca="1">IFERROR(__xludf.DUMMYFUNCTION("""COMPUTED_VALUE"""),"#VALUE!")</f>
        <v>#VALUE!</v>
      </c>
      <c r="CC390" t="str">
        <f ca="1">IFERROR(__xludf.DUMMYFUNCTION("""COMPUTED_VALUE"""),"#VALUE!")</f>
        <v>#VALUE!</v>
      </c>
      <c r="CD390" t="str">
        <f ca="1">IFERROR(__xludf.DUMMYFUNCTION("""COMPUTED_VALUE"""),"C3598")</f>
        <v>C3598</v>
      </c>
      <c r="CE390" t="str">
        <f ca="1">IFERROR(__xludf.DUMMYFUNCTION("""COMPUTED_VALUE"""),"location of congregation")</f>
        <v>location of congregation</v>
      </c>
      <c r="CF390" t="str">
        <f ca="1">IFERROR(__xludf.DUMMYFUNCTION("""COMPUTED_VALUE"""),"L0106")</f>
        <v>L0106</v>
      </c>
      <c r="CG390" t="str">
        <f ca="1">IFERROR(__xludf.DUMMYFUNCTION("""COMPUTED_VALUE"""),"domus Petri de Boysono")</f>
        <v>domus Petri de Boysono</v>
      </c>
      <c r="CI390" t="str">
        <f ca="1">IFERROR(__xludf.DUMMYFUNCTION("""COMPUTED_VALUE"""),"#VALUE!")</f>
        <v>#VALUE!</v>
      </c>
      <c r="CK390" t="str">
        <f ca="1">IFERROR(__xludf.DUMMYFUNCTION("""COMPUTED_VALUE"""),"#VALUE!")</f>
        <v>#VALUE!</v>
      </c>
      <c r="CS390" t="str">
        <f ca="1">IFERROR(__xludf.DUMMYFUNCTION("""COMPUTED_VALUE"""),"#VALUE!")</f>
        <v>#VALUE!</v>
      </c>
      <c r="CU390" t="str">
        <f ca="1">IFERROR(__xludf.DUMMYFUNCTION("""COMPUTED_VALUE"""),"#VALUE!")</f>
        <v>#VALUE!</v>
      </c>
      <c r="CW390" t="str">
        <f ca="1">IFERROR(__xludf.DUMMYFUNCTION("""COMPUTED_VALUE"""),"#VALUE!")</f>
        <v>#VALUE!</v>
      </c>
      <c r="CY390" t="str">
        <f ca="1">IFERROR(__xludf.DUMMYFUNCTION("""COMPUTED_VALUE"""),"#VALUE!")</f>
        <v>#VALUE!</v>
      </c>
      <c r="DC390" t="str">
        <f ca="1">IFERROR(__xludf.DUMMYFUNCTION("""COMPUTED_VALUE"""),"#VALUE!")</f>
        <v>#VALUE!</v>
      </c>
      <c r="DE390" t="str">
        <f ca="1">IFERROR(__xludf.DUMMYFUNCTION("""COMPUTED_VALUE"""),"#VALUE!")</f>
        <v>#VALUE!</v>
      </c>
      <c r="DH390" t="str">
        <f ca="1">IFERROR(__xludf.DUMMYFUNCTION("""COMPUTED_VALUE"""),"L0106")</f>
        <v>L0106</v>
      </c>
      <c r="DI390" t="str">
        <f ca="1">IFERROR(__xludf.DUMMYFUNCTION("""COMPUTED_VALUE"""),"domus Petri de Boysono")</f>
        <v>domus Petri de Boysono</v>
      </c>
      <c r="DJ390" t="str">
        <f ca="1">IFERROR(__xludf.DUMMYFUNCTION("""COMPUTED_VALUE"""),"domus")</f>
        <v>domus</v>
      </c>
      <c r="DL390" t="str">
        <f ca="1">IFERROR(__xludf.DUMMYFUNCTION("""COMPUTED_VALUE"""),"Davor Salihović")</f>
        <v>Davor Salihović</v>
      </c>
    </row>
    <row r="391" spans="1:116" ht="13.2" x14ac:dyDescent="0.25">
      <c r="A391" t="str">
        <f ca="1">IFERROR(__xludf.DUMMYFUNCTION("""COMPUTED_VALUE"""),"P0399")</f>
        <v>P0399</v>
      </c>
      <c r="B391" t="str">
        <f ca="1">IFERROR(__xludf.DUMMYFUNCTION("""COMPUTED_VALUE"""),"Petrus David")</f>
        <v>Petrus David</v>
      </c>
      <c r="D391" t="str">
        <f ca="1">IFERROR(__xludf.DUMMYFUNCTION("""COMPUTED_VALUE"""),"#VALUE!")</f>
        <v>#VALUE!</v>
      </c>
      <c r="E391" t="str">
        <f ca="1">IFERROR(__xludf.DUMMYFUNCTION("""COMPUTED_VALUE"""),"Petrus")</f>
        <v>Petrus</v>
      </c>
      <c r="K391" t="str">
        <f ca="1">IFERROR(__xludf.DUMMYFUNCTION("""COMPUTED_VALUE"""),"David")</f>
        <v>David</v>
      </c>
      <c r="L391" t="str">
        <f ca="1">IFERROR(__xludf.DUMMYFUNCTION("""COMPUTED_VALUE"""),"David")</f>
        <v>David</v>
      </c>
      <c r="S391" t="str">
        <f ca="1">IFERROR(__xludf.DUMMYFUNCTION("""COMPUTED_VALUE"""),"Latin")</f>
        <v>Latin</v>
      </c>
      <c r="T391" t="str">
        <f ca="1">IFERROR(__xludf.DUMMYFUNCTION("""COMPUTED_VALUE"""),"definite")</f>
        <v>definite</v>
      </c>
      <c r="U391" t="str">
        <f ca="1">IFERROR(__xludf.DUMMYFUNCTION("""COMPUTED_VALUE"""),"C2553")</f>
        <v>C2553</v>
      </c>
      <c r="V391" t="str">
        <f ca="1">IFERROR(__xludf.DUMMYFUNCTION("""COMPUTED_VALUE"""),"male")</f>
        <v>male</v>
      </c>
      <c r="Z391" t="str">
        <f ca="1">IFERROR(__xludf.DUMMYFUNCTION("""COMPUTED_VALUE"""),"234, 237, 238")</f>
        <v>234, 237, 238</v>
      </c>
      <c r="AA391" t="str">
        <f ca="1">IFERROR(__xludf.DUMMYFUNCTION("""COMPUTED_VALUE"""),"d")</f>
        <v>d</v>
      </c>
      <c r="AB391" t="str">
        <f ca="1">IFERROR(__xludf.DUMMYFUNCTION("""COMPUTED_VALUE"""),"suspect")</f>
        <v>suspect</v>
      </c>
      <c r="AC391" t="str">
        <f ca="1">IFERROR(__xludf.DUMMYFUNCTION("""COMPUTED_VALUE"""),"y")</f>
        <v>y</v>
      </c>
      <c r="AD391" t="str">
        <f ca="1">IFERROR(__xludf.DUMMYFUNCTION("""COMPUTED_VALUE"""),"C3288")</f>
        <v>C3288</v>
      </c>
      <c r="AE391" t="str">
        <f ca="1">IFERROR(__xludf.DUMMYFUNCTION("""COMPUTED_VALUE"""),"dead")</f>
        <v>dead</v>
      </c>
      <c r="AF391" t="str">
        <f ca="1">IFERROR(__xludf.DUMMYFUNCTION("""COMPUTED_VALUE"""),"C1749")</f>
        <v>C1749</v>
      </c>
      <c r="AG391" t="str">
        <f ca="1">IFERROR(__xludf.DUMMYFUNCTION("""COMPUTED_VALUE"""),"1335-01-20")</f>
        <v>1335-01-20</v>
      </c>
      <c r="AH391" t="str">
        <f ca="1">IFERROR(__xludf.DUMMYFUNCTION("""COMPUTED_VALUE"""),"C2348")</f>
        <v>C2348</v>
      </c>
      <c r="AI391" t="str">
        <f ca="1">IFERROR(__xludf.DUMMYFUNCTION("""COMPUTED_VALUE"""),"wife")</f>
        <v>wife</v>
      </c>
      <c r="AJ391" t="str">
        <f ca="1">IFERROR(__xludf.DUMMYFUNCTION("""COMPUTED_VALUE"""),"P0400")</f>
        <v>P0400</v>
      </c>
      <c r="AK391" t="str">
        <f ca="1">IFERROR(__xludf.DUMMYFUNCTION("""COMPUTED_VALUE"""),"Iacobina, uxor Petri David")</f>
        <v>Iacobina, uxor Petri David</v>
      </c>
      <c r="AM391" t="str">
        <f ca="1">IFERROR(__xludf.DUMMYFUNCTION("""COMPUTED_VALUE"""),"#VALUE!")</f>
        <v>#VALUE!</v>
      </c>
      <c r="AO391" t="str">
        <f ca="1">IFERROR(__xludf.DUMMYFUNCTION("""COMPUTED_VALUE"""),"#VALUE!")</f>
        <v>#VALUE!</v>
      </c>
      <c r="AQ391" t="str">
        <f ca="1">IFERROR(__xludf.DUMMYFUNCTION("""COMPUTED_VALUE"""),"#VALUE!")</f>
        <v>#VALUE!</v>
      </c>
      <c r="AS391" t="str">
        <f ca="1">IFERROR(__xludf.DUMMYFUNCTION("""COMPUTED_VALUE"""),"#VALUE!")</f>
        <v>#VALUE!</v>
      </c>
      <c r="AU391" t="str">
        <f ca="1">IFERROR(__xludf.DUMMYFUNCTION("""COMPUTED_VALUE"""),"#VALUE!")</f>
        <v>#VALUE!</v>
      </c>
      <c r="AW391" t="str">
        <f ca="1">IFERROR(__xludf.DUMMYFUNCTION("""COMPUTED_VALUE"""),"#VALUE!")</f>
        <v>#VALUE!</v>
      </c>
      <c r="AY391" t="str">
        <f ca="1">IFERROR(__xludf.DUMMYFUNCTION("""COMPUTED_VALUE"""),"#VALUE!")</f>
        <v>#VALUE!</v>
      </c>
      <c r="BA391" t="str">
        <f ca="1">IFERROR(__xludf.DUMMYFUNCTION("""COMPUTED_VALUE"""),"#VALUE!")</f>
        <v>#VALUE!</v>
      </c>
      <c r="BC391" t="str">
        <f ca="1">IFERROR(__xludf.DUMMYFUNCTION("""COMPUTED_VALUE"""),"#VALUE!")</f>
        <v>#VALUE!</v>
      </c>
      <c r="BE391" t="str">
        <f ca="1">IFERROR(__xludf.DUMMYFUNCTION("""COMPUTED_VALUE"""),"#VALUE!")</f>
        <v>#VALUE!</v>
      </c>
      <c r="BG391" t="str">
        <f ca="1">IFERROR(__xludf.DUMMYFUNCTION("""COMPUTED_VALUE"""),"#VALUE!")</f>
        <v>#VALUE!</v>
      </c>
      <c r="BI391" t="str">
        <f ca="1">IFERROR(__xludf.DUMMYFUNCTION("""COMPUTED_VALUE"""),"#VALUE!")</f>
        <v>#VALUE!</v>
      </c>
      <c r="BK391" t="str">
        <f ca="1">IFERROR(__xludf.DUMMYFUNCTION("""COMPUTED_VALUE"""),"#VALUE!")</f>
        <v>#VALUE!</v>
      </c>
      <c r="BM391" t="str">
        <f ca="1">IFERROR(__xludf.DUMMYFUNCTION("""COMPUTED_VALUE"""),"#VALUE!")</f>
        <v>#VALUE!</v>
      </c>
      <c r="BO391" t="str">
        <f ca="1">IFERROR(__xludf.DUMMYFUNCTION("""COMPUTED_VALUE"""),"#VALUE!")</f>
        <v>#VALUE!</v>
      </c>
      <c r="BQ391" t="str">
        <f ca="1">IFERROR(__xludf.DUMMYFUNCTION("""COMPUTED_VALUE"""),"#VALUE!")</f>
        <v>#VALUE!</v>
      </c>
      <c r="BS391" t="str">
        <f ca="1">IFERROR(__xludf.DUMMYFUNCTION("""COMPUTED_VALUE"""),"#VALUE!")</f>
        <v>#VALUE!</v>
      </c>
      <c r="BU391" t="str">
        <f ca="1">IFERROR(__xludf.DUMMYFUNCTION("""COMPUTED_VALUE"""),"#VALUE!")</f>
        <v>#VALUE!</v>
      </c>
      <c r="BW391" t="str">
        <f ca="1">IFERROR(__xludf.DUMMYFUNCTION("""COMPUTED_VALUE"""),"#VALUE!")</f>
        <v>#VALUE!</v>
      </c>
      <c r="BY391" t="str">
        <f ca="1">IFERROR(__xludf.DUMMYFUNCTION("""COMPUTED_VALUE"""),"#VALUE!")</f>
        <v>#VALUE!</v>
      </c>
      <c r="CA391" t="str">
        <f ca="1">IFERROR(__xludf.DUMMYFUNCTION("""COMPUTED_VALUE"""),"#VALUE!")</f>
        <v>#VALUE!</v>
      </c>
      <c r="CC391" t="str">
        <f ca="1">IFERROR(__xludf.DUMMYFUNCTION("""COMPUTED_VALUE"""),"#VALUE!")</f>
        <v>#VALUE!</v>
      </c>
      <c r="CD391" t="str">
        <f ca="1">IFERROR(__xludf.DUMMYFUNCTION("""COMPUTED_VALUE"""),"C3598")</f>
        <v>C3598</v>
      </c>
      <c r="CE391" t="str">
        <f ca="1">IFERROR(__xludf.DUMMYFUNCTION("""COMPUTED_VALUE"""),"location of congregation")</f>
        <v>location of congregation</v>
      </c>
      <c r="CF391" t="str">
        <f ca="1">IFERROR(__xludf.DUMMYFUNCTION("""COMPUTED_VALUE"""),"L0136")</f>
        <v>L0136</v>
      </c>
      <c r="CG391" t="str">
        <f ca="1">IFERROR(__xludf.DUMMYFUNCTION("""COMPUTED_VALUE"""),"domus Petri David")</f>
        <v>domus Petri David</v>
      </c>
      <c r="CI391" t="str">
        <f ca="1">IFERROR(__xludf.DUMMYFUNCTION("""COMPUTED_VALUE"""),"#VALUE!")</f>
        <v>#VALUE!</v>
      </c>
      <c r="CK391" t="str">
        <f ca="1">IFERROR(__xludf.DUMMYFUNCTION("""COMPUTED_VALUE"""),"#VALUE!")</f>
        <v>#VALUE!</v>
      </c>
      <c r="CS391" t="str">
        <f ca="1">IFERROR(__xludf.DUMMYFUNCTION("""COMPUTED_VALUE"""),"#VALUE!")</f>
        <v>#VALUE!</v>
      </c>
      <c r="CU391" t="str">
        <f ca="1">IFERROR(__xludf.DUMMYFUNCTION("""COMPUTED_VALUE"""),"#VALUE!")</f>
        <v>#VALUE!</v>
      </c>
      <c r="CW391" t="str">
        <f ca="1">IFERROR(__xludf.DUMMYFUNCTION("""COMPUTED_VALUE"""),"#VALUE!")</f>
        <v>#VALUE!</v>
      </c>
      <c r="CY391" t="str">
        <f ca="1">IFERROR(__xludf.DUMMYFUNCTION("""COMPUTED_VALUE"""),"#VALUE!")</f>
        <v>#VALUE!</v>
      </c>
      <c r="DC391" t="str">
        <f ca="1">IFERROR(__xludf.DUMMYFUNCTION("""COMPUTED_VALUE"""),"#VALUE!")</f>
        <v>#VALUE!</v>
      </c>
      <c r="DE391" t="str">
        <f ca="1">IFERROR(__xludf.DUMMYFUNCTION("""COMPUTED_VALUE"""),"#VALUE!")</f>
        <v>#VALUE!</v>
      </c>
      <c r="DH391" t="str">
        <f ca="1">IFERROR(__xludf.DUMMYFUNCTION("""COMPUTED_VALUE"""),"L0136")</f>
        <v>L0136</v>
      </c>
      <c r="DI391" t="str">
        <f ca="1">IFERROR(__xludf.DUMMYFUNCTION("""COMPUTED_VALUE"""),"domus Petri David")</f>
        <v>domus Petri David</v>
      </c>
      <c r="DJ391" t="str">
        <f ca="1">IFERROR(__xludf.DUMMYFUNCTION("""COMPUTED_VALUE"""),"domus")</f>
        <v>domus</v>
      </c>
      <c r="DL391" t="str">
        <f ca="1">IFERROR(__xludf.DUMMYFUNCTION("""COMPUTED_VALUE"""),"Davor Salihović")</f>
        <v>Davor Salihović</v>
      </c>
    </row>
    <row r="392" spans="1:116" ht="13.2" x14ac:dyDescent="0.25">
      <c r="A392" t="str">
        <f ca="1">IFERROR(__xludf.DUMMYFUNCTION("""COMPUTED_VALUE"""),"P0400")</f>
        <v>P0400</v>
      </c>
      <c r="B392" t="str">
        <f ca="1">IFERROR(__xludf.DUMMYFUNCTION("""COMPUTED_VALUE"""),"Iacobina, uxor Petri David")</f>
        <v>Iacobina, uxor Petri David</v>
      </c>
      <c r="D392" t="str">
        <f ca="1">IFERROR(__xludf.DUMMYFUNCTION("""COMPUTED_VALUE"""),"#VALUE!")</f>
        <v>#VALUE!</v>
      </c>
      <c r="E392" t="str">
        <f ca="1">IFERROR(__xludf.DUMMYFUNCTION("""COMPUTED_VALUE"""),"Iacobina")</f>
        <v>Iacobina</v>
      </c>
      <c r="Q392" t="str">
        <f ca="1">IFERROR(__xludf.DUMMYFUNCTION("""COMPUTED_VALUE"""),"uxor Petri David")</f>
        <v>uxor Petri David</v>
      </c>
      <c r="S392" t="str">
        <f ca="1">IFERROR(__xludf.DUMMYFUNCTION("""COMPUTED_VALUE"""),"Latin")</f>
        <v>Latin</v>
      </c>
      <c r="T392" t="str">
        <f ca="1">IFERROR(__xludf.DUMMYFUNCTION("""COMPUTED_VALUE"""),"definite")</f>
        <v>definite</v>
      </c>
      <c r="U392" t="str">
        <f ca="1">IFERROR(__xludf.DUMMYFUNCTION("""COMPUTED_VALUE"""),"C2552")</f>
        <v>C2552</v>
      </c>
      <c r="V392" t="str">
        <f ca="1">IFERROR(__xludf.DUMMYFUNCTION("""COMPUTED_VALUE"""),"female")</f>
        <v>female</v>
      </c>
      <c r="Z392" t="str">
        <f ca="1">IFERROR(__xludf.DUMMYFUNCTION("""COMPUTED_VALUE"""),"234, 237")</f>
        <v>234, 237</v>
      </c>
      <c r="AA392" t="str">
        <f ca="1">IFERROR(__xludf.DUMMYFUNCTION("""COMPUTED_VALUE"""),"d")</f>
        <v>d</v>
      </c>
      <c r="AB392" t="str">
        <f ca="1">IFERROR(__xludf.DUMMYFUNCTION("""COMPUTED_VALUE"""),"suspect")</f>
        <v>suspect</v>
      </c>
      <c r="AD392" t="str">
        <f ca="1">IFERROR(__xludf.DUMMYFUNCTION("""COMPUTED_VALUE"""),"C3287")</f>
        <v>C3287</v>
      </c>
      <c r="AE392" t="str">
        <f ca="1">IFERROR(__xludf.DUMMYFUNCTION("""COMPUTED_VALUE"""),"alive")</f>
        <v>alive</v>
      </c>
      <c r="AF392" t="str">
        <f ca="1">IFERROR(__xludf.DUMMYFUNCTION("""COMPUTED_VALUE"""),"C1753")</f>
        <v>C1753</v>
      </c>
      <c r="AG392" t="str">
        <f ca="1">IFERROR(__xludf.DUMMYFUNCTION("""COMPUTED_VALUE"""),"1335-01-20")</f>
        <v>1335-01-20</v>
      </c>
      <c r="AI392" t="str">
        <f ca="1">IFERROR(__xludf.DUMMYFUNCTION("""COMPUTED_VALUE"""),"#VALUE!")</f>
        <v>#VALUE!</v>
      </c>
      <c r="AK392" t="str">
        <f ca="1">IFERROR(__xludf.DUMMYFUNCTION("""COMPUTED_VALUE"""),"#VALUE!")</f>
        <v>#VALUE!</v>
      </c>
      <c r="AM392" t="str">
        <f ca="1">IFERROR(__xludf.DUMMYFUNCTION("""COMPUTED_VALUE"""),"#VALUE!")</f>
        <v>#VALUE!</v>
      </c>
      <c r="AO392" t="str">
        <f ca="1">IFERROR(__xludf.DUMMYFUNCTION("""COMPUTED_VALUE"""),"#VALUE!")</f>
        <v>#VALUE!</v>
      </c>
      <c r="AQ392" t="str">
        <f ca="1">IFERROR(__xludf.DUMMYFUNCTION("""COMPUTED_VALUE"""),"#VALUE!")</f>
        <v>#VALUE!</v>
      </c>
      <c r="AS392" t="str">
        <f ca="1">IFERROR(__xludf.DUMMYFUNCTION("""COMPUTED_VALUE"""),"#VALUE!")</f>
        <v>#VALUE!</v>
      </c>
      <c r="AU392" t="str">
        <f ca="1">IFERROR(__xludf.DUMMYFUNCTION("""COMPUTED_VALUE"""),"#VALUE!")</f>
        <v>#VALUE!</v>
      </c>
      <c r="AW392" t="str">
        <f ca="1">IFERROR(__xludf.DUMMYFUNCTION("""COMPUTED_VALUE"""),"#VALUE!")</f>
        <v>#VALUE!</v>
      </c>
      <c r="AY392" t="str">
        <f ca="1">IFERROR(__xludf.DUMMYFUNCTION("""COMPUTED_VALUE"""),"#VALUE!")</f>
        <v>#VALUE!</v>
      </c>
      <c r="BA392" t="str">
        <f ca="1">IFERROR(__xludf.DUMMYFUNCTION("""COMPUTED_VALUE"""),"#VALUE!")</f>
        <v>#VALUE!</v>
      </c>
      <c r="BC392" t="str">
        <f ca="1">IFERROR(__xludf.DUMMYFUNCTION("""COMPUTED_VALUE"""),"#VALUE!")</f>
        <v>#VALUE!</v>
      </c>
      <c r="BE392" t="str">
        <f ca="1">IFERROR(__xludf.DUMMYFUNCTION("""COMPUTED_VALUE"""),"#VALUE!")</f>
        <v>#VALUE!</v>
      </c>
      <c r="BG392" t="str">
        <f ca="1">IFERROR(__xludf.DUMMYFUNCTION("""COMPUTED_VALUE"""),"#VALUE!")</f>
        <v>#VALUE!</v>
      </c>
      <c r="BI392" t="str">
        <f ca="1">IFERROR(__xludf.DUMMYFUNCTION("""COMPUTED_VALUE"""),"#VALUE!")</f>
        <v>#VALUE!</v>
      </c>
      <c r="BK392" t="str">
        <f ca="1">IFERROR(__xludf.DUMMYFUNCTION("""COMPUTED_VALUE"""),"#VALUE!")</f>
        <v>#VALUE!</v>
      </c>
      <c r="BM392" t="str">
        <f ca="1">IFERROR(__xludf.DUMMYFUNCTION("""COMPUTED_VALUE"""),"#VALUE!")</f>
        <v>#VALUE!</v>
      </c>
      <c r="BO392" t="str">
        <f ca="1">IFERROR(__xludf.DUMMYFUNCTION("""COMPUTED_VALUE"""),"#VALUE!")</f>
        <v>#VALUE!</v>
      </c>
      <c r="BQ392" t="str">
        <f ca="1">IFERROR(__xludf.DUMMYFUNCTION("""COMPUTED_VALUE"""),"#VALUE!")</f>
        <v>#VALUE!</v>
      </c>
      <c r="BS392" t="str">
        <f ca="1">IFERROR(__xludf.DUMMYFUNCTION("""COMPUTED_VALUE"""),"#VALUE!")</f>
        <v>#VALUE!</v>
      </c>
      <c r="BU392" t="str">
        <f ca="1">IFERROR(__xludf.DUMMYFUNCTION("""COMPUTED_VALUE"""),"#VALUE!")</f>
        <v>#VALUE!</v>
      </c>
      <c r="BW392" t="str">
        <f ca="1">IFERROR(__xludf.DUMMYFUNCTION("""COMPUTED_VALUE"""),"#VALUE!")</f>
        <v>#VALUE!</v>
      </c>
      <c r="BY392" t="str">
        <f ca="1">IFERROR(__xludf.DUMMYFUNCTION("""COMPUTED_VALUE"""),"#VALUE!")</f>
        <v>#VALUE!</v>
      </c>
      <c r="CA392" t="str">
        <f ca="1">IFERROR(__xludf.DUMMYFUNCTION("""COMPUTED_VALUE"""),"#VALUE!")</f>
        <v>#VALUE!</v>
      </c>
      <c r="CC392" t="str">
        <f ca="1">IFERROR(__xludf.DUMMYFUNCTION("""COMPUTED_VALUE"""),"#VALUE!")</f>
        <v>#VALUE!</v>
      </c>
      <c r="CD392" t="str">
        <f ca="1">IFERROR(__xludf.DUMMYFUNCTION("""COMPUTED_VALUE"""),"C3598")</f>
        <v>C3598</v>
      </c>
      <c r="CE392" t="str">
        <f ca="1">IFERROR(__xludf.DUMMYFUNCTION("""COMPUTED_VALUE"""),"location of congregation")</f>
        <v>location of congregation</v>
      </c>
      <c r="CF392" t="str">
        <f ca="1">IFERROR(__xludf.DUMMYFUNCTION("""COMPUTED_VALUE"""),"L0136")</f>
        <v>L0136</v>
      </c>
      <c r="CG392" t="str">
        <f ca="1">IFERROR(__xludf.DUMMYFUNCTION("""COMPUTED_VALUE"""),"domus Petri David")</f>
        <v>domus Petri David</v>
      </c>
      <c r="CI392" t="str">
        <f ca="1">IFERROR(__xludf.DUMMYFUNCTION("""COMPUTED_VALUE"""),"#VALUE!")</f>
        <v>#VALUE!</v>
      </c>
      <c r="CK392" t="str">
        <f ca="1">IFERROR(__xludf.DUMMYFUNCTION("""COMPUTED_VALUE"""),"#VALUE!")</f>
        <v>#VALUE!</v>
      </c>
      <c r="CS392" t="str">
        <f ca="1">IFERROR(__xludf.DUMMYFUNCTION("""COMPUTED_VALUE"""),"#VALUE!")</f>
        <v>#VALUE!</v>
      </c>
      <c r="CU392" t="str">
        <f ca="1">IFERROR(__xludf.DUMMYFUNCTION("""COMPUTED_VALUE"""),"#VALUE!")</f>
        <v>#VALUE!</v>
      </c>
      <c r="CW392" t="str">
        <f ca="1">IFERROR(__xludf.DUMMYFUNCTION("""COMPUTED_VALUE"""),"#VALUE!")</f>
        <v>#VALUE!</v>
      </c>
      <c r="CY392" t="str">
        <f ca="1">IFERROR(__xludf.DUMMYFUNCTION("""COMPUTED_VALUE"""),"#VALUE!")</f>
        <v>#VALUE!</v>
      </c>
      <c r="DC392" t="str">
        <f ca="1">IFERROR(__xludf.DUMMYFUNCTION("""COMPUTED_VALUE"""),"#VALUE!")</f>
        <v>#VALUE!</v>
      </c>
      <c r="DE392" t="str">
        <f ca="1">IFERROR(__xludf.DUMMYFUNCTION("""COMPUTED_VALUE"""),"#VALUE!")</f>
        <v>#VALUE!</v>
      </c>
      <c r="DF392" t="str">
        <f ca="1">IFERROR(__xludf.DUMMYFUNCTION("""COMPUTED_VALUE"""),"y")</f>
        <v>y</v>
      </c>
      <c r="DG392" t="str">
        <f ca="1">IFERROR(__xludf.DUMMYFUNCTION("""COMPUTED_VALUE"""),"237-238")</f>
        <v>237-238</v>
      </c>
      <c r="DH392" t="str">
        <f ca="1">IFERROR(__xludf.DUMMYFUNCTION("""COMPUTED_VALUE"""),"L0136")</f>
        <v>L0136</v>
      </c>
      <c r="DI392" t="str">
        <f ca="1">IFERROR(__xludf.DUMMYFUNCTION("""COMPUTED_VALUE"""),"domus Petri David")</f>
        <v>domus Petri David</v>
      </c>
      <c r="DJ392" t="str">
        <f ca="1">IFERROR(__xludf.DUMMYFUNCTION("""COMPUTED_VALUE"""),"domus")</f>
        <v>domus</v>
      </c>
      <c r="DL392" t="str">
        <f ca="1">IFERROR(__xludf.DUMMYFUNCTION("""COMPUTED_VALUE"""),"Davor Salihović")</f>
        <v>Davor Salihović</v>
      </c>
    </row>
    <row r="393" spans="1:116" ht="13.2" x14ac:dyDescent="0.25">
      <c r="A393" t="str">
        <f ca="1">IFERROR(__xludf.DUMMYFUNCTION("""COMPUTED_VALUE"""),"P0401")</f>
        <v>P0401</v>
      </c>
      <c r="B393" t="str">
        <f ca="1">IFERROR(__xludf.DUMMYFUNCTION("""COMPUTED_VALUE"""),"Laurencius de Collo")</f>
        <v>Laurencius de Collo</v>
      </c>
      <c r="D393" t="str">
        <f ca="1">IFERROR(__xludf.DUMMYFUNCTION("""COMPUTED_VALUE"""),"#VALUE!")</f>
        <v>#VALUE!</v>
      </c>
      <c r="E393" t="str">
        <f ca="1">IFERROR(__xludf.DUMMYFUNCTION("""COMPUTED_VALUE"""),"Laurencius")</f>
        <v>Laurencius</v>
      </c>
      <c r="J393" t="str">
        <f ca="1">IFERROR(__xludf.DUMMYFUNCTION("""COMPUTED_VALUE"""),"de")</f>
        <v>de</v>
      </c>
      <c r="K393" t="str">
        <f ca="1">IFERROR(__xludf.DUMMYFUNCTION("""COMPUTED_VALUE"""),"Collo")</f>
        <v>Collo</v>
      </c>
      <c r="L393" t="str">
        <f ca="1">IFERROR(__xludf.DUMMYFUNCTION("""COMPUTED_VALUE"""),"de Collo")</f>
        <v>de Collo</v>
      </c>
      <c r="S393" t="str">
        <f ca="1">IFERROR(__xludf.DUMMYFUNCTION("""COMPUTED_VALUE"""),"Latin")</f>
        <v>Latin</v>
      </c>
      <c r="T393" t="str">
        <f ca="1">IFERROR(__xludf.DUMMYFUNCTION("""COMPUTED_VALUE"""),"definite")</f>
        <v>definite</v>
      </c>
      <c r="U393" t="str">
        <f ca="1">IFERROR(__xludf.DUMMYFUNCTION("""COMPUTED_VALUE"""),"C2553")</f>
        <v>C2553</v>
      </c>
      <c r="V393" t="str">
        <f ca="1">IFERROR(__xludf.DUMMYFUNCTION("""COMPUTED_VALUE"""),"male")</f>
        <v>male</v>
      </c>
      <c r="Z393" t="str">
        <f ca="1">IFERROR(__xludf.DUMMYFUNCTION("""COMPUTED_VALUE"""),"236")</f>
        <v>236</v>
      </c>
      <c r="AA393" t="str">
        <f ca="1">IFERROR(__xludf.DUMMYFUNCTION("""COMPUTED_VALUE"""),"d")</f>
        <v>d</v>
      </c>
      <c r="AB393" t="str">
        <f ca="1">IFERROR(__xludf.DUMMYFUNCTION("""COMPUTED_VALUE"""),"NA")</f>
        <v>NA</v>
      </c>
      <c r="AE393" t="str">
        <f ca="1">IFERROR(__xludf.DUMMYFUNCTION("""COMPUTED_VALUE"""),"#VALUE!")</f>
        <v>#VALUE!</v>
      </c>
      <c r="AF393" t="str">
        <f ca="1">IFERROR(__xludf.DUMMYFUNCTION("""COMPUTED_VALUE"""),"#N/A")</f>
        <v>#N/A</v>
      </c>
      <c r="AG393" t="str">
        <f ca="1">IFERROR(__xludf.DUMMYFUNCTION("""COMPUTED_VALUE"""),"#N/A")</f>
        <v>#N/A</v>
      </c>
      <c r="AH393" t="str">
        <f ca="1">IFERROR(__xludf.DUMMYFUNCTION("""COMPUTED_VALUE"""),"C2039")</f>
        <v>C2039</v>
      </c>
      <c r="AI393" t="str">
        <f ca="1">IFERROR(__xludf.DUMMYFUNCTION("""COMPUTED_VALUE"""),"kinperson")</f>
        <v>kinperson</v>
      </c>
      <c r="AJ393" t="str">
        <f ca="1">IFERROR(__xludf.DUMMYFUNCTION("""COMPUTED_VALUE"""),"P0388")</f>
        <v>P0388</v>
      </c>
      <c r="AK393" t="str">
        <f ca="1">IFERROR(__xludf.DUMMYFUNCTION("""COMPUTED_VALUE"""),"Mathondina, soror Petri Rupphini")</f>
        <v>Mathondina, soror Petri Rupphini</v>
      </c>
      <c r="AM393" t="str">
        <f ca="1">IFERROR(__xludf.DUMMYFUNCTION("""COMPUTED_VALUE"""),"#VALUE!")</f>
        <v>#VALUE!</v>
      </c>
      <c r="AO393" t="str">
        <f ca="1">IFERROR(__xludf.DUMMYFUNCTION("""COMPUTED_VALUE"""),"#VALUE!")</f>
        <v>#VALUE!</v>
      </c>
      <c r="AQ393" t="str">
        <f ca="1">IFERROR(__xludf.DUMMYFUNCTION("""COMPUTED_VALUE"""),"#VALUE!")</f>
        <v>#VALUE!</v>
      </c>
      <c r="AS393" t="str">
        <f ca="1">IFERROR(__xludf.DUMMYFUNCTION("""COMPUTED_VALUE"""),"#VALUE!")</f>
        <v>#VALUE!</v>
      </c>
      <c r="AU393" t="str">
        <f ca="1">IFERROR(__xludf.DUMMYFUNCTION("""COMPUTED_VALUE"""),"#VALUE!")</f>
        <v>#VALUE!</v>
      </c>
      <c r="AW393" t="str">
        <f ca="1">IFERROR(__xludf.DUMMYFUNCTION("""COMPUTED_VALUE"""),"#VALUE!")</f>
        <v>#VALUE!</v>
      </c>
      <c r="AY393" t="str">
        <f ca="1">IFERROR(__xludf.DUMMYFUNCTION("""COMPUTED_VALUE"""),"#VALUE!")</f>
        <v>#VALUE!</v>
      </c>
      <c r="BA393" t="str">
        <f ca="1">IFERROR(__xludf.DUMMYFUNCTION("""COMPUTED_VALUE"""),"#VALUE!")</f>
        <v>#VALUE!</v>
      </c>
      <c r="BC393" t="str">
        <f ca="1">IFERROR(__xludf.DUMMYFUNCTION("""COMPUTED_VALUE"""),"#VALUE!")</f>
        <v>#VALUE!</v>
      </c>
      <c r="BE393" t="str">
        <f ca="1">IFERROR(__xludf.DUMMYFUNCTION("""COMPUTED_VALUE"""),"#VALUE!")</f>
        <v>#VALUE!</v>
      </c>
      <c r="BG393" t="str">
        <f ca="1">IFERROR(__xludf.DUMMYFUNCTION("""COMPUTED_VALUE"""),"#VALUE!")</f>
        <v>#VALUE!</v>
      </c>
      <c r="BI393" t="str">
        <f ca="1">IFERROR(__xludf.DUMMYFUNCTION("""COMPUTED_VALUE"""),"#VALUE!")</f>
        <v>#VALUE!</v>
      </c>
      <c r="BK393" t="str">
        <f ca="1">IFERROR(__xludf.DUMMYFUNCTION("""COMPUTED_VALUE"""),"#VALUE!")</f>
        <v>#VALUE!</v>
      </c>
      <c r="BM393" t="str">
        <f ca="1">IFERROR(__xludf.DUMMYFUNCTION("""COMPUTED_VALUE"""),"#VALUE!")</f>
        <v>#VALUE!</v>
      </c>
      <c r="BO393" t="str">
        <f ca="1">IFERROR(__xludf.DUMMYFUNCTION("""COMPUTED_VALUE"""),"#VALUE!")</f>
        <v>#VALUE!</v>
      </c>
      <c r="BQ393" t="str">
        <f ca="1">IFERROR(__xludf.DUMMYFUNCTION("""COMPUTED_VALUE"""),"#VALUE!")</f>
        <v>#VALUE!</v>
      </c>
      <c r="BS393" t="str">
        <f ca="1">IFERROR(__xludf.DUMMYFUNCTION("""COMPUTED_VALUE"""),"#VALUE!")</f>
        <v>#VALUE!</v>
      </c>
      <c r="BU393" t="str">
        <f ca="1">IFERROR(__xludf.DUMMYFUNCTION("""COMPUTED_VALUE"""),"#VALUE!")</f>
        <v>#VALUE!</v>
      </c>
      <c r="BW393" t="str">
        <f ca="1">IFERROR(__xludf.DUMMYFUNCTION("""COMPUTED_VALUE"""),"#VALUE!")</f>
        <v>#VALUE!</v>
      </c>
      <c r="BY393" t="str">
        <f ca="1">IFERROR(__xludf.DUMMYFUNCTION("""COMPUTED_VALUE"""),"#VALUE!")</f>
        <v>#VALUE!</v>
      </c>
      <c r="CA393" t="str">
        <f ca="1">IFERROR(__xludf.DUMMYFUNCTION("""COMPUTED_VALUE"""),"#VALUE!")</f>
        <v>#VALUE!</v>
      </c>
      <c r="CC393" t="str">
        <f ca="1">IFERROR(__xludf.DUMMYFUNCTION("""COMPUTED_VALUE"""),"#VALUE!")</f>
        <v>#VALUE!</v>
      </c>
      <c r="CE393" t="str">
        <f ca="1">IFERROR(__xludf.DUMMYFUNCTION("""COMPUTED_VALUE"""),"#VALUE!")</f>
        <v>#VALUE!</v>
      </c>
      <c r="CG393" t="str">
        <f ca="1">IFERROR(__xludf.DUMMYFUNCTION("""COMPUTED_VALUE"""),"#VALUE!")</f>
        <v>#VALUE!</v>
      </c>
      <c r="CI393" t="str">
        <f ca="1">IFERROR(__xludf.DUMMYFUNCTION("""COMPUTED_VALUE"""),"#VALUE!")</f>
        <v>#VALUE!</v>
      </c>
      <c r="CK393" t="str">
        <f ca="1">IFERROR(__xludf.DUMMYFUNCTION("""COMPUTED_VALUE"""),"#VALUE!")</f>
        <v>#VALUE!</v>
      </c>
      <c r="CS393" t="str">
        <f ca="1">IFERROR(__xludf.DUMMYFUNCTION("""COMPUTED_VALUE"""),"#VALUE!")</f>
        <v>#VALUE!</v>
      </c>
      <c r="CU393" t="str">
        <f ca="1">IFERROR(__xludf.DUMMYFUNCTION("""COMPUTED_VALUE"""),"#VALUE!")</f>
        <v>#VALUE!</v>
      </c>
      <c r="CV393" t="str">
        <f ca="1">IFERROR(__xludf.DUMMYFUNCTION("""COMPUTED_VALUE"""),"L0138")</f>
        <v>L0138</v>
      </c>
      <c r="CW393" t="str">
        <f ca="1">IFERROR(__xludf.DUMMYFUNCTION("""COMPUTED_VALUE"""),"Avigliana")</f>
        <v>Avigliana</v>
      </c>
      <c r="CY393" t="str">
        <f ca="1">IFERROR(__xludf.DUMMYFUNCTION("""COMPUTED_VALUE"""),"#VALUE!")</f>
        <v>#VALUE!</v>
      </c>
      <c r="DC393" t="str">
        <f ca="1">IFERROR(__xludf.DUMMYFUNCTION("""COMPUTED_VALUE"""),"#VALUE!")</f>
        <v>#VALUE!</v>
      </c>
      <c r="DE393" t="str">
        <f ca="1">IFERROR(__xludf.DUMMYFUNCTION("""COMPUTED_VALUE"""),"#VALUE!")</f>
        <v>#VALUE!</v>
      </c>
      <c r="DI393" t="str">
        <f ca="1">IFERROR(__xludf.DUMMYFUNCTION("""COMPUTED_VALUE"""),"#VALUE!")</f>
        <v>#VALUE!</v>
      </c>
      <c r="DJ393" t="str">
        <f ca="1">IFERROR(__xludf.DUMMYFUNCTION("""COMPUTED_VALUE"""),"#VALUE!")</f>
        <v>#VALUE!</v>
      </c>
      <c r="DL393" t="str">
        <f ca="1">IFERROR(__xludf.DUMMYFUNCTION("""COMPUTED_VALUE"""),"Davor Salihović")</f>
        <v>Davor Salihović</v>
      </c>
    </row>
    <row r="394" spans="1:116" ht="13.2" x14ac:dyDescent="0.25">
      <c r="A394" t="str">
        <f ca="1">IFERROR(__xludf.DUMMYFUNCTION("""COMPUTED_VALUE"""),"P0402")</f>
        <v>P0402</v>
      </c>
      <c r="B394" t="str">
        <f ca="1">IFERROR(__xludf.DUMMYFUNCTION("""COMPUTED_VALUE"""),"Iacobus Milla")</f>
        <v>Iacobus Milla</v>
      </c>
      <c r="D394" t="str">
        <f ca="1">IFERROR(__xludf.DUMMYFUNCTION("""COMPUTED_VALUE"""),"#VALUE!")</f>
        <v>#VALUE!</v>
      </c>
      <c r="E394" t="str">
        <f ca="1">IFERROR(__xludf.DUMMYFUNCTION("""COMPUTED_VALUE"""),"Iacobus")</f>
        <v>Iacobus</v>
      </c>
      <c r="K394" t="str">
        <f ca="1">IFERROR(__xludf.DUMMYFUNCTION("""COMPUTED_VALUE"""),"Milla")</f>
        <v>Milla</v>
      </c>
      <c r="L394" t="str">
        <f ca="1">IFERROR(__xludf.DUMMYFUNCTION("""COMPUTED_VALUE"""),"Milla")</f>
        <v>Milla</v>
      </c>
      <c r="S394" t="str">
        <f ca="1">IFERROR(__xludf.DUMMYFUNCTION("""COMPUTED_VALUE"""),"Latin")</f>
        <v>Latin</v>
      </c>
      <c r="T394" t="str">
        <f ca="1">IFERROR(__xludf.DUMMYFUNCTION("""COMPUTED_VALUE"""),"definite")</f>
        <v>definite</v>
      </c>
      <c r="U394" t="str">
        <f ca="1">IFERROR(__xludf.DUMMYFUNCTION("""COMPUTED_VALUE"""),"C2553")</f>
        <v>C2553</v>
      </c>
      <c r="V394" t="str">
        <f ca="1">IFERROR(__xludf.DUMMYFUNCTION("""COMPUTED_VALUE"""),"male")</f>
        <v>male</v>
      </c>
      <c r="Z394" t="str">
        <f ca="1">IFERROR(__xludf.DUMMYFUNCTION("""COMPUTED_VALUE"""),"236")</f>
        <v>236</v>
      </c>
      <c r="AA394" t="str">
        <f ca="1">IFERROR(__xludf.DUMMYFUNCTION("""COMPUTED_VALUE"""),"d")</f>
        <v>d</v>
      </c>
      <c r="AB394" t="str">
        <f ca="1">IFERROR(__xludf.DUMMYFUNCTION("""COMPUTED_VALUE"""),"suspect")</f>
        <v>suspect</v>
      </c>
      <c r="AE394" t="str">
        <f ca="1">IFERROR(__xludf.DUMMYFUNCTION("""COMPUTED_VALUE"""),"#VALUE!")</f>
        <v>#VALUE!</v>
      </c>
      <c r="AF394" t="str">
        <f ca="1">IFERROR(__xludf.DUMMYFUNCTION("""COMPUTED_VALUE"""),"#N/A")</f>
        <v>#N/A</v>
      </c>
      <c r="AG394" t="str">
        <f ca="1">IFERROR(__xludf.DUMMYFUNCTION("""COMPUTED_VALUE"""),"#N/A")</f>
        <v>#N/A</v>
      </c>
      <c r="AI394" t="str">
        <f ca="1">IFERROR(__xludf.DUMMYFUNCTION("""COMPUTED_VALUE"""),"#VALUE!")</f>
        <v>#VALUE!</v>
      </c>
      <c r="AK394" t="str">
        <f ca="1">IFERROR(__xludf.DUMMYFUNCTION("""COMPUTED_VALUE"""),"#VALUE!")</f>
        <v>#VALUE!</v>
      </c>
      <c r="AM394" t="str">
        <f ca="1">IFERROR(__xludf.DUMMYFUNCTION("""COMPUTED_VALUE"""),"#VALUE!")</f>
        <v>#VALUE!</v>
      </c>
      <c r="AO394" t="str">
        <f ca="1">IFERROR(__xludf.DUMMYFUNCTION("""COMPUTED_VALUE"""),"#VALUE!")</f>
        <v>#VALUE!</v>
      </c>
      <c r="AQ394" t="str">
        <f ca="1">IFERROR(__xludf.DUMMYFUNCTION("""COMPUTED_VALUE"""),"#VALUE!")</f>
        <v>#VALUE!</v>
      </c>
      <c r="AS394" t="str">
        <f ca="1">IFERROR(__xludf.DUMMYFUNCTION("""COMPUTED_VALUE"""),"#VALUE!")</f>
        <v>#VALUE!</v>
      </c>
      <c r="AU394" t="str">
        <f ca="1">IFERROR(__xludf.DUMMYFUNCTION("""COMPUTED_VALUE"""),"#VALUE!")</f>
        <v>#VALUE!</v>
      </c>
      <c r="AW394" t="str">
        <f ca="1">IFERROR(__xludf.DUMMYFUNCTION("""COMPUTED_VALUE"""),"#VALUE!")</f>
        <v>#VALUE!</v>
      </c>
      <c r="AY394" t="str">
        <f ca="1">IFERROR(__xludf.DUMMYFUNCTION("""COMPUTED_VALUE"""),"#VALUE!")</f>
        <v>#VALUE!</v>
      </c>
      <c r="BA394" t="str">
        <f ca="1">IFERROR(__xludf.DUMMYFUNCTION("""COMPUTED_VALUE"""),"#VALUE!")</f>
        <v>#VALUE!</v>
      </c>
      <c r="BC394" t="str">
        <f ca="1">IFERROR(__xludf.DUMMYFUNCTION("""COMPUTED_VALUE"""),"#VALUE!")</f>
        <v>#VALUE!</v>
      </c>
      <c r="BE394" t="str">
        <f ca="1">IFERROR(__xludf.DUMMYFUNCTION("""COMPUTED_VALUE"""),"#VALUE!")</f>
        <v>#VALUE!</v>
      </c>
      <c r="BG394" t="str">
        <f ca="1">IFERROR(__xludf.DUMMYFUNCTION("""COMPUTED_VALUE"""),"#VALUE!")</f>
        <v>#VALUE!</v>
      </c>
      <c r="BI394" t="str">
        <f ca="1">IFERROR(__xludf.DUMMYFUNCTION("""COMPUTED_VALUE"""),"#VALUE!")</f>
        <v>#VALUE!</v>
      </c>
      <c r="BK394" t="str">
        <f ca="1">IFERROR(__xludf.DUMMYFUNCTION("""COMPUTED_VALUE"""),"#VALUE!")</f>
        <v>#VALUE!</v>
      </c>
      <c r="BM394" t="str">
        <f ca="1">IFERROR(__xludf.DUMMYFUNCTION("""COMPUTED_VALUE"""),"#VALUE!")</f>
        <v>#VALUE!</v>
      </c>
      <c r="BO394" t="str">
        <f ca="1">IFERROR(__xludf.DUMMYFUNCTION("""COMPUTED_VALUE"""),"#VALUE!")</f>
        <v>#VALUE!</v>
      </c>
      <c r="BQ394" t="str">
        <f ca="1">IFERROR(__xludf.DUMMYFUNCTION("""COMPUTED_VALUE"""),"#VALUE!")</f>
        <v>#VALUE!</v>
      </c>
      <c r="BS394" t="str">
        <f ca="1">IFERROR(__xludf.DUMMYFUNCTION("""COMPUTED_VALUE"""),"#VALUE!")</f>
        <v>#VALUE!</v>
      </c>
      <c r="BU394" t="str">
        <f ca="1">IFERROR(__xludf.DUMMYFUNCTION("""COMPUTED_VALUE"""),"#VALUE!")</f>
        <v>#VALUE!</v>
      </c>
      <c r="BW394" t="str">
        <f ca="1">IFERROR(__xludf.DUMMYFUNCTION("""COMPUTED_VALUE"""),"#VALUE!")</f>
        <v>#VALUE!</v>
      </c>
      <c r="BY394" t="str">
        <f ca="1">IFERROR(__xludf.DUMMYFUNCTION("""COMPUTED_VALUE"""),"#VALUE!")</f>
        <v>#VALUE!</v>
      </c>
      <c r="CA394" t="str">
        <f ca="1">IFERROR(__xludf.DUMMYFUNCTION("""COMPUTED_VALUE"""),"#VALUE!")</f>
        <v>#VALUE!</v>
      </c>
      <c r="CC394" t="str">
        <f ca="1">IFERROR(__xludf.DUMMYFUNCTION("""COMPUTED_VALUE"""),"#VALUE!")</f>
        <v>#VALUE!</v>
      </c>
      <c r="CD394" t="str">
        <f ca="1">IFERROR(__xludf.DUMMYFUNCTION("""COMPUTED_VALUE"""),"C3598")</f>
        <v>C3598</v>
      </c>
      <c r="CE394" t="str">
        <f ca="1">IFERROR(__xludf.DUMMYFUNCTION("""COMPUTED_VALUE"""),"location of congregation")</f>
        <v>location of congregation</v>
      </c>
      <c r="CF394" t="str">
        <f ca="1">IFERROR(__xludf.DUMMYFUNCTION("""COMPUTED_VALUE"""),"L0140")</f>
        <v>L0140</v>
      </c>
      <c r="CG394" t="str">
        <f ca="1">IFERROR(__xludf.DUMMYFUNCTION("""COMPUTED_VALUE"""),"domus Iacobi Milla")</f>
        <v>domus Iacobi Milla</v>
      </c>
      <c r="CI394" t="str">
        <f ca="1">IFERROR(__xludf.DUMMYFUNCTION("""COMPUTED_VALUE"""),"#VALUE!")</f>
        <v>#VALUE!</v>
      </c>
      <c r="CK394" t="str">
        <f ca="1">IFERROR(__xludf.DUMMYFUNCTION("""COMPUTED_VALUE"""),"#VALUE!")</f>
        <v>#VALUE!</v>
      </c>
      <c r="CS394" t="str">
        <f ca="1">IFERROR(__xludf.DUMMYFUNCTION("""COMPUTED_VALUE"""),"#VALUE!")</f>
        <v>#VALUE!</v>
      </c>
      <c r="CT394" t="str">
        <f ca="1">IFERROR(__xludf.DUMMYFUNCTION("""COMPUTED_VALUE"""),"L0161")</f>
        <v>L0161</v>
      </c>
      <c r="CU394" t="str">
        <f ca="1">IFERROR(__xludf.DUMMYFUNCTION("""COMPUTED_VALUE"""),"Val Chisone")</f>
        <v>Val Chisone</v>
      </c>
      <c r="CV394" t="str">
        <f ca="1">IFERROR(__xludf.DUMMYFUNCTION("""COMPUTED_VALUE"""),"L0141")</f>
        <v>L0141</v>
      </c>
      <c r="CW394" t="str">
        <f ca="1">IFERROR(__xludf.DUMMYFUNCTION("""COMPUTED_VALUE"""),"Costa")</f>
        <v>Costa</v>
      </c>
      <c r="CY394" t="str">
        <f ca="1">IFERROR(__xludf.DUMMYFUNCTION("""COMPUTED_VALUE"""),"#VALUE!")</f>
        <v>#VALUE!</v>
      </c>
      <c r="DC394" t="str">
        <f ca="1">IFERROR(__xludf.DUMMYFUNCTION("""COMPUTED_VALUE"""),"#VALUE!")</f>
        <v>#VALUE!</v>
      </c>
      <c r="DE394" t="str">
        <f ca="1">IFERROR(__xludf.DUMMYFUNCTION("""COMPUTED_VALUE"""),"#VALUE!")</f>
        <v>#VALUE!</v>
      </c>
      <c r="DH394" t="str">
        <f ca="1">IFERROR(__xludf.DUMMYFUNCTION("""COMPUTED_VALUE"""),"L0140")</f>
        <v>L0140</v>
      </c>
      <c r="DI394" t="str">
        <f ca="1">IFERROR(__xludf.DUMMYFUNCTION("""COMPUTED_VALUE"""),"domus Iacobi Milla")</f>
        <v>domus Iacobi Milla</v>
      </c>
      <c r="DJ394" t="str">
        <f ca="1">IFERROR(__xludf.DUMMYFUNCTION("""COMPUTED_VALUE"""),"domus")</f>
        <v>domus</v>
      </c>
      <c r="DL394" t="str">
        <f ca="1">IFERROR(__xludf.DUMMYFUNCTION("""COMPUTED_VALUE"""),"Davor Salihović")</f>
        <v>Davor Salihović</v>
      </c>
    </row>
    <row r="395" spans="1:116" ht="13.2" x14ac:dyDescent="0.25">
      <c r="A395" t="str">
        <f ca="1">IFERROR(__xludf.DUMMYFUNCTION("""COMPUTED_VALUE"""),"P0403")</f>
        <v>P0403</v>
      </c>
      <c r="B395" t="str">
        <f ca="1">IFERROR(__xludf.DUMMYFUNCTION("""COMPUTED_VALUE"""),"Iohannes")</f>
        <v>Iohannes</v>
      </c>
      <c r="D395" t="str">
        <f ca="1">IFERROR(__xludf.DUMMYFUNCTION("""COMPUTED_VALUE"""),"#VALUE!")</f>
        <v>#VALUE!</v>
      </c>
      <c r="E395" t="str">
        <f ca="1">IFERROR(__xludf.DUMMYFUNCTION("""COMPUTED_VALUE"""),"Iohannes")</f>
        <v>Iohannes</v>
      </c>
      <c r="S395" t="str">
        <f ca="1">IFERROR(__xludf.DUMMYFUNCTION("""COMPUTED_VALUE"""),"Latin")</f>
        <v>Latin</v>
      </c>
      <c r="T395" t="str">
        <f ca="1">IFERROR(__xludf.DUMMYFUNCTION("""COMPUTED_VALUE"""),"indefinite")</f>
        <v>indefinite</v>
      </c>
      <c r="U395" t="str">
        <f ca="1">IFERROR(__xludf.DUMMYFUNCTION("""COMPUTED_VALUE"""),"C2553")</f>
        <v>C2553</v>
      </c>
      <c r="V395" t="str">
        <f ca="1">IFERROR(__xludf.DUMMYFUNCTION("""COMPUTED_VALUE"""),"male")</f>
        <v>male</v>
      </c>
      <c r="Z395" t="str">
        <f ca="1">IFERROR(__xludf.DUMMYFUNCTION("""COMPUTED_VALUE"""),"237")</f>
        <v>237</v>
      </c>
      <c r="AA395" t="str">
        <f ca="1">IFERROR(__xludf.DUMMYFUNCTION("""COMPUTED_VALUE"""),"d")</f>
        <v>d</v>
      </c>
      <c r="AB395" t="str">
        <f ca="1">IFERROR(__xludf.DUMMYFUNCTION("""COMPUTED_VALUE"""),"suspect")</f>
        <v>suspect</v>
      </c>
      <c r="AE395" t="str">
        <f ca="1">IFERROR(__xludf.DUMMYFUNCTION("""COMPUTED_VALUE"""),"#VALUE!")</f>
        <v>#VALUE!</v>
      </c>
      <c r="AF395" t="str">
        <f ca="1">IFERROR(__xludf.DUMMYFUNCTION("""COMPUTED_VALUE"""),"#N/A")</f>
        <v>#N/A</v>
      </c>
      <c r="AG395" t="str">
        <f ca="1">IFERROR(__xludf.DUMMYFUNCTION("""COMPUTED_VALUE"""),"#N/A")</f>
        <v>#N/A</v>
      </c>
      <c r="AI395" t="str">
        <f ca="1">IFERROR(__xludf.DUMMYFUNCTION("""COMPUTED_VALUE"""),"#VALUE!")</f>
        <v>#VALUE!</v>
      </c>
      <c r="AK395" t="str">
        <f ca="1">IFERROR(__xludf.DUMMYFUNCTION("""COMPUTED_VALUE"""),"#VALUE!")</f>
        <v>#VALUE!</v>
      </c>
      <c r="AM395" t="str">
        <f ca="1">IFERROR(__xludf.DUMMYFUNCTION("""COMPUTED_VALUE"""),"#VALUE!")</f>
        <v>#VALUE!</v>
      </c>
      <c r="AO395" t="str">
        <f ca="1">IFERROR(__xludf.DUMMYFUNCTION("""COMPUTED_VALUE"""),"#VALUE!")</f>
        <v>#VALUE!</v>
      </c>
      <c r="AQ395" t="str">
        <f ca="1">IFERROR(__xludf.DUMMYFUNCTION("""COMPUTED_VALUE"""),"#VALUE!")</f>
        <v>#VALUE!</v>
      </c>
      <c r="AS395" t="str">
        <f ca="1">IFERROR(__xludf.DUMMYFUNCTION("""COMPUTED_VALUE"""),"#VALUE!")</f>
        <v>#VALUE!</v>
      </c>
      <c r="AU395" t="str">
        <f ca="1">IFERROR(__xludf.DUMMYFUNCTION("""COMPUTED_VALUE"""),"#VALUE!")</f>
        <v>#VALUE!</v>
      </c>
      <c r="AW395" t="str">
        <f ca="1">IFERROR(__xludf.DUMMYFUNCTION("""COMPUTED_VALUE"""),"#VALUE!")</f>
        <v>#VALUE!</v>
      </c>
      <c r="AY395" t="str">
        <f ca="1">IFERROR(__xludf.DUMMYFUNCTION("""COMPUTED_VALUE"""),"#VALUE!")</f>
        <v>#VALUE!</v>
      </c>
      <c r="BA395" t="str">
        <f ca="1">IFERROR(__xludf.DUMMYFUNCTION("""COMPUTED_VALUE"""),"#VALUE!")</f>
        <v>#VALUE!</v>
      </c>
      <c r="BC395" t="str">
        <f ca="1">IFERROR(__xludf.DUMMYFUNCTION("""COMPUTED_VALUE"""),"#VALUE!")</f>
        <v>#VALUE!</v>
      </c>
      <c r="BE395" t="str">
        <f ca="1">IFERROR(__xludf.DUMMYFUNCTION("""COMPUTED_VALUE"""),"#VALUE!")</f>
        <v>#VALUE!</v>
      </c>
      <c r="BG395" t="str">
        <f ca="1">IFERROR(__xludf.DUMMYFUNCTION("""COMPUTED_VALUE"""),"#VALUE!")</f>
        <v>#VALUE!</v>
      </c>
      <c r="BI395" t="str">
        <f ca="1">IFERROR(__xludf.DUMMYFUNCTION("""COMPUTED_VALUE"""),"#VALUE!")</f>
        <v>#VALUE!</v>
      </c>
      <c r="BK395" t="str">
        <f ca="1">IFERROR(__xludf.DUMMYFUNCTION("""COMPUTED_VALUE"""),"#VALUE!")</f>
        <v>#VALUE!</v>
      </c>
      <c r="BM395" t="str">
        <f ca="1">IFERROR(__xludf.DUMMYFUNCTION("""COMPUTED_VALUE"""),"#VALUE!")</f>
        <v>#VALUE!</v>
      </c>
      <c r="BO395" t="str">
        <f ca="1">IFERROR(__xludf.DUMMYFUNCTION("""COMPUTED_VALUE"""),"#VALUE!")</f>
        <v>#VALUE!</v>
      </c>
      <c r="BQ395" t="str">
        <f ca="1">IFERROR(__xludf.DUMMYFUNCTION("""COMPUTED_VALUE"""),"#VALUE!")</f>
        <v>#VALUE!</v>
      </c>
      <c r="BS395" t="str">
        <f ca="1">IFERROR(__xludf.DUMMYFUNCTION("""COMPUTED_VALUE"""),"#VALUE!")</f>
        <v>#VALUE!</v>
      </c>
      <c r="BU395" t="str">
        <f ca="1">IFERROR(__xludf.DUMMYFUNCTION("""COMPUTED_VALUE"""),"#VALUE!")</f>
        <v>#VALUE!</v>
      </c>
      <c r="BW395" t="str">
        <f ca="1">IFERROR(__xludf.DUMMYFUNCTION("""COMPUTED_VALUE"""),"#VALUE!")</f>
        <v>#VALUE!</v>
      </c>
      <c r="BY395" t="str">
        <f ca="1">IFERROR(__xludf.DUMMYFUNCTION("""COMPUTED_VALUE"""),"#VALUE!")</f>
        <v>#VALUE!</v>
      </c>
      <c r="CA395" t="str">
        <f ca="1">IFERROR(__xludf.DUMMYFUNCTION("""COMPUTED_VALUE"""),"#VALUE!")</f>
        <v>#VALUE!</v>
      </c>
      <c r="CC395" t="str">
        <f ca="1">IFERROR(__xludf.DUMMYFUNCTION("""COMPUTED_VALUE"""),"#VALUE!")</f>
        <v>#VALUE!</v>
      </c>
      <c r="CE395" t="str">
        <f ca="1">IFERROR(__xludf.DUMMYFUNCTION("""COMPUTED_VALUE"""),"#VALUE!")</f>
        <v>#VALUE!</v>
      </c>
      <c r="CG395" t="str">
        <f ca="1">IFERROR(__xludf.DUMMYFUNCTION("""COMPUTED_VALUE"""),"#VALUE!")</f>
        <v>#VALUE!</v>
      </c>
      <c r="CI395" t="str">
        <f ca="1">IFERROR(__xludf.DUMMYFUNCTION("""COMPUTED_VALUE"""),"#VALUE!")</f>
        <v>#VALUE!</v>
      </c>
      <c r="CK395" t="str">
        <f ca="1">IFERROR(__xludf.DUMMYFUNCTION("""COMPUTED_VALUE"""),"#VALUE!")</f>
        <v>#VALUE!</v>
      </c>
      <c r="CS395" t="str">
        <f ca="1">IFERROR(__xludf.DUMMYFUNCTION("""COMPUTED_VALUE"""),"#VALUE!")</f>
        <v>#VALUE!</v>
      </c>
      <c r="CU395" t="str">
        <f ca="1">IFERROR(__xludf.DUMMYFUNCTION("""COMPUTED_VALUE"""),"#VALUE!")</f>
        <v>#VALUE!</v>
      </c>
      <c r="CW395" t="str">
        <f ca="1">IFERROR(__xludf.DUMMYFUNCTION("""COMPUTED_VALUE"""),"#VALUE!")</f>
        <v>#VALUE!</v>
      </c>
      <c r="CY395" t="str">
        <f ca="1">IFERROR(__xludf.DUMMYFUNCTION("""COMPUTED_VALUE"""),"#VALUE!")</f>
        <v>#VALUE!</v>
      </c>
      <c r="DC395" t="str">
        <f ca="1">IFERROR(__xludf.DUMMYFUNCTION("""COMPUTED_VALUE"""),"#VALUE!")</f>
        <v>#VALUE!</v>
      </c>
      <c r="DE395" t="str">
        <f ca="1">IFERROR(__xludf.DUMMYFUNCTION("""COMPUTED_VALUE"""),"#VALUE!")</f>
        <v>#VALUE!</v>
      </c>
      <c r="DI395" t="str">
        <f ca="1">IFERROR(__xludf.DUMMYFUNCTION("""COMPUTED_VALUE"""),"#VALUE!")</f>
        <v>#VALUE!</v>
      </c>
      <c r="DJ395" t="str">
        <f ca="1">IFERROR(__xludf.DUMMYFUNCTION("""COMPUTED_VALUE"""),"#VALUE!")</f>
        <v>#VALUE!</v>
      </c>
      <c r="DK395" t="str">
        <f ca="1">IFERROR(__xludf.DUMMYFUNCTION("""COMPUTED_VALUE"""),"Some text missing. Possibly P0230, son of Marguerita Borsseta, as this Iohannes is mentioned together with her.")</f>
        <v>Some text missing. Possibly P0230, son of Marguerita Borsseta, as this Iohannes is mentioned together with her.</v>
      </c>
      <c r="DL395" t="str">
        <f ca="1">IFERROR(__xludf.DUMMYFUNCTION("""COMPUTED_VALUE"""),"Davor Salihović")</f>
        <v>Davor Salihović</v>
      </c>
    </row>
    <row r="396" spans="1:116" ht="13.2" x14ac:dyDescent="0.25">
      <c r="A396" t="str">
        <f ca="1">IFERROR(__xludf.DUMMYFUNCTION("""COMPUTED_VALUE"""),"P0404")</f>
        <v>P0404</v>
      </c>
      <c r="B396" t="str">
        <f ca="1">IFERROR(__xludf.DUMMYFUNCTION("""COMPUTED_VALUE"""),"de Rosseto")</f>
        <v>de Rosseto</v>
      </c>
      <c r="D396" t="str">
        <f ca="1">IFERROR(__xludf.DUMMYFUNCTION("""COMPUTED_VALUE"""),"#VALUE!")</f>
        <v>#VALUE!</v>
      </c>
      <c r="J396" t="str">
        <f ca="1">IFERROR(__xludf.DUMMYFUNCTION("""COMPUTED_VALUE"""),"de")</f>
        <v>de</v>
      </c>
      <c r="K396" t="str">
        <f ca="1">IFERROR(__xludf.DUMMYFUNCTION("""COMPUTED_VALUE"""),"Rosseto")</f>
        <v>Rosseto</v>
      </c>
      <c r="L396" t="str">
        <f ca="1">IFERROR(__xludf.DUMMYFUNCTION("""COMPUTED_VALUE"""),"de Rosseto")</f>
        <v>de Rosseto</v>
      </c>
      <c r="S396" t="str">
        <f ca="1">IFERROR(__xludf.DUMMYFUNCTION("""COMPUTED_VALUE"""),"Latin")</f>
        <v>Latin</v>
      </c>
      <c r="T396" t="str">
        <f ca="1">IFERROR(__xludf.DUMMYFUNCTION("""COMPUTED_VALUE"""),"indefinite")</f>
        <v>indefinite</v>
      </c>
      <c r="V396" t="str">
        <f ca="1">IFERROR(__xludf.DUMMYFUNCTION("""COMPUTED_VALUE"""),"#VALUE!")</f>
        <v>#VALUE!</v>
      </c>
      <c r="Z396" t="str">
        <f ca="1">IFERROR(__xludf.DUMMYFUNCTION("""COMPUTED_VALUE"""),"238")</f>
        <v>238</v>
      </c>
      <c r="AA396" t="str">
        <f ca="1">IFERROR(__xludf.DUMMYFUNCTION("""COMPUTED_VALUE"""),"d")</f>
        <v>d</v>
      </c>
      <c r="AB396" t="str">
        <f ca="1">IFERROR(__xludf.DUMMYFUNCTION("""COMPUTED_VALUE"""),"suspect")</f>
        <v>suspect</v>
      </c>
      <c r="AE396" t="str">
        <f ca="1">IFERROR(__xludf.DUMMYFUNCTION("""COMPUTED_VALUE"""),"#VALUE!")</f>
        <v>#VALUE!</v>
      </c>
      <c r="AF396" t="str">
        <f ca="1">IFERROR(__xludf.DUMMYFUNCTION("""COMPUTED_VALUE"""),"#N/A")</f>
        <v>#N/A</v>
      </c>
      <c r="AG396" t="str">
        <f ca="1">IFERROR(__xludf.DUMMYFUNCTION("""COMPUTED_VALUE"""),"#N/A")</f>
        <v>#N/A</v>
      </c>
      <c r="AI396" t="str">
        <f ca="1">IFERROR(__xludf.DUMMYFUNCTION("""COMPUTED_VALUE"""),"#VALUE!")</f>
        <v>#VALUE!</v>
      </c>
      <c r="AK396" t="str">
        <f ca="1">IFERROR(__xludf.DUMMYFUNCTION("""COMPUTED_VALUE"""),"#VALUE!")</f>
        <v>#VALUE!</v>
      </c>
      <c r="AM396" t="str">
        <f ca="1">IFERROR(__xludf.DUMMYFUNCTION("""COMPUTED_VALUE"""),"#VALUE!")</f>
        <v>#VALUE!</v>
      </c>
      <c r="AO396" t="str">
        <f ca="1">IFERROR(__xludf.DUMMYFUNCTION("""COMPUTED_VALUE"""),"#VALUE!")</f>
        <v>#VALUE!</v>
      </c>
      <c r="AQ396" t="str">
        <f ca="1">IFERROR(__xludf.DUMMYFUNCTION("""COMPUTED_VALUE"""),"#VALUE!")</f>
        <v>#VALUE!</v>
      </c>
      <c r="AS396" t="str">
        <f ca="1">IFERROR(__xludf.DUMMYFUNCTION("""COMPUTED_VALUE"""),"#VALUE!")</f>
        <v>#VALUE!</v>
      </c>
      <c r="AU396" t="str">
        <f ca="1">IFERROR(__xludf.DUMMYFUNCTION("""COMPUTED_VALUE"""),"#VALUE!")</f>
        <v>#VALUE!</v>
      </c>
      <c r="AW396" t="str">
        <f ca="1">IFERROR(__xludf.DUMMYFUNCTION("""COMPUTED_VALUE"""),"#VALUE!")</f>
        <v>#VALUE!</v>
      </c>
      <c r="AY396" t="str">
        <f ca="1">IFERROR(__xludf.DUMMYFUNCTION("""COMPUTED_VALUE"""),"#VALUE!")</f>
        <v>#VALUE!</v>
      </c>
      <c r="BA396" t="str">
        <f ca="1">IFERROR(__xludf.DUMMYFUNCTION("""COMPUTED_VALUE"""),"#VALUE!")</f>
        <v>#VALUE!</v>
      </c>
      <c r="BC396" t="str">
        <f ca="1">IFERROR(__xludf.DUMMYFUNCTION("""COMPUTED_VALUE"""),"#VALUE!")</f>
        <v>#VALUE!</v>
      </c>
      <c r="BE396" t="str">
        <f ca="1">IFERROR(__xludf.DUMMYFUNCTION("""COMPUTED_VALUE"""),"#VALUE!")</f>
        <v>#VALUE!</v>
      </c>
      <c r="BG396" t="str">
        <f ca="1">IFERROR(__xludf.DUMMYFUNCTION("""COMPUTED_VALUE"""),"#VALUE!")</f>
        <v>#VALUE!</v>
      </c>
      <c r="BI396" t="str">
        <f ca="1">IFERROR(__xludf.DUMMYFUNCTION("""COMPUTED_VALUE"""),"#VALUE!")</f>
        <v>#VALUE!</v>
      </c>
      <c r="BK396" t="str">
        <f ca="1">IFERROR(__xludf.DUMMYFUNCTION("""COMPUTED_VALUE"""),"#VALUE!")</f>
        <v>#VALUE!</v>
      </c>
      <c r="BM396" t="str">
        <f ca="1">IFERROR(__xludf.DUMMYFUNCTION("""COMPUTED_VALUE"""),"#VALUE!")</f>
        <v>#VALUE!</v>
      </c>
      <c r="BO396" t="str">
        <f ca="1">IFERROR(__xludf.DUMMYFUNCTION("""COMPUTED_VALUE"""),"#VALUE!")</f>
        <v>#VALUE!</v>
      </c>
      <c r="BQ396" t="str">
        <f ca="1">IFERROR(__xludf.DUMMYFUNCTION("""COMPUTED_VALUE"""),"#VALUE!")</f>
        <v>#VALUE!</v>
      </c>
      <c r="BS396" t="str">
        <f ca="1">IFERROR(__xludf.DUMMYFUNCTION("""COMPUTED_VALUE"""),"#VALUE!")</f>
        <v>#VALUE!</v>
      </c>
      <c r="BU396" t="str">
        <f ca="1">IFERROR(__xludf.DUMMYFUNCTION("""COMPUTED_VALUE"""),"#VALUE!")</f>
        <v>#VALUE!</v>
      </c>
      <c r="BW396" t="str">
        <f ca="1">IFERROR(__xludf.DUMMYFUNCTION("""COMPUTED_VALUE"""),"#VALUE!")</f>
        <v>#VALUE!</v>
      </c>
      <c r="BY396" t="str">
        <f ca="1">IFERROR(__xludf.DUMMYFUNCTION("""COMPUTED_VALUE"""),"#VALUE!")</f>
        <v>#VALUE!</v>
      </c>
      <c r="CA396" t="str">
        <f ca="1">IFERROR(__xludf.DUMMYFUNCTION("""COMPUTED_VALUE"""),"#VALUE!")</f>
        <v>#VALUE!</v>
      </c>
      <c r="CC396" t="str">
        <f ca="1">IFERROR(__xludf.DUMMYFUNCTION("""COMPUTED_VALUE"""),"#VALUE!")</f>
        <v>#VALUE!</v>
      </c>
      <c r="CE396" t="str">
        <f ca="1">IFERROR(__xludf.DUMMYFUNCTION("""COMPUTED_VALUE"""),"#VALUE!")</f>
        <v>#VALUE!</v>
      </c>
      <c r="CG396" t="str">
        <f ca="1">IFERROR(__xludf.DUMMYFUNCTION("""COMPUTED_VALUE"""),"#VALUE!")</f>
        <v>#VALUE!</v>
      </c>
      <c r="CI396" t="str">
        <f ca="1">IFERROR(__xludf.DUMMYFUNCTION("""COMPUTED_VALUE"""),"#VALUE!")</f>
        <v>#VALUE!</v>
      </c>
      <c r="CK396" t="str">
        <f ca="1">IFERROR(__xludf.DUMMYFUNCTION("""COMPUTED_VALUE"""),"#VALUE!")</f>
        <v>#VALUE!</v>
      </c>
      <c r="CS396" t="str">
        <f ca="1">IFERROR(__xludf.DUMMYFUNCTION("""COMPUTED_VALUE"""),"#VALUE!")</f>
        <v>#VALUE!</v>
      </c>
      <c r="CU396" t="str">
        <f ca="1">IFERROR(__xludf.DUMMYFUNCTION("""COMPUTED_VALUE"""),"#VALUE!")</f>
        <v>#VALUE!</v>
      </c>
      <c r="CW396" t="str">
        <f ca="1">IFERROR(__xludf.DUMMYFUNCTION("""COMPUTED_VALUE"""),"#VALUE!")</f>
        <v>#VALUE!</v>
      </c>
      <c r="CY396" t="str">
        <f ca="1">IFERROR(__xludf.DUMMYFUNCTION("""COMPUTED_VALUE"""),"#VALUE!")</f>
        <v>#VALUE!</v>
      </c>
      <c r="DC396" t="str">
        <f ca="1">IFERROR(__xludf.DUMMYFUNCTION("""COMPUTED_VALUE"""),"#VALUE!")</f>
        <v>#VALUE!</v>
      </c>
      <c r="DE396" t="str">
        <f ca="1">IFERROR(__xludf.DUMMYFUNCTION("""COMPUTED_VALUE"""),"#VALUE!")</f>
        <v>#VALUE!</v>
      </c>
      <c r="DI396" t="str">
        <f ca="1">IFERROR(__xludf.DUMMYFUNCTION("""COMPUTED_VALUE"""),"#VALUE!")</f>
        <v>#VALUE!</v>
      </c>
      <c r="DJ396" t="str">
        <f ca="1">IFERROR(__xludf.DUMMYFUNCTION("""COMPUTED_VALUE"""),"#VALUE!")</f>
        <v>#VALUE!</v>
      </c>
      <c r="DK396" t="str">
        <f ca="1">IFERROR(__xludf.DUMMYFUNCTION("""COMPUTED_VALUE"""),"Judging by other, scarce information provided in the register, it's either Bernardus or Agnessona de Rosseto.")</f>
        <v>Judging by other, scarce information provided in the register, it's either Bernardus or Agnessona de Rosseto.</v>
      </c>
      <c r="DL396" t="str">
        <f ca="1">IFERROR(__xludf.DUMMYFUNCTION("""COMPUTED_VALUE"""),"Davor Salihović")</f>
        <v>Davor Salihović</v>
      </c>
    </row>
    <row r="397" spans="1:116" ht="13.2" x14ac:dyDescent="0.25">
      <c r="A397" t="str">
        <f ca="1">IFERROR(__xludf.DUMMYFUNCTION("""COMPUTED_VALUE"""),"P0405")</f>
        <v>P0405</v>
      </c>
      <c r="B397" t="str">
        <f ca="1">IFERROR(__xludf.DUMMYFUNCTION("""COMPUTED_VALUE"""),"Iohannes de Oddo")</f>
        <v>Iohannes de Oddo</v>
      </c>
      <c r="D397" t="str">
        <f ca="1">IFERROR(__xludf.DUMMYFUNCTION("""COMPUTED_VALUE"""),"#VALUE!")</f>
        <v>#VALUE!</v>
      </c>
      <c r="E397" t="str">
        <f ca="1">IFERROR(__xludf.DUMMYFUNCTION("""COMPUTED_VALUE"""),"Iohannes")</f>
        <v>Iohannes</v>
      </c>
      <c r="J397" t="str">
        <f ca="1">IFERROR(__xludf.DUMMYFUNCTION("""COMPUTED_VALUE"""),"de")</f>
        <v>de</v>
      </c>
      <c r="K397" t="str">
        <f ca="1">IFERROR(__xludf.DUMMYFUNCTION("""COMPUTED_VALUE"""),"Oddo")</f>
        <v>Oddo</v>
      </c>
      <c r="L397" t="str">
        <f ca="1">IFERROR(__xludf.DUMMYFUNCTION("""COMPUTED_VALUE"""),"de Oddo")</f>
        <v>de Oddo</v>
      </c>
      <c r="S397" t="str">
        <f ca="1">IFERROR(__xludf.DUMMYFUNCTION("""COMPUTED_VALUE"""),"Latin")</f>
        <v>Latin</v>
      </c>
      <c r="T397" t="str">
        <f ca="1">IFERROR(__xludf.DUMMYFUNCTION("""COMPUTED_VALUE"""),"definite")</f>
        <v>definite</v>
      </c>
      <c r="U397" t="str">
        <f ca="1">IFERROR(__xludf.DUMMYFUNCTION("""COMPUTED_VALUE"""),"C2553")</f>
        <v>C2553</v>
      </c>
      <c r="V397" t="str">
        <f ca="1">IFERROR(__xludf.DUMMYFUNCTION("""COMPUTED_VALUE"""),"male")</f>
        <v>male</v>
      </c>
      <c r="Z397" t="str">
        <f ca="1">IFERROR(__xludf.DUMMYFUNCTION("""COMPUTED_VALUE"""),"240")</f>
        <v>240</v>
      </c>
      <c r="AA397" t="str">
        <f ca="1">IFERROR(__xludf.DUMMYFUNCTION("""COMPUTED_VALUE"""),"d")</f>
        <v>d</v>
      </c>
      <c r="AB397" t="str">
        <f ca="1">IFERROR(__xludf.DUMMYFUNCTION("""COMPUTED_VALUE"""),"suspect")</f>
        <v>suspect</v>
      </c>
      <c r="AE397" t="str">
        <f ca="1">IFERROR(__xludf.DUMMYFUNCTION("""COMPUTED_VALUE"""),"#VALUE!")</f>
        <v>#VALUE!</v>
      </c>
      <c r="AF397" t="str">
        <f ca="1">IFERROR(__xludf.DUMMYFUNCTION("""COMPUTED_VALUE"""),"#N/A")</f>
        <v>#N/A</v>
      </c>
      <c r="AG397" t="str">
        <f ca="1">IFERROR(__xludf.DUMMYFUNCTION("""COMPUTED_VALUE"""),"#N/A")</f>
        <v>#N/A</v>
      </c>
      <c r="AH397" t="str">
        <f ca="1">IFERROR(__xludf.DUMMYFUNCTION("""COMPUTED_VALUE"""),"C2039")</f>
        <v>C2039</v>
      </c>
      <c r="AI397" t="str">
        <f ca="1">IFERROR(__xludf.DUMMYFUNCTION("""COMPUTED_VALUE"""),"kinperson")</f>
        <v>kinperson</v>
      </c>
      <c r="AJ397" t="str">
        <f ca="1">IFERROR(__xludf.DUMMYFUNCTION("""COMPUTED_VALUE"""),"P0105")</f>
        <v>P0105</v>
      </c>
      <c r="AK397" t="str">
        <f ca="1">IFERROR(__xludf.DUMMYFUNCTION("""COMPUTED_VALUE"""),"Villelminus de Oddo")</f>
        <v>Villelminus de Oddo</v>
      </c>
      <c r="AM397" t="str">
        <f ca="1">IFERROR(__xludf.DUMMYFUNCTION("""COMPUTED_VALUE"""),"#VALUE!")</f>
        <v>#VALUE!</v>
      </c>
      <c r="AO397" t="str">
        <f ca="1">IFERROR(__xludf.DUMMYFUNCTION("""COMPUTED_VALUE"""),"#VALUE!")</f>
        <v>#VALUE!</v>
      </c>
      <c r="AQ397" t="str">
        <f ca="1">IFERROR(__xludf.DUMMYFUNCTION("""COMPUTED_VALUE"""),"#VALUE!")</f>
        <v>#VALUE!</v>
      </c>
      <c r="AS397" t="str">
        <f ca="1">IFERROR(__xludf.DUMMYFUNCTION("""COMPUTED_VALUE"""),"#VALUE!")</f>
        <v>#VALUE!</v>
      </c>
      <c r="AU397" t="str">
        <f ca="1">IFERROR(__xludf.DUMMYFUNCTION("""COMPUTED_VALUE"""),"#VALUE!")</f>
        <v>#VALUE!</v>
      </c>
      <c r="AW397" t="str">
        <f ca="1">IFERROR(__xludf.DUMMYFUNCTION("""COMPUTED_VALUE"""),"#VALUE!")</f>
        <v>#VALUE!</v>
      </c>
      <c r="AY397" t="str">
        <f ca="1">IFERROR(__xludf.DUMMYFUNCTION("""COMPUTED_VALUE"""),"#VALUE!")</f>
        <v>#VALUE!</v>
      </c>
      <c r="BA397" t="str">
        <f ca="1">IFERROR(__xludf.DUMMYFUNCTION("""COMPUTED_VALUE"""),"#VALUE!")</f>
        <v>#VALUE!</v>
      </c>
      <c r="BC397" t="str">
        <f ca="1">IFERROR(__xludf.DUMMYFUNCTION("""COMPUTED_VALUE"""),"#VALUE!")</f>
        <v>#VALUE!</v>
      </c>
      <c r="BE397" t="str">
        <f ca="1">IFERROR(__xludf.DUMMYFUNCTION("""COMPUTED_VALUE"""),"#VALUE!")</f>
        <v>#VALUE!</v>
      </c>
      <c r="BG397" t="str">
        <f ca="1">IFERROR(__xludf.DUMMYFUNCTION("""COMPUTED_VALUE"""),"#VALUE!")</f>
        <v>#VALUE!</v>
      </c>
      <c r="BI397" t="str">
        <f ca="1">IFERROR(__xludf.DUMMYFUNCTION("""COMPUTED_VALUE"""),"#VALUE!")</f>
        <v>#VALUE!</v>
      </c>
      <c r="BK397" t="str">
        <f ca="1">IFERROR(__xludf.DUMMYFUNCTION("""COMPUTED_VALUE"""),"#VALUE!")</f>
        <v>#VALUE!</v>
      </c>
      <c r="BM397" t="str">
        <f ca="1">IFERROR(__xludf.DUMMYFUNCTION("""COMPUTED_VALUE"""),"#VALUE!")</f>
        <v>#VALUE!</v>
      </c>
      <c r="BO397" t="str">
        <f ca="1">IFERROR(__xludf.DUMMYFUNCTION("""COMPUTED_VALUE"""),"#VALUE!")</f>
        <v>#VALUE!</v>
      </c>
      <c r="BQ397" t="str">
        <f ca="1">IFERROR(__xludf.DUMMYFUNCTION("""COMPUTED_VALUE"""),"#VALUE!")</f>
        <v>#VALUE!</v>
      </c>
      <c r="BS397" t="str">
        <f ca="1">IFERROR(__xludf.DUMMYFUNCTION("""COMPUTED_VALUE"""),"#VALUE!")</f>
        <v>#VALUE!</v>
      </c>
      <c r="BU397" t="str">
        <f ca="1">IFERROR(__xludf.DUMMYFUNCTION("""COMPUTED_VALUE"""),"#VALUE!")</f>
        <v>#VALUE!</v>
      </c>
      <c r="BW397" t="str">
        <f ca="1">IFERROR(__xludf.DUMMYFUNCTION("""COMPUTED_VALUE"""),"#VALUE!")</f>
        <v>#VALUE!</v>
      </c>
      <c r="BY397" t="str">
        <f ca="1">IFERROR(__xludf.DUMMYFUNCTION("""COMPUTED_VALUE"""),"#VALUE!")</f>
        <v>#VALUE!</v>
      </c>
      <c r="CA397" t="str">
        <f ca="1">IFERROR(__xludf.DUMMYFUNCTION("""COMPUTED_VALUE"""),"#VALUE!")</f>
        <v>#VALUE!</v>
      </c>
      <c r="CC397" t="str">
        <f ca="1">IFERROR(__xludf.DUMMYFUNCTION("""COMPUTED_VALUE"""),"#VALUE!")</f>
        <v>#VALUE!</v>
      </c>
      <c r="CD397" t="str">
        <f ca="1">IFERROR(__xludf.DUMMYFUNCTION("""COMPUTED_VALUE"""),"C3598")</f>
        <v>C3598</v>
      </c>
      <c r="CE397" t="str">
        <f ca="1">IFERROR(__xludf.DUMMYFUNCTION("""COMPUTED_VALUE"""),"location of congregation")</f>
        <v>location of congregation</v>
      </c>
      <c r="CF397" t="str">
        <f ca="1">IFERROR(__xludf.DUMMYFUNCTION("""COMPUTED_VALUE"""),"L0143")</f>
        <v>L0143</v>
      </c>
      <c r="CG397" t="str">
        <f ca="1">IFERROR(__xludf.DUMMYFUNCTION("""COMPUTED_VALUE"""),"domus Iohannis de Oddo")</f>
        <v>domus Iohannis de Oddo</v>
      </c>
      <c r="CI397" t="str">
        <f ca="1">IFERROR(__xludf.DUMMYFUNCTION("""COMPUTED_VALUE"""),"#VALUE!")</f>
        <v>#VALUE!</v>
      </c>
      <c r="CK397" t="str">
        <f ca="1">IFERROR(__xludf.DUMMYFUNCTION("""COMPUTED_VALUE"""),"#VALUE!")</f>
        <v>#VALUE!</v>
      </c>
      <c r="CS397" t="str">
        <f ca="1">IFERROR(__xludf.DUMMYFUNCTION("""COMPUTED_VALUE"""),"#VALUE!")</f>
        <v>#VALUE!</v>
      </c>
      <c r="CU397" t="str">
        <f ca="1">IFERROR(__xludf.DUMMYFUNCTION("""COMPUTED_VALUE"""),"#VALUE!")</f>
        <v>#VALUE!</v>
      </c>
      <c r="CV397" t="str">
        <f ca="1">IFERROR(__xludf.DUMMYFUNCTION("""COMPUTED_VALUE"""),"L0018")</f>
        <v>L0018</v>
      </c>
      <c r="CW397" t="str">
        <f ca="1">IFERROR(__xludf.DUMMYFUNCTION("""COMPUTED_VALUE"""),"Mollar")</f>
        <v>Mollar</v>
      </c>
      <c r="CY397" t="str">
        <f ca="1">IFERROR(__xludf.DUMMYFUNCTION("""COMPUTED_VALUE"""),"#VALUE!")</f>
        <v>#VALUE!</v>
      </c>
      <c r="DC397" t="str">
        <f ca="1">IFERROR(__xludf.DUMMYFUNCTION("""COMPUTED_VALUE"""),"#VALUE!")</f>
        <v>#VALUE!</v>
      </c>
      <c r="DE397" t="str">
        <f ca="1">IFERROR(__xludf.DUMMYFUNCTION("""COMPUTED_VALUE"""),"#VALUE!")</f>
        <v>#VALUE!</v>
      </c>
      <c r="DH397" t="str">
        <f ca="1">IFERROR(__xludf.DUMMYFUNCTION("""COMPUTED_VALUE"""),"L0143")</f>
        <v>L0143</v>
      </c>
      <c r="DI397" t="str">
        <f ca="1">IFERROR(__xludf.DUMMYFUNCTION("""COMPUTED_VALUE"""),"domus Iohannis de Oddo")</f>
        <v>domus Iohannis de Oddo</v>
      </c>
      <c r="DJ397" t="str">
        <f ca="1">IFERROR(__xludf.DUMMYFUNCTION("""COMPUTED_VALUE"""),"domus")</f>
        <v>domus</v>
      </c>
      <c r="DK397" t="str">
        <f ca="1">IFERROR(__xludf.DUMMYFUNCTION("""COMPUTED_VALUE"""),"Although not explicitly noted, it's obvious this man is a relative (brother?) of Villelminus de Oddo, that is a member of the Oddo family.")</f>
        <v>Although not explicitly noted, it's obvious this man is a relative (brother?) of Villelminus de Oddo, that is a member of the Oddo family.</v>
      </c>
      <c r="DL397" t="str">
        <f ca="1">IFERROR(__xludf.DUMMYFUNCTION("""COMPUTED_VALUE"""),"Davor Salihović")</f>
        <v>Davor Salihović</v>
      </c>
    </row>
    <row r="398" spans="1:116" ht="13.2" x14ac:dyDescent="0.25">
      <c r="A398" t="str">
        <f ca="1">IFERROR(__xludf.DUMMYFUNCTION("""COMPUTED_VALUE"""),"P0406")</f>
        <v>P0406</v>
      </c>
      <c r="B398" t="str">
        <f ca="1">IFERROR(__xludf.DUMMYFUNCTION("""COMPUTED_VALUE"""),"Guido, episcopus Taurensis")</f>
        <v>Guido, episcopus Taurensis</v>
      </c>
      <c r="D398" t="str">
        <f ca="1">IFERROR(__xludf.DUMMYFUNCTION("""COMPUTED_VALUE"""),"#VALUE!")</f>
        <v>#VALUE!</v>
      </c>
      <c r="E398" t="str">
        <f ca="1">IFERROR(__xludf.DUMMYFUNCTION("""COMPUTED_VALUE"""),"Guido")</f>
        <v>Guido</v>
      </c>
      <c r="Q398" t="str">
        <f ca="1">IFERROR(__xludf.DUMMYFUNCTION("""COMPUTED_VALUE"""),"episcopus Tauriensis")</f>
        <v>episcopus Tauriensis</v>
      </c>
      <c r="S398" t="str">
        <f ca="1">IFERROR(__xludf.DUMMYFUNCTION("""COMPUTED_VALUE"""),"Latin")</f>
        <v>Latin</v>
      </c>
      <c r="T398" t="str">
        <f ca="1">IFERROR(__xludf.DUMMYFUNCTION("""COMPUTED_VALUE"""),"definite")</f>
        <v>definite</v>
      </c>
      <c r="U398" t="str">
        <f ca="1">IFERROR(__xludf.DUMMYFUNCTION("""COMPUTED_VALUE"""),"C2553")</f>
        <v>C2553</v>
      </c>
      <c r="V398" t="str">
        <f ca="1">IFERROR(__xludf.DUMMYFUNCTION("""COMPUTED_VALUE"""),"male")</f>
        <v>male</v>
      </c>
      <c r="Z398" t="str">
        <f ca="1">IFERROR(__xludf.DUMMYFUNCTION("""COMPUTED_VALUE"""),"251")</f>
        <v>251</v>
      </c>
      <c r="AA398" t="str">
        <f ca="1">IFERROR(__xludf.DUMMYFUNCTION("""COMPUTED_VALUE"""),"i")</f>
        <v>i</v>
      </c>
      <c r="AB398" t="str">
        <f ca="1">IFERROR(__xludf.DUMMYFUNCTION("""COMPUTED_VALUE"""),"NA")</f>
        <v>NA</v>
      </c>
      <c r="AD398" t="str">
        <f ca="1">IFERROR(__xludf.DUMMYFUNCTION("""COMPUTED_VALUE"""),"C3287")</f>
        <v>C3287</v>
      </c>
      <c r="AE398" t="str">
        <f ca="1">IFERROR(__xludf.DUMMYFUNCTION("""COMPUTED_VALUE"""),"alive")</f>
        <v>alive</v>
      </c>
      <c r="AF398" t="str">
        <f ca="1">IFERROR(__xludf.DUMMYFUNCTION("""COMPUTED_VALUE"""),"C1753")</f>
        <v>C1753</v>
      </c>
      <c r="AG398" t="str">
        <f ca="1">IFERROR(__xludf.DUMMYFUNCTION("""COMPUTED_VALUE"""),"1335-01-20")</f>
        <v>1335-01-20</v>
      </c>
      <c r="AI398" t="str">
        <f ca="1">IFERROR(__xludf.DUMMYFUNCTION("""COMPUTED_VALUE"""),"#VALUE!")</f>
        <v>#VALUE!</v>
      </c>
      <c r="AK398" t="str">
        <f ca="1">IFERROR(__xludf.DUMMYFUNCTION("""COMPUTED_VALUE"""),"#VALUE!")</f>
        <v>#VALUE!</v>
      </c>
      <c r="AM398" t="str">
        <f ca="1">IFERROR(__xludf.DUMMYFUNCTION("""COMPUTED_VALUE"""),"#VALUE!")</f>
        <v>#VALUE!</v>
      </c>
      <c r="AO398" t="str">
        <f ca="1">IFERROR(__xludf.DUMMYFUNCTION("""COMPUTED_VALUE"""),"#VALUE!")</f>
        <v>#VALUE!</v>
      </c>
      <c r="AQ398" t="str">
        <f ca="1">IFERROR(__xludf.DUMMYFUNCTION("""COMPUTED_VALUE"""),"#VALUE!")</f>
        <v>#VALUE!</v>
      </c>
      <c r="AS398" t="str">
        <f ca="1">IFERROR(__xludf.DUMMYFUNCTION("""COMPUTED_VALUE"""),"#VALUE!")</f>
        <v>#VALUE!</v>
      </c>
      <c r="AU398" t="str">
        <f ca="1">IFERROR(__xludf.DUMMYFUNCTION("""COMPUTED_VALUE"""),"#VALUE!")</f>
        <v>#VALUE!</v>
      </c>
      <c r="AW398" t="str">
        <f ca="1">IFERROR(__xludf.DUMMYFUNCTION("""COMPUTED_VALUE"""),"#VALUE!")</f>
        <v>#VALUE!</v>
      </c>
      <c r="AY398" t="str">
        <f ca="1">IFERROR(__xludf.DUMMYFUNCTION("""COMPUTED_VALUE"""),"#VALUE!")</f>
        <v>#VALUE!</v>
      </c>
      <c r="BA398" t="str">
        <f ca="1">IFERROR(__xludf.DUMMYFUNCTION("""COMPUTED_VALUE"""),"#VALUE!")</f>
        <v>#VALUE!</v>
      </c>
      <c r="BC398" t="str">
        <f ca="1">IFERROR(__xludf.DUMMYFUNCTION("""COMPUTED_VALUE"""),"#VALUE!")</f>
        <v>#VALUE!</v>
      </c>
      <c r="BE398" t="str">
        <f ca="1">IFERROR(__xludf.DUMMYFUNCTION("""COMPUTED_VALUE"""),"#VALUE!")</f>
        <v>#VALUE!</v>
      </c>
      <c r="BG398" t="str">
        <f ca="1">IFERROR(__xludf.DUMMYFUNCTION("""COMPUTED_VALUE"""),"#VALUE!")</f>
        <v>#VALUE!</v>
      </c>
      <c r="BI398" t="str">
        <f ca="1">IFERROR(__xludf.DUMMYFUNCTION("""COMPUTED_VALUE"""),"#VALUE!")</f>
        <v>#VALUE!</v>
      </c>
      <c r="BK398" t="str">
        <f ca="1">IFERROR(__xludf.DUMMYFUNCTION("""COMPUTED_VALUE"""),"#VALUE!")</f>
        <v>#VALUE!</v>
      </c>
      <c r="BM398" t="str">
        <f ca="1">IFERROR(__xludf.DUMMYFUNCTION("""COMPUTED_VALUE"""),"#VALUE!")</f>
        <v>#VALUE!</v>
      </c>
      <c r="BO398" t="str">
        <f ca="1">IFERROR(__xludf.DUMMYFUNCTION("""COMPUTED_VALUE"""),"#VALUE!")</f>
        <v>#VALUE!</v>
      </c>
      <c r="BQ398" t="str">
        <f ca="1">IFERROR(__xludf.DUMMYFUNCTION("""COMPUTED_VALUE"""),"#VALUE!")</f>
        <v>#VALUE!</v>
      </c>
      <c r="BS398" t="str">
        <f ca="1">IFERROR(__xludf.DUMMYFUNCTION("""COMPUTED_VALUE"""),"#VALUE!")</f>
        <v>#VALUE!</v>
      </c>
      <c r="BU398" t="str">
        <f ca="1">IFERROR(__xludf.DUMMYFUNCTION("""COMPUTED_VALUE"""),"#VALUE!")</f>
        <v>#VALUE!</v>
      </c>
      <c r="BW398" t="str">
        <f ca="1">IFERROR(__xludf.DUMMYFUNCTION("""COMPUTED_VALUE"""),"#VALUE!")</f>
        <v>#VALUE!</v>
      </c>
      <c r="BY398" t="str">
        <f ca="1">IFERROR(__xludf.DUMMYFUNCTION("""COMPUTED_VALUE"""),"#VALUE!")</f>
        <v>#VALUE!</v>
      </c>
      <c r="CA398" t="str">
        <f ca="1">IFERROR(__xludf.DUMMYFUNCTION("""COMPUTED_VALUE"""),"#VALUE!")</f>
        <v>#VALUE!</v>
      </c>
      <c r="CC398" t="str">
        <f ca="1">IFERROR(__xludf.DUMMYFUNCTION("""COMPUTED_VALUE"""),"#VALUE!")</f>
        <v>#VALUE!</v>
      </c>
      <c r="CE398" t="str">
        <f ca="1">IFERROR(__xludf.DUMMYFUNCTION("""COMPUTED_VALUE"""),"#VALUE!")</f>
        <v>#VALUE!</v>
      </c>
      <c r="CG398" t="str">
        <f ca="1">IFERROR(__xludf.DUMMYFUNCTION("""COMPUTED_VALUE"""),"#VALUE!")</f>
        <v>#VALUE!</v>
      </c>
      <c r="CI398" t="str">
        <f ca="1">IFERROR(__xludf.DUMMYFUNCTION("""COMPUTED_VALUE"""),"#VALUE!")</f>
        <v>#VALUE!</v>
      </c>
      <c r="CK398" t="str">
        <f ca="1">IFERROR(__xludf.DUMMYFUNCTION("""COMPUTED_VALUE"""),"#VALUE!")</f>
        <v>#VALUE!</v>
      </c>
      <c r="CS398" t="str">
        <f ca="1">IFERROR(__xludf.DUMMYFUNCTION("""COMPUTED_VALUE"""),"#VALUE!")</f>
        <v>#VALUE!</v>
      </c>
      <c r="CU398" t="str">
        <f ca="1">IFERROR(__xludf.DUMMYFUNCTION("""COMPUTED_VALUE"""),"#VALUE!")</f>
        <v>#VALUE!</v>
      </c>
      <c r="CW398" t="str">
        <f ca="1">IFERROR(__xludf.DUMMYFUNCTION("""COMPUTED_VALUE"""),"#VALUE!")</f>
        <v>#VALUE!</v>
      </c>
      <c r="CX398" t="str">
        <f ca="1">IFERROR(__xludf.DUMMYFUNCTION("""COMPUTED_VALUE"""),"C0390")</f>
        <v>C0390</v>
      </c>
      <c r="CY398" t="str">
        <f ca="1">IFERROR(__xludf.DUMMYFUNCTION("""COMPUTED_VALUE"""),"episcopus")</f>
        <v>episcopus</v>
      </c>
      <c r="DC398" t="str">
        <f ca="1">IFERROR(__xludf.DUMMYFUNCTION("""COMPUTED_VALUE"""),"#VALUE!")</f>
        <v>#VALUE!</v>
      </c>
      <c r="DE398" t="str">
        <f ca="1">IFERROR(__xludf.DUMMYFUNCTION("""COMPUTED_VALUE"""),"#VALUE!")</f>
        <v>#VALUE!</v>
      </c>
      <c r="DI398" t="str">
        <f ca="1">IFERROR(__xludf.DUMMYFUNCTION("""COMPUTED_VALUE"""),"#VALUE!")</f>
        <v>#VALUE!</v>
      </c>
      <c r="DJ398" t="str">
        <f ca="1">IFERROR(__xludf.DUMMYFUNCTION("""COMPUTED_VALUE"""),"#VALUE!")</f>
        <v>#VALUE!</v>
      </c>
      <c r="DL398" t="str">
        <f ca="1">IFERROR(__xludf.DUMMYFUNCTION("""COMPUTED_VALUE"""),"Davor Salihović")</f>
        <v>Davor Salihović</v>
      </c>
    </row>
    <row r="399" spans="1:116" ht="13.2" x14ac:dyDescent="0.25">
      <c r="A399" t="str">
        <f ca="1">IFERROR(__xludf.DUMMYFUNCTION("""COMPUTED_VALUE"""),"P0407")</f>
        <v>P0407</v>
      </c>
      <c r="B399" t="str">
        <f ca="1">IFERROR(__xludf.DUMMYFUNCTION("""COMPUTED_VALUE"""),"Iohannes de Boyssono")</f>
        <v>Iohannes de Boyssono</v>
      </c>
      <c r="D399" t="str">
        <f ca="1">IFERROR(__xludf.DUMMYFUNCTION("""COMPUTED_VALUE"""),"#VALUE!")</f>
        <v>#VALUE!</v>
      </c>
      <c r="E399" t="str">
        <f ca="1">IFERROR(__xludf.DUMMYFUNCTION("""COMPUTED_VALUE"""),"Iohannes")</f>
        <v>Iohannes</v>
      </c>
      <c r="J399" t="str">
        <f ca="1">IFERROR(__xludf.DUMMYFUNCTION("""COMPUTED_VALUE"""),"de")</f>
        <v>de</v>
      </c>
      <c r="K399" t="str">
        <f ca="1">IFERROR(__xludf.DUMMYFUNCTION("""COMPUTED_VALUE"""),"Boyssono")</f>
        <v>Boyssono</v>
      </c>
      <c r="L399" t="str">
        <f ca="1">IFERROR(__xludf.DUMMYFUNCTION("""COMPUTED_VALUE"""),"de Boyssono")</f>
        <v>de Boyssono</v>
      </c>
      <c r="S399" t="str">
        <f ca="1">IFERROR(__xludf.DUMMYFUNCTION("""COMPUTED_VALUE"""),"Latin")</f>
        <v>Latin</v>
      </c>
      <c r="T399" t="str">
        <f ca="1">IFERROR(__xludf.DUMMYFUNCTION("""COMPUTED_VALUE"""),"definite")</f>
        <v>definite</v>
      </c>
      <c r="U399" t="str">
        <f ca="1">IFERROR(__xludf.DUMMYFUNCTION("""COMPUTED_VALUE"""),"C2553")</f>
        <v>C2553</v>
      </c>
      <c r="V399" t="str">
        <f ca="1">IFERROR(__xludf.DUMMYFUNCTION("""COMPUTED_VALUE"""),"male")</f>
        <v>male</v>
      </c>
      <c r="Z399" t="str">
        <f ca="1">IFERROR(__xludf.DUMMYFUNCTION("""COMPUTED_VALUE"""),"177")</f>
        <v>177</v>
      </c>
      <c r="AA399" t="str">
        <f ca="1">IFERROR(__xludf.DUMMYFUNCTION("""COMPUTED_VALUE"""),"d")</f>
        <v>d</v>
      </c>
      <c r="AB399" t="str">
        <f ca="1">IFERROR(__xludf.DUMMYFUNCTION("""COMPUTED_VALUE"""),"suspect")</f>
        <v>suspect</v>
      </c>
      <c r="AE399" t="str">
        <f ca="1">IFERROR(__xludf.DUMMYFUNCTION("""COMPUTED_VALUE"""),"#VALUE!")</f>
        <v>#VALUE!</v>
      </c>
      <c r="AF399" t="str">
        <f ca="1">IFERROR(__xludf.DUMMYFUNCTION("""COMPUTED_VALUE"""),"#N/A")</f>
        <v>#N/A</v>
      </c>
      <c r="AG399" t="str">
        <f ca="1">IFERROR(__xludf.DUMMYFUNCTION("""COMPUTED_VALUE"""),"#N/A")</f>
        <v>#N/A</v>
      </c>
      <c r="AI399" t="str">
        <f ca="1">IFERROR(__xludf.DUMMYFUNCTION("""COMPUTED_VALUE"""),"#VALUE!")</f>
        <v>#VALUE!</v>
      </c>
      <c r="AK399" t="str">
        <f ca="1">IFERROR(__xludf.DUMMYFUNCTION("""COMPUTED_VALUE"""),"#VALUE!")</f>
        <v>#VALUE!</v>
      </c>
      <c r="AM399" t="str">
        <f ca="1">IFERROR(__xludf.DUMMYFUNCTION("""COMPUTED_VALUE"""),"#VALUE!")</f>
        <v>#VALUE!</v>
      </c>
      <c r="AO399" t="str">
        <f ca="1">IFERROR(__xludf.DUMMYFUNCTION("""COMPUTED_VALUE"""),"#VALUE!")</f>
        <v>#VALUE!</v>
      </c>
      <c r="AQ399" t="str">
        <f ca="1">IFERROR(__xludf.DUMMYFUNCTION("""COMPUTED_VALUE"""),"#VALUE!")</f>
        <v>#VALUE!</v>
      </c>
      <c r="AS399" t="str">
        <f ca="1">IFERROR(__xludf.DUMMYFUNCTION("""COMPUTED_VALUE"""),"#VALUE!")</f>
        <v>#VALUE!</v>
      </c>
      <c r="AU399" t="str">
        <f ca="1">IFERROR(__xludf.DUMMYFUNCTION("""COMPUTED_VALUE"""),"#VALUE!")</f>
        <v>#VALUE!</v>
      </c>
      <c r="AW399" t="str">
        <f ca="1">IFERROR(__xludf.DUMMYFUNCTION("""COMPUTED_VALUE"""),"#VALUE!")</f>
        <v>#VALUE!</v>
      </c>
      <c r="AY399" t="str">
        <f ca="1">IFERROR(__xludf.DUMMYFUNCTION("""COMPUTED_VALUE"""),"#VALUE!")</f>
        <v>#VALUE!</v>
      </c>
      <c r="BA399" t="str">
        <f ca="1">IFERROR(__xludf.DUMMYFUNCTION("""COMPUTED_VALUE"""),"#VALUE!")</f>
        <v>#VALUE!</v>
      </c>
      <c r="BC399" t="str">
        <f ca="1">IFERROR(__xludf.DUMMYFUNCTION("""COMPUTED_VALUE"""),"#VALUE!")</f>
        <v>#VALUE!</v>
      </c>
      <c r="BE399" t="str">
        <f ca="1">IFERROR(__xludf.DUMMYFUNCTION("""COMPUTED_VALUE"""),"#VALUE!")</f>
        <v>#VALUE!</v>
      </c>
      <c r="BG399" t="str">
        <f ca="1">IFERROR(__xludf.DUMMYFUNCTION("""COMPUTED_VALUE"""),"#VALUE!")</f>
        <v>#VALUE!</v>
      </c>
      <c r="BI399" t="str">
        <f ca="1">IFERROR(__xludf.DUMMYFUNCTION("""COMPUTED_VALUE"""),"#VALUE!")</f>
        <v>#VALUE!</v>
      </c>
      <c r="BK399" t="str">
        <f ca="1">IFERROR(__xludf.DUMMYFUNCTION("""COMPUTED_VALUE"""),"#VALUE!")</f>
        <v>#VALUE!</v>
      </c>
      <c r="BM399" t="str">
        <f ca="1">IFERROR(__xludf.DUMMYFUNCTION("""COMPUTED_VALUE"""),"#VALUE!")</f>
        <v>#VALUE!</v>
      </c>
      <c r="BO399" t="str">
        <f ca="1">IFERROR(__xludf.DUMMYFUNCTION("""COMPUTED_VALUE"""),"#VALUE!")</f>
        <v>#VALUE!</v>
      </c>
      <c r="BQ399" t="str">
        <f ca="1">IFERROR(__xludf.DUMMYFUNCTION("""COMPUTED_VALUE"""),"#VALUE!")</f>
        <v>#VALUE!</v>
      </c>
      <c r="BS399" t="str">
        <f ca="1">IFERROR(__xludf.DUMMYFUNCTION("""COMPUTED_VALUE"""),"#VALUE!")</f>
        <v>#VALUE!</v>
      </c>
      <c r="BU399" t="str">
        <f ca="1">IFERROR(__xludf.DUMMYFUNCTION("""COMPUTED_VALUE"""),"#VALUE!")</f>
        <v>#VALUE!</v>
      </c>
      <c r="BW399" t="str">
        <f ca="1">IFERROR(__xludf.DUMMYFUNCTION("""COMPUTED_VALUE"""),"#VALUE!")</f>
        <v>#VALUE!</v>
      </c>
      <c r="BY399" t="str">
        <f ca="1">IFERROR(__xludf.DUMMYFUNCTION("""COMPUTED_VALUE"""),"#VALUE!")</f>
        <v>#VALUE!</v>
      </c>
      <c r="CA399" t="str">
        <f ca="1">IFERROR(__xludf.DUMMYFUNCTION("""COMPUTED_VALUE"""),"#VALUE!")</f>
        <v>#VALUE!</v>
      </c>
      <c r="CC399" t="str">
        <f ca="1">IFERROR(__xludf.DUMMYFUNCTION("""COMPUTED_VALUE"""),"#VALUE!")</f>
        <v>#VALUE!</v>
      </c>
      <c r="CD399" t="str">
        <f ca="1">IFERROR(__xludf.DUMMYFUNCTION("""COMPUTED_VALUE"""),"C3598")</f>
        <v>C3598</v>
      </c>
      <c r="CE399" t="str">
        <f ca="1">IFERROR(__xludf.DUMMYFUNCTION("""COMPUTED_VALUE"""),"location of congregation")</f>
        <v>location of congregation</v>
      </c>
      <c r="CF399" t="str">
        <f ca="1">IFERROR(__xludf.DUMMYFUNCTION("""COMPUTED_VALUE"""),"L0070")</f>
        <v>L0070</v>
      </c>
      <c r="CG399" t="str">
        <f ca="1">IFERROR(__xludf.DUMMYFUNCTION("""COMPUTED_VALUE"""),"domus Iohannis de Boysono")</f>
        <v>domus Iohannis de Boysono</v>
      </c>
      <c r="CI399" t="str">
        <f ca="1">IFERROR(__xludf.DUMMYFUNCTION("""COMPUTED_VALUE"""),"#VALUE!")</f>
        <v>#VALUE!</v>
      </c>
      <c r="CK399" t="str">
        <f ca="1">IFERROR(__xludf.DUMMYFUNCTION("""COMPUTED_VALUE"""),"#VALUE!")</f>
        <v>#VALUE!</v>
      </c>
      <c r="CS399" t="str">
        <f ca="1">IFERROR(__xludf.DUMMYFUNCTION("""COMPUTED_VALUE"""),"#VALUE!")</f>
        <v>#VALUE!</v>
      </c>
      <c r="CU399" t="str">
        <f ca="1">IFERROR(__xludf.DUMMYFUNCTION("""COMPUTED_VALUE"""),"#VALUE!")</f>
        <v>#VALUE!</v>
      </c>
      <c r="CW399" t="str">
        <f ca="1">IFERROR(__xludf.DUMMYFUNCTION("""COMPUTED_VALUE"""),"#VALUE!")</f>
        <v>#VALUE!</v>
      </c>
      <c r="CY399" t="str">
        <f ca="1">IFERROR(__xludf.DUMMYFUNCTION("""COMPUTED_VALUE"""),"#VALUE!")</f>
        <v>#VALUE!</v>
      </c>
      <c r="DC399" t="str">
        <f ca="1">IFERROR(__xludf.DUMMYFUNCTION("""COMPUTED_VALUE"""),"#VALUE!")</f>
        <v>#VALUE!</v>
      </c>
      <c r="DE399" t="str">
        <f ca="1">IFERROR(__xludf.DUMMYFUNCTION("""COMPUTED_VALUE"""),"#VALUE!")</f>
        <v>#VALUE!</v>
      </c>
      <c r="DH399" t="str">
        <f ca="1">IFERROR(__xludf.DUMMYFUNCTION("""COMPUTED_VALUE"""),"L0070")</f>
        <v>L0070</v>
      </c>
      <c r="DI399" t="str">
        <f ca="1">IFERROR(__xludf.DUMMYFUNCTION("""COMPUTED_VALUE"""),"domus Iohannis de Boysono")</f>
        <v>domus Iohannis de Boysono</v>
      </c>
      <c r="DJ399" t="str">
        <f ca="1">IFERROR(__xludf.DUMMYFUNCTION("""COMPUTED_VALUE"""),"domus")</f>
        <v>domus</v>
      </c>
      <c r="DK399" t="str">
        <f ca="1">IFERROR(__xludf.DUMMYFUNCTION("""COMPUTED_VALUE"""),"Could be P0360.")</f>
        <v>Could be P0360.</v>
      </c>
      <c r="DL399" t="str">
        <f ca="1">IFERROR(__xludf.DUMMYFUNCTION("""COMPUTED_VALUE"""),"Davor Salihović")</f>
        <v>Davor Salihović</v>
      </c>
    </row>
    <row r="400" spans="1:116" ht="13.2" x14ac:dyDescent="0.25">
      <c r="A400" t="str">
        <f ca="1">IFERROR(__xludf.DUMMYFUNCTION("""COMPUTED_VALUE"""),"P0408")</f>
        <v>P0408</v>
      </c>
      <c r="B400" t="str">
        <f ca="1">IFERROR(__xludf.DUMMYFUNCTION("""COMPUTED_VALUE"""),"Petrus de Iusto")</f>
        <v>Petrus de Iusto</v>
      </c>
      <c r="D400" t="str">
        <f ca="1">IFERROR(__xludf.DUMMYFUNCTION("""COMPUTED_VALUE"""),"#VALUE!")</f>
        <v>#VALUE!</v>
      </c>
      <c r="E400" t="str">
        <f ca="1">IFERROR(__xludf.DUMMYFUNCTION("""COMPUTED_VALUE"""),"Petrus")</f>
        <v>Petrus</v>
      </c>
      <c r="J400" t="str">
        <f ca="1">IFERROR(__xludf.DUMMYFUNCTION("""COMPUTED_VALUE"""),"de")</f>
        <v>de</v>
      </c>
      <c r="K400" t="str">
        <f ca="1">IFERROR(__xludf.DUMMYFUNCTION("""COMPUTED_VALUE"""),"Iusto")</f>
        <v>Iusto</v>
      </c>
      <c r="L400" t="str">
        <f ca="1">IFERROR(__xludf.DUMMYFUNCTION("""COMPUTED_VALUE"""),"de Iusto")</f>
        <v>de Iusto</v>
      </c>
      <c r="S400" t="str">
        <f ca="1">IFERROR(__xludf.DUMMYFUNCTION("""COMPUTED_VALUE"""),"Latin")</f>
        <v>Latin</v>
      </c>
      <c r="T400" t="str">
        <f ca="1">IFERROR(__xludf.DUMMYFUNCTION("""COMPUTED_VALUE"""),"definite")</f>
        <v>definite</v>
      </c>
      <c r="U400" t="str">
        <f ca="1">IFERROR(__xludf.DUMMYFUNCTION("""COMPUTED_VALUE"""),"C2553")</f>
        <v>C2553</v>
      </c>
      <c r="V400" t="str">
        <f ca="1">IFERROR(__xludf.DUMMYFUNCTION("""COMPUTED_VALUE"""),"male")</f>
        <v>male</v>
      </c>
      <c r="Z400" t="str">
        <f ca="1">IFERROR(__xludf.DUMMYFUNCTION("""COMPUTED_VALUE"""),"163")</f>
        <v>163</v>
      </c>
      <c r="AA400" t="str">
        <f ca="1">IFERROR(__xludf.DUMMYFUNCTION("""COMPUTED_VALUE"""),"d")</f>
        <v>d</v>
      </c>
      <c r="AB400" t="str">
        <f ca="1">IFERROR(__xludf.DUMMYFUNCTION("""COMPUTED_VALUE"""),"suspect")</f>
        <v>suspect</v>
      </c>
      <c r="AE400" t="str">
        <f ca="1">IFERROR(__xludf.DUMMYFUNCTION("""COMPUTED_VALUE"""),"#VALUE!")</f>
        <v>#VALUE!</v>
      </c>
      <c r="AF400" t="str">
        <f ca="1">IFERROR(__xludf.DUMMYFUNCTION("""COMPUTED_VALUE"""),"#N/A")</f>
        <v>#N/A</v>
      </c>
      <c r="AG400" t="str">
        <f ca="1">IFERROR(__xludf.DUMMYFUNCTION("""COMPUTED_VALUE"""),"#N/A")</f>
        <v>#N/A</v>
      </c>
      <c r="BC400" t="str">
        <f ca="1">IFERROR(__xludf.DUMMYFUNCTION("""COMPUTED_VALUE"""),"#VALUE!")</f>
        <v>#VALUE!</v>
      </c>
      <c r="BE400" t="str">
        <f ca="1">IFERROR(__xludf.DUMMYFUNCTION("""COMPUTED_VALUE"""),"#VALUE!")</f>
        <v>#VALUE!</v>
      </c>
      <c r="BG400" t="str">
        <f ca="1">IFERROR(__xludf.DUMMYFUNCTION("""COMPUTED_VALUE"""),"#VALUE!")</f>
        <v>#VALUE!</v>
      </c>
      <c r="BI400" t="str">
        <f ca="1">IFERROR(__xludf.DUMMYFUNCTION("""COMPUTED_VALUE"""),"#VALUE!")</f>
        <v>#VALUE!</v>
      </c>
      <c r="BK400" t="str">
        <f ca="1">IFERROR(__xludf.DUMMYFUNCTION("""COMPUTED_VALUE"""),"#VALUE!")</f>
        <v>#VALUE!</v>
      </c>
      <c r="BM400" t="str">
        <f ca="1">IFERROR(__xludf.DUMMYFUNCTION("""COMPUTED_VALUE"""),"#VALUE!")</f>
        <v>#VALUE!</v>
      </c>
      <c r="BO400" t="str">
        <f ca="1">IFERROR(__xludf.DUMMYFUNCTION("""COMPUTED_VALUE"""),"#VALUE!")</f>
        <v>#VALUE!</v>
      </c>
      <c r="BQ400" t="str">
        <f ca="1">IFERROR(__xludf.DUMMYFUNCTION("""COMPUTED_VALUE"""),"#VALUE!")</f>
        <v>#VALUE!</v>
      </c>
      <c r="BS400" t="str">
        <f ca="1">IFERROR(__xludf.DUMMYFUNCTION("""COMPUTED_VALUE"""),"#VALUE!")</f>
        <v>#VALUE!</v>
      </c>
      <c r="BU400" t="str">
        <f ca="1">IFERROR(__xludf.DUMMYFUNCTION("""COMPUTED_VALUE"""),"#VALUE!")</f>
        <v>#VALUE!</v>
      </c>
      <c r="BW400" t="str">
        <f ca="1">IFERROR(__xludf.DUMMYFUNCTION("""COMPUTED_VALUE"""),"#VALUE!")</f>
        <v>#VALUE!</v>
      </c>
      <c r="BY400" t="str">
        <f ca="1">IFERROR(__xludf.DUMMYFUNCTION("""COMPUTED_VALUE"""),"#VALUE!")</f>
        <v>#VALUE!</v>
      </c>
      <c r="CA400" t="str">
        <f ca="1">IFERROR(__xludf.DUMMYFUNCTION("""COMPUTED_VALUE"""),"#VALUE!")</f>
        <v>#VALUE!</v>
      </c>
      <c r="CC400" t="str">
        <f ca="1">IFERROR(__xludf.DUMMYFUNCTION("""COMPUTED_VALUE"""),"#VALUE!")</f>
        <v>#VALUE!</v>
      </c>
      <c r="CE400" t="str">
        <f ca="1">IFERROR(__xludf.DUMMYFUNCTION("""COMPUTED_VALUE"""),"#VALUE!")</f>
        <v>#VALUE!</v>
      </c>
      <c r="CG400" t="str">
        <f ca="1">IFERROR(__xludf.DUMMYFUNCTION("""COMPUTED_VALUE"""),"#VALUE!")</f>
        <v>#VALUE!</v>
      </c>
      <c r="CI400" t="str">
        <f ca="1">IFERROR(__xludf.DUMMYFUNCTION("""COMPUTED_VALUE"""),"#VALUE!")</f>
        <v>#VALUE!</v>
      </c>
      <c r="CK400" t="str">
        <f ca="1">IFERROR(__xludf.DUMMYFUNCTION("""COMPUTED_VALUE"""),"#VALUE!")</f>
        <v>#VALUE!</v>
      </c>
      <c r="CS400" t="str">
        <f ca="1">IFERROR(__xludf.DUMMYFUNCTION("""COMPUTED_VALUE"""),"#VALUE!")</f>
        <v>#VALUE!</v>
      </c>
      <c r="CU400" t="str">
        <f ca="1">IFERROR(__xludf.DUMMYFUNCTION("""COMPUTED_VALUE"""),"#VALUE!")</f>
        <v>#VALUE!</v>
      </c>
      <c r="CV400" t="str">
        <f ca="1">IFERROR(__xludf.DUMMYFUNCTION("""COMPUTED_VALUE"""),"L0002")</f>
        <v>L0002</v>
      </c>
      <c r="CW400" t="str">
        <f ca="1">IFERROR(__xludf.DUMMYFUNCTION("""COMPUTED_VALUE"""),"Coazze")</f>
        <v>Coazze</v>
      </c>
      <c r="CY400" t="str">
        <f ca="1">IFERROR(__xludf.DUMMYFUNCTION("""COMPUTED_VALUE"""),"#VALUE!")</f>
        <v>#VALUE!</v>
      </c>
      <c r="DC400" t="str">
        <f ca="1">IFERROR(__xludf.DUMMYFUNCTION("""COMPUTED_VALUE"""),"#VALUE!")</f>
        <v>#VALUE!</v>
      </c>
      <c r="DE400" t="str">
        <f ca="1">IFERROR(__xludf.DUMMYFUNCTION("""COMPUTED_VALUE"""),"#VALUE!")</f>
        <v>#VALUE!</v>
      </c>
      <c r="DL400" t="str">
        <f ca="1">IFERROR(__xludf.DUMMYFUNCTION("""COMPUTED_VALUE"""),"Davor Salihović")</f>
        <v>Davor Salihović</v>
      </c>
    </row>
    <row r="401" spans="1:116" ht="13.2" x14ac:dyDescent="0.25">
      <c r="A401" t="str">
        <f ca="1">IFERROR(__xludf.DUMMYFUNCTION("""COMPUTED_VALUE"""),"P0409")</f>
        <v>P0409</v>
      </c>
      <c r="B401" t="str">
        <f ca="1">IFERROR(__xludf.DUMMYFUNCTION("""COMPUTED_VALUE"""),"frater Andree de Monte Meliano")</f>
        <v>frater Andree de Monte Meliano</v>
      </c>
      <c r="D401" t="str">
        <f ca="1">IFERROR(__xludf.DUMMYFUNCTION("""COMPUTED_VALUE"""),"#VALUE!")</f>
        <v>#VALUE!</v>
      </c>
      <c r="E401" t="str">
        <f ca="1">IFERROR(__xludf.DUMMYFUNCTION("""COMPUTED_VALUE"""),"frater Andree de Monte Meliano")</f>
        <v>frater Andree de Monte Meliano</v>
      </c>
      <c r="Q401" t="str">
        <f ca="1">IFERROR(__xludf.DUMMYFUNCTION("""COMPUTED_VALUE"""),"frater Andree de Monte Meliano")</f>
        <v>frater Andree de Monte Meliano</v>
      </c>
      <c r="S401" t="str">
        <f ca="1">IFERROR(__xludf.DUMMYFUNCTION("""COMPUTED_VALUE"""),"Latin")</f>
        <v>Latin</v>
      </c>
      <c r="T401" t="str">
        <f ca="1">IFERROR(__xludf.DUMMYFUNCTION("""COMPUTED_VALUE"""),"definite")</f>
        <v>definite</v>
      </c>
      <c r="U401" t="str">
        <f ca="1">IFERROR(__xludf.DUMMYFUNCTION("""COMPUTED_VALUE"""),"C2553")</f>
        <v>C2553</v>
      </c>
      <c r="V401" t="str">
        <f ca="1">IFERROR(__xludf.DUMMYFUNCTION("""COMPUTED_VALUE"""),"male")</f>
        <v>male</v>
      </c>
      <c r="Z401" t="str">
        <f ca="1">IFERROR(__xludf.DUMMYFUNCTION("""COMPUTED_VALUE"""),"166")</f>
        <v>166</v>
      </c>
      <c r="AA401" t="str">
        <f ca="1">IFERROR(__xludf.DUMMYFUNCTION("""COMPUTED_VALUE"""),"d")</f>
        <v>d</v>
      </c>
      <c r="AB401" t="str">
        <f ca="1">IFERROR(__xludf.DUMMYFUNCTION("""COMPUTED_VALUE"""),"NA")</f>
        <v>NA</v>
      </c>
      <c r="AE401" t="str">
        <f ca="1">IFERROR(__xludf.DUMMYFUNCTION("""COMPUTED_VALUE"""),"#VALUE!")</f>
        <v>#VALUE!</v>
      </c>
      <c r="AF401" t="str">
        <f ca="1">IFERROR(__xludf.DUMMYFUNCTION("""COMPUTED_VALUE"""),"#N/A")</f>
        <v>#N/A</v>
      </c>
      <c r="AG401" t="str">
        <f ca="1">IFERROR(__xludf.DUMMYFUNCTION("""COMPUTED_VALUE"""),"#N/A")</f>
        <v>#N/A</v>
      </c>
      <c r="BC401" t="str">
        <f ca="1">IFERROR(__xludf.DUMMYFUNCTION("""COMPUTED_VALUE"""),"#VALUE!")</f>
        <v>#VALUE!</v>
      </c>
      <c r="BE401" t="str">
        <f ca="1">IFERROR(__xludf.DUMMYFUNCTION("""COMPUTED_VALUE"""),"#VALUE!")</f>
        <v>#VALUE!</v>
      </c>
      <c r="BG401" t="str">
        <f ca="1">IFERROR(__xludf.DUMMYFUNCTION("""COMPUTED_VALUE"""),"#VALUE!")</f>
        <v>#VALUE!</v>
      </c>
      <c r="BI401" t="str">
        <f ca="1">IFERROR(__xludf.DUMMYFUNCTION("""COMPUTED_VALUE"""),"#VALUE!")</f>
        <v>#VALUE!</v>
      </c>
      <c r="BK401" t="str">
        <f ca="1">IFERROR(__xludf.DUMMYFUNCTION("""COMPUTED_VALUE"""),"#VALUE!")</f>
        <v>#VALUE!</v>
      </c>
      <c r="BM401" t="str">
        <f ca="1">IFERROR(__xludf.DUMMYFUNCTION("""COMPUTED_VALUE"""),"#VALUE!")</f>
        <v>#VALUE!</v>
      </c>
      <c r="BO401" t="str">
        <f ca="1">IFERROR(__xludf.DUMMYFUNCTION("""COMPUTED_VALUE"""),"#VALUE!")</f>
        <v>#VALUE!</v>
      </c>
      <c r="BQ401" t="str">
        <f ca="1">IFERROR(__xludf.DUMMYFUNCTION("""COMPUTED_VALUE"""),"#VALUE!")</f>
        <v>#VALUE!</v>
      </c>
      <c r="BS401" t="str">
        <f ca="1">IFERROR(__xludf.DUMMYFUNCTION("""COMPUTED_VALUE"""),"#VALUE!")</f>
        <v>#VALUE!</v>
      </c>
      <c r="BU401" t="str">
        <f ca="1">IFERROR(__xludf.DUMMYFUNCTION("""COMPUTED_VALUE"""),"#VALUE!")</f>
        <v>#VALUE!</v>
      </c>
      <c r="BW401" t="str">
        <f ca="1">IFERROR(__xludf.DUMMYFUNCTION("""COMPUTED_VALUE"""),"#VALUE!")</f>
        <v>#VALUE!</v>
      </c>
      <c r="BY401" t="str">
        <f ca="1">IFERROR(__xludf.DUMMYFUNCTION("""COMPUTED_VALUE"""),"#VALUE!")</f>
        <v>#VALUE!</v>
      </c>
      <c r="CA401" t="str">
        <f ca="1">IFERROR(__xludf.DUMMYFUNCTION("""COMPUTED_VALUE"""),"#VALUE!")</f>
        <v>#VALUE!</v>
      </c>
      <c r="CC401" t="str">
        <f ca="1">IFERROR(__xludf.DUMMYFUNCTION("""COMPUTED_VALUE"""),"#VALUE!")</f>
        <v>#VALUE!</v>
      </c>
      <c r="CE401" t="str">
        <f ca="1">IFERROR(__xludf.DUMMYFUNCTION("""COMPUTED_VALUE"""),"#VALUE!")</f>
        <v>#VALUE!</v>
      </c>
      <c r="CG401" t="str">
        <f ca="1">IFERROR(__xludf.DUMMYFUNCTION("""COMPUTED_VALUE"""),"#VALUE!")</f>
        <v>#VALUE!</v>
      </c>
      <c r="CI401" t="str">
        <f ca="1">IFERROR(__xludf.DUMMYFUNCTION("""COMPUTED_VALUE"""),"#VALUE!")</f>
        <v>#VALUE!</v>
      </c>
      <c r="CK401" t="str">
        <f ca="1">IFERROR(__xludf.DUMMYFUNCTION("""COMPUTED_VALUE"""),"#VALUE!")</f>
        <v>#VALUE!</v>
      </c>
      <c r="CS401" t="str">
        <f ca="1">IFERROR(__xludf.DUMMYFUNCTION("""COMPUTED_VALUE"""),"#VALUE!")</f>
        <v>#VALUE!</v>
      </c>
      <c r="CU401" t="str">
        <f ca="1">IFERROR(__xludf.DUMMYFUNCTION("""COMPUTED_VALUE"""),"#VALUE!")</f>
        <v>#VALUE!</v>
      </c>
      <c r="CW401" t="str">
        <f ca="1">IFERROR(__xludf.DUMMYFUNCTION("""COMPUTED_VALUE"""),"#VALUE!")</f>
        <v>#VALUE!</v>
      </c>
      <c r="CY401" t="str">
        <f ca="1">IFERROR(__xludf.DUMMYFUNCTION("""COMPUTED_VALUE"""),"#VALUE!")</f>
        <v>#VALUE!</v>
      </c>
      <c r="DC401" t="str">
        <f ca="1">IFERROR(__xludf.DUMMYFUNCTION("""COMPUTED_VALUE"""),"#VALUE!")</f>
        <v>#VALUE!</v>
      </c>
      <c r="DE401" t="str">
        <f ca="1">IFERROR(__xludf.DUMMYFUNCTION("""COMPUTED_VALUE"""),"#VALUE!")</f>
        <v>#VALUE!</v>
      </c>
      <c r="DL401" t="str">
        <f ca="1">IFERROR(__xludf.DUMMYFUNCTION("""COMPUTED_VALUE"""),"Davor Salihović")</f>
        <v>Davor Salihović</v>
      </c>
    </row>
    <row r="402" spans="1:116" ht="13.2" x14ac:dyDescent="0.25">
      <c r="A402" t="str">
        <f ca="1">IFERROR(__xludf.DUMMYFUNCTION("""COMPUTED_VALUE"""),"P0410")</f>
        <v>P0410</v>
      </c>
      <c r="B402" t="str">
        <f ca="1">IFERROR(__xludf.DUMMYFUNCTION("""COMPUTED_VALUE"""),"quidam socius Francisci")</f>
        <v>quidam socius Francisci</v>
      </c>
      <c r="D402" t="str">
        <f ca="1">IFERROR(__xludf.DUMMYFUNCTION("""COMPUTED_VALUE"""),"#VALUE!")</f>
        <v>#VALUE!</v>
      </c>
      <c r="E402" t="str">
        <f ca="1">IFERROR(__xludf.DUMMYFUNCTION("""COMPUTED_VALUE"""),"quidam socius Francisci")</f>
        <v>quidam socius Francisci</v>
      </c>
      <c r="Q402" t="str">
        <f ca="1">IFERROR(__xludf.DUMMYFUNCTION("""COMPUTED_VALUE"""),"quidam socius seygnor Francisci")</f>
        <v>quidam socius seygnor Francisci</v>
      </c>
      <c r="S402" t="str">
        <f ca="1">IFERROR(__xludf.DUMMYFUNCTION("""COMPUTED_VALUE"""),"Latin")</f>
        <v>Latin</v>
      </c>
      <c r="T402" t="str">
        <f ca="1">IFERROR(__xludf.DUMMYFUNCTION("""COMPUTED_VALUE"""),"indefinite")</f>
        <v>indefinite</v>
      </c>
      <c r="U402" t="str">
        <f ca="1">IFERROR(__xludf.DUMMYFUNCTION("""COMPUTED_VALUE"""),"C2553")</f>
        <v>C2553</v>
      </c>
      <c r="V402" t="str">
        <f ca="1">IFERROR(__xludf.DUMMYFUNCTION("""COMPUTED_VALUE"""),"male")</f>
        <v>male</v>
      </c>
      <c r="Z402" t="str">
        <f ca="1">IFERROR(__xludf.DUMMYFUNCTION("""COMPUTED_VALUE"""),"221")</f>
        <v>221</v>
      </c>
      <c r="AA402" t="str">
        <f ca="1">IFERROR(__xludf.DUMMYFUNCTION("""COMPUTED_VALUE"""),"d")</f>
        <v>d</v>
      </c>
      <c r="AB402" t="str">
        <f ca="1">IFERROR(__xludf.DUMMYFUNCTION("""COMPUTED_VALUE"""),"suspect")</f>
        <v>suspect</v>
      </c>
      <c r="AE402" t="str">
        <f ca="1">IFERROR(__xludf.DUMMYFUNCTION("""COMPUTED_VALUE"""),"#VALUE!")</f>
        <v>#VALUE!</v>
      </c>
      <c r="AF402" t="str">
        <f ca="1">IFERROR(__xludf.DUMMYFUNCTION("""COMPUTED_VALUE"""),"#N/A")</f>
        <v>#N/A</v>
      </c>
      <c r="AG402" t="str">
        <f ca="1">IFERROR(__xludf.DUMMYFUNCTION("""COMPUTED_VALUE"""),"#N/A")</f>
        <v>#N/A</v>
      </c>
      <c r="BC402" t="str">
        <f ca="1">IFERROR(__xludf.DUMMYFUNCTION("""COMPUTED_VALUE"""),"#VALUE!")</f>
        <v>#VALUE!</v>
      </c>
      <c r="BE402" t="str">
        <f ca="1">IFERROR(__xludf.DUMMYFUNCTION("""COMPUTED_VALUE"""),"#VALUE!")</f>
        <v>#VALUE!</v>
      </c>
      <c r="BG402" t="str">
        <f ca="1">IFERROR(__xludf.DUMMYFUNCTION("""COMPUTED_VALUE"""),"#VALUE!")</f>
        <v>#VALUE!</v>
      </c>
      <c r="BI402" t="str">
        <f ca="1">IFERROR(__xludf.DUMMYFUNCTION("""COMPUTED_VALUE"""),"#VALUE!")</f>
        <v>#VALUE!</v>
      </c>
      <c r="BK402" t="str">
        <f ca="1">IFERROR(__xludf.DUMMYFUNCTION("""COMPUTED_VALUE"""),"#VALUE!")</f>
        <v>#VALUE!</v>
      </c>
      <c r="BM402" t="str">
        <f ca="1">IFERROR(__xludf.DUMMYFUNCTION("""COMPUTED_VALUE"""),"#VALUE!")</f>
        <v>#VALUE!</v>
      </c>
      <c r="BO402" t="str">
        <f ca="1">IFERROR(__xludf.DUMMYFUNCTION("""COMPUTED_VALUE"""),"#VALUE!")</f>
        <v>#VALUE!</v>
      </c>
      <c r="BQ402" t="str">
        <f ca="1">IFERROR(__xludf.DUMMYFUNCTION("""COMPUTED_VALUE"""),"#VALUE!")</f>
        <v>#VALUE!</v>
      </c>
      <c r="BS402" t="str">
        <f ca="1">IFERROR(__xludf.DUMMYFUNCTION("""COMPUTED_VALUE"""),"#VALUE!")</f>
        <v>#VALUE!</v>
      </c>
      <c r="BU402" t="str">
        <f ca="1">IFERROR(__xludf.DUMMYFUNCTION("""COMPUTED_VALUE"""),"#VALUE!")</f>
        <v>#VALUE!</v>
      </c>
      <c r="BW402" t="str">
        <f ca="1">IFERROR(__xludf.DUMMYFUNCTION("""COMPUTED_VALUE"""),"#VALUE!")</f>
        <v>#VALUE!</v>
      </c>
      <c r="BY402" t="str">
        <f ca="1">IFERROR(__xludf.DUMMYFUNCTION("""COMPUTED_VALUE"""),"#VALUE!")</f>
        <v>#VALUE!</v>
      </c>
      <c r="CA402" t="str">
        <f ca="1">IFERROR(__xludf.DUMMYFUNCTION("""COMPUTED_VALUE"""),"#VALUE!")</f>
        <v>#VALUE!</v>
      </c>
      <c r="CC402" t="str">
        <f ca="1">IFERROR(__xludf.DUMMYFUNCTION("""COMPUTED_VALUE"""),"#VALUE!")</f>
        <v>#VALUE!</v>
      </c>
      <c r="CE402" t="str">
        <f ca="1">IFERROR(__xludf.DUMMYFUNCTION("""COMPUTED_VALUE"""),"#VALUE!")</f>
        <v>#VALUE!</v>
      </c>
      <c r="CG402" t="str">
        <f ca="1">IFERROR(__xludf.DUMMYFUNCTION("""COMPUTED_VALUE"""),"#VALUE!")</f>
        <v>#VALUE!</v>
      </c>
      <c r="CI402" t="str">
        <f ca="1">IFERROR(__xludf.DUMMYFUNCTION("""COMPUTED_VALUE"""),"#VALUE!")</f>
        <v>#VALUE!</v>
      </c>
      <c r="CK402" t="str">
        <f ca="1">IFERROR(__xludf.DUMMYFUNCTION("""COMPUTED_VALUE"""),"#VALUE!")</f>
        <v>#VALUE!</v>
      </c>
      <c r="CS402" t="str">
        <f ca="1">IFERROR(__xludf.DUMMYFUNCTION("""COMPUTED_VALUE"""),"#VALUE!")</f>
        <v>#VALUE!</v>
      </c>
      <c r="CU402" t="str">
        <f ca="1">IFERROR(__xludf.DUMMYFUNCTION("""COMPUTED_VALUE"""),"#VALUE!")</f>
        <v>#VALUE!</v>
      </c>
      <c r="CW402" t="str">
        <f ca="1">IFERROR(__xludf.DUMMYFUNCTION("""COMPUTED_VALUE"""),"#VALUE!")</f>
        <v>#VALUE!</v>
      </c>
      <c r="CY402" t="str">
        <f ca="1">IFERROR(__xludf.DUMMYFUNCTION("""COMPUTED_VALUE"""),"#VALUE!")</f>
        <v>#VALUE!</v>
      </c>
      <c r="DC402" t="str">
        <f ca="1">IFERROR(__xludf.DUMMYFUNCTION("""COMPUTED_VALUE"""),"#VALUE!")</f>
        <v>#VALUE!</v>
      </c>
      <c r="DE402" t="str">
        <f ca="1">IFERROR(__xludf.DUMMYFUNCTION("""COMPUTED_VALUE"""),"#VALUE!")</f>
        <v>#VALUE!</v>
      </c>
      <c r="DK402" t="str">
        <f ca="1">IFERROR(__xludf.DUMMYFUNCTION("""COMPUTED_VALUE"""),"indefinite associate of Franciscus")</f>
        <v>indefinite associate of Franciscus</v>
      </c>
      <c r="DL402" t="str">
        <f ca="1">IFERROR(__xludf.DUMMYFUNCTION("""COMPUTED_VALUE"""),"Davor Salihović")</f>
        <v>Davor Salihović</v>
      </c>
    </row>
    <row r="403" spans="1:116" ht="13.2" x14ac:dyDescent="0.25">
      <c r="A403" t="str">
        <f ca="1">IFERROR(__xludf.DUMMYFUNCTION("""COMPUTED_VALUE"""),"P0412")</f>
        <v>P0412</v>
      </c>
      <c r="BC403" t="str">
        <f ca="1">IFERROR(__xludf.DUMMYFUNCTION("""COMPUTED_VALUE"""),"#VALUE!")</f>
        <v>#VALUE!</v>
      </c>
      <c r="BE403" t="str">
        <f ca="1">IFERROR(__xludf.DUMMYFUNCTION("""COMPUTED_VALUE"""),"#VALUE!")</f>
        <v>#VALUE!</v>
      </c>
      <c r="BG403" t="str">
        <f ca="1">IFERROR(__xludf.DUMMYFUNCTION("""COMPUTED_VALUE"""),"#VALUE!")</f>
        <v>#VALUE!</v>
      </c>
      <c r="BI403" t="str">
        <f ca="1">IFERROR(__xludf.DUMMYFUNCTION("""COMPUTED_VALUE"""),"#VALUE!")</f>
        <v>#VALUE!</v>
      </c>
      <c r="BK403" t="str">
        <f ca="1">IFERROR(__xludf.DUMMYFUNCTION("""COMPUTED_VALUE"""),"#VALUE!")</f>
        <v>#VALUE!</v>
      </c>
      <c r="BM403" t="str">
        <f ca="1">IFERROR(__xludf.DUMMYFUNCTION("""COMPUTED_VALUE"""),"#VALUE!")</f>
        <v>#VALUE!</v>
      </c>
      <c r="CS403" t="str">
        <f ca="1">IFERROR(__xludf.DUMMYFUNCTION("""COMPUTED_VALUE"""),"#VALUE!")</f>
        <v>#VALUE!</v>
      </c>
      <c r="CU403" t="str">
        <f ca="1">IFERROR(__xludf.DUMMYFUNCTION("""COMPUTED_VALUE"""),"#VALUE!")</f>
        <v>#VALUE!</v>
      </c>
      <c r="CW403" t="str">
        <f ca="1">IFERROR(__xludf.DUMMYFUNCTION("""COMPUTED_VALUE"""),"#VALUE!")</f>
        <v>#VALUE!</v>
      </c>
      <c r="CY403" t="str">
        <f ca="1">IFERROR(__xludf.DUMMYFUNCTION("""COMPUTED_VALUE"""),"#VALUE!")</f>
        <v>#VALUE!</v>
      </c>
      <c r="DC403" t="str">
        <f ca="1">IFERROR(__xludf.DUMMYFUNCTION("""COMPUTED_VALUE"""),"#VALUE!")</f>
        <v>#VALUE!</v>
      </c>
      <c r="DE403" t="str">
        <f ca="1">IFERROR(__xludf.DUMMYFUNCTION("""COMPUTED_VALUE"""),"#VALUE!")</f>
        <v>#VALUE!</v>
      </c>
    </row>
    <row r="404" spans="1:116" ht="13.2" x14ac:dyDescent="0.25">
      <c r="A404" t="str">
        <f ca="1">IFERROR(__xludf.DUMMYFUNCTION("""COMPUTED_VALUE"""),"P0413")</f>
        <v>P0413</v>
      </c>
      <c r="BC404" t="str">
        <f ca="1">IFERROR(__xludf.DUMMYFUNCTION("""COMPUTED_VALUE"""),"#VALUE!")</f>
        <v>#VALUE!</v>
      </c>
      <c r="BE404" t="str">
        <f ca="1">IFERROR(__xludf.DUMMYFUNCTION("""COMPUTED_VALUE"""),"#VALUE!")</f>
        <v>#VALUE!</v>
      </c>
      <c r="BG404" t="str">
        <f ca="1">IFERROR(__xludf.DUMMYFUNCTION("""COMPUTED_VALUE"""),"#VALUE!")</f>
        <v>#VALUE!</v>
      </c>
      <c r="BI404" t="str">
        <f ca="1">IFERROR(__xludf.DUMMYFUNCTION("""COMPUTED_VALUE"""),"#VALUE!")</f>
        <v>#VALUE!</v>
      </c>
      <c r="BK404" t="str">
        <f ca="1">IFERROR(__xludf.DUMMYFUNCTION("""COMPUTED_VALUE"""),"#VALUE!")</f>
        <v>#VALUE!</v>
      </c>
      <c r="BM404" t="str">
        <f ca="1">IFERROR(__xludf.DUMMYFUNCTION("""COMPUTED_VALUE"""),"#VALUE!")</f>
        <v>#VALUE!</v>
      </c>
      <c r="CS404" t="str">
        <f ca="1">IFERROR(__xludf.DUMMYFUNCTION("""COMPUTED_VALUE"""),"#VALUE!")</f>
        <v>#VALUE!</v>
      </c>
      <c r="CU404" t="str">
        <f ca="1">IFERROR(__xludf.DUMMYFUNCTION("""COMPUTED_VALUE"""),"#VALUE!")</f>
        <v>#VALUE!</v>
      </c>
      <c r="CW404" t="str">
        <f ca="1">IFERROR(__xludf.DUMMYFUNCTION("""COMPUTED_VALUE"""),"#VALUE!")</f>
        <v>#VALUE!</v>
      </c>
      <c r="CY404" t="str">
        <f ca="1">IFERROR(__xludf.DUMMYFUNCTION("""COMPUTED_VALUE"""),"#VALUE!")</f>
        <v>#VALUE!</v>
      </c>
      <c r="DC404" t="str">
        <f ca="1">IFERROR(__xludf.DUMMYFUNCTION("""COMPUTED_VALUE"""),"#VALUE!")</f>
        <v>#VALUE!</v>
      </c>
      <c r="DE404" t="str">
        <f ca="1">IFERROR(__xludf.DUMMYFUNCTION("""COMPUTED_VALUE"""),"#VALUE!")</f>
        <v>#VALUE!</v>
      </c>
    </row>
    <row r="405" spans="1:116" ht="13.2" x14ac:dyDescent="0.25">
      <c r="A405" t="str">
        <f ca="1">IFERROR(__xludf.DUMMYFUNCTION("""COMPUTED_VALUE"""),"P0414")</f>
        <v>P0414</v>
      </c>
      <c r="BC405" t="str">
        <f ca="1">IFERROR(__xludf.DUMMYFUNCTION("""COMPUTED_VALUE"""),"#VALUE!")</f>
        <v>#VALUE!</v>
      </c>
      <c r="BE405" t="str">
        <f ca="1">IFERROR(__xludf.DUMMYFUNCTION("""COMPUTED_VALUE"""),"#VALUE!")</f>
        <v>#VALUE!</v>
      </c>
      <c r="BG405" t="str">
        <f ca="1">IFERROR(__xludf.DUMMYFUNCTION("""COMPUTED_VALUE"""),"#VALUE!")</f>
        <v>#VALUE!</v>
      </c>
      <c r="BI405" t="str">
        <f ca="1">IFERROR(__xludf.DUMMYFUNCTION("""COMPUTED_VALUE"""),"#VALUE!")</f>
        <v>#VALUE!</v>
      </c>
      <c r="BK405" t="str">
        <f ca="1">IFERROR(__xludf.DUMMYFUNCTION("""COMPUTED_VALUE"""),"#VALUE!")</f>
        <v>#VALUE!</v>
      </c>
      <c r="BM405" t="str">
        <f ca="1">IFERROR(__xludf.DUMMYFUNCTION("""COMPUTED_VALUE"""),"#VALUE!")</f>
        <v>#VALUE!</v>
      </c>
      <c r="CS405" t="str">
        <f ca="1">IFERROR(__xludf.DUMMYFUNCTION("""COMPUTED_VALUE"""),"#VALUE!")</f>
        <v>#VALUE!</v>
      </c>
      <c r="CU405" t="str">
        <f ca="1">IFERROR(__xludf.DUMMYFUNCTION("""COMPUTED_VALUE"""),"#VALUE!")</f>
        <v>#VALUE!</v>
      </c>
      <c r="CW405" t="str">
        <f ca="1">IFERROR(__xludf.DUMMYFUNCTION("""COMPUTED_VALUE"""),"#VALUE!")</f>
        <v>#VALUE!</v>
      </c>
      <c r="CY405" t="str">
        <f ca="1">IFERROR(__xludf.DUMMYFUNCTION("""COMPUTED_VALUE"""),"#VALUE!")</f>
        <v>#VALUE!</v>
      </c>
      <c r="DC405" t="str">
        <f ca="1">IFERROR(__xludf.DUMMYFUNCTION("""COMPUTED_VALUE"""),"#VALUE!")</f>
        <v>#VALUE!</v>
      </c>
      <c r="DE405" t="str">
        <f ca="1">IFERROR(__xludf.DUMMYFUNCTION("""COMPUTED_VALUE"""),"#VALUE!")</f>
        <v>#VALUE!</v>
      </c>
    </row>
    <row r="406" spans="1:116" ht="13.2" x14ac:dyDescent="0.25">
      <c r="A406" t="str">
        <f ca="1">IFERROR(__xludf.DUMMYFUNCTION("""COMPUTED_VALUE"""),"P0415")</f>
        <v>P0415</v>
      </c>
      <c r="BC406" t="str">
        <f ca="1">IFERROR(__xludf.DUMMYFUNCTION("""COMPUTED_VALUE"""),"#VALUE!")</f>
        <v>#VALUE!</v>
      </c>
      <c r="BE406" t="str">
        <f ca="1">IFERROR(__xludf.DUMMYFUNCTION("""COMPUTED_VALUE"""),"#VALUE!")</f>
        <v>#VALUE!</v>
      </c>
      <c r="BG406" t="str">
        <f ca="1">IFERROR(__xludf.DUMMYFUNCTION("""COMPUTED_VALUE"""),"#VALUE!")</f>
        <v>#VALUE!</v>
      </c>
      <c r="BI406" t="str">
        <f ca="1">IFERROR(__xludf.DUMMYFUNCTION("""COMPUTED_VALUE"""),"#VALUE!")</f>
        <v>#VALUE!</v>
      </c>
      <c r="BK406" t="str">
        <f ca="1">IFERROR(__xludf.DUMMYFUNCTION("""COMPUTED_VALUE"""),"#VALUE!")</f>
        <v>#VALUE!</v>
      </c>
      <c r="BM406" t="str">
        <f ca="1">IFERROR(__xludf.DUMMYFUNCTION("""COMPUTED_VALUE"""),"#VALUE!")</f>
        <v>#VALUE!</v>
      </c>
      <c r="CS406" t="str">
        <f ca="1">IFERROR(__xludf.DUMMYFUNCTION("""COMPUTED_VALUE"""),"#VALUE!")</f>
        <v>#VALUE!</v>
      </c>
      <c r="CU406" t="str">
        <f ca="1">IFERROR(__xludf.DUMMYFUNCTION("""COMPUTED_VALUE"""),"#VALUE!")</f>
        <v>#VALUE!</v>
      </c>
      <c r="CW406" t="str">
        <f ca="1">IFERROR(__xludf.DUMMYFUNCTION("""COMPUTED_VALUE"""),"#VALUE!")</f>
        <v>#VALUE!</v>
      </c>
      <c r="CY406" t="str">
        <f ca="1">IFERROR(__xludf.DUMMYFUNCTION("""COMPUTED_VALUE"""),"#VALUE!")</f>
        <v>#VALUE!</v>
      </c>
      <c r="DC406" t="str">
        <f ca="1">IFERROR(__xludf.DUMMYFUNCTION("""COMPUTED_VALUE"""),"#VALUE!")</f>
        <v>#VALUE!</v>
      </c>
      <c r="DE406" t="str">
        <f ca="1">IFERROR(__xludf.DUMMYFUNCTION("""COMPUTED_VALUE"""),"#VALUE!")</f>
        <v>#VALUE!</v>
      </c>
    </row>
    <row r="407" spans="1:116" ht="13.2" x14ac:dyDescent="0.25">
      <c r="A407" t="str">
        <f ca="1">IFERROR(__xludf.DUMMYFUNCTION("""COMPUTED_VALUE"""),"P0416")</f>
        <v>P0416</v>
      </c>
      <c r="BC407" t="str">
        <f ca="1">IFERROR(__xludf.DUMMYFUNCTION("""COMPUTED_VALUE"""),"#VALUE!")</f>
        <v>#VALUE!</v>
      </c>
      <c r="BE407" t="str">
        <f ca="1">IFERROR(__xludf.DUMMYFUNCTION("""COMPUTED_VALUE"""),"#VALUE!")</f>
        <v>#VALUE!</v>
      </c>
      <c r="BG407" t="str">
        <f ca="1">IFERROR(__xludf.DUMMYFUNCTION("""COMPUTED_VALUE"""),"#VALUE!")</f>
        <v>#VALUE!</v>
      </c>
      <c r="BI407" t="str">
        <f ca="1">IFERROR(__xludf.DUMMYFUNCTION("""COMPUTED_VALUE"""),"#VALUE!")</f>
        <v>#VALUE!</v>
      </c>
      <c r="BK407" t="str">
        <f ca="1">IFERROR(__xludf.DUMMYFUNCTION("""COMPUTED_VALUE"""),"#VALUE!")</f>
        <v>#VALUE!</v>
      </c>
      <c r="BM407" t="str">
        <f ca="1">IFERROR(__xludf.DUMMYFUNCTION("""COMPUTED_VALUE"""),"#VALUE!")</f>
        <v>#VALUE!</v>
      </c>
      <c r="CS407" t="str">
        <f ca="1">IFERROR(__xludf.DUMMYFUNCTION("""COMPUTED_VALUE"""),"#VALUE!")</f>
        <v>#VALUE!</v>
      </c>
      <c r="CU407" t="str">
        <f ca="1">IFERROR(__xludf.DUMMYFUNCTION("""COMPUTED_VALUE"""),"#VALUE!")</f>
        <v>#VALUE!</v>
      </c>
      <c r="CW407" t="str">
        <f ca="1">IFERROR(__xludf.DUMMYFUNCTION("""COMPUTED_VALUE"""),"#VALUE!")</f>
        <v>#VALUE!</v>
      </c>
      <c r="CY407" t="str">
        <f ca="1">IFERROR(__xludf.DUMMYFUNCTION("""COMPUTED_VALUE"""),"#VALUE!")</f>
        <v>#VALUE!</v>
      </c>
      <c r="DC407" t="str">
        <f ca="1">IFERROR(__xludf.DUMMYFUNCTION("""COMPUTED_VALUE"""),"#VALUE!")</f>
        <v>#VALUE!</v>
      </c>
      <c r="DE407" t="str">
        <f ca="1">IFERROR(__xludf.DUMMYFUNCTION("""COMPUTED_VALUE"""),"#VALUE!")</f>
        <v>#VALUE!</v>
      </c>
    </row>
    <row r="408" spans="1:116" ht="13.2" x14ac:dyDescent="0.25">
      <c r="A408" t="str">
        <f ca="1">IFERROR(__xludf.DUMMYFUNCTION("""COMPUTED_VALUE"""),"P0417")</f>
        <v>P0417</v>
      </c>
      <c r="BC408" t="str">
        <f ca="1">IFERROR(__xludf.DUMMYFUNCTION("""COMPUTED_VALUE"""),"#VALUE!")</f>
        <v>#VALUE!</v>
      </c>
      <c r="BE408" t="str">
        <f ca="1">IFERROR(__xludf.DUMMYFUNCTION("""COMPUTED_VALUE"""),"#VALUE!")</f>
        <v>#VALUE!</v>
      </c>
      <c r="BG408" t="str">
        <f ca="1">IFERROR(__xludf.DUMMYFUNCTION("""COMPUTED_VALUE"""),"#VALUE!")</f>
        <v>#VALUE!</v>
      </c>
      <c r="BI408" t="str">
        <f ca="1">IFERROR(__xludf.DUMMYFUNCTION("""COMPUTED_VALUE"""),"#VALUE!")</f>
        <v>#VALUE!</v>
      </c>
      <c r="BK408" t="str">
        <f ca="1">IFERROR(__xludf.DUMMYFUNCTION("""COMPUTED_VALUE"""),"#VALUE!")</f>
        <v>#VALUE!</v>
      </c>
      <c r="BM408" t="str">
        <f ca="1">IFERROR(__xludf.DUMMYFUNCTION("""COMPUTED_VALUE"""),"#VALUE!")</f>
        <v>#VALUE!</v>
      </c>
      <c r="CS408" t="str">
        <f ca="1">IFERROR(__xludf.DUMMYFUNCTION("""COMPUTED_VALUE"""),"#VALUE!")</f>
        <v>#VALUE!</v>
      </c>
      <c r="CU408" t="str">
        <f ca="1">IFERROR(__xludf.DUMMYFUNCTION("""COMPUTED_VALUE"""),"#VALUE!")</f>
        <v>#VALUE!</v>
      </c>
      <c r="CW408" t="str">
        <f ca="1">IFERROR(__xludf.DUMMYFUNCTION("""COMPUTED_VALUE"""),"#VALUE!")</f>
        <v>#VALUE!</v>
      </c>
      <c r="CY408" t="str">
        <f ca="1">IFERROR(__xludf.DUMMYFUNCTION("""COMPUTED_VALUE"""),"#VALUE!")</f>
        <v>#VALUE!</v>
      </c>
      <c r="DC408" t="str">
        <f ca="1">IFERROR(__xludf.DUMMYFUNCTION("""COMPUTED_VALUE"""),"#VALUE!")</f>
        <v>#VALUE!</v>
      </c>
      <c r="DE408" t="str">
        <f ca="1">IFERROR(__xludf.DUMMYFUNCTION("""COMPUTED_VALUE"""),"#VALUE!")</f>
        <v>#VALUE!</v>
      </c>
    </row>
    <row r="409" spans="1:116" ht="13.2" x14ac:dyDescent="0.25">
      <c r="A409" t="str">
        <f ca="1">IFERROR(__xludf.DUMMYFUNCTION("""COMPUTED_VALUE"""),"P0418")</f>
        <v>P0418</v>
      </c>
      <c r="BC409" t="str">
        <f ca="1">IFERROR(__xludf.DUMMYFUNCTION("""COMPUTED_VALUE"""),"#VALUE!")</f>
        <v>#VALUE!</v>
      </c>
      <c r="BE409" t="str">
        <f ca="1">IFERROR(__xludf.DUMMYFUNCTION("""COMPUTED_VALUE"""),"#VALUE!")</f>
        <v>#VALUE!</v>
      </c>
      <c r="BG409" t="str">
        <f ca="1">IFERROR(__xludf.DUMMYFUNCTION("""COMPUTED_VALUE"""),"#VALUE!")</f>
        <v>#VALUE!</v>
      </c>
      <c r="BI409" t="str">
        <f ca="1">IFERROR(__xludf.DUMMYFUNCTION("""COMPUTED_VALUE"""),"#VALUE!")</f>
        <v>#VALUE!</v>
      </c>
      <c r="BK409" t="str">
        <f ca="1">IFERROR(__xludf.DUMMYFUNCTION("""COMPUTED_VALUE"""),"#VALUE!")</f>
        <v>#VALUE!</v>
      </c>
      <c r="BM409" t="str">
        <f ca="1">IFERROR(__xludf.DUMMYFUNCTION("""COMPUTED_VALUE"""),"#VALUE!")</f>
        <v>#VALUE!</v>
      </c>
      <c r="CS409" t="str">
        <f ca="1">IFERROR(__xludf.DUMMYFUNCTION("""COMPUTED_VALUE"""),"#VALUE!")</f>
        <v>#VALUE!</v>
      </c>
      <c r="CU409" t="str">
        <f ca="1">IFERROR(__xludf.DUMMYFUNCTION("""COMPUTED_VALUE"""),"#VALUE!")</f>
        <v>#VALUE!</v>
      </c>
      <c r="CW409" t="str">
        <f ca="1">IFERROR(__xludf.DUMMYFUNCTION("""COMPUTED_VALUE"""),"#VALUE!")</f>
        <v>#VALUE!</v>
      </c>
      <c r="CY409" t="str">
        <f ca="1">IFERROR(__xludf.DUMMYFUNCTION("""COMPUTED_VALUE"""),"#VALUE!")</f>
        <v>#VALUE!</v>
      </c>
      <c r="DC409" t="str">
        <f ca="1">IFERROR(__xludf.DUMMYFUNCTION("""COMPUTED_VALUE"""),"#VALUE!")</f>
        <v>#VALUE!</v>
      </c>
      <c r="DE409" t="str">
        <f ca="1">IFERROR(__xludf.DUMMYFUNCTION("""COMPUTED_VALUE"""),"#VALUE!")</f>
        <v>#VALUE!</v>
      </c>
    </row>
    <row r="410" spans="1:116" ht="13.2" x14ac:dyDescent="0.25">
      <c r="A410" t="str">
        <f ca="1">IFERROR(__xludf.DUMMYFUNCTION("""COMPUTED_VALUE"""),"P0419")</f>
        <v>P0419</v>
      </c>
      <c r="BC410" t="str">
        <f ca="1">IFERROR(__xludf.DUMMYFUNCTION("""COMPUTED_VALUE"""),"#VALUE!")</f>
        <v>#VALUE!</v>
      </c>
      <c r="BE410" t="str">
        <f ca="1">IFERROR(__xludf.DUMMYFUNCTION("""COMPUTED_VALUE"""),"#VALUE!")</f>
        <v>#VALUE!</v>
      </c>
      <c r="BG410" t="str">
        <f ca="1">IFERROR(__xludf.DUMMYFUNCTION("""COMPUTED_VALUE"""),"#VALUE!")</f>
        <v>#VALUE!</v>
      </c>
      <c r="BI410" t="str">
        <f ca="1">IFERROR(__xludf.DUMMYFUNCTION("""COMPUTED_VALUE"""),"#VALUE!")</f>
        <v>#VALUE!</v>
      </c>
      <c r="BK410" t="str">
        <f ca="1">IFERROR(__xludf.DUMMYFUNCTION("""COMPUTED_VALUE"""),"#VALUE!")</f>
        <v>#VALUE!</v>
      </c>
      <c r="BM410" t="str">
        <f ca="1">IFERROR(__xludf.DUMMYFUNCTION("""COMPUTED_VALUE"""),"#VALUE!")</f>
        <v>#VALUE!</v>
      </c>
      <c r="CS410" t="str">
        <f ca="1">IFERROR(__xludf.DUMMYFUNCTION("""COMPUTED_VALUE"""),"#VALUE!")</f>
        <v>#VALUE!</v>
      </c>
      <c r="CU410" t="str">
        <f ca="1">IFERROR(__xludf.DUMMYFUNCTION("""COMPUTED_VALUE"""),"#VALUE!")</f>
        <v>#VALUE!</v>
      </c>
      <c r="CW410" t="str">
        <f ca="1">IFERROR(__xludf.DUMMYFUNCTION("""COMPUTED_VALUE"""),"#VALUE!")</f>
        <v>#VALUE!</v>
      </c>
      <c r="CY410" t="str">
        <f ca="1">IFERROR(__xludf.DUMMYFUNCTION("""COMPUTED_VALUE"""),"#VALUE!")</f>
        <v>#VALUE!</v>
      </c>
      <c r="DC410" t="str">
        <f ca="1">IFERROR(__xludf.DUMMYFUNCTION("""COMPUTED_VALUE"""),"#VALUE!")</f>
        <v>#VALUE!</v>
      </c>
      <c r="DE410" t="str">
        <f ca="1">IFERROR(__xludf.DUMMYFUNCTION("""COMPUTED_VALUE"""),"#VALUE!")</f>
        <v>#VALUE!</v>
      </c>
    </row>
    <row r="411" spans="1:116" ht="13.2" x14ac:dyDescent="0.25">
      <c r="A411" t="str">
        <f ca="1">IFERROR(__xludf.DUMMYFUNCTION("""COMPUTED_VALUE"""),"P0420")</f>
        <v>P0420</v>
      </c>
      <c r="BC411" t="str">
        <f ca="1">IFERROR(__xludf.DUMMYFUNCTION("""COMPUTED_VALUE"""),"#VALUE!")</f>
        <v>#VALUE!</v>
      </c>
      <c r="BE411" t="str">
        <f ca="1">IFERROR(__xludf.DUMMYFUNCTION("""COMPUTED_VALUE"""),"#VALUE!")</f>
        <v>#VALUE!</v>
      </c>
      <c r="BG411" t="str">
        <f ca="1">IFERROR(__xludf.DUMMYFUNCTION("""COMPUTED_VALUE"""),"#VALUE!")</f>
        <v>#VALUE!</v>
      </c>
      <c r="BI411" t="str">
        <f ca="1">IFERROR(__xludf.DUMMYFUNCTION("""COMPUTED_VALUE"""),"#VALUE!")</f>
        <v>#VALUE!</v>
      </c>
      <c r="BK411" t="str">
        <f ca="1">IFERROR(__xludf.DUMMYFUNCTION("""COMPUTED_VALUE"""),"#VALUE!")</f>
        <v>#VALUE!</v>
      </c>
      <c r="BM411" t="str">
        <f ca="1">IFERROR(__xludf.DUMMYFUNCTION("""COMPUTED_VALUE"""),"#VALUE!")</f>
        <v>#VALUE!</v>
      </c>
      <c r="CS411" t="str">
        <f ca="1">IFERROR(__xludf.DUMMYFUNCTION("""COMPUTED_VALUE"""),"#VALUE!")</f>
        <v>#VALUE!</v>
      </c>
      <c r="CU411" t="str">
        <f ca="1">IFERROR(__xludf.DUMMYFUNCTION("""COMPUTED_VALUE"""),"#VALUE!")</f>
        <v>#VALUE!</v>
      </c>
      <c r="CW411" t="str">
        <f ca="1">IFERROR(__xludf.DUMMYFUNCTION("""COMPUTED_VALUE"""),"#VALUE!")</f>
        <v>#VALUE!</v>
      </c>
      <c r="CY411" t="str">
        <f ca="1">IFERROR(__xludf.DUMMYFUNCTION("""COMPUTED_VALUE"""),"#VALUE!")</f>
        <v>#VALUE!</v>
      </c>
      <c r="DC411" t="str">
        <f ca="1">IFERROR(__xludf.DUMMYFUNCTION("""COMPUTED_VALUE"""),"#VALUE!")</f>
        <v>#VALUE!</v>
      </c>
      <c r="DE411" t="str">
        <f ca="1">IFERROR(__xludf.DUMMYFUNCTION("""COMPUTED_VALUE"""),"#VALUE!")</f>
        <v>#VALUE!</v>
      </c>
    </row>
    <row r="412" spans="1:116" ht="13.2" x14ac:dyDescent="0.25">
      <c r="A412" t="str">
        <f ca="1">IFERROR(__xludf.DUMMYFUNCTION("""COMPUTED_VALUE"""),"P0421")</f>
        <v>P0421</v>
      </c>
      <c r="BC412" t="str">
        <f ca="1">IFERROR(__xludf.DUMMYFUNCTION("""COMPUTED_VALUE"""),"#VALUE!")</f>
        <v>#VALUE!</v>
      </c>
      <c r="BE412" t="str">
        <f ca="1">IFERROR(__xludf.DUMMYFUNCTION("""COMPUTED_VALUE"""),"#VALUE!")</f>
        <v>#VALUE!</v>
      </c>
      <c r="BG412" t="str">
        <f ca="1">IFERROR(__xludf.DUMMYFUNCTION("""COMPUTED_VALUE"""),"#VALUE!")</f>
        <v>#VALUE!</v>
      </c>
      <c r="BI412" t="str">
        <f ca="1">IFERROR(__xludf.DUMMYFUNCTION("""COMPUTED_VALUE"""),"#VALUE!")</f>
        <v>#VALUE!</v>
      </c>
      <c r="BK412" t="str">
        <f ca="1">IFERROR(__xludf.DUMMYFUNCTION("""COMPUTED_VALUE"""),"#VALUE!")</f>
        <v>#VALUE!</v>
      </c>
      <c r="BM412" t="str">
        <f ca="1">IFERROR(__xludf.DUMMYFUNCTION("""COMPUTED_VALUE"""),"#VALUE!")</f>
        <v>#VALUE!</v>
      </c>
      <c r="CS412" t="str">
        <f ca="1">IFERROR(__xludf.DUMMYFUNCTION("""COMPUTED_VALUE"""),"#VALUE!")</f>
        <v>#VALUE!</v>
      </c>
      <c r="CU412" t="str">
        <f ca="1">IFERROR(__xludf.DUMMYFUNCTION("""COMPUTED_VALUE"""),"#VALUE!")</f>
        <v>#VALUE!</v>
      </c>
      <c r="CW412" t="str">
        <f ca="1">IFERROR(__xludf.DUMMYFUNCTION("""COMPUTED_VALUE"""),"#VALUE!")</f>
        <v>#VALUE!</v>
      </c>
      <c r="CY412" t="str">
        <f ca="1">IFERROR(__xludf.DUMMYFUNCTION("""COMPUTED_VALUE"""),"#VALUE!")</f>
        <v>#VALUE!</v>
      </c>
      <c r="DC412" t="str">
        <f ca="1">IFERROR(__xludf.DUMMYFUNCTION("""COMPUTED_VALUE"""),"#VALUE!")</f>
        <v>#VALUE!</v>
      </c>
      <c r="DE412" t="str">
        <f ca="1">IFERROR(__xludf.DUMMYFUNCTION("""COMPUTED_VALUE"""),"#VALUE!")</f>
        <v>#VALUE!</v>
      </c>
    </row>
    <row r="413" spans="1:116" ht="13.2" x14ac:dyDescent="0.25">
      <c r="A413" t="str">
        <f ca="1">IFERROR(__xludf.DUMMYFUNCTION("""COMPUTED_VALUE"""),"P0422")</f>
        <v>P0422</v>
      </c>
      <c r="BC413" t="str">
        <f ca="1">IFERROR(__xludf.DUMMYFUNCTION("""COMPUTED_VALUE"""),"#VALUE!")</f>
        <v>#VALUE!</v>
      </c>
      <c r="BE413" t="str">
        <f ca="1">IFERROR(__xludf.DUMMYFUNCTION("""COMPUTED_VALUE"""),"#VALUE!")</f>
        <v>#VALUE!</v>
      </c>
      <c r="BG413" t="str">
        <f ca="1">IFERROR(__xludf.DUMMYFUNCTION("""COMPUTED_VALUE"""),"#VALUE!")</f>
        <v>#VALUE!</v>
      </c>
      <c r="BI413" t="str">
        <f ca="1">IFERROR(__xludf.DUMMYFUNCTION("""COMPUTED_VALUE"""),"#VALUE!")</f>
        <v>#VALUE!</v>
      </c>
      <c r="BK413" t="str">
        <f ca="1">IFERROR(__xludf.DUMMYFUNCTION("""COMPUTED_VALUE"""),"#VALUE!")</f>
        <v>#VALUE!</v>
      </c>
      <c r="BM413" t="str">
        <f ca="1">IFERROR(__xludf.DUMMYFUNCTION("""COMPUTED_VALUE"""),"#VALUE!")</f>
        <v>#VALUE!</v>
      </c>
      <c r="CS413" t="str">
        <f ca="1">IFERROR(__xludf.DUMMYFUNCTION("""COMPUTED_VALUE"""),"#VALUE!")</f>
        <v>#VALUE!</v>
      </c>
      <c r="CU413" t="str">
        <f ca="1">IFERROR(__xludf.DUMMYFUNCTION("""COMPUTED_VALUE"""),"#VALUE!")</f>
        <v>#VALUE!</v>
      </c>
      <c r="CW413" t="str">
        <f ca="1">IFERROR(__xludf.DUMMYFUNCTION("""COMPUTED_VALUE"""),"#VALUE!")</f>
        <v>#VALUE!</v>
      </c>
      <c r="CY413" t="str">
        <f ca="1">IFERROR(__xludf.DUMMYFUNCTION("""COMPUTED_VALUE"""),"#VALUE!")</f>
        <v>#VALUE!</v>
      </c>
      <c r="DC413" t="str">
        <f ca="1">IFERROR(__xludf.DUMMYFUNCTION("""COMPUTED_VALUE"""),"#VALUE!")</f>
        <v>#VALUE!</v>
      </c>
      <c r="DE413" t="str">
        <f ca="1">IFERROR(__xludf.DUMMYFUNCTION("""COMPUTED_VALUE"""),"#VALUE!")</f>
        <v>#VALUE!</v>
      </c>
    </row>
    <row r="414" spans="1:116" ht="13.2" x14ac:dyDescent="0.25">
      <c r="A414" t="str">
        <f ca="1">IFERROR(__xludf.DUMMYFUNCTION("""COMPUTED_VALUE"""),"P0423")</f>
        <v>P0423</v>
      </c>
      <c r="BC414" t="str">
        <f ca="1">IFERROR(__xludf.DUMMYFUNCTION("""COMPUTED_VALUE"""),"#VALUE!")</f>
        <v>#VALUE!</v>
      </c>
      <c r="BE414" t="str">
        <f ca="1">IFERROR(__xludf.DUMMYFUNCTION("""COMPUTED_VALUE"""),"#VALUE!")</f>
        <v>#VALUE!</v>
      </c>
      <c r="BG414" t="str">
        <f ca="1">IFERROR(__xludf.DUMMYFUNCTION("""COMPUTED_VALUE"""),"#VALUE!")</f>
        <v>#VALUE!</v>
      </c>
      <c r="BI414" t="str">
        <f ca="1">IFERROR(__xludf.DUMMYFUNCTION("""COMPUTED_VALUE"""),"#VALUE!")</f>
        <v>#VALUE!</v>
      </c>
      <c r="BK414" t="str">
        <f ca="1">IFERROR(__xludf.DUMMYFUNCTION("""COMPUTED_VALUE"""),"#VALUE!")</f>
        <v>#VALUE!</v>
      </c>
      <c r="BM414" t="str">
        <f ca="1">IFERROR(__xludf.DUMMYFUNCTION("""COMPUTED_VALUE"""),"#VALUE!")</f>
        <v>#VALUE!</v>
      </c>
      <c r="CS414" t="str">
        <f ca="1">IFERROR(__xludf.DUMMYFUNCTION("""COMPUTED_VALUE"""),"#VALUE!")</f>
        <v>#VALUE!</v>
      </c>
      <c r="CU414" t="str">
        <f ca="1">IFERROR(__xludf.DUMMYFUNCTION("""COMPUTED_VALUE"""),"#VALUE!")</f>
        <v>#VALUE!</v>
      </c>
      <c r="CW414" t="str">
        <f ca="1">IFERROR(__xludf.DUMMYFUNCTION("""COMPUTED_VALUE"""),"#VALUE!")</f>
        <v>#VALUE!</v>
      </c>
      <c r="CY414" t="str">
        <f ca="1">IFERROR(__xludf.DUMMYFUNCTION("""COMPUTED_VALUE"""),"#VALUE!")</f>
        <v>#VALUE!</v>
      </c>
      <c r="DC414" t="str">
        <f ca="1">IFERROR(__xludf.DUMMYFUNCTION("""COMPUTED_VALUE"""),"#VALUE!")</f>
        <v>#VALUE!</v>
      </c>
      <c r="DE414" t="str">
        <f ca="1">IFERROR(__xludf.DUMMYFUNCTION("""COMPUTED_VALUE"""),"#VALUE!")</f>
        <v>#VALUE!</v>
      </c>
    </row>
    <row r="415" spans="1:116" ht="13.2" x14ac:dyDescent="0.25">
      <c r="A415" t="str">
        <f ca="1">IFERROR(__xludf.DUMMYFUNCTION("""COMPUTED_VALUE"""),"P0424")</f>
        <v>P0424</v>
      </c>
      <c r="BC415" t="str">
        <f ca="1">IFERROR(__xludf.DUMMYFUNCTION("""COMPUTED_VALUE"""),"#VALUE!")</f>
        <v>#VALUE!</v>
      </c>
      <c r="BE415" t="str">
        <f ca="1">IFERROR(__xludf.DUMMYFUNCTION("""COMPUTED_VALUE"""),"#VALUE!")</f>
        <v>#VALUE!</v>
      </c>
      <c r="BG415" t="str">
        <f ca="1">IFERROR(__xludf.DUMMYFUNCTION("""COMPUTED_VALUE"""),"#VALUE!")</f>
        <v>#VALUE!</v>
      </c>
      <c r="BI415" t="str">
        <f ca="1">IFERROR(__xludf.DUMMYFUNCTION("""COMPUTED_VALUE"""),"#VALUE!")</f>
        <v>#VALUE!</v>
      </c>
      <c r="BK415" t="str">
        <f ca="1">IFERROR(__xludf.DUMMYFUNCTION("""COMPUTED_VALUE"""),"#VALUE!")</f>
        <v>#VALUE!</v>
      </c>
      <c r="BM415" t="str">
        <f ca="1">IFERROR(__xludf.DUMMYFUNCTION("""COMPUTED_VALUE"""),"#VALUE!")</f>
        <v>#VALUE!</v>
      </c>
      <c r="CS415" t="str">
        <f ca="1">IFERROR(__xludf.DUMMYFUNCTION("""COMPUTED_VALUE"""),"#VALUE!")</f>
        <v>#VALUE!</v>
      </c>
      <c r="CU415" t="str">
        <f ca="1">IFERROR(__xludf.DUMMYFUNCTION("""COMPUTED_VALUE"""),"#VALUE!")</f>
        <v>#VALUE!</v>
      </c>
      <c r="CW415" t="str">
        <f ca="1">IFERROR(__xludf.DUMMYFUNCTION("""COMPUTED_VALUE"""),"#VALUE!")</f>
        <v>#VALUE!</v>
      </c>
      <c r="CY415" t="str">
        <f ca="1">IFERROR(__xludf.DUMMYFUNCTION("""COMPUTED_VALUE"""),"#VALUE!")</f>
        <v>#VALUE!</v>
      </c>
      <c r="DC415" t="str">
        <f ca="1">IFERROR(__xludf.DUMMYFUNCTION("""COMPUTED_VALUE"""),"#VALUE!")</f>
        <v>#VALUE!</v>
      </c>
      <c r="DE415" t="str">
        <f ca="1">IFERROR(__xludf.DUMMYFUNCTION("""COMPUTED_VALUE"""),"#VALUE!")</f>
        <v>#VALUE!</v>
      </c>
    </row>
    <row r="416" spans="1:116" ht="13.2" x14ac:dyDescent="0.25">
      <c r="A416" t="str">
        <f ca="1">IFERROR(__xludf.DUMMYFUNCTION("""COMPUTED_VALUE"""),"P0425")</f>
        <v>P0425</v>
      </c>
      <c r="BC416" t="str">
        <f ca="1">IFERROR(__xludf.DUMMYFUNCTION("""COMPUTED_VALUE"""),"#VALUE!")</f>
        <v>#VALUE!</v>
      </c>
      <c r="BE416" t="str">
        <f ca="1">IFERROR(__xludf.DUMMYFUNCTION("""COMPUTED_VALUE"""),"#VALUE!")</f>
        <v>#VALUE!</v>
      </c>
      <c r="BG416" t="str">
        <f ca="1">IFERROR(__xludf.DUMMYFUNCTION("""COMPUTED_VALUE"""),"#VALUE!")</f>
        <v>#VALUE!</v>
      </c>
      <c r="BI416" t="str">
        <f ca="1">IFERROR(__xludf.DUMMYFUNCTION("""COMPUTED_VALUE"""),"#VALUE!")</f>
        <v>#VALUE!</v>
      </c>
      <c r="BK416" t="str">
        <f ca="1">IFERROR(__xludf.DUMMYFUNCTION("""COMPUTED_VALUE"""),"#VALUE!")</f>
        <v>#VALUE!</v>
      </c>
      <c r="BM416" t="str">
        <f ca="1">IFERROR(__xludf.DUMMYFUNCTION("""COMPUTED_VALUE"""),"#VALUE!")</f>
        <v>#VALUE!</v>
      </c>
      <c r="CS416" t="str">
        <f ca="1">IFERROR(__xludf.DUMMYFUNCTION("""COMPUTED_VALUE"""),"#VALUE!")</f>
        <v>#VALUE!</v>
      </c>
      <c r="CU416" t="str">
        <f ca="1">IFERROR(__xludf.DUMMYFUNCTION("""COMPUTED_VALUE"""),"#VALUE!")</f>
        <v>#VALUE!</v>
      </c>
      <c r="CW416" t="str">
        <f ca="1">IFERROR(__xludf.DUMMYFUNCTION("""COMPUTED_VALUE"""),"#VALUE!")</f>
        <v>#VALUE!</v>
      </c>
      <c r="CY416" t="str">
        <f ca="1">IFERROR(__xludf.DUMMYFUNCTION("""COMPUTED_VALUE"""),"#VALUE!")</f>
        <v>#VALUE!</v>
      </c>
      <c r="DC416" t="str">
        <f ca="1">IFERROR(__xludf.DUMMYFUNCTION("""COMPUTED_VALUE"""),"#VALUE!")</f>
        <v>#VALUE!</v>
      </c>
      <c r="DE416" t="str">
        <f ca="1">IFERROR(__xludf.DUMMYFUNCTION("""COMPUTED_VALUE"""),"#VALUE!")</f>
        <v>#VALUE!</v>
      </c>
    </row>
    <row r="417" spans="1:109" ht="13.2" x14ac:dyDescent="0.25">
      <c r="A417" t="str">
        <f ca="1">IFERROR(__xludf.DUMMYFUNCTION("""COMPUTED_VALUE"""),"P0426")</f>
        <v>P0426</v>
      </c>
      <c r="BC417" t="str">
        <f ca="1">IFERROR(__xludf.DUMMYFUNCTION("""COMPUTED_VALUE"""),"#VALUE!")</f>
        <v>#VALUE!</v>
      </c>
      <c r="BE417" t="str">
        <f ca="1">IFERROR(__xludf.DUMMYFUNCTION("""COMPUTED_VALUE"""),"#VALUE!")</f>
        <v>#VALUE!</v>
      </c>
      <c r="BG417" t="str">
        <f ca="1">IFERROR(__xludf.DUMMYFUNCTION("""COMPUTED_VALUE"""),"#VALUE!")</f>
        <v>#VALUE!</v>
      </c>
      <c r="BI417" t="str">
        <f ca="1">IFERROR(__xludf.DUMMYFUNCTION("""COMPUTED_VALUE"""),"#VALUE!")</f>
        <v>#VALUE!</v>
      </c>
      <c r="BK417" t="str">
        <f ca="1">IFERROR(__xludf.DUMMYFUNCTION("""COMPUTED_VALUE"""),"#VALUE!")</f>
        <v>#VALUE!</v>
      </c>
      <c r="BM417" t="str">
        <f ca="1">IFERROR(__xludf.DUMMYFUNCTION("""COMPUTED_VALUE"""),"#VALUE!")</f>
        <v>#VALUE!</v>
      </c>
      <c r="CS417" t="str">
        <f ca="1">IFERROR(__xludf.DUMMYFUNCTION("""COMPUTED_VALUE"""),"#VALUE!")</f>
        <v>#VALUE!</v>
      </c>
      <c r="CU417" t="str">
        <f ca="1">IFERROR(__xludf.DUMMYFUNCTION("""COMPUTED_VALUE"""),"#VALUE!")</f>
        <v>#VALUE!</v>
      </c>
      <c r="CW417" t="str">
        <f ca="1">IFERROR(__xludf.DUMMYFUNCTION("""COMPUTED_VALUE"""),"#VALUE!")</f>
        <v>#VALUE!</v>
      </c>
      <c r="CY417" t="str">
        <f ca="1">IFERROR(__xludf.DUMMYFUNCTION("""COMPUTED_VALUE"""),"#VALUE!")</f>
        <v>#VALUE!</v>
      </c>
      <c r="DC417" t="str">
        <f ca="1">IFERROR(__xludf.DUMMYFUNCTION("""COMPUTED_VALUE"""),"#VALUE!")</f>
        <v>#VALUE!</v>
      </c>
      <c r="DE417" t="str">
        <f ca="1">IFERROR(__xludf.DUMMYFUNCTION("""COMPUTED_VALUE"""),"#VALUE!")</f>
        <v>#VALUE!</v>
      </c>
    </row>
    <row r="418" spans="1:109" ht="13.2" x14ac:dyDescent="0.25">
      <c r="A418" t="str">
        <f ca="1">IFERROR(__xludf.DUMMYFUNCTION("""COMPUTED_VALUE"""),"P0427")</f>
        <v>P0427</v>
      </c>
      <c r="BC418" t="str">
        <f ca="1">IFERROR(__xludf.DUMMYFUNCTION("""COMPUTED_VALUE"""),"#VALUE!")</f>
        <v>#VALUE!</v>
      </c>
      <c r="BE418" t="str">
        <f ca="1">IFERROR(__xludf.DUMMYFUNCTION("""COMPUTED_VALUE"""),"#VALUE!")</f>
        <v>#VALUE!</v>
      </c>
      <c r="BG418" t="str">
        <f ca="1">IFERROR(__xludf.DUMMYFUNCTION("""COMPUTED_VALUE"""),"#VALUE!")</f>
        <v>#VALUE!</v>
      </c>
      <c r="BI418" t="str">
        <f ca="1">IFERROR(__xludf.DUMMYFUNCTION("""COMPUTED_VALUE"""),"#VALUE!")</f>
        <v>#VALUE!</v>
      </c>
      <c r="BK418" t="str">
        <f ca="1">IFERROR(__xludf.DUMMYFUNCTION("""COMPUTED_VALUE"""),"#VALUE!")</f>
        <v>#VALUE!</v>
      </c>
      <c r="BM418" t="str">
        <f ca="1">IFERROR(__xludf.DUMMYFUNCTION("""COMPUTED_VALUE"""),"#VALUE!")</f>
        <v>#VALUE!</v>
      </c>
      <c r="CS418" t="str">
        <f ca="1">IFERROR(__xludf.DUMMYFUNCTION("""COMPUTED_VALUE"""),"#VALUE!")</f>
        <v>#VALUE!</v>
      </c>
      <c r="CU418" t="str">
        <f ca="1">IFERROR(__xludf.DUMMYFUNCTION("""COMPUTED_VALUE"""),"#VALUE!")</f>
        <v>#VALUE!</v>
      </c>
      <c r="CW418" t="str">
        <f ca="1">IFERROR(__xludf.DUMMYFUNCTION("""COMPUTED_VALUE"""),"#VALUE!")</f>
        <v>#VALUE!</v>
      </c>
      <c r="CY418" t="str">
        <f ca="1">IFERROR(__xludf.DUMMYFUNCTION("""COMPUTED_VALUE"""),"#VALUE!")</f>
        <v>#VALUE!</v>
      </c>
      <c r="DC418" t="str">
        <f ca="1">IFERROR(__xludf.DUMMYFUNCTION("""COMPUTED_VALUE"""),"#VALUE!")</f>
        <v>#VALUE!</v>
      </c>
      <c r="DE418" t="str">
        <f ca="1">IFERROR(__xludf.DUMMYFUNCTION("""COMPUTED_VALUE"""),"#VALUE!")</f>
        <v>#VALUE!</v>
      </c>
    </row>
    <row r="419" spans="1:109" ht="13.2" x14ac:dyDescent="0.25">
      <c r="A419" t="str">
        <f ca="1">IFERROR(__xludf.DUMMYFUNCTION("""COMPUTED_VALUE"""),"P0428")</f>
        <v>P0428</v>
      </c>
      <c r="BC419" t="str">
        <f ca="1">IFERROR(__xludf.DUMMYFUNCTION("""COMPUTED_VALUE"""),"#VALUE!")</f>
        <v>#VALUE!</v>
      </c>
      <c r="BE419" t="str">
        <f ca="1">IFERROR(__xludf.DUMMYFUNCTION("""COMPUTED_VALUE"""),"#VALUE!")</f>
        <v>#VALUE!</v>
      </c>
      <c r="BG419" t="str">
        <f ca="1">IFERROR(__xludf.DUMMYFUNCTION("""COMPUTED_VALUE"""),"#VALUE!")</f>
        <v>#VALUE!</v>
      </c>
      <c r="BI419" t="str">
        <f ca="1">IFERROR(__xludf.DUMMYFUNCTION("""COMPUTED_VALUE"""),"#VALUE!")</f>
        <v>#VALUE!</v>
      </c>
      <c r="BK419" t="str">
        <f ca="1">IFERROR(__xludf.DUMMYFUNCTION("""COMPUTED_VALUE"""),"#VALUE!")</f>
        <v>#VALUE!</v>
      </c>
      <c r="BM419" t="str">
        <f ca="1">IFERROR(__xludf.DUMMYFUNCTION("""COMPUTED_VALUE"""),"#VALUE!")</f>
        <v>#VALUE!</v>
      </c>
      <c r="CS419" t="str">
        <f ca="1">IFERROR(__xludf.DUMMYFUNCTION("""COMPUTED_VALUE"""),"#VALUE!")</f>
        <v>#VALUE!</v>
      </c>
      <c r="CU419" t="str">
        <f ca="1">IFERROR(__xludf.DUMMYFUNCTION("""COMPUTED_VALUE"""),"#VALUE!")</f>
        <v>#VALUE!</v>
      </c>
      <c r="CW419" t="str">
        <f ca="1">IFERROR(__xludf.DUMMYFUNCTION("""COMPUTED_VALUE"""),"#VALUE!")</f>
        <v>#VALUE!</v>
      </c>
      <c r="CY419" t="str">
        <f ca="1">IFERROR(__xludf.DUMMYFUNCTION("""COMPUTED_VALUE"""),"#VALUE!")</f>
        <v>#VALUE!</v>
      </c>
      <c r="DC419" t="str">
        <f ca="1">IFERROR(__xludf.DUMMYFUNCTION("""COMPUTED_VALUE"""),"#VALUE!")</f>
        <v>#VALUE!</v>
      </c>
      <c r="DE419" t="str">
        <f ca="1">IFERROR(__xludf.DUMMYFUNCTION("""COMPUTED_VALUE"""),"#VALUE!")</f>
        <v>#VALUE!</v>
      </c>
    </row>
    <row r="420" spans="1:109" ht="13.2" x14ac:dyDescent="0.25">
      <c r="A420" t="str">
        <f ca="1">IFERROR(__xludf.DUMMYFUNCTION("""COMPUTED_VALUE"""),"P0429")</f>
        <v>P0429</v>
      </c>
      <c r="BC420" t="str">
        <f ca="1">IFERROR(__xludf.DUMMYFUNCTION("""COMPUTED_VALUE"""),"#VALUE!")</f>
        <v>#VALUE!</v>
      </c>
      <c r="BE420" t="str">
        <f ca="1">IFERROR(__xludf.DUMMYFUNCTION("""COMPUTED_VALUE"""),"#VALUE!")</f>
        <v>#VALUE!</v>
      </c>
      <c r="BG420" t="str">
        <f ca="1">IFERROR(__xludf.DUMMYFUNCTION("""COMPUTED_VALUE"""),"#VALUE!")</f>
        <v>#VALUE!</v>
      </c>
      <c r="BI420" t="str">
        <f ca="1">IFERROR(__xludf.DUMMYFUNCTION("""COMPUTED_VALUE"""),"#VALUE!")</f>
        <v>#VALUE!</v>
      </c>
      <c r="BK420" t="str">
        <f ca="1">IFERROR(__xludf.DUMMYFUNCTION("""COMPUTED_VALUE"""),"#VALUE!")</f>
        <v>#VALUE!</v>
      </c>
      <c r="BM420" t="str">
        <f ca="1">IFERROR(__xludf.DUMMYFUNCTION("""COMPUTED_VALUE"""),"#VALUE!")</f>
        <v>#VALUE!</v>
      </c>
      <c r="CS420" t="str">
        <f ca="1">IFERROR(__xludf.DUMMYFUNCTION("""COMPUTED_VALUE"""),"#VALUE!")</f>
        <v>#VALUE!</v>
      </c>
      <c r="CU420" t="str">
        <f ca="1">IFERROR(__xludf.DUMMYFUNCTION("""COMPUTED_VALUE"""),"#VALUE!")</f>
        <v>#VALUE!</v>
      </c>
      <c r="CW420" t="str">
        <f ca="1">IFERROR(__xludf.DUMMYFUNCTION("""COMPUTED_VALUE"""),"#VALUE!")</f>
        <v>#VALUE!</v>
      </c>
      <c r="CY420" t="str">
        <f ca="1">IFERROR(__xludf.DUMMYFUNCTION("""COMPUTED_VALUE"""),"#VALUE!")</f>
        <v>#VALUE!</v>
      </c>
      <c r="DC420" t="str">
        <f ca="1">IFERROR(__xludf.DUMMYFUNCTION("""COMPUTED_VALUE"""),"#VALUE!")</f>
        <v>#VALUE!</v>
      </c>
      <c r="DE420" t="str">
        <f ca="1">IFERROR(__xludf.DUMMYFUNCTION("""COMPUTED_VALUE"""),"#VALUE!")</f>
        <v>#VALUE!</v>
      </c>
    </row>
    <row r="421" spans="1:109" ht="13.2" x14ac:dyDescent="0.25">
      <c r="A421" t="str">
        <f ca="1">IFERROR(__xludf.DUMMYFUNCTION("""COMPUTED_VALUE"""),"P0430")</f>
        <v>P0430</v>
      </c>
      <c r="BC421" t="str">
        <f ca="1">IFERROR(__xludf.DUMMYFUNCTION("""COMPUTED_VALUE"""),"#VALUE!")</f>
        <v>#VALUE!</v>
      </c>
      <c r="BE421" t="str">
        <f ca="1">IFERROR(__xludf.DUMMYFUNCTION("""COMPUTED_VALUE"""),"#VALUE!")</f>
        <v>#VALUE!</v>
      </c>
      <c r="BG421" t="str">
        <f ca="1">IFERROR(__xludf.DUMMYFUNCTION("""COMPUTED_VALUE"""),"#VALUE!")</f>
        <v>#VALUE!</v>
      </c>
      <c r="BI421" t="str">
        <f ca="1">IFERROR(__xludf.DUMMYFUNCTION("""COMPUTED_VALUE"""),"#VALUE!")</f>
        <v>#VALUE!</v>
      </c>
      <c r="BK421" t="str">
        <f ca="1">IFERROR(__xludf.DUMMYFUNCTION("""COMPUTED_VALUE"""),"#VALUE!")</f>
        <v>#VALUE!</v>
      </c>
      <c r="BM421" t="str">
        <f ca="1">IFERROR(__xludf.DUMMYFUNCTION("""COMPUTED_VALUE"""),"#VALUE!")</f>
        <v>#VALUE!</v>
      </c>
      <c r="CS421" t="str">
        <f ca="1">IFERROR(__xludf.DUMMYFUNCTION("""COMPUTED_VALUE"""),"#VALUE!")</f>
        <v>#VALUE!</v>
      </c>
      <c r="CU421" t="str">
        <f ca="1">IFERROR(__xludf.DUMMYFUNCTION("""COMPUTED_VALUE"""),"#VALUE!")</f>
        <v>#VALUE!</v>
      </c>
      <c r="CW421" t="str">
        <f ca="1">IFERROR(__xludf.DUMMYFUNCTION("""COMPUTED_VALUE"""),"#VALUE!")</f>
        <v>#VALUE!</v>
      </c>
      <c r="CY421" t="str">
        <f ca="1">IFERROR(__xludf.DUMMYFUNCTION("""COMPUTED_VALUE"""),"#VALUE!")</f>
        <v>#VALUE!</v>
      </c>
      <c r="DC421" t="str">
        <f ca="1">IFERROR(__xludf.DUMMYFUNCTION("""COMPUTED_VALUE"""),"#VALUE!")</f>
        <v>#VALUE!</v>
      </c>
      <c r="DE421" t="str">
        <f ca="1">IFERROR(__xludf.DUMMYFUNCTION("""COMPUTED_VALUE"""),"#VALUE!")</f>
        <v>#VALUE!</v>
      </c>
    </row>
    <row r="422" spans="1:109" ht="13.2" x14ac:dyDescent="0.25">
      <c r="A422" t="str">
        <f ca="1">IFERROR(__xludf.DUMMYFUNCTION("""COMPUTED_VALUE"""),"P0431")</f>
        <v>P0431</v>
      </c>
      <c r="BC422" t="str">
        <f ca="1">IFERROR(__xludf.DUMMYFUNCTION("""COMPUTED_VALUE"""),"#VALUE!")</f>
        <v>#VALUE!</v>
      </c>
      <c r="BE422" t="str">
        <f ca="1">IFERROR(__xludf.DUMMYFUNCTION("""COMPUTED_VALUE"""),"#VALUE!")</f>
        <v>#VALUE!</v>
      </c>
      <c r="BG422" t="str">
        <f ca="1">IFERROR(__xludf.DUMMYFUNCTION("""COMPUTED_VALUE"""),"#VALUE!")</f>
        <v>#VALUE!</v>
      </c>
      <c r="BI422" t="str">
        <f ca="1">IFERROR(__xludf.DUMMYFUNCTION("""COMPUTED_VALUE"""),"#VALUE!")</f>
        <v>#VALUE!</v>
      </c>
      <c r="BK422" t="str">
        <f ca="1">IFERROR(__xludf.DUMMYFUNCTION("""COMPUTED_VALUE"""),"#VALUE!")</f>
        <v>#VALUE!</v>
      </c>
      <c r="BM422" t="str">
        <f ca="1">IFERROR(__xludf.DUMMYFUNCTION("""COMPUTED_VALUE"""),"#VALUE!")</f>
        <v>#VALUE!</v>
      </c>
      <c r="CS422" t="str">
        <f ca="1">IFERROR(__xludf.DUMMYFUNCTION("""COMPUTED_VALUE"""),"#VALUE!")</f>
        <v>#VALUE!</v>
      </c>
      <c r="CU422" t="str">
        <f ca="1">IFERROR(__xludf.DUMMYFUNCTION("""COMPUTED_VALUE"""),"#VALUE!")</f>
        <v>#VALUE!</v>
      </c>
      <c r="CW422" t="str">
        <f ca="1">IFERROR(__xludf.DUMMYFUNCTION("""COMPUTED_VALUE"""),"#VALUE!")</f>
        <v>#VALUE!</v>
      </c>
      <c r="CY422" t="str">
        <f ca="1">IFERROR(__xludf.DUMMYFUNCTION("""COMPUTED_VALUE"""),"#VALUE!")</f>
        <v>#VALUE!</v>
      </c>
      <c r="DC422" t="str">
        <f ca="1">IFERROR(__xludf.DUMMYFUNCTION("""COMPUTED_VALUE"""),"#VALUE!")</f>
        <v>#VALUE!</v>
      </c>
      <c r="DE422" t="str">
        <f ca="1">IFERROR(__xludf.DUMMYFUNCTION("""COMPUTED_VALUE"""),"#VALUE!")</f>
        <v>#VALUE!</v>
      </c>
    </row>
    <row r="423" spans="1:109" ht="13.2" x14ac:dyDescent="0.25">
      <c r="A423" t="str">
        <f ca="1">IFERROR(__xludf.DUMMYFUNCTION("""COMPUTED_VALUE"""),"P0432")</f>
        <v>P0432</v>
      </c>
      <c r="BC423" t="str">
        <f ca="1">IFERROR(__xludf.DUMMYFUNCTION("""COMPUTED_VALUE"""),"#VALUE!")</f>
        <v>#VALUE!</v>
      </c>
      <c r="BE423" t="str">
        <f ca="1">IFERROR(__xludf.DUMMYFUNCTION("""COMPUTED_VALUE"""),"#VALUE!")</f>
        <v>#VALUE!</v>
      </c>
      <c r="BG423" t="str">
        <f ca="1">IFERROR(__xludf.DUMMYFUNCTION("""COMPUTED_VALUE"""),"#VALUE!")</f>
        <v>#VALUE!</v>
      </c>
      <c r="BI423" t="str">
        <f ca="1">IFERROR(__xludf.DUMMYFUNCTION("""COMPUTED_VALUE"""),"#VALUE!")</f>
        <v>#VALUE!</v>
      </c>
      <c r="BK423" t="str">
        <f ca="1">IFERROR(__xludf.DUMMYFUNCTION("""COMPUTED_VALUE"""),"#VALUE!")</f>
        <v>#VALUE!</v>
      </c>
      <c r="BM423" t="str">
        <f ca="1">IFERROR(__xludf.DUMMYFUNCTION("""COMPUTED_VALUE"""),"#VALUE!")</f>
        <v>#VALUE!</v>
      </c>
      <c r="CS423" t="str">
        <f ca="1">IFERROR(__xludf.DUMMYFUNCTION("""COMPUTED_VALUE"""),"#VALUE!")</f>
        <v>#VALUE!</v>
      </c>
      <c r="CU423" t="str">
        <f ca="1">IFERROR(__xludf.DUMMYFUNCTION("""COMPUTED_VALUE"""),"#VALUE!")</f>
        <v>#VALUE!</v>
      </c>
      <c r="CW423" t="str">
        <f ca="1">IFERROR(__xludf.DUMMYFUNCTION("""COMPUTED_VALUE"""),"#VALUE!")</f>
        <v>#VALUE!</v>
      </c>
      <c r="CY423" t="str">
        <f ca="1">IFERROR(__xludf.DUMMYFUNCTION("""COMPUTED_VALUE"""),"#VALUE!")</f>
        <v>#VALUE!</v>
      </c>
      <c r="DC423" t="str">
        <f ca="1">IFERROR(__xludf.DUMMYFUNCTION("""COMPUTED_VALUE"""),"#VALUE!")</f>
        <v>#VALUE!</v>
      </c>
      <c r="DE423" t="str">
        <f ca="1">IFERROR(__xludf.DUMMYFUNCTION("""COMPUTED_VALUE"""),"#VALUE!")</f>
        <v>#VALUE!</v>
      </c>
    </row>
    <row r="424" spans="1:109" ht="13.2" x14ac:dyDescent="0.25">
      <c r="A424" t="str">
        <f ca="1">IFERROR(__xludf.DUMMYFUNCTION("""COMPUTED_VALUE"""),"P0433")</f>
        <v>P0433</v>
      </c>
      <c r="BC424" t="str">
        <f ca="1">IFERROR(__xludf.DUMMYFUNCTION("""COMPUTED_VALUE"""),"#VALUE!")</f>
        <v>#VALUE!</v>
      </c>
      <c r="BE424" t="str">
        <f ca="1">IFERROR(__xludf.DUMMYFUNCTION("""COMPUTED_VALUE"""),"#VALUE!")</f>
        <v>#VALUE!</v>
      </c>
      <c r="BG424" t="str">
        <f ca="1">IFERROR(__xludf.DUMMYFUNCTION("""COMPUTED_VALUE"""),"#VALUE!")</f>
        <v>#VALUE!</v>
      </c>
      <c r="BI424" t="str">
        <f ca="1">IFERROR(__xludf.DUMMYFUNCTION("""COMPUTED_VALUE"""),"#VALUE!")</f>
        <v>#VALUE!</v>
      </c>
      <c r="BK424" t="str">
        <f ca="1">IFERROR(__xludf.DUMMYFUNCTION("""COMPUTED_VALUE"""),"#VALUE!")</f>
        <v>#VALUE!</v>
      </c>
      <c r="BM424" t="str">
        <f ca="1">IFERROR(__xludf.DUMMYFUNCTION("""COMPUTED_VALUE"""),"#VALUE!")</f>
        <v>#VALUE!</v>
      </c>
      <c r="CS424" t="str">
        <f ca="1">IFERROR(__xludf.DUMMYFUNCTION("""COMPUTED_VALUE"""),"#VALUE!")</f>
        <v>#VALUE!</v>
      </c>
      <c r="CU424" t="str">
        <f ca="1">IFERROR(__xludf.DUMMYFUNCTION("""COMPUTED_VALUE"""),"#VALUE!")</f>
        <v>#VALUE!</v>
      </c>
      <c r="CW424" t="str">
        <f ca="1">IFERROR(__xludf.DUMMYFUNCTION("""COMPUTED_VALUE"""),"#VALUE!")</f>
        <v>#VALUE!</v>
      </c>
      <c r="CY424" t="str">
        <f ca="1">IFERROR(__xludf.DUMMYFUNCTION("""COMPUTED_VALUE"""),"#VALUE!")</f>
        <v>#VALUE!</v>
      </c>
      <c r="DC424" t="str">
        <f ca="1">IFERROR(__xludf.DUMMYFUNCTION("""COMPUTED_VALUE"""),"#VALUE!")</f>
        <v>#VALUE!</v>
      </c>
      <c r="DE424" t="str">
        <f ca="1">IFERROR(__xludf.DUMMYFUNCTION("""COMPUTED_VALUE"""),"#VALUE!")</f>
        <v>#VALUE!</v>
      </c>
    </row>
    <row r="425" spans="1:109" ht="13.2" x14ac:dyDescent="0.25">
      <c r="A425" t="str">
        <f ca="1">IFERROR(__xludf.DUMMYFUNCTION("""COMPUTED_VALUE"""),"P0434")</f>
        <v>P0434</v>
      </c>
      <c r="BC425" t="str">
        <f ca="1">IFERROR(__xludf.DUMMYFUNCTION("""COMPUTED_VALUE"""),"#VALUE!")</f>
        <v>#VALUE!</v>
      </c>
      <c r="BE425" t="str">
        <f ca="1">IFERROR(__xludf.DUMMYFUNCTION("""COMPUTED_VALUE"""),"#VALUE!")</f>
        <v>#VALUE!</v>
      </c>
      <c r="BG425" t="str">
        <f ca="1">IFERROR(__xludf.DUMMYFUNCTION("""COMPUTED_VALUE"""),"#VALUE!")</f>
        <v>#VALUE!</v>
      </c>
      <c r="BI425" t="str">
        <f ca="1">IFERROR(__xludf.DUMMYFUNCTION("""COMPUTED_VALUE"""),"#VALUE!")</f>
        <v>#VALUE!</v>
      </c>
      <c r="BK425" t="str">
        <f ca="1">IFERROR(__xludf.DUMMYFUNCTION("""COMPUTED_VALUE"""),"#VALUE!")</f>
        <v>#VALUE!</v>
      </c>
      <c r="BM425" t="str">
        <f ca="1">IFERROR(__xludf.DUMMYFUNCTION("""COMPUTED_VALUE"""),"#VALUE!")</f>
        <v>#VALUE!</v>
      </c>
      <c r="CS425" t="str">
        <f ca="1">IFERROR(__xludf.DUMMYFUNCTION("""COMPUTED_VALUE"""),"#VALUE!")</f>
        <v>#VALUE!</v>
      </c>
      <c r="CU425" t="str">
        <f ca="1">IFERROR(__xludf.DUMMYFUNCTION("""COMPUTED_VALUE"""),"#VALUE!")</f>
        <v>#VALUE!</v>
      </c>
      <c r="CW425" t="str">
        <f ca="1">IFERROR(__xludf.DUMMYFUNCTION("""COMPUTED_VALUE"""),"#VALUE!")</f>
        <v>#VALUE!</v>
      </c>
      <c r="CY425" t="str">
        <f ca="1">IFERROR(__xludf.DUMMYFUNCTION("""COMPUTED_VALUE"""),"#VALUE!")</f>
        <v>#VALUE!</v>
      </c>
      <c r="DC425" t="str">
        <f ca="1">IFERROR(__xludf.DUMMYFUNCTION("""COMPUTED_VALUE"""),"#VALUE!")</f>
        <v>#VALUE!</v>
      </c>
      <c r="DE425" t="str">
        <f ca="1">IFERROR(__xludf.DUMMYFUNCTION("""COMPUTED_VALUE"""),"#VALUE!")</f>
        <v>#VALUE!</v>
      </c>
    </row>
    <row r="426" spans="1:109" ht="13.2" x14ac:dyDescent="0.25">
      <c r="A426" t="str">
        <f ca="1">IFERROR(__xludf.DUMMYFUNCTION("""COMPUTED_VALUE"""),"P0435")</f>
        <v>P0435</v>
      </c>
      <c r="BC426" t="str">
        <f ca="1">IFERROR(__xludf.DUMMYFUNCTION("""COMPUTED_VALUE"""),"#VALUE!")</f>
        <v>#VALUE!</v>
      </c>
      <c r="BE426" t="str">
        <f ca="1">IFERROR(__xludf.DUMMYFUNCTION("""COMPUTED_VALUE"""),"#VALUE!")</f>
        <v>#VALUE!</v>
      </c>
      <c r="BG426" t="str">
        <f ca="1">IFERROR(__xludf.DUMMYFUNCTION("""COMPUTED_VALUE"""),"#VALUE!")</f>
        <v>#VALUE!</v>
      </c>
      <c r="BI426" t="str">
        <f ca="1">IFERROR(__xludf.DUMMYFUNCTION("""COMPUTED_VALUE"""),"#VALUE!")</f>
        <v>#VALUE!</v>
      </c>
      <c r="BK426" t="str">
        <f ca="1">IFERROR(__xludf.DUMMYFUNCTION("""COMPUTED_VALUE"""),"#VALUE!")</f>
        <v>#VALUE!</v>
      </c>
      <c r="BM426" t="str">
        <f ca="1">IFERROR(__xludf.DUMMYFUNCTION("""COMPUTED_VALUE"""),"#VALUE!")</f>
        <v>#VALUE!</v>
      </c>
      <c r="CS426" t="str">
        <f ca="1">IFERROR(__xludf.DUMMYFUNCTION("""COMPUTED_VALUE"""),"#VALUE!")</f>
        <v>#VALUE!</v>
      </c>
      <c r="CU426" t="str">
        <f ca="1">IFERROR(__xludf.DUMMYFUNCTION("""COMPUTED_VALUE"""),"#VALUE!")</f>
        <v>#VALUE!</v>
      </c>
      <c r="CW426" t="str">
        <f ca="1">IFERROR(__xludf.DUMMYFUNCTION("""COMPUTED_VALUE"""),"#VALUE!")</f>
        <v>#VALUE!</v>
      </c>
      <c r="CY426" t="str">
        <f ca="1">IFERROR(__xludf.DUMMYFUNCTION("""COMPUTED_VALUE"""),"#VALUE!")</f>
        <v>#VALUE!</v>
      </c>
      <c r="DC426" t="str">
        <f ca="1">IFERROR(__xludf.DUMMYFUNCTION("""COMPUTED_VALUE"""),"#VALUE!")</f>
        <v>#VALUE!</v>
      </c>
      <c r="DE426" t="str">
        <f ca="1">IFERROR(__xludf.DUMMYFUNCTION("""COMPUTED_VALUE"""),"#VALUE!")</f>
        <v>#VALUE!</v>
      </c>
    </row>
    <row r="427" spans="1:109" ht="13.2" x14ac:dyDescent="0.25">
      <c r="A427" t="str">
        <f ca="1">IFERROR(__xludf.DUMMYFUNCTION("""COMPUTED_VALUE"""),"P0436")</f>
        <v>P0436</v>
      </c>
      <c r="BC427" t="str">
        <f ca="1">IFERROR(__xludf.DUMMYFUNCTION("""COMPUTED_VALUE"""),"#VALUE!")</f>
        <v>#VALUE!</v>
      </c>
      <c r="BE427" t="str">
        <f ca="1">IFERROR(__xludf.DUMMYFUNCTION("""COMPUTED_VALUE"""),"#VALUE!")</f>
        <v>#VALUE!</v>
      </c>
      <c r="BG427" t="str">
        <f ca="1">IFERROR(__xludf.DUMMYFUNCTION("""COMPUTED_VALUE"""),"#VALUE!")</f>
        <v>#VALUE!</v>
      </c>
      <c r="BI427" t="str">
        <f ca="1">IFERROR(__xludf.DUMMYFUNCTION("""COMPUTED_VALUE"""),"#VALUE!")</f>
        <v>#VALUE!</v>
      </c>
      <c r="BK427" t="str">
        <f ca="1">IFERROR(__xludf.DUMMYFUNCTION("""COMPUTED_VALUE"""),"#VALUE!")</f>
        <v>#VALUE!</v>
      </c>
      <c r="BM427" t="str">
        <f ca="1">IFERROR(__xludf.DUMMYFUNCTION("""COMPUTED_VALUE"""),"#VALUE!")</f>
        <v>#VALUE!</v>
      </c>
      <c r="CS427" t="str">
        <f ca="1">IFERROR(__xludf.DUMMYFUNCTION("""COMPUTED_VALUE"""),"#VALUE!")</f>
        <v>#VALUE!</v>
      </c>
      <c r="CU427" t="str">
        <f ca="1">IFERROR(__xludf.DUMMYFUNCTION("""COMPUTED_VALUE"""),"#VALUE!")</f>
        <v>#VALUE!</v>
      </c>
      <c r="CW427" t="str">
        <f ca="1">IFERROR(__xludf.DUMMYFUNCTION("""COMPUTED_VALUE"""),"#VALUE!")</f>
        <v>#VALUE!</v>
      </c>
      <c r="CY427" t="str">
        <f ca="1">IFERROR(__xludf.DUMMYFUNCTION("""COMPUTED_VALUE"""),"#VALUE!")</f>
        <v>#VALUE!</v>
      </c>
      <c r="DC427" t="str">
        <f ca="1">IFERROR(__xludf.DUMMYFUNCTION("""COMPUTED_VALUE"""),"#VALUE!")</f>
        <v>#VALUE!</v>
      </c>
      <c r="DE427" t="str">
        <f ca="1">IFERROR(__xludf.DUMMYFUNCTION("""COMPUTED_VALUE"""),"#VALUE!")</f>
        <v>#VALUE!</v>
      </c>
    </row>
    <row r="428" spans="1:109" ht="13.2" x14ac:dyDescent="0.25">
      <c r="A428" t="str">
        <f ca="1">IFERROR(__xludf.DUMMYFUNCTION("""COMPUTED_VALUE"""),"P0437")</f>
        <v>P0437</v>
      </c>
      <c r="BC428" t="str">
        <f ca="1">IFERROR(__xludf.DUMMYFUNCTION("""COMPUTED_VALUE"""),"#VALUE!")</f>
        <v>#VALUE!</v>
      </c>
      <c r="BE428" t="str">
        <f ca="1">IFERROR(__xludf.DUMMYFUNCTION("""COMPUTED_VALUE"""),"#VALUE!")</f>
        <v>#VALUE!</v>
      </c>
      <c r="BG428" t="str">
        <f ca="1">IFERROR(__xludf.DUMMYFUNCTION("""COMPUTED_VALUE"""),"#VALUE!")</f>
        <v>#VALUE!</v>
      </c>
      <c r="BI428" t="str">
        <f ca="1">IFERROR(__xludf.DUMMYFUNCTION("""COMPUTED_VALUE"""),"#VALUE!")</f>
        <v>#VALUE!</v>
      </c>
      <c r="BK428" t="str">
        <f ca="1">IFERROR(__xludf.DUMMYFUNCTION("""COMPUTED_VALUE"""),"#VALUE!")</f>
        <v>#VALUE!</v>
      </c>
      <c r="BM428" t="str">
        <f ca="1">IFERROR(__xludf.DUMMYFUNCTION("""COMPUTED_VALUE"""),"#VALUE!")</f>
        <v>#VALUE!</v>
      </c>
      <c r="CS428" t="str">
        <f ca="1">IFERROR(__xludf.DUMMYFUNCTION("""COMPUTED_VALUE"""),"#VALUE!")</f>
        <v>#VALUE!</v>
      </c>
      <c r="CU428" t="str">
        <f ca="1">IFERROR(__xludf.DUMMYFUNCTION("""COMPUTED_VALUE"""),"#VALUE!")</f>
        <v>#VALUE!</v>
      </c>
      <c r="CW428" t="str">
        <f ca="1">IFERROR(__xludf.DUMMYFUNCTION("""COMPUTED_VALUE"""),"#VALUE!")</f>
        <v>#VALUE!</v>
      </c>
      <c r="CY428" t="str">
        <f ca="1">IFERROR(__xludf.DUMMYFUNCTION("""COMPUTED_VALUE"""),"#VALUE!")</f>
        <v>#VALUE!</v>
      </c>
      <c r="DC428" t="str">
        <f ca="1">IFERROR(__xludf.DUMMYFUNCTION("""COMPUTED_VALUE"""),"#VALUE!")</f>
        <v>#VALUE!</v>
      </c>
      <c r="DE428" t="str">
        <f ca="1">IFERROR(__xludf.DUMMYFUNCTION("""COMPUTED_VALUE"""),"#VALUE!")</f>
        <v>#VALUE!</v>
      </c>
    </row>
    <row r="429" spans="1:109" ht="13.2" x14ac:dyDescent="0.25">
      <c r="A429" t="str">
        <f ca="1">IFERROR(__xludf.DUMMYFUNCTION("""COMPUTED_VALUE"""),"P0438")</f>
        <v>P0438</v>
      </c>
      <c r="BC429" t="str">
        <f ca="1">IFERROR(__xludf.DUMMYFUNCTION("""COMPUTED_VALUE"""),"#VALUE!")</f>
        <v>#VALUE!</v>
      </c>
      <c r="BE429" t="str">
        <f ca="1">IFERROR(__xludf.DUMMYFUNCTION("""COMPUTED_VALUE"""),"#VALUE!")</f>
        <v>#VALUE!</v>
      </c>
      <c r="BG429" t="str">
        <f ca="1">IFERROR(__xludf.DUMMYFUNCTION("""COMPUTED_VALUE"""),"#VALUE!")</f>
        <v>#VALUE!</v>
      </c>
      <c r="BI429" t="str">
        <f ca="1">IFERROR(__xludf.DUMMYFUNCTION("""COMPUTED_VALUE"""),"#VALUE!")</f>
        <v>#VALUE!</v>
      </c>
      <c r="BK429" t="str">
        <f ca="1">IFERROR(__xludf.DUMMYFUNCTION("""COMPUTED_VALUE"""),"#VALUE!")</f>
        <v>#VALUE!</v>
      </c>
      <c r="BM429" t="str">
        <f ca="1">IFERROR(__xludf.DUMMYFUNCTION("""COMPUTED_VALUE"""),"#VALUE!")</f>
        <v>#VALUE!</v>
      </c>
      <c r="CS429" t="str">
        <f ca="1">IFERROR(__xludf.DUMMYFUNCTION("""COMPUTED_VALUE"""),"#VALUE!")</f>
        <v>#VALUE!</v>
      </c>
      <c r="CU429" t="str">
        <f ca="1">IFERROR(__xludf.DUMMYFUNCTION("""COMPUTED_VALUE"""),"#VALUE!")</f>
        <v>#VALUE!</v>
      </c>
      <c r="CW429" t="str">
        <f ca="1">IFERROR(__xludf.DUMMYFUNCTION("""COMPUTED_VALUE"""),"#VALUE!")</f>
        <v>#VALUE!</v>
      </c>
      <c r="CY429" t="str">
        <f ca="1">IFERROR(__xludf.DUMMYFUNCTION("""COMPUTED_VALUE"""),"#VALUE!")</f>
        <v>#VALUE!</v>
      </c>
      <c r="DC429" t="str">
        <f ca="1">IFERROR(__xludf.DUMMYFUNCTION("""COMPUTED_VALUE"""),"#VALUE!")</f>
        <v>#VALUE!</v>
      </c>
      <c r="DE429" t="str">
        <f ca="1">IFERROR(__xludf.DUMMYFUNCTION("""COMPUTED_VALUE"""),"#VALUE!")</f>
        <v>#VALUE!</v>
      </c>
    </row>
    <row r="430" spans="1:109" ht="13.2" x14ac:dyDescent="0.25">
      <c r="A430" t="str">
        <f ca="1">IFERROR(__xludf.DUMMYFUNCTION("""COMPUTED_VALUE"""),"P0439")</f>
        <v>P0439</v>
      </c>
      <c r="BC430" t="str">
        <f ca="1">IFERROR(__xludf.DUMMYFUNCTION("""COMPUTED_VALUE"""),"#VALUE!")</f>
        <v>#VALUE!</v>
      </c>
      <c r="BE430" t="str">
        <f ca="1">IFERROR(__xludf.DUMMYFUNCTION("""COMPUTED_VALUE"""),"#VALUE!")</f>
        <v>#VALUE!</v>
      </c>
      <c r="BG430" t="str">
        <f ca="1">IFERROR(__xludf.DUMMYFUNCTION("""COMPUTED_VALUE"""),"#VALUE!")</f>
        <v>#VALUE!</v>
      </c>
      <c r="BI430" t="str">
        <f ca="1">IFERROR(__xludf.DUMMYFUNCTION("""COMPUTED_VALUE"""),"#VALUE!")</f>
        <v>#VALUE!</v>
      </c>
      <c r="BK430" t="str">
        <f ca="1">IFERROR(__xludf.DUMMYFUNCTION("""COMPUTED_VALUE"""),"#VALUE!")</f>
        <v>#VALUE!</v>
      </c>
      <c r="BM430" t="str">
        <f ca="1">IFERROR(__xludf.DUMMYFUNCTION("""COMPUTED_VALUE"""),"#VALUE!")</f>
        <v>#VALUE!</v>
      </c>
      <c r="CS430" t="str">
        <f ca="1">IFERROR(__xludf.DUMMYFUNCTION("""COMPUTED_VALUE"""),"#VALUE!")</f>
        <v>#VALUE!</v>
      </c>
      <c r="CU430" t="str">
        <f ca="1">IFERROR(__xludf.DUMMYFUNCTION("""COMPUTED_VALUE"""),"#VALUE!")</f>
        <v>#VALUE!</v>
      </c>
      <c r="CW430" t="str">
        <f ca="1">IFERROR(__xludf.DUMMYFUNCTION("""COMPUTED_VALUE"""),"#VALUE!")</f>
        <v>#VALUE!</v>
      </c>
      <c r="CY430" t="str">
        <f ca="1">IFERROR(__xludf.DUMMYFUNCTION("""COMPUTED_VALUE"""),"#VALUE!")</f>
        <v>#VALUE!</v>
      </c>
      <c r="DC430" t="str">
        <f ca="1">IFERROR(__xludf.DUMMYFUNCTION("""COMPUTED_VALUE"""),"#VALUE!")</f>
        <v>#VALUE!</v>
      </c>
      <c r="DE430" t="str">
        <f ca="1">IFERROR(__xludf.DUMMYFUNCTION("""COMPUTED_VALUE"""),"#VALUE!")</f>
        <v>#VALUE!</v>
      </c>
    </row>
    <row r="431" spans="1:109" ht="13.2" x14ac:dyDescent="0.25">
      <c r="A431" t="str">
        <f ca="1">IFERROR(__xludf.DUMMYFUNCTION("""COMPUTED_VALUE"""),"P0440")</f>
        <v>P0440</v>
      </c>
      <c r="BC431" t="str">
        <f ca="1">IFERROR(__xludf.DUMMYFUNCTION("""COMPUTED_VALUE"""),"#VALUE!")</f>
        <v>#VALUE!</v>
      </c>
      <c r="BE431" t="str">
        <f ca="1">IFERROR(__xludf.DUMMYFUNCTION("""COMPUTED_VALUE"""),"#VALUE!")</f>
        <v>#VALUE!</v>
      </c>
      <c r="BG431" t="str">
        <f ca="1">IFERROR(__xludf.DUMMYFUNCTION("""COMPUTED_VALUE"""),"#VALUE!")</f>
        <v>#VALUE!</v>
      </c>
      <c r="BI431" t="str">
        <f ca="1">IFERROR(__xludf.DUMMYFUNCTION("""COMPUTED_VALUE"""),"#VALUE!")</f>
        <v>#VALUE!</v>
      </c>
      <c r="BK431" t="str">
        <f ca="1">IFERROR(__xludf.DUMMYFUNCTION("""COMPUTED_VALUE"""),"#VALUE!")</f>
        <v>#VALUE!</v>
      </c>
      <c r="BM431" t="str">
        <f ca="1">IFERROR(__xludf.DUMMYFUNCTION("""COMPUTED_VALUE"""),"#VALUE!")</f>
        <v>#VALUE!</v>
      </c>
      <c r="CS431" t="str">
        <f ca="1">IFERROR(__xludf.DUMMYFUNCTION("""COMPUTED_VALUE"""),"#VALUE!")</f>
        <v>#VALUE!</v>
      </c>
      <c r="CU431" t="str">
        <f ca="1">IFERROR(__xludf.DUMMYFUNCTION("""COMPUTED_VALUE"""),"#VALUE!")</f>
        <v>#VALUE!</v>
      </c>
      <c r="CW431" t="str">
        <f ca="1">IFERROR(__xludf.DUMMYFUNCTION("""COMPUTED_VALUE"""),"#VALUE!")</f>
        <v>#VALUE!</v>
      </c>
      <c r="CY431" t="str">
        <f ca="1">IFERROR(__xludf.DUMMYFUNCTION("""COMPUTED_VALUE"""),"#VALUE!")</f>
        <v>#VALUE!</v>
      </c>
      <c r="DC431" t="str">
        <f ca="1">IFERROR(__xludf.DUMMYFUNCTION("""COMPUTED_VALUE"""),"#VALUE!")</f>
        <v>#VALUE!</v>
      </c>
      <c r="DE431" t="str">
        <f ca="1">IFERROR(__xludf.DUMMYFUNCTION("""COMPUTED_VALUE"""),"#VALUE!")</f>
        <v>#VALUE!</v>
      </c>
    </row>
    <row r="432" spans="1:109" ht="13.2" x14ac:dyDescent="0.25">
      <c r="A432" t="str">
        <f ca="1">IFERROR(__xludf.DUMMYFUNCTION("""COMPUTED_VALUE"""),"P0441")</f>
        <v>P0441</v>
      </c>
      <c r="BC432" t="str">
        <f ca="1">IFERROR(__xludf.DUMMYFUNCTION("""COMPUTED_VALUE"""),"#VALUE!")</f>
        <v>#VALUE!</v>
      </c>
      <c r="BE432" t="str">
        <f ca="1">IFERROR(__xludf.DUMMYFUNCTION("""COMPUTED_VALUE"""),"#VALUE!")</f>
        <v>#VALUE!</v>
      </c>
      <c r="BG432" t="str">
        <f ca="1">IFERROR(__xludf.DUMMYFUNCTION("""COMPUTED_VALUE"""),"#VALUE!")</f>
        <v>#VALUE!</v>
      </c>
      <c r="BI432" t="str">
        <f ca="1">IFERROR(__xludf.DUMMYFUNCTION("""COMPUTED_VALUE"""),"#VALUE!")</f>
        <v>#VALUE!</v>
      </c>
      <c r="BK432" t="str">
        <f ca="1">IFERROR(__xludf.DUMMYFUNCTION("""COMPUTED_VALUE"""),"#VALUE!")</f>
        <v>#VALUE!</v>
      </c>
      <c r="BM432" t="str">
        <f ca="1">IFERROR(__xludf.DUMMYFUNCTION("""COMPUTED_VALUE"""),"#VALUE!")</f>
        <v>#VALUE!</v>
      </c>
      <c r="CS432" t="str">
        <f ca="1">IFERROR(__xludf.DUMMYFUNCTION("""COMPUTED_VALUE"""),"#VALUE!")</f>
        <v>#VALUE!</v>
      </c>
      <c r="CU432" t="str">
        <f ca="1">IFERROR(__xludf.DUMMYFUNCTION("""COMPUTED_VALUE"""),"#VALUE!")</f>
        <v>#VALUE!</v>
      </c>
      <c r="CW432" t="str">
        <f ca="1">IFERROR(__xludf.DUMMYFUNCTION("""COMPUTED_VALUE"""),"#VALUE!")</f>
        <v>#VALUE!</v>
      </c>
      <c r="CY432" t="str">
        <f ca="1">IFERROR(__xludf.DUMMYFUNCTION("""COMPUTED_VALUE"""),"#VALUE!")</f>
        <v>#VALUE!</v>
      </c>
      <c r="DC432" t="str">
        <f ca="1">IFERROR(__xludf.DUMMYFUNCTION("""COMPUTED_VALUE"""),"#VALUE!")</f>
        <v>#VALUE!</v>
      </c>
      <c r="DE432" t="str">
        <f ca="1">IFERROR(__xludf.DUMMYFUNCTION("""COMPUTED_VALUE"""),"#VALUE!")</f>
        <v>#VALUE!</v>
      </c>
    </row>
    <row r="433" spans="1:109" ht="13.2" x14ac:dyDescent="0.25">
      <c r="A433" t="str">
        <f ca="1">IFERROR(__xludf.DUMMYFUNCTION("""COMPUTED_VALUE"""),"P0442")</f>
        <v>P0442</v>
      </c>
      <c r="BC433" t="str">
        <f ca="1">IFERROR(__xludf.DUMMYFUNCTION("""COMPUTED_VALUE"""),"#VALUE!")</f>
        <v>#VALUE!</v>
      </c>
      <c r="BE433" t="str">
        <f ca="1">IFERROR(__xludf.DUMMYFUNCTION("""COMPUTED_VALUE"""),"#VALUE!")</f>
        <v>#VALUE!</v>
      </c>
      <c r="BG433" t="str">
        <f ca="1">IFERROR(__xludf.DUMMYFUNCTION("""COMPUTED_VALUE"""),"#VALUE!")</f>
        <v>#VALUE!</v>
      </c>
      <c r="BI433" t="str">
        <f ca="1">IFERROR(__xludf.DUMMYFUNCTION("""COMPUTED_VALUE"""),"#VALUE!")</f>
        <v>#VALUE!</v>
      </c>
      <c r="BK433" t="str">
        <f ca="1">IFERROR(__xludf.DUMMYFUNCTION("""COMPUTED_VALUE"""),"#VALUE!")</f>
        <v>#VALUE!</v>
      </c>
      <c r="BM433" t="str">
        <f ca="1">IFERROR(__xludf.DUMMYFUNCTION("""COMPUTED_VALUE"""),"#VALUE!")</f>
        <v>#VALUE!</v>
      </c>
      <c r="CS433" t="str">
        <f ca="1">IFERROR(__xludf.DUMMYFUNCTION("""COMPUTED_VALUE"""),"#VALUE!")</f>
        <v>#VALUE!</v>
      </c>
      <c r="CU433" t="str">
        <f ca="1">IFERROR(__xludf.DUMMYFUNCTION("""COMPUTED_VALUE"""),"#VALUE!")</f>
        <v>#VALUE!</v>
      </c>
      <c r="CW433" t="str">
        <f ca="1">IFERROR(__xludf.DUMMYFUNCTION("""COMPUTED_VALUE"""),"#VALUE!")</f>
        <v>#VALUE!</v>
      </c>
      <c r="CY433" t="str">
        <f ca="1">IFERROR(__xludf.DUMMYFUNCTION("""COMPUTED_VALUE"""),"#VALUE!")</f>
        <v>#VALUE!</v>
      </c>
      <c r="DC433" t="str">
        <f ca="1">IFERROR(__xludf.DUMMYFUNCTION("""COMPUTED_VALUE"""),"#VALUE!")</f>
        <v>#VALUE!</v>
      </c>
      <c r="DE433" t="str">
        <f ca="1">IFERROR(__xludf.DUMMYFUNCTION("""COMPUTED_VALUE"""),"#VALUE!")</f>
        <v>#VALUE!</v>
      </c>
    </row>
    <row r="434" spans="1:109" ht="13.2" x14ac:dyDescent="0.25">
      <c r="A434" t="str">
        <f ca="1">IFERROR(__xludf.DUMMYFUNCTION("""COMPUTED_VALUE"""),"P0443")</f>
        <v>P0443</v>
      </c>
      <c r="BC434" t="str">
        <f ca="1">IFERROR(__xludf.DUMMYFUNCTION("""COMPUTED_VALUE"""),"#VALUE!")</f>
        <v>#VALUE!</v>
      </c>
      <c r="BE434" t="str">
        <f ca="1">IFERROR(__xludf.DUMMYFUNCTION("""COMPUTED_VALUE"""),"#VALUE!")</f>
        <v>#VALUE!</v>
      </c>
      <c r="BG434" t="str">
        <f ca="1">IFERROR(__xludf.DUMMYFUNCTION("""COMPUTED_VALUE"""),"#VALUE!")</f>
        <v>#VALUE!</v>
      </c>
      <c r="BI434" t="str">
        <f ca="1">IFERROR(__xludf.DUMMYFUNCTION("""COMPUTED_VALUE"""),"#VALUE!")</f>
        <v>#VALUE!</v>
      </c>
      <c r="BK434" t="str">
        <f ca="1">IFERROR(__xludf.DUMMYFUNCTION("""COMPUTED_VALUE"""),"#VALUE!")</f>
        <v>#VALUE!</v>
      </c>
      <c r="BM434" t="str">
        <f ca="1">IFERROR(__xludf.DUMMYFUNCTION("""COMPUTED_VALUE"""),"#VALUE!")</f>
        <v>#VALUE!</v>
      </c>
      <c r="CS434" t="str">
        <f ca="1">IFERROR(__xludf.DUMMYFUNCTION("""COMPUTED_VALUE"""),"#VALUE!")</f>
        <v>#VALUE!</v>
      </c>
      <c r="CU434" t="str">
        <f ca="1">IFERROR(__xludf.DUMMYFUNCTION("""COMPUTED_VALUE"""),"#VALUE!")</f>
        <v>#VALUE!</v>
      </c>
      <c r="CW434" t="str">
        <f ca="1">IFERROR(__xludf.DUMMYFUNCTION("""COMPUTED_VALUE"""),"#VALUE!")</f>
        <v>#VALUE!</v>
      </c>
      <c r="CY434" t="str">
        <f ca="1">IFERROR(__xludf.DUMMYFUNCTION("""COMPUTED_VALUE"""),"#VALUE!")</f>
        <v>#VALUE!</v>
      </c>
      <c r="DC434" t="str">
        <f ca="1">IFERROR(__xludf.DUMMYFUNCTION("""COMPUTED_VALUE"""),"#VALUE!")</f>
        <v>#VALUE!</v>
      </c>
      <c r="DE434" t="str">
        <f ca="1">IFERROR(__xludf.DUMMYFUNCTION("""COMPUTED_VALUE"""),"#VALUE!")</f>
        <v>#VALUE!</v>
      </c>
    </row>
    <row r="435" spans="1:109" ht="13.2" x14ac:dyDescent="0.25">
      <c r="A435" t="str">
        <f ca="1">IFERROR(__xludf.DUMMYFUNCTION("""COMPUTED_VALUE"""),"P0444")</f>
        <v>P0444</v>
      </c>
      <c r="BC435" t="str">
        <f ca="1">IFERROR(__xludf.DUMMYFUNCTION("""COMPUTED_VALUE"""),"#VALUE!")</f>
        <v>#VALUE!</v>
      </c>
      <c r="BE435" t="str">
        <f ca="1">IFERROR(__xludf.DUMMYFUNCTION("""COMPUTED_VALUE"""),"#VALUE!")</f>
        <v>#VALUE!</v>
      </c>
      <c r="BG435" t="str">
        <f ca="1">IFERROR(__xludf.DUMMYFUNCTION("""COMPUTED_VALUE"""),"#VALUE!")</f>
        <v>#VALUE!</v>
      </c>
      <c r="BI435" t="str">
        <f ca="1">IFERROR(__xludf.DUMMYFUNCTION("""COMPUTED_VALUE"""),"#VALUE!")</f>
        <v>#VALUE!</v>
      </c>
      <c r="BK435" t="str">
        <f ca="1">IFERROR(__xludf.DUMMYFUNCTION("""COMPUTED_VALUE"""),"#VALUE!")</f>
        <v>#VALUE!</v>
      </c>
      <c r="BM435" t="str">
        <f ca="1">IFERROR(__xludf.DUMMYFUNCTION("""COMPUTED_VALUE"""),"#VALUE!")</f>
        <v>#VALUE!</v>
      </c>
      <c r="CS435" t="str">
        <f ca="1">IFERROR(__xludf.DUMMYFUNCTION("""COMPUTED_VALUE"""),"#VALUE!")</f>
        <v>#VALUE!</v>
      </c>
      <c r="CU435" t="str">
        <f ca="1">IFERROR(__xludf.DUMMYFUNCTION("""COMPUTED_VALUE"""),"#VALUE!")</f>
        <v>#VALUE!</v>
      </c>
      <c r="CW435" t="str">
        <f ca="1">IFERROR(__xludf.DUMMYFUNCTION("""COMPUTED_VALUE"""),"#VALUE!")</f>
        <v>#VALUE!</v>
      </c>
      <c r="CY435" t="str">
        <f ca="1">IFERROR(__xludf.DUMMYFUNCTION("""COMPUTED_VALUE"""),"#VALUE!")</f>
        <v>#VALUE!</v>
      </c>
      <c r="DC435" t="str">
        <f ca="1">IFERROR(__xludf.DUMMYFUNCTION("""COMPUTED_VALUE"""),"#VALUE!")</f>
        <v>#VALUE!</v>
      </c>
      <c r="DE435" t="str">
        <f ca="1">IFERROR(__xludf.DUMMYFUNCTION("""COMPUTED_VALUE"""),"#VALUE!")</f>
        <v>#VALUE!</v>
      </c>
    </row>
    <row r="436" spans="1:109" ht="13.2" x14ac:dyDescent="0.25">
      <c r="A436" t="str">
        <f ca="1">IFERROR(__xludf.DUMMYFUNCTION("""COMPUTED_VALUE"""),"P0445")</f>
        <v>P0445</v>
      </c>
      <c r="BC436" t="str">
        <f ca="1">IFERROR(__xludf.DUMMYFUNCTION("""COMPUTED_VALUE"""),"#VALUE!")</f>
        <v>#VALUE!</v>
      </c>
      <c r="BE436" t="str">
        <f ca="1">IFERROR(__xludf.DUMMYFUNCTION("""COMPUTED_VALUE"""),"#VALUE!")</f>
        <v>#VALUE!</v>
      </c>
      <c r="BG436" t="str">
        <f ca="1">IFERROR(__xludf.DUMMYFUNCTION("""COMPUTED_VALUE"""),"#VALUE!")</f>
        <v>#VALUE!</v>
      </c>
      <c r="BI436" t="str">
        <f ca="1">IFERROR(__xludf.DUMMYFUNCTION("""COMPUTED_VALUE"""),"#VALUE!")</f>
        <v>#VALUE!</v>
      </c>
      <c r="BK436" t="str">
        <f ca="1">IFERROR(__xludf.DUMMYFUNCTION("""COMPUTED_VALUE"""),"#VALUE!")</f>
        <v>#VALUE!</v>
      </c>
      <c r="BM436" t="str">
        <f ca="1">IFERROR(__xludf.DUMMYFUNCTION("""COMPUTED_VALUE"""),"#VALUE!")</f>
        <v>#VALUE!</v>
      </c>
      <c r="CS436" t="str">
        <f ca="1">IFERROR(__xludf.DUMMYFUNCTION("""COMPUTED_VALUE"""),"#VALUE!")</f>
        <v>#VALUE!</v>
      </c>
      <c r="CU436" t="str">
        <f ca="1">IFERROR(__xludf.DUMMYFUNCTION("""COMPUTED_VALUE"""),"#VALUE!")</f>
        <v>#VALUE!</v>
      </c>
      <c r="CW436" t="str">
        <f ca="1">IFERROR(__xludf.DUMMYFUNCTION("""COMPUTED_VALUE"""),"#VALUE!")</f>
        <v>#VALUE!</v>
      </c>
      <c r="CY436" t="str">
        <f ca="1">IFERROR(__xludf.DUMMYFUNCTION("""COMPUTED_VALUE"""),"#VALUE!")</f>
        <v>#VALUE!</v>
      </c>
      <c r="DC436" t="str">
        <f ca="1">IFERROR(__xludf.DUMMYFUNCTION("""COMPUTED_VALUE"""),"#VALUE!")</f>
        <v>#VALUE!</v>
      </c>
      <c r="DE436" t="str">
        <f ca="1">IFERROR(__xludf.DUMMYFUNCTION("""COMPUTED_VALUE"""),"#VALUE!")</f>
        <v>#VALUE!</v>
      </c>
    </row>
    <row r="437" spans="1:109" ht="13.2" x14ac:dyDescent="0.25">
      <c r="A437" t="str">
        <f ca="1">IFERROR(__xludf.DUMMYFUNCTION("""COMPUTED_VALUE"""),"P0446")</f>
        <v>P0446</v>
      </c>
      <c r="BC437" t="str">
        <f ca="1">IFERROR(__xludf.DUMMYFUNCTION("""COMPUTED_VALUE"""),"#VALUE!")</f>
        <v>#VALUE!</v>
      </c>
      <c r="BE437" t="str">
        <f ca="1">IFERROR(__xludf.DUMMYFUNCTION("""COMPUTED_VALUE"""),"#VALUE!")</f>
        <v>#VALUE!</v>
      </c>
      <c r="BG437" t="str">
        <f ca="1">IFERROR(__xludf.DUMMYFUNCTION("""COMPUTED_VALUE"""),"#VALUE!")</f>
        <v>#VALUE!</v>
      </c>
      <c r="BI437" t="str">
        <f ca="1">IFERROR(__xludf.DUMMYFUNCTION("""COMPUTED_VALUE"""),"#VALUE!")</f>
        <v>#VALUE!</v>
      </c>
      <c r="BK437" t="str">
        <f ca="1">IFERROR(__xludf.DUMMYFUNCTION("""COMPUTED_VALUE"""),"#VALUE!")</f>
        <v>#VALUE!</v>
      </c>
      <c r="BM437" t="str">
        <f ca="1">IFERROR(__xludf.DUMMYFUNCTION("""COMPUTED_VALUE"""),"#VALUE!")</f>
        <v>#VALUE!</v>
      </c>
      <c r="CS437" t="str">
        <f ca="1">IFERROR(__xludf.DUMMYFUNCTION("""COMPUTED_VALUE"""),"#VALUE!")</f>
        <v>#VALUE!</v>
      </c>
      <c r="CU437" t="str">
        <f ca="1">IFERROR(__xludf.DUMMYFUNCTION("""COMPUTED_VALUE"""),"#VALUE!")</f>
        <v>#VALUE!</v>
      </c>
      <c r="CW437" t="str">
        <f ca="1">IFERROR(__xludf.DUMMYFUNCTION("""COMPUTED_VALUE"""),"#VALUE!")</f>
        <v>#VALUE!</v>
      </c>
      <c r="CY437" t="str">
        <f ca="1">IFERROR(__xludf.DUMMYFUNCTION("""COMPUTED_VALUE"""),"#VALUE!")</f>
        <v>#VALUE!</v>
      </c>
      <c r="DC437" t="str">
        <f ca="1">IFERROR(__xludf.DUMMYFUNCTION("""COMPUTED_VALUE"""),"#VALUE!")</f>
        <v>#VALUE!</v>
      </c>
      <c r="DE437" t="str">
        <f ca="1">IFERROR(__xludf.DUMMYFUNCTION("""COMPUTED_VALUE"""),"#VALUE!")</f>
        <v>#VALUE!</v>
      </c>
    </row>
    <row r="438" spans="1:109" ht="13.2" x14ac:dyDescent="0.25">
      <c r="A438" t="str">
        <f ca="1">IFERROR(__xludf.DUMMYFUNCTION("""COMPUTED_VALUE"""),"P0447")</f>
        <v>P0447</v>
      </c>
      <c r="BC438" t="str">
        <f ca="1">IFERROR(__xludf.DUMMYFUNCTION("""COMPUTED_VALUE"""),"#VALUE!")</f>
        <v>#VALUE!</v>
      </c>
      <c r="BE438" t="str">
        <f ca="1">IFERROR(__xludf.DUMMYFUNCTION("""COMPUTED_VALUE"""),"#VALUE!")</f>
        <v>#VALUE!</v>
      </c>
      <c r="BG438" t="str">
        <f ca="1">IFERROR(__xludf.DUMMYFUNCTION("""COMPUTED_VALUE"""),"#VALUE!")</f>
        <v>#VALUE!</v>
      </c>
      <c r="BI438" t="str">
        <f ca="1">IFERROR(__xludf.DUMMYFUNCTION("""COMPUTED_VALUE"""),"#VALUE!")</f>
        <v>#VALUE!</v>
      </c>
      <c r="BK438" t="str">
        <f ca="1">IFERROR(__xludf.DUMMYFUNCTION("""COMPUTED_VALUE"""),"#VALUE!")</f>
        <v>#VALUE!</v>
      </c>
      <c r="BM438" t="str">
        <f ca="1">IFERROR(__xludf.DUMMYFUNCTION("""COMPUTED_VALUE"""),"#VALUE!")</f>
        <v>#VALUE!</v>
      </c>
      <c r="CS438" t="str">
        <f ca="1">IFERROR(__xludf.DUMMYFUNCTION("""COMPUTED_VALUE"""),"#VALUE!")</f>
        <v>#VALUE!</v>
      </c>
      <c r="CU438" t="str">
        <f ca="1">IFERROR(__xludf.DUMMYFUNCTION("""COMPUTED_VALUE"""),"#VALUE!")</f>
        <v>#VALUE!</v>
      </c>
      <c r="CW438" t="str">
        <f ca="1">IFERROR(__xludf.DUMMYFUNCTION("""COMPUTED_VALUE"""),"#VALUE!")</f>
        <v>#VALUE!</v>
      </c>
      <c r="CY438" t="str">
        <f ca="1">IFERROR(__xludf.DUMMYFUNCTION("""COMPUTED_VALUE"""),"#VALUE!")</f>
        <v>#VALUE!</v>
      </c>
      <c r="DC438" t="str">
        <f ca="1">IFERROR(__xludf.DUMMYFUNCTION("""COMPUTED_VALUE"""),"#VALUE!")</f>
        <v>#VALUE!</v>
      </c>
      <c r="DE438" t="str">
        <f ca="1">IFERROR(__xludf.DUMMYFUNCTION("""COMPUTED_VALUE"""),"#VALUE!")</f>
        <v>#VALUE!</v>
      </c>
    </row>
    <row r="439" spans="1:109" ht="13.2" x14ac:dyDescent="0.25">
      <c r="A439" t="str">
        <f ca="1">IFERROR(__xludf.DUMMYFUNCTION("""COMPUTED_VALUE"""),"P0448")</f>
        <v>P0448</v>
      </c>
      <c r="BC439" t="str">
        <f ca="1">IFERROR(__xludf.DUMMYFUNCTION("""COMPUTED_VALUE"""),"#VALUE!")</f>
        <v>#VALUE!</v>
      </c>
      <c r="BE439" t="str">
        <f ca="1">IFERROR(__xludf.DUMMYFUNCTION("""COMPUTED_VALUE"""),"#VALUE!")</f>
        <v>#VALUE!</v>
      </c>
      <c r="BG439" t="str">
        <f ca="1">IFERROR(__xludf.DUMMYFUNCTION("""COMPUTED_VALUE"""),"#VALUE!")</f>
        <v>#VALUE!</v>
      </c>
      <c r="BI439" t="str">
        <f ca="1">IFERROR(__xludf.DUMMYFUNCTION("""COMPUTED_VALUE"""),"#VALUE!")</f>
        <v>#VALUE!</v>
      </c>
      <c r="BK439" t="str">
        <f ca="1">IFERROR(__xludf.DUMMYFUNCTION("""COMPUTED_VALUE"""),"#VALUE!")</f>
        <v>#VALUE!</v>
      </c>
      <c r="BM439" t="str">
        <f ca="1">IFERROR(__xludf.DUMMYFUNCTION("""COMPUTED_VALUE"""),"#VALUE!")</f>
        <v>#VALUE!</v>
      </c>
      <c r="CS439" t="str">
        <f ca="1">IFERROR(__xludf.DUMMYFUNCTION("""COMPUTED_VALUE"""),"#VALUE!")</f>
        <v>#VALUE!</v>
      </c>
      <c r="CU439" t="str">
        <f ca="1">IFERROR(__xludf.DUMMYFUNCTION("""COMPUTED_VALUE"""),"#VALUE!")</f>
        <v>#VALUE!</v>
      </c>
      <c r="CW439" t="str">
        <f ca="1">IFERROR(__xludf.DUMMYFUNCTION("""COMPUTED_VALUE"""),"#VALUE!")</f>
        <v>#VALUE!</v>
      </c>
      <c r="CY439" t="str">
        <f ca="1">IFERROR(__xludf.DUMMYFUNCTION("""COMPUTED_VALUE"""),"#VALUE!")</f>
        <v>#VALUE!</v>
      </c>
      <c r="DC439" t="str">
        <f ca="1">IFERROR(__xludf.DUMMYFUNCTION("""COMPUTED_VALUE"""),"#VALUE!")</f>
        <v>#VALUE!</v>
      </c>
      <c r="DE439" t="str">
        <f ca="1">IFERROR(__xludf.DUMMYFUNCTION("""COMPUTED_VALUE"""),"#VALUE!")</f>
        <v>#VALUE!</v>
      </c>
    </row>
    <row r="440" spans="1:109" ht="13.2" x14ac:dyDescent="0.25">
      <c r="A440" t="str">
        <f ca="1">IFERROR(__xludf.DUMMYFUNCTION("""COMPUTED_VALUE"""),"P0449")</f>
        <v>P0449</v>
      </c>
      <c r="BC440" t="str">
        <f ca="1">IFERROR(__xludf.DUMMYFUNCTION("""COMPUTED_VALUE"""),"#VALUE!")</f>
        <v>#VALUE!</v>
      </c>
      <c r="BE440" t="str">
        <f ca="1">IFERROR(__xludf.DUMMYFUNCTION("""COMPUTED_VALUE"""),"#VALUE!")</f>
        <v>#VALUE!</v>
      </c>
      <c r="BG440" t="str">
        <f ca="1">IFERROR(__xludf.DUMMYFUNCTION("""COMPUTED_VALUE"""),"#VALUE!")</f>
        <v>#VALUE!</v>
      </c>
      <c r="BI440" t="str">
        <f ca="1">IFERROR(__xludf.DUMMYFUNCTION("""COMPUTED_VALUE"""),"#VALUE!")</f>
        <v>#VALUE!</v>
      </c>
      <c r="BK440" t="str">
        <f ca="1">IFERROR(__xludf.DUMMYFUNCTION("""COMPUTED_VALUE"""),"#VALUE!")</f>
        <v>#VALUE!</v>
      </c>
      <c r="BM440" t="str">
        <f ca="1">IFERROR(__xludf.DUMMYFUNCTION("""COMPUTED_VALUE"""),"#VALUE!")</f>
        <v>#VALUE!</v>
      </c>
      <c r="CS440" t="str">
        <f ca="1">IFERROR(__xludf.DUMMYFUNCTION("""COMPUTED_VALUE"""),"#VALUE!")</f>
        <v>#VALUE!</v>
      </c>
      <c r="CU440" t="str">
        <f ca="1">IFERROR(__xludf.DUMMYFUNCTION("""COMPUTED_VALUE"""),"#VALUE!")</f>
        <v>#VALUE!</v>
      </c>
      <c r="CW440" t="str">
        <f ca="1">IFERROR(__xludf.DUMMYFUNCTION("""COMPUTED_VALUE"""),"#VALUE!")</f>
        <v>#VALUE!</v>
      </c>
      <c r="CY440" t="str">
        <f ca="1">IFERROR(__xludf.DUMMYFUNCTION("""COMPUTED_VALUE"""),"#VALUE!")</f>
        <v>#VALUE!</v>
      </c>
      <c r="DC440" t="str">
        <f ca="1">IFERROR(__xludf.DUMMYFUNCTION("""COMPUTED_VALUE"""),"#VALUE!")</f>
        <v>#VALUE!</v>
      </c>
      <c r="DE440" t="str">
        <f ca="1">IFERROR(__xludf.DUMMYFUNCTION("""COMPUTED_VALUE"""),"#VALUE!")</f>
        <v>#VALUE!</v>
      </c>
    </row>
    <row r="441" spans="1:109" ht="13.2" x14ac:dyDescent="0.25">
      <c r="A441" t="str">
        <f ca="1">IFERROR(__xludf.DUMMYFUNCTION("""COMPUTED_VALUE"""),"P0450")</f>
        <v>P0450</v>
      </c>
      <c r="BC441" t="str">
        <f ca="1">IFERROR(__xludf.DUMMYFUNCTION("""COMPUTED_VALUE"""),"#VALUE!")</f>
        <v>#VALUE!</v>
      </c>
      <c r="BE441" t="str">
        <f ca="1">IFERROR(__xludf.DUMMYFUNCTION("""COMPUTED_VALUE"""),"#VALUE!")</f>
        <v>#VALUE!</v>
      </c>
      <c r="BG441" t="str">
        <f ca="1">IFERROR(__xludf.DUMMYFUNCTION("""COMPUTED_VALUE"""),"#VALUE!")</f>
        <v>#VALUE!</v>
      </c>
      <c r="BI441" t="str">
        <f ca="1">IFERROR(__xludf.DUMMYFUNCTION("""COMPUTED_VALUE"""),"#VALUE!")</f>
        <v>#VALUE!</v>
      </c>
      <c r="BK441" t="str">
        <f ca="1">IFERROR(__xludf.DUMMYFUNCTION("""COMPUTED_VALUE"""),"#VALUE!")</f>
        <v>#VALUE!</v>
      </c>
      <c r="BM441" t="str">
        <f ca="1">IFERROR(__xludf.DUMMYFUNCTION("""COMPUTED_VALUE"""),"#VALUE!")</f>
        <v>#VALUE!</v>
      </c>
      <c r="CS441" t="str">
        <f ca="1">IFERROR(__xludf.DUMMYFUNCTION("""COMPUTED_VALUE"""),"#VALUE!")</f>
        <v>#VALUE!</v>
      </c>
      <c r="CU441" t="str">
        <f ca="1">IFERROR(__xludf.DUMMYFUNCTION("""COMPUTED_VALUE"""),"#VALUE!")</f>
        <v>#VALUE!</v>
      </c>
      <c r="CW441" t="str">
        <f ca="1">IFERROR(__xludf.DUMMYFUNCTION("""COMPUTED_VALUE"""),"#VALUE!")</f>
        <v>#VALUE!</v>
      </c>
      <c r="CY441" t="str">
        <f ca="1">IFERROR(__xludf.DUMMYFUNCTION("""COMPUTED_VALUE"""),"#VALUE!")</f>
        <v>#VALUE!</v>
      </c>
      <c r="DC441" t="str">
        <f ca="1">IFERROR(__xludf.DUMMYFUNCTION("""COMPUTED_VALUE"""),"#VALUE!")</f>
        <v>#VALUE!</v>
      </c>
      <c r="DE441" t="str">
        <f ca="1">IFERROR(__xludf.DUMMYFUNCTION("""COMPUTED_VALUE"""),"#VALUE!")</f>
        <v>#VALUE!</v>
      </c>
    </row>
    <row r="442" spans="1:109" ht="13.2" x14ac:dyDescent="0.25">
      <c r="A442" t="str">
        <f ca="1">IFERROR(__xludf.DUMMYFUNCTION("""COMPUTED_VALUE"""),"P0451")</f>
        <v>P0451</v>
      </c>
      <c r="BC442" t="str">
        <f ca="1">IFERROR(__xludf.DUMMYFUNCTION("""COMPUTED_VALUE"""),"#VALUE!")</f>
        <v>#VALUE!</v>
      </c>
      <c r="BE442" t="str">
        <f ca="1">IFERROR(__xludf.DUMMYFUNCTION("""COMPUTED_VALUE"""),"#VALUE!")</f>
        <v>#VALUE!</v>
      </c>
      <c r="BG442" t="str">
        <f ca="1">IFERROR(__xludf.DUMMYFUNCTION("""COMPUTED_VALUE"""),"#VALUE!")</f>
        <v>#VALUE!</v>
      </c>
      <c r="BI442" t="str">
        <f ca="1">IFERROR(__xludf.DUMMYFUNCTION("""COMPUTED_VALUE"""),"#VALUE!")</f>
        <v>#VALUE!</v>
      </c>
      <c r="BK442" t="str">
        <f ca="1">IFERROR(__xludf.DUMMYFUNCTION("""COMPUTED_VALUE"""),"#VALUE!")</f>
        <v>#VALUE!</v>
      </c>
      <c r="BM442" t="str">
        <f ca="1">IFERROR(__xludf.DUMMYFUNCTION("""COMPUTED_VALUE"""),"#VALUE!")</f>
        <v>#VALUE!</v>
      </c>
      <c r="CS442" t="str">
        <f ca="1">IFERROR(__xludf.DUMMYFUNCTION("""COMPUTED_VALUE"""),"#VALUE!")</f>
        <v>#VALUE!</v>
      </c>
      <c r="CU442" t="str">
        <f ca="1">IFERROR(__xludf.DUMMYFUNCTION("""COMPUTED_VALUE"""),"#VALUE!")</f>
        <v>#VALUE!</v>
      </c>
      <c r="CW442" t="str">
        <f ca="1">IFERROR(__xludf.DUMMYFUNCTION("""COMPUTED_VALUE"""),"#VALUE!")</f>
        <v>#VALUE!</v>
      </c>
      <c r="CY442" t="str">
        <f ca="1">IFERROR(__xludf.DUMMYFUNCTION("""COMPUTED_VALUE"""),"#VALUE!")</f>
        <v>#VALUE!</v>
      </c>
      <c r="DC442" t="str">
        <f ca="1">IFERROR(__xludf.DUMMYFUNCTION("""COMPUTED_VALUE"""),"#VALUE!")</f>
        <v>#VALUE!</v>
      </c>
      <c r="DE442" t="str">
        <f ca="1">IFERROR(__xludf.DUMMYFUNCTION("""COMPUTED_VALUE"""),"#VALUE!")</f>
        <v>#VALUE!</v>
      </c>
    </row>
    <row r="443" spans="1:109" ht="13.2" x14ac:dyDescent="0.25">
      <c r="A443" t="str">
        <f ca="1">IFERROR(__xludf.DUMMYFUNCTION("""COMPUTED_VALUE"""),"P0452")</f>
        <v>P0452</v>
      </c>
      <c r="BC443" t="str">
        <f ca="1">IFERROR(__xludf.DUMMYFUNCTION("""COMPUTED_VALUE"""),"#VALUE!")</f>
        <v>#VALUE!</v>
      </c>
      <c r="BE443" t="str">
        <f ca="1">IFERROR(__xludf.DUMMYFUNCTION("""COMPUTED_VALUE"""),"#VALUE!")</f>
        <v>#VALUE!</v>
      </c>
      <c r="BG443" t="str">
        <f ca="1">IFERROR(__xludf.DUMMYFUNCTION("""COMPUTED_VALUE"""),"#VALUE!")</f>
        <v>#VALUE!</v>
      </c>
      <c r="BI443" t="str">
        <f ca="1">IFERROR(__xludf.DUMMYFUNCTION("""COMPUTED_VALUE"""),"#VALUE!")</f>
        <v>#VALUE!</v>
      </c>
      <c r="BK443" t="str">
        <f ca="1">IFERROR(__xludf.DUMMYFUNCTION("""COMPUTED_VALUE"""),"#VALUE!")</f>
        <v>#VALUE!</v>
      </c>
      <c r="BM443" t="str">
        <f ca="1">IFERROR(__xludf.DUMMYFUNCTION("""COMPUTED_VALUE"""),"#VALUE!")</f>
        <v>#VALUE!</v>
      </c>
      <c r="CS443" t="str">
        <f ca="1">IFERROR(__xludf.DUMMYFUNCTION("""COMPUTED_VALUE"""),"#VALUE!")</f>
        <v>#VALUE!</v>
      </c>
      <c r="CU443" t="str">
        <f ca="1">IFERROR(__xludf.DUMMYFUNCTION("""COMPUTED_VALUE"""),"#VALUE!")</f>
        <v>#VALUE!</v>
      </c>
      <c r="CW443" t="str">
        <f ca="1">IFERROR(__xludf.DUMMYFUNCTION("""COMPUTED_VALUE"""),"#VALUE!")</f>
        <v>#VALUE!</v>
      </c>
      <c r="CY443" t="str">
        <f ca="1">IFERROR(__xludf.DUMMYFUNCTION("""COMPUTED_VALUE"""),"#VALUE!")</f>
        <v>#VALUE!</v>
      </c>
      <c r="DC443" t="str">
        <f ca="1">IFERROR(__xludf.DUMMYFUNCTION("""COMPUTED_VALUE"""),"#VALUE!")</f>
        <v>#VALUE!</v>
      </c>
      <c r="DE443" t="str">
        <f ca="1">IFERROR(__xludf.DUMMYFUNCTION("""COMPUTED_VALUE"""),"#VALUE!")</f>
        <v>#VALUE!</v>
      </c>
    </row>
    <row r="444" spans="1:109" ht="13.2" x14ac:dyDescent="0.25">
      <c r="A444" t="str">
        <f ca="1">IFERROR(__xludf.DUMMYFUNCTION("""COMPUTED_VALUE"""),"P0453")</f>
        <v>P0453</v>
      </c>
      <c r="BC444" t="str">
        <f ca="1">IFERROR(__xludf.DUMMYFUNCTION("""COMPUTED_VALUE"""),"#VALUE!")</f>
        <v>#VALUE!</v>
      </c>
      <c r="BE444" t="str">
        <f ca="1">IFERROR(__xludf.DUMMYFUNCTION("""COMPUTED_VALUE"""),"#VALUE!")</f>
        <v>#VALUE!</v>
      </c>
      <c r="BG444" t="str">
        <f ca="1">IFERROR(__xludf.DUMMYFUNCTION("""COMPUTED_VALUE"""),"#VALUE!")</f>
        <v>#VALUE!</v>
      </c>
      <c r="BI444" t="str">
        <f ca="1">IFERROR(__xludf.DUMMYFUNCTION("""COMPUTED_VALUE"""),"#VALUE!")</f>
        <v>#VALUE!</v>
      </c>
      <c r="BK444" t="str">
        <f ca="1">IFERROR(__xludf.DUMMYFUNCTION("""COMPUTED_VALUE"""),"#VALUE!")</f>
        <v>#VALUE!</v>
      </c>
      <c r="BM444" t="str">
        <f ca="1">IFERROR(__xludf.DUMMYFUNCTION("""COMPUTED_VALUE"""),"#VALUE!")</f>
        <v>#VALUE!</v>
      </c>
      <c r="CS444" t="str">
        <f ca="1">IFERROR(__xludf.DUMMYFUNCTION("""COMPUTED_VALUE"""),"#VALUE!")</f>
        <v>#VALUE!</v>
      </c>
      <c r="CU444" t="str">
        <f ca="1">IFERROR(__xludf.DUMMYFUNCTION("""COMPUTED_VALUE"""),"#VALUE!")</f>
        <v>#VALUE!</v>
      </c>
      <c r="CW444" t="str">
        <f ca="1">IFERROR(__xludf.DUMMYFUNCTION("""COMPUTED_VALUE"""),"#VALUE!")</f>
        <v>#VALUE!</v>
      </c>
      <c r="CY444" t="str">
        <f ca="1">IFERROR(__xludf.DUMMYFUNCTION("""COMPUTED_VALUE"""),"#VALUE!")</f>
        <v>#VALUE!</v>
      </c>
      <c r="DC444" t="str">
        <f ca="1">IFERROR(__xludf.DUMMYFUNCTION("""COMPUTED_VALUE"""),"#VALUE!")</f>
        <v>#VALUE!</v>
      </c>
      <c r="DE444" t="str">
        <f ca="1">IFERROR(__xludf.DUMMYFUNCTION("""COMPUTED_VALUE"""),"#VALUE!")</f>
        <v>#VALUE!</v>
      </c>
    </row>
    <row r="445" spans="1:109" ht="13.2" x14ac:dyDescent="0.25">
      <c r="A445" t="str">
        <f ca="1">IFERROR(__xludf.DUMMYFUNCTION("""COMPUTED_VALUE"""),"P0454")</f>
        <v>P0454</v>
      </c>
      <c r="BC445" t="str">
        <f ca="1">IFERROR(__xludf.DUMMYFUNCTION("""COMPUTED_VALUE"""),"#VALUE!")</f>
        <v>#VALUE!</v>
      </c>
      <c r="BE445" t="str">
        <f ca="1">IFERROR(__xludf.DUMMYFUNCTION("""COMPUTED_VALUE"""),"#VALUE!")</f>
        <v>#VALUE!</v>
      </c>
      <c r="BG445" t="str">
        <f ca="1">IFERROR(__xludf.DUMMYFUNCTION("""COMPUTED_VALUE"""),"#VALUE!")</f>
        <v>#VALUE!</v>
      </c>
      <c r="BI445" t="str">
        <f ca="1">IFERROR(__xludf.DUMMYFUNCTION("""COMPUTED_VALUE"""),"#VALUE!")</f>
        <v>#VALUE!</v>
      </c>
      <c r="BK445" t="str">
        <f ca="1">IFERROR(__xludf.DUMMYFUNCTION("""COMPUTED_VALUE"""),"#VALUE!")</f>
        <v>#VALUE!</v>
      </c>
      <c r="BM445" t="str">
        <f ca="1">IFERROR(__xludf.DUMMYFUNCTION("""COMPUTED_VALUE"""),"#VALUE!")</f>
        <v>#VALUE!</v>
      </c>
      <c r="CS445" t="str">
        <f ca="1">IFERROR(__xludf.DUMMYFUNCTION("""COMPUTED_VALUE"""),"#VALUE!")</f>
        <v>#VALUE!</v>
      </c>
      <c r="CU445" t="str">
        <f ca="1">IFERROR(__xludf.DUMMYFUNCTION("""COMPUTED_VALUE"""),"#VALUE!")</f>
        <v>#VALUE!</v>
      </c>
      <c r="CW445" t="str">
        <f ca="1">IFERROR(__xludf.DUMMYFUNCTION("""COMPUTED_VALUE"""),"#VALUE!")</f>
        <v>#VALUE!</v>
      </c>
      <c r="CY445" t="str">
        <f ca="1">IFERROR(__xludf.DUMMYFUNCTION("""COMPUTED_VALUE"""),"#VALUE!")</f>
        <v>#VALUE!</v>
      </c>
      <c r="DC445" t="str">
        <f ca="1">IFERROR(__xludf.DUMMYFUNCTION("""COMPUTED_VALUE"""),"#VALUE!")</f>
        <v>#VALUE!</v>
      </c>
      <c r="DE445" t="str">
        <f ca="1">IFERROR(__xludf.DUMMYFUNCTION("""COMPUTED_VALUE"""),"#VALUE!")</f>
        <v>#VALUE!</v>
      </c>
    </row>
    <row r="446" spans="1:109" ht="13.2" x14ac:dyDescent="0.25">
      <c r="A446" t="str">
        <f ca="1">IFERROR(__xludf.DUMMYFUNCTION("""COMPUTED_VALUE"""),"P0455")</f>
        <v>P0455</v>
      </c>
      <c r="BC446" t="str">
        <f ca="1">IFERROR(__xludf.DUMMYFUNCTION("""COMPUTED_VALUE"""),"#VALUE!")</f>
        <v>#VALUE!</v>
      </c>
      <c r="BE446" t="str">
        <f ca="1">IFERROR(__xludf.DUMMYFUNCTION("""COMPUTED_VALUE"""),"#VALUE!")</f>
        <v>#VALUE!</v>
      </c>
      <c r="BG446" t="str">
        <f ca="1">IFERROR(__xludf.DUMMYFUNCTION("""COMPUTED_VALUE"""),"#VALUE!")</f>
        <v>#VALUE!</v>
      </c>
      <c r="BI446" t="str">
        <f ca="1">IFERROR(__xludf.DUMMYFUNCTION("""COMPUTED_VALUE"""),"#VALUE!")</f>
        <v>#VALUE!</v>
      </c>
      <c r="BK446" t="str">
        <f ca="1">IFERROR(__xludf.DUMMYFUNCTION("""COMPUTED_VALUE"""),"#VALUE!")</f>
        <v>#VALUE!</v>
      </c>
      <c r="BM446" t="str">
        <f ca="1">IFERROR(__xludf.DUMMYFUNCTION("""COMPUTED_VALUE"""),"#VALUE!")</f>
        <v>#VALUE!</v>
      </c>
      <c r="CS446" t="str">
        <f ca="1">IFERROR(__xludf.DUMMYFUNCTION("""COMPUTED_VALUE"""),"#VALUE!")</f>
        <v>#VALUE!</v>
      </c>
      <c r="CU446" t="str">
        <f ca="1">IFERROR(__xludf.DUMMYFUNCTION("""COMPUTED_VALUE"""),"#VALUE!")</f>
        <v>#VALUE!</v>
      </c>
      <c r="CW446" t="str">
        <f ca="1">IFERROR(__xludf.DUMMYFUNCTION("""COMPUTED_VALUE"""),"#VALUE!")</f>
        <v>#VALUE!</v>
      </c>
      <c r="CY446" t="str">
        <f ca="1">IFERROR(__xludf.DUMMYFUNCTION("""COMPUTED_VALUE"""),"#VALUE!")</f>
        <v>#VALUE!</v>
      </c>
      <c r="DC446" t="str">
        <f ca="1">IFERROR(__xludf.DUMMYFUNCTION("""COMPUTED_VALUE"""),"#VALUE!")</f>
        <v>#VALUE!</v>
      </c>
      <c r="DE446" t="str">
        <f ca="1">IFERROR(__xludf.DUMMYFUNCTION("""COMPUTED_VALUE"""),"#VALUE!")</f>
        <v>#VALUE!</v>
      </c>
    </row>
    <row r="447" spans="1:109" ht="13.2" x14ac:dyDescent="0.25">
      <c r="A447" t="str">
        <f ca="1">IFERROR(__xludf.DUMMYFUNCTION("""COMPUTED_VALUE"""),"P0456")</f>
        <v>P0456</v>
      </c>
      <c r="BC447" t="str">
        <f ca="1">IFERROR(__xludf.DUMMYFUNCTION("""COMPUTED_VALUE"""),"#VALUE!")</f>
        <v>#VALUE!</v>
      </c>
      <c r="BE447" t="str">
        <f ca="1">IFERROR(__xludf.DUMMYFUNCTION("""COMPUTED_VALUE"""),"#VALUE!")</f>
        <v>#VALUE!</v>
      </c>
      <c r="BG447" t="str">
        <f ca="1">IFERROR(__xludf.DUMMYFUNCTION("""COMPUTED_VALUE"""),"#VALUE!")</f>
        <v>#VALUE!</v>
      </c>
      <c r="BI447" t="str">
        <f ca="1">IFERROR(__xludf.DUMMYFUNCTION("""COMPUTED_VALUE"""),"#VALUE!")</f>
        <v>#VALUE!</v>
      </c>
      <c r="BK447" t="str">
        <f ca="1">IFERROR(__xludf.DUMMYFUNCTION("""COMPUTED_VALUE"""),"#VALUE!")</f>
        <v>#VALUE!</v>
      </c>
      <c r="BM447" t="str">
        <f ca="1">IFERROR(__xludf.DUMMYFUNCTION("""COMPUTED_VALUE"""),"#VALUE!")</f>
        <v>#VALUE!</v>
      </c>
      <c r="CS447" t="str">
        <f ca="1">IFERROR(__xludf.DUMMYFUNCTION("""COMPUTED_VALUE"""),"#VALUE!")</f>
        <v>#VALUE!</v>
      </c>
      <c r="CU447" t="str">
        <f ca="1">IFERROR(__xludf.DUMMYFUNCTION("""COMPUTED_VALUE"""),"#VALUE!")</f>
        <v>#VALUE!</v>
      </c>
      <c r="CW447" t="str">
        <f ca="1">IFERROR(__xludf.DUMMYFUNCTION("""COMPUTED_VALUE"""),"#VALUE!")</f>
        <v>#VALUE!</v>
      </c>
      <c r="CY447" t="str">
        <f ca="1">IFERROR(__xludf.DUMMYFUNCTION("""COMPUTED_VALUE"""),"#VALUE!")</f>
        <v>#VALUE!</v>
      </c>
      <c r="DC447" t="str">
        <f ca="1">IFERROR(__xludf.DUMMYFUNCTION("""COMPUTED_VALUE"""),"#VALUE!")</f>
        <v>#VALUE!</v>
      </c>
      <c r="DE447" t="str">
        <f ca="1">IFERROR(__xludf.DUMMYFUNCTION("""COMPUTED_VALUE"""),"#VALUE!")</f>
        <v>#VALUE!</v>
      </c>
    </row>
    <row r="448" spans="1:109" ht="13.2" x14ac:dyDescent="0.25">
      <c r="A448" t="str">
        <f ca="1">IFERROR(__xludf.DUMMYFUNCTION("""COMPUTED_VALUE"""),"P0457")</f>
        <v>P0457</v>
      </c>
      <c r="BC448" t="str">
        <f ca="1">IFERROR(__xludf.DUMMYFUNCTION("""COMPUTED_VALUE"""),"#VALUE!")</f>
        <v>#VALUE!</v>
      </c>
      <c r="BE448" t="str">
        <f ca="1">IFERROR(__xludf.DUMMYFUNCTION("""COMPUTED_VALUE"""),"#VALUE!")</f>
        <v>#VALUE!</v>
      </c>
      <c r="BG448" t="str">
        <f ca="1">IFERROR(__xludf.DUMMYFUNCTION("""COMPUTED_VALUE"""),"#VALUE!")</f>
        <v>#VALUE!</v>
      </c>
      <c r="BI448" t="str">
        <f ca="1">IFERROR(__xludf.DUMMYFUNCTION("""COMPUTED_VALUE"""),"#VALUE!")</f>
        <v>#VALUE!</v>
      </c>
      <c r="BK448" t="str">
        <f ca="1">IFERROR(__xludf.DUMMYFUNCTION("""COMPUTED_VALUE"""),"#VALUE!")</f>
        <v>#VALUE!</v>
      </c>
      <c r="BM448" t="str">
        <f ca="1">IFERROR(__xludf.DUMMYFUNCTION("""COMPUTED_VALUE"""),"#VALUE!")</f>
        <v>#VALUE!</v>
      </c>
      <c r="CS448" t="str">
        <f ca="1">IFERROR(__xludf.DUMMYFUNCTION("""COMPUTED_VALUE"""),"#VALUE!")</f>
        <v>#VALUE!</v>
      </c>
      <c r="CU448" t="str">
        <f ca="1">IFERROR(__xludf.DUMMYFUNCTION("""COMPUTED_VALUE"""),"#VALUE!")</f>
        <v>#VALUE!</v>
      </c>
      <c r="CW448" t="str">
        <f ca="1">IFERROR(__xludf.DUMMYFUNCTION("""COMPUTED_VALUE"""),"#VALUE!")</f>
        <v>#VALUE!</v>
      </c>
      <c r="CY448" t="str">
        <f ca="1">IFERROR(__xludf.DUMMYFUNCTION("""COMPUTED_VALUE"""),"#VALUE!")</f>
        <v>#VALUE!</v>
      </c>
      <c r="DC448" t="str">
        <f ca="1">IFERROR(__xludf.DUMMYFUNCTION("""COMPUTED_VALUE"""),"#VALUE!")</f>
        <v>#VALUE!</v>
      </c>
      <c r="DE448" t="str">
        <f ca="1">IFERROR(__xludf.DUMMYFUNCTION("""COMPUTED_VALUE"""),"#VALUE!")</f>
        <v>#VALUE!</v>
      </c>
    </row>
    <row r="449" spans="1:109" ht="13.2" x14ac:dyDescent="0.25">
      <c r="A449" t="str">
        <f ca="1">IFERROR(__xludf.DUMMYFUNCTION("""COMPUTED_VALUE"""),"P0458")</f>
        <v>P0458</v>
      </c>
      <c r="BC449" t="str">
        <f ca="1">IFERROR(__xludf.DUMMYFUNCTION("""COMPUTED_VALUE"""),"#VALUE!")</f>
        <v>#VALUE!</v>
      </c>
      <c r="BE449" t="str">
        <f ca="1">IFERROR(__xludf.DUMMYFUNCTION("""COMPUTED_VALUE"""),"#VALUE!")</f>
        <v>#VALUE!</v>
      </c>
      <c r="BG449" t="str">
        <f ca="1">IFERROR(__xludf.DUMMYFUNCTION("""COMPUTED_VALUE"""),"#VALUE!")</f>
        <v>#VALUE!</v>
      </c>
      <c r="BI449" t="str">
        <f ca="1">IFERROR(__xludf.DUMMYFUNCTION("""COMPUTED_VALUE"""),"#VALUE!")</f>
        <v>#VALUE!</v>
      </c>
      <c r="BK449" t="str">
        <f ca="1">IFERROR(__xludf.DUMMYFUNCTION("""COMPUTED_VALUE"""),"#VALUE!")</f>
        <v>#VALUE!</v>
      </c>
      <c r="BM449" t="str">
        <f ca="1">IFERROR(__xludf.DUMMYFUNCTION("""COMPUTED_VALUE"""),"#VALUE!")</f>
        <v>#VALUE!</v>
      </c>
      <c r="CS449" t="str">
        <f ca="1">IFERROR(__xludf.DUMMYFUNCTION("""COMPUTED_VALUE"""),"#VALUE!")</f>
        <v>#VALUE!</v>
      </c>
      <c r="CU449" t="str">
        <f ca="1">IFERROR(__xludf.DUMMYFUNCTION("""COMPUTED_VALUE"""),"#VALUE!")</f>
        <v>#VALUE!</v>
      </c>
      <c r="CW449" t="str">
        <f ca="1">IFERROR(__xludf.DUMMYFUNCTION("""COMPUTED_VALUE"""),"#VALUE!")</f>
        <v>#VALUE!</v>
      </c>
      <c r="CY449" t="str">
        <f ca="1">IFERROR(__xludf.DUMMYFUNCTION("""COMPUTED_VALUE"""),"#VALUE!")</f>
        <v>#VALUE!</v>
      </c>
      <c r="DC449" t="str">
        <f ca="1">IFERROR(__xludf.DUMMYFUNCTION("""COMPUTED_VALUE"""),"#VALUE!")</f>
        <v>#VALUE!</v>
      </c>
      <c r="DE449" t="str">
        <f ca="1">IFERROR(__xludf.DUMMYFUNCTION("""COMPUTED_VALUE"""),"#VALUE!")</f>
        <v>#VALUE!</v>
      </c>
    </row>
    <row r="450" spans="1:109" ht="13.2" x14ac:dyDescent="0.25">
      <c r="A450" t="str">
        <f ca="1">IFERROR(__xludf.DUMMYFUNCTION("""COMPUTED_VALUE"""),"P0459")</f>
        <v>P0459</v>
      </c>
      <c r="BC450" t="str">
        <f ca="1">IFERROR(__xludf.DUMMYFUNCTION("""COMPUTED_VALUE"""),"#VALUE!")</f>
        <v>#VALUE!</v>
      </c>
      <c r="BE450" t="str">
        <f ca="1">IFERROR(__xludf.DUMMYFUNCTION("""COMPUTED_VALUE"""),"#VALUE!")</f>
        <v>#VALUE!</v>
      </c>
      <c r="BG450" t="str">
        <f ca="1">IFERROR(__xludf.DUMMYFUNCTION("""COMPUTED_VALUE"""),"#VALUE!")</f>
        <v>#VALUE!</v>
      </c>
      <c r="BI450" t="str">
        <f ca="1">IFERROR(__xludf.DUMMYFUNCTION("""COMPUTED_VALUE"""),"#VALUE!")</f>
        <v>#VALUE!</v>
      </c>
      <c r="BK450" t="str">
        <f ca="1">IFERROR(__xludf.DUMMYFUNCTION("""COMPUTED_VALUE"""),"#VALUE!")</f>
        <v>#VALUE!</v>
      </c>
      <c r="BM450" t="str">
        <f ca="1">IFERROR(__xludf.DUMMYFUNCTION("""COMPUTED_VALUE"""),"#VALUE!")</f>
        <v>#VALUE!</v>
      </c>
      <c r="CS450" t="str">
        <f ca="1">IFERROR(__xludf.DUMMYFUNCTION("""COMPUTED_VALUE"""),"#VALUE!")</f>
        <v>#VALUE!</v>
      </c>
      <c r="CU450" t="str">
        <f ca="1">IFERROR(__xludf.DUMMYFUNCTION("""COMPUTED_VALUE"""),"#VALUE!")</f>
        <v>#VALUE!</v>
      </c>
      <c r="CW450" t="str">
        <f ca="1">IFERROR(__xludf.DUMMYFUNCTION("""COMPUTED_VALUE"""),"#VALUE!")</f>
        <v>#VALUE!</v>
      </c>
      <c r="CY450" t="str">
        <f ca="1">IFERROR(__xludf.DUMMYFUNCTION("""COMPUTED_VALUE"""),"#VALUE!")</f>
        <v>#VALUE!</v>
      </c>
      <c r="DC450" t="str">
        <f ca="1">IFERROR(__xludf.DUMMYFUNCTION("""COMPUTED_VALUE"""),"#VALUE!")</f>
        <v>#VALUE!</v>
      </c>
      <c r="DE450" t="str">
        <f ca="1">IFERROR(__xludf.DUMMYFUNCTION("""COMPUTED_VALUE"""),"#VALUE!")</f>
        <v>#VALUE!</v>
      </c>
    </row>
    <row r="451" spans="1:109" ht="13.2" x14ac:dyDescent="0.25">
      <c r="A451" t="str">
        <f ca="1">IFERROR(__xludf.DUMMYFUNCTION("""COMPUTED_VALUE"""),"P0460")</f>
        <v>P0460</v>
      </c>
      <c r="BC451" t="str">
        <f ca="1">IFERROR(__xludf.DUMMYFUNCTION("""COMPUTED_VALUE"""),"#VALUE!")</f>
        <v>#VALUE!</v>
      </c>
      <c r="BE451" t="str">
        <f ca="1">IFERROR(__xludf.DUMMYFUNCTION("""COMPUTED_VALUE"""),"#VALUE!")</f>
        <v>#VALUE!</v>
      </c>
      <c r="BG451" t="str">
        <f ca="1">IFERROR(__xludf.DUMMYFUNCTION("""COMPUTED_VALUE"""),"#VALUE!")</f>
        <v>#VALUE!</v>
      </c>
      <c r="BI451" t="str">
        <f ca="1">IFERROR(__xludf.DUMMYFUNCTION("""COMPUTED_VALUE"""),"#VALUE!")</f>
        <v>#VALUE!</v>
      </c>
      <c r="BK451" t="str">
        <f ca="1">IFERROR(__xludf.DUMMYFUNCTION("""COMPUTED_VALUE"""),"#VALUE!")</f>
        <v>#VALUE!</v>
      </c>
      <c r="BM451" t="str">
        <f ca="1">IFERROR(__xludf.DUMMYFUNCTION("""COMPUTED_VALUE"""),"#VALUE!")</f>
        <v>#VALUE!</v>
      </c>
      <c r="CS451" t="str">
        <f ca="1">IFERROR(__xludf.DUMMYFUNCTION("""COMPUTED_VALUE"""),"#VALUE!")</f>
        <v>#VALUE!</v>
      </c>
      <c r="CU451" t="str">
        <f ca="1">IFERROR(__xludf.DUMMYFUNCTION("""COMPUTED_VALUE"""),"#VALUE!")</f>
        <v>#VALUE!</v>
      </c>
      <c r="CW451" t="str">
        <f ca="1">IFERROR(__xludf.DUMMYFUNCTION("""COMPUTED_VALUE"""),"#VALUE!")</f>
        <v>#VALUE!</v>
      </c>
      <c r="CY451" t="str">
        <f ca="1">IFERROR(__xludf.DUMMYFUNCTION("""COMPUTED_VALUE"""),"#VALUE!")</f>
        <v>#VALUE!</v>
      </c>
      <c r="DC451" t="str">
        <f ca="1">IFERROR(__xludf.DUMMYFUNCTION("""COMPUTED_VALUE"""),"#VALUE!")</f>
        <v>#VALUE!</v>
      </c>
      <c r="DE451" t="str">
        <f ca="1">IFERROR(__xludf.DUMMYFUNCTION("""COMPUTED_VALUE"""),"#VALUE!")</f>
        <v>#VALUE!</v>
      </c>
    </row>
    <row r="452" spans="1:109" ht="13.2" x14ac:dyDescent="0.25">
      <c r="A452" t="str">
        <f ca="1">IFERROR(__xludf.DUMMYFUNCTION("""COMPUTED_VALUE"""),"P0461")</f>
        <v>P0461</v>
      </c>
      <c r="BC452" t="str">
        <f ca="1">IFERROR(__xludf.DUMMYFUNCTION("""COMPUTED_VALUE"""),"#VALUE!")</f>
        <v>#VALUE!</v>
      </c>
      <c r="BE452" t="str">
        <f ca="1">IFERROR(__xludf.DUMMYFUNCTION("""COMPUTED_VALUE"""),"#VALUE!")</f>
        <v>#VALUE!</v>
      </c>
      <c r="BG452" t="str">
        <f ca="1">IFERROR(__xludf.DUMMYFUNCTION("""COMPUTED_VALUE"""),"#VALUE!")</f>
        <v>#VALUE!</v>
      </c>
      <c r="BI452" t="str">
        <f ca="1">IFERROR(__xludf.DUMMYFUNCTION("""COMPUTED_VALUE"""),"#VALUE!")</f>
        <v>#VALUE!</v>
      </c>
      <c r="BK452" t="str">
        <f ca="1">IFERROR(__xludf.DUMMYFUNCTION("""COMPUTED_VALUE"""),"#VALUE!")</f>
        <v>#VALUE!</v>
      </c>
      <c r="BM452" t="str">
        <f ca="1">IFERROR(__xludf.DUMMYFUNCTION("""COMPUTED_VALUE"""),"#VALUE!")</f>
        <v>#VALUE!</v>
      </c>
      <c r="CS452" t="str">
        <f ca="1">IFERROR(__xludf.DUMMYFUNCTION("""COMPUTED_VALUE"""),"#VALUE!")</f>
        <v>#VALUE!</v>
      </c>
      <c r="CU452" t="str">
        <f ca="1">IFERROR(__xludf.DUMMYFUNCTION("""COMPUTED_VALUE"""),"#VALUE!")</f>
        <v>#VALUE!</v>
      </c>
      <c r="CW452" t="str">
        <f ca="1">IFERROR(__xludf.DUMMYFUNCTION("""COMPUTED_VALUE"""),"#VALUE!")</f>
        <v>#VALUE!</v>
      </c>
      <c r="CY452" t="str">
        <f ca="1">IFERROR(__xludf.DUMMYFUNCTION("""COMPUTED_VALUE"""),"#VALUE!")</f>
        <v>#VALUE!</v>
      </c>
      <c r="DC452" t="str">
        <f ca="1">IFERROR(__xludf.DUMMYFUNCTION("""COMPUTED_VALUE"""),"#VALUE!")</f>
        <v>#VALUE!</v>
      </c>
      <c r="DE452" t="str">
        <f ca="1">IFERROR(__xludf.DUMMYFUNCTION("""COMPUTED_VALUE"""),"#VALUE!")</f>
        <v>#VALUE!</v>
      </c>
    </row>
    <row r="453" spans="1:109" ht="13.2" x14ac:dyDescent="0.25">
      <c r="A453" t="str">
        <f ca="1">IFERROR(__xludf.DUMMYFUNCTION("""COMPUTED_VALUE"""),"P0462")</f>
        <v>P0462</v>
      </c>
      <c r="BC453" t="str">
        <f ca="1">IFERROR(__xludf.DUMMYFUNCTION("""COMPUTED_VALUE"""),"#VALUE!")</f>
        <v>#VALUE!</v>
      </c>
      <c r="BE453" t="str">
        <f ca="1">IFERROR(__xludf.DUMMYFUNCTION("""COMPUTED_VALUE"""),"#VALUE!")</f>
        <v>#VALUE!</v>
      </c>
      <c r="BG453" t="str">
        <f ca="1">IFERROR(__xludf.DUMMYFUNCTION("""COMPUTED_VALUE"""),"#VALUE!")</f>
        <v>#VALUE!</v>
      </c>
      <c r="BI453" t="str">
        <f ca="1">IFERROR(__xludf.DUMMYFUNCTION("""COMPUTED_VALUE"""),"#VALUE!")</f>
        <v>#VALUE!</v>
      </c>
      <c r="BK453" t="str">
        <f ca="1">IFERROR(__xludf.DUMMYFUNCTION("""COMPUTED_VALUE"""),"#VALUE!")</f>
        <v>#VALUE!</v>
      </c>
      <c r="BM453" t="str">
        <f ca="1">IFERROR(__xludf.DUMMYFUNCTION("""COMPUTED_VALUE"""),"#VALUE!")</f>
        <v>#VALUE!</v>
      </c>
      <c r="CS453" t="str">
        <f ca="1">IFERROR(__xludf.DUMMYFUNCTION("""COMPUTED_VALUE"""),"#VALUE!")</f>
        <v>#VALUE!</v>
      </c>
      <c r="CU453" t="str">
        <f ca="1">IFERROR(__xludf.DUMMYFUNCTION("""COMPUTED_VALUE"""),"#VALUE!")</f>
        <v>#VALUE!</v>
      </c>
      <c r="CW453" t="str">
        <f ca="1">IFERROR(__xludf.DUMMYFUNCTION("""COMPUTED_VALUE"""),"#VALUE!")</f>
        <v>#VALUE!</v>
      </c>
      <c r="CY453" t="str">
        <f ca="1">IFERROR(__xludf.DUMMYFUNCTION("""COMPUTED_VALUE"""),"#VALUE!")</f>
        <v>#VALUE!</v>
      </c>
      <c r="DC453" t="str">
        <f ca="1">IFERROR(__xludf.DUMMYFUNCTION("""COMPUTED_VALUE"""),"#VALUE!")</f>
        <v>#VALUE!</v>
      </c>
      <c r="DE453" t="str">
        <f ca="1">IFERROR(__xludf.DUMMYFUNCTION("""COMPUTED_VALUE"""),"#VALUE!")</f>
        <v>#VALUE!</v>
      </c>
    </row>
    <row r="454" spans="1:109" ht="13.2" x14ac:dyDescent="0.25">
      <c r="A454" t="str">
        <f ca="1">IFERROR(__xludf.DUMMYFUNCTION("""COMPUTED_VALUE"""),"P0463")</f>
        <v>P0463</v>
      </c>
      <c r="BC454" t="str">
        <f ca="1">IFERROR(__xludf.DUMMYFUNCTION("""COMPUTED_VALUE"""),"#VALUE!")</f>
        <v>#VALUE!</v>
      </c>
      <c r="BE454" t="str">
        <f ca="1">IFERROR(__xludf.DUMMYFUNCTION("""COMPUTED_VALUE"""),"#VALUE!")</f>
        <v>#VALUE!</v>
      </c>
      <c r="BG454" t="str">
        <f ca="1">IFERROR(__xludf.DUMMYFUNCTION("""COMPUTED_VALUE"""),"#VALUE!")</f>
        <v>#VALUE!</v>
      </c>
      <c r="BI454" t="str">
        <f ca="1">IFERROR(__xludf.DUMMYFUNCTION("""COMPUTED_VALUE"""),"#VALUE!")</f>
        <v>#VALUE!</v>
      </c>
      <c r="BK454" t="str">
        <f ca="1">IFERROR(__xludf.DUMMYFUNCTION("""COMPUTED_VALUE"""),"#VALUE!")</f>
        <v>#VALUE!</v>
      </c>
      <c r="BM454" t="str">
        <f ca="1">IFERROR(__xludf.DUMMYFUNCTION("""COMPUTED_VALUE"""),"#VALUE!")</f>
        <v>#VALUE!</v>
      </c>
      <c r="CS454" t="str">
        <f ca="1">IFERROR(__xludf.DUMMYFUNCTION("""COMPUTED_VALUE"""),"#VALUE!")</f>
        <v>#VALUE!</v>
      </c>
      <c r="CU454" t="str">
        <f ca="1">IFERROR(__xludf.DUMMYFUNCTION("""COMPUTED_VALUE"""),"#VALUE!")</f>
        <v>#VALUE!</v>
      </c>
      <c r="CW454" t="str">
        <f ca="1">IFERROR(__xludf.DUMMYFUNCTION("""COMPUTED_VALUE"""),"#VALUE!")</f>
        <v>#VALUE!</v>
      </c>
      <c r="CY454" t="str">
        <f ca="1">IFERROR(__xludf.DUMMYFUNCTION("""COMPUTED_VALUE"""),"#VALUE!")</f>
        <v>#VALUE!</v>
      </c>
      <c r="DC454" t="str">
        <f ca="1">IFERROR(__xludf.DUMMYFUNCTION("""COMPUTED_VALUE"""),"#VALUE!")</f>
        <v>#VALUE!</v>
      </c>
      <c r="DE454" t="str">
        <f ca="1">IFERROR(__xludf.DUMMYFUNCTION("""COMPUTED_VALUE"""),"#VALUE!")</f>
        <v>#VALUE!</v>
      </c>
    </row>
    <row r="455" spans="1:109" ht="13.2" x14ac:dyDescent="0.25">
      <c r="A455" t="str">
        <f ca="1">IFERROR(__xludf.DUMMYFUNCTION("""COMPUTED_VALUE"""),"P0464")</f>
        <v>P0464</v>
      </c>
      <c r="BC455" t="str">
        <f ca="1">IFERROR(__xludf.DUMMYFUNCTION("""COMPUTED_VALUE"""),"#VALUE!")</f>
        <v>#VALUE!</v>
      </c>
      <c r="BE455" t="str">
        <f ca="1">IFERROR(__xludf.DUMMYFUNCTION("""COMPUTED_VALUE"""),"#VALUE!")</f>
        <v>#VALUE!</v>
      </c>
      <c r="BG455" t="str">
        <f ca="1">IFERROR(__xludf.DUMMYFUNCTION("""COMPUTED_VALUE"""),"#VALUE!")</f>
        <v>#VALUE!</v>
      </c>
      <c r="BI455" t="str">
        <f ca="1">IFERROR(__xludf.DUMMYFUNCTION("""COMPUTED_VALUE"""),"#VALUE!")</f>
        <v>#VALUE!</v>
      </c>
      <c r="BK455" t="str">
        <f ca="1">IFERROR(__xludf.DUMMYFUNCTION("""COMPUTED_VALUE"""),"#VALUE!")</f>
        <v>#VALUE!</v>
      </c>
      <c r="BM455" t="str">
        <f ca="1">IFERROR(__xludf.DUMMYFUNCTION("""COMPUTED_VALUE"""),"#VALUE!")</f>
        <v>#VALUE!</v>
      </c>
      <c r="CS455" t="str">
        <f ca="1">IFERROR(__xludf.DUMMYFUNCTION("""COMPUTED_VALUE"""),"#VALUE!")</f>
        <v>#VALUE!</v>
      </c>
      <c r="CU455" t="str">
        <f ca="1">IFERROR(__xludf.DUMMYFUNCTION("""COMPUTED_VALUE"""),"#VALUE!")</f>
        <v>#VALUE!</v>
      </c>
      <c r="CW455" t="str">
        <f ca="1">IFERROR(__xludf.DUMMYFUNCTION("""COMPUTED_VALUE"""),"#VALUE!")</f>
        <v>#VALUE!</v>
      </c>
      <c r="CY455" t="str">
        <f ca="1">IFERROR(__xludf.DUMMYFUNCTION("""COMPUTED_VALUE"""),"#VALUE!")</f>
        <v>#VALUE!</v>
      </c>
      <c r="DC455" t="str">
        <f ca="1">IFERROR(__xludf.DUMMYFUNCTION("""COMPUTED_VALUE"""),"#VALUE!")</f>
        <v>#VALUE!</v>
      </c>
      <c r="DE455" t="str">
        <f ca="1">IFERROR(__xludf.DUMMYFUNCTION("""COMPUTED_VALUE"""),"#VALUE!")</f>
        <v>#VALUE!</v>
      </c>
    </row>
    <row r="456" spans="1:109" ht="13.2" x14ac:dyDescent="0.25">
      <c r="A456" t="str">
        <f ca="1">IFERROR(__xludf.DUMMYFUNCTION("""COMPUTED_VALUE"""),"P0465")</f>
        <v>P0465</v>
      </c>
      <c r="BC456" t="str">
        <f ca="1">IFERROR(__xludf.DUMMYFUNCTION("""COMPUTED_VALUE"""),"#VALUE!")</f>
        <v>#VALUE!</v>
      </c>
      <c r="BE456" t="str">
        <f ca="1">IFERROR(__xludf.DUMMYFUNCTION("""COMPUTED_VALUE"""),"#VALUE!")</f>
        <v>#VALUE!</v>
      </c>
      <c r="BG456" t="str">
        <f ca="1">IFERROR(__xludf.DUMMYFUNCTION("""COMPUTED_VALUE"""),"#VALUE!")</f>
        <v>#VALUE!</v>
      </c>
      <c r="BI456" t="str">
        <f ca="1">IFERROR(__xludf.DUMMYFUNCTION("""COMPUTED_VALUE"""),"#VALUE!")</f>
        <v>#VALUE!</v>
      </c>
      <c r="BK456" t="str">
        <f ca="1">IFERROR(__xludf.DUMMYFUNCTION("""COMPUTED_VALUE"""),"#VALUE!")</f>
        <v>#VALUE!</v>
      </c>
      <c r="BM456" t="str">
        <f ca="1">IFERROR(__xludf.DUMMYFUNCTION("""COMPUTED_VALUE"""),"#VALUE!")</f>
        <v>#VALUE!</v>
      </c>
      <c r="CS456" t="str">
        <f ca="1">IFERROR(__xludf.DUMMYFUNCTION("""COMPUTED_VALUE"""),"#VALUE!")</f>
        <v>#VALUE!</v>
      </c>
      <c r="CU456" t="str">
        <f ca="1">IFERROR(__xludf.DUMMYFUNCTION("""COMPUTED_VALUE"""),"#VALUE!")</f>
        <v>#VALUE!</v>
      </c>
      <c r="CW456" t="str">
        <f ca="1">IFERROR(__xludf.DUMMYFUNCTION("""COMPUTED_VALUE"""),"#VALUE!")</f>
        <v>#VALUE!</v>
      </c>
      <c r="CY456" t="str">
        <f ca="1">IFERROR(__xludf.DUMMYFUNCTION("""COMPUTED_VALUE"""),"#VALUE!")</f>
        <v>#VALUE!</v>
      </c>
      <c r="DC456" t="str">
        <f ca="1">IFERROR(__xludf.DUMMYFUNCTION("""COMPUTED_VALUE"""),"#VALUE!")</f>
        <v>#VALUE!</v>
      </c>
      <c r="DE456" t="str">
        <f ca="1">IFERROR(__xludf.DUMMYFUNCTION("""COMPUTED_VALUE"""),"#VALUE!")</f>
        <v>#VALUE!</v>
      </c>
    </row>
    <row r="457" spans="1:109" ht="13.2" x14ac:dyDescent="0.25">
      <c r="A457" t="str">
        <f ca="1">IFERROR(__xludf.DUMMYFUNCTION("""COMPUTED_VALUE"""),"P0466")</f>
        <v>P0466</v>
      </c>
      <c r="BC457" t="str">
        <f ca="1">IFERROR(__xludf.DUMMYFUNCTION("""COMPUTED_VALUE"""),"#VALUE!")</f>
        <v>#VALUE!</v>
      </c>
      <c r="BE457" t="str">
        <f ca="1">IFERROR(__xludf.DUMMYFUNCTION("""COMPUTED_VALUE"""),"#VALUE!")</f>
        <v>#VALUE!</v>
      </c>
      <c r="BG457" t="str">
        <f ca="1">IFERROR(__xludf.DUMMYFUNCTION("""COMPUTED_VALUE"""),"#VALUE!")</f>
        <v>#VALUE!</v>
      </c>
      <c r="BI457" t="str">
        <f ca="1">IFERROR(__xludf.DUMMYFUNCTION("""COMPUTED_VALUE"""),"#VALUE!")</f>
        <v>#VALUE!</v>
      </c>
      <c r="BK457" t="str">
        <f ca="1">IFERROR(__xludf.DUMMYFUNCTION("""COMPUTED_VALUE"""),"#VALUE!")</f>
        <v>#VALUE!</v>
      </c>
      <c r="BM457" t="str">
        <f ca="1">IFERROR(__xludf.DUMMYFUNCTION("""COMPUTED_VALUE"""),"#VALUE!")</f>
        <v>#VALUE!</v>
      </c>
      <c r="CS457" t="str">
        <f ca="1">IFERROR(__xludf.DUMMYFUNCTION("""COMPUTED_VALUE"""),"#VALUE!")</f>
        <v>#VALUE!</v>
      </c>
      <c r="CU457" t="str">
        <f ca="1">IFERROR(__xludf.DUMMYFUNCTION("""COMPUTED_VALUE"""),"#VALUE!")</f>
        <v>#VALUE!</v>
      </c>
      <c r="CW457" t="str">
        <f ca="1">IFERROR(__xludf.DUMMYFUNCTION("""COMPUTED_VALUE"""),"#VALUE!")</f>
        <v>#VALUE!</v>
      </c>
      <c r="CY457" t="str">
        <f ca="1">IFERROR(__xludf.DUMMYFUNCTION("""COMPUTED_VALUE"""),"#VALUE!")</f>
        <v>#VALUE!</v>
      </c>
      <c r="DC457" t="str">
        <f ca="1">IFERROR(__xludf.DUMMYFUNCTION("""COMPUTED_VALUE"""),"#VALUE!")</f>
        <v>#VALUE!</v>
      </c>
      <c r="DE457" t="str">
        <f ca="1">IFERROR(__xludf.DUMMYFUNCTION("""COMPUTED_VALUE"""),"#VALUE!")</f>
        <v>#VALUE!</v>
      </c>
    </row>
    <row r="458" spans="1:109" ht="13.2" x14ac:dyDescent="0.25">
      <c r="A458" t="str">
        <f ca="1">IFERROR(__xludf.DUMMYFUNCTION("""COMPUTED_VALUE"""),"P0467")</f>
        <v>P0467</v>
      </c>
      <c r="BC458" t="str">
        <f ca="1">IFERROR(__xludf.DUMMYFUNCTION("""COMPUTED_VALUE"""),"#VALUE!")</f>
        <v>#VALUE!</v>
      </c>
      <c r="BE458" t="str">
        <f ca="1">IFERROR(__xludf.DUMMYFUNCTION("""COMPUTED_VALUE"""),"#VALUE!")</f>
        <v>#VALUE!</v>
      </c>
      <c r="BG458" t="str">
        <f ca="1">IFERROR(__xludf.DUMMYFUNCTION("""COMPUTED_VALUE"""),"#VALUE!")</f>
        <v>#VALUE!</v>
      </c>
      <c r="BI458" t="str">
        <f ca="1">IFERROR(__xludf.DUMMYFUNCTION("""COMPUTED_VALUE"""),"#VALUE!")</f>
        <v>#VALUE!</v>
      </c>
      <c r="BK458" t="str">
        <f ca="1">IFERROR(__xludf.DUMMYFUNCTION("""COMPUTED_VALUE"""),"#VALUE!")</f>
        <v>#VALUE!</v>
      </c>
      <c r="BM458" t="str">
        <f ca="1">IFERROR(__xludf.DUMMYFUNCTION("""COMPUTED_VALUE"""),"#VALUE!")</f>
        <v>#VALUE!</v>
      </c>
      <c r="CS458" t="str">
        <f ca="1">IFERROR(__xludf.DUMMYFUNCTION("""COMPUTED_VALUE"""),"#VALUE!")</f>
        <v>#VALUE!</v>
      </c>
      <c r="CU458" t="str">
        <f ca="1">IFERROR(__xludf.DUMMYFUNCTION("""COMPUTED_VALUE"""),"#VALUE!")</f>
        <v>#VALUE!</v>
      </c>
      <c r="CW458" t="str">
        <f ca="1">IFERROR(__xludf.DUMMYFUNCTION("""COMPUTED_VALUE"""),"#VALUE!")</f>
        <v>#VALUE!</v>
      </c>
      <c r="CY458" t="str">
        <f ca="1">IFERROR(__xludf.DUMMYFUNCTION("""COMPUTED_VALUE"""),"#VALUE!")</f>
        <v>#VALUE!</v>
      </c>
      <c r="DC458" t="str">
        <f ca="1">IFERROR(__xludf.DUMMYFUNCTION("""COMPUTED_VALUE"""),"#VALUE!")</f>
        <v>#VALUE!</v>
      </c>
      <c r="DE458" t="str">
        <f ca="1">IFERROR(__xludf.DUMMYFUNCTION("""COMPUTED_VALUE"""),"#VALUE!")</f>
        <v>#VALUE!</v>
      </c>
    </row>
    <row r="459" spans="1:109" ht="13.2" x14ac:dyDescent="0.25">
      <c r="A459" t="str">
        <f ca="1">IFERROR(__xludf.DUMMYFUNCTION("""COMPUTED_VALUE"""),"P0468")</f>
        <v>P0468</v>
      </c>
      <c r="BC459" t="str">
        <f ca="1">IFERROR(__xludf.DUMMYFUNCTION("""COMPUTED_VALUE"""),"#VALUE!")</f>
        <v>#VALUE!</v>
      </c>
      <c r="BE459" t="str">
        <f ca="1">IFERROR(__xludf.DUMMYFUNCTION("""COMPUTED_VALUE"""),"#VALUE!")</f>
        <v>#VALUE!</v>
      </c>
      <c r="BG459" t="str">
        <f ca="1">IFERROR(__xludf.DUMMYFUNCTION("""COMPUTED_VALUE"""),"#VALUE!")</f>
        <v>#VALUE!</v>
      </c>
      <c r="BI459" t="str">
        <f ca="1">IFERROR(__xludf.DUMMYFUNCTION("""COMPUTED_VALUE"""),"#VALUE!")</f>
        <v>#VALUE!</v>
      </c>
      <c r="BK459" t="str">
        <f ca="1">IFERROR(__xludf.DUMMYFUNCTION("""COMPUTED_VALUE"""),"#VALUE!")</f>
        <v>#VALUE!</v>
      </c>
      <c r="BM459" t="str">
        <f ca="1">IFERROR(__xludf.DUMMYFUNCTION("""COMPUTED_VALUE"""),"#VALUE!")</f>
        <v>#VALUE!</v>
      </c>
      <c r="CS459" t="str">
        <f ca="1">IFERROR(__xludf.DUMMYFUNCTION("""COMPUTED_VALUE"""),"#VALUE!")</f>
        <v>#VALUE!</v>
      </c>
      <c r="CU459" t="str">
        <f ca="1">IFERROR(__xludf.DUMMYFUNCTION("""COMPUTED_VALUE"""),"#VALUE!")</f>
        <v>#VALUE!</v>
      </c>
      <c r="CW459" t="str">
        <f ca="1">IFERROR(__xludf.DUMMYFUNCTION("""COMPUTED_VALUE"""),"#VALUE!")</f>
        <v>#VALUE!</v>
      </c>
      <c r="CY459" t="str">
        <f ca="1">IFERROR(__xludf.DUMMYFUNCTION("""COMPUTED_VALUE"""),"#VALUE!")</f>
        <v>#VALUE!</v>
      </c>
      <c r="DC459" t="str">
        <f ca="1">IFERROR(__xludf.DUMMYFUNCTION("""COMPUTED_VALUE"""),"#VALUE!")</f>
        <v>#VALUE!</v>
      </c>
      <c r="DE459" t="str">
        <f ca="1">IFERROR(__xludf.DUMMYFUNCTION("""COMPUTED_VALUE"""),"#VALUE!")</f>
        <v>#VALUE!</v>
      </c>
    </row>
    <row r="460" spans="1:109" ht="13.2" x14ac:dyDescent="0.25">
      <c r="A460" t="str">
        <f ca="1">IFERROR(__xludf.DUMMYFUNCTION("""COMPUTED_VALUE"""),"P0469")</f>
        <v>P0469</v>
      </c>
      <c r="BC460" t="str">
        <f ca="1">IFERROR(__xludf.DUMMYFUNCTION("""COMPUTED_VALUE"""),"#VALUE!")</f>
        <v>#VALUE!</v>
      </c>
      <c r="BE460" t="str">
        <f ca="1">IFERROR(__xludf.DUMMYFUNCTION("""COMPUTED_VALUE"""),"#VALUE!")</f>
        <v>#VALUE!</v>
      </c>
      <c r="BG460" t="str">
        <f ca="1">IFERROR(__xludf.DUMMYFUNCTION("""COMPUTED_VALUE"""),"#VALUE!")</f>
        <v>#VALUE!</v>
      </c>
      <c r="BI460" t="str">
        <f ca="1">IFERROR(__xludf.DUMMYFUNCTION("""COMPUTED_VALUE"""),"#VALUE!")</f>
        <v>#VALUE!</v>
      </c>
      <c r="BK460" t="str">
        <f ca="1">IFERROR(__xludf.DUMMYFUNCTION("""COMPUTED_VALUE"""),"#VALUE!")</f>
        <v>#VALUE!</v>
      </c>
      <c r="BM460" t="str">
        <f ca="1">IFERROR(__xludf.DUMMYFUNCTION("""COMPUTED_VALUE"""),"#VALUE!")</f>
        <v>#VALUE!</v>
      </c>
      <c r="CS460" t="str">
        <f ca="1">IFERROR(__xludf.DUMMYFUNCTION("""COMPUTED_VALUE"""),"#VALUE!")</f>
        <v>#VALUE!</v>
      </c>
      <c r="CU460" t="str">
        <f ca="1">IFERROR(__xludf.DUMMYFUNCTION("""COMPUTED_VALUE"""),"#VALUE!")</f>
        <v>#VALUE!</v>
      </c>
      <c r="CW460" t="str">
        <f ca="1">IFERROR(__xludf.DUMMYFUNCTION("""COMPUTED_VALUE"""),"#VALUE!")</f>
        <v>#VALUE!</v>
      </c>
      <c r="CY460" t="str">
        <f ca="1">IFERROR(__xludf.DUMMYFUNCTION("""COMPUTED_VALUE"""),"#VALUE!")</f>
        <v>#VALUE!</v>
      </c>
      <c r="DC460" t="str">
        <f ca="1">IFERROR(__xludf.DUMMYFUNCTION("""COMPUTED_VALUE"""),"#VALUE!")</f>
        <v>#VALUE!</v>
      </c>
      <c r="DE460" t="str">
        <f ca="1">IFERROR(__xludf.DUMMYFUNCTION("""COMPUTED_VALUE"""),"#VALUE!")</f>
        <v>#VALUE!</v>
      </c>
    </row>
    <row r="461" spans="1:109" ht="13.2" x14ac:dyDescent="0.25">
      <c r="A461" t="str">
        <f ca="1">IFERROR(__xludf.DUMMYFUNCTION("""COMPUTED_VALUE"""),"P0470")</f>
        <v>P0470</v>
      </c>
      <c r="BC461" t="str">
        <f ca="1">IFERROR(__xludf.DUMMYFUNCTION("""COMPUTED_VALUE"""),"#VALUE!")</f>
        <v>#VALUE!</v>
      </c>
      <c r="BE461" t="str">
        <f ca="1">IFERROR(__xludf.DUMMYFUNCTION("""COMPUTED_VALUE"""),"#VALUE!")</f>
        <v>#VALUE!</v>
      </c>
      <c r="BG461" t="str">
        <f ca="1">IFERROR(__xludf.DUMMYFUNCTION("""COMPUTED_VALUE"""),"#VALUE!")</f>
        <v>#VALUE!</v>
      </c>
      <c r="BI461" t="str">
        <f ca="1">IFERROR(__xludf.DUMMYFUNCTION("""COMPUTED_VALUE"""),"#VALUE!")</f>
        <v>#VALUE!</v>
      </c>
      <c r="BK461" t="str">
        <f ca="1">IFERROR(__xludf.DUMMYFUNCTION("""COMPUTED_VALUE"""),"#VALUE!")</f>
        <v>#VALUE!</v>
      </c>
      <c r="BM461" t="str">
        <f ca="1">IFERROR(__xludf.DUMMYFUNCTION("""COMPUTED_VALUE"""),"#VALUE!")</f>
        <v>#VALUE!</v>
      </c>
      <c r="CS461" t="str">
        <f ca="1">IFERROR(__xludf.DUMMYFUNCTION("""COMPUTED_VALUE"""),"#VALUE!")</f>
        <v>#VALUE!</v>
      </c>
      <c r="CU461" t="str">
        <f ca="1">IFERROR(__xludf.DUMMYFUNCTION("""COMPUTED_VALUE"""),"#VALUE!")</f>
        <v>#VALUE!</v>
      </c>
      <c r="CW461" t="str">
        <f ca="1">IFERROR(__xludf.DUMMYFUNCTION("""COMPUTED_VALUE"""),"#VALUE!")</f>
        <v>#VALUE!</v>
      </c>
      <c r="CY461" t="str">
        <f ca="1">IFERROR(__xludf.DUMMYFUNCTION("""COMPUTED_VALUE"""),"#VALUE!")</f>
        <v>#VALUE!</v>
      </c>
      <c r="DC461" t="str">
        <f ca="1">IFERROR(__xludf.DUMMYFUNCTION("""COMPUTED_VALUE"""),"#VALUE!")</f>
        <v>#VALUE!</v>
      </c>
      <c r="DE461" t="str">
        <f ca="1">IFERROR(__xludf.DUMMYFUNCTION("""COMPUTED_VALUE"""),"#VALUE!")</f>
        <v>#VALUE!</v>
      </c>
    </row>
    <row r="462" spans="1:109" ht="13.2" x14ac:dyDescent="0.25">
      <c r="A462" t="str">
        <f ca="1">IFERROR(__xludf.DUMMYFUNCTION("""COMPUTED_VALUE"""),"P0471")</f>
        <v>P0471</v>
      </c>
      <c r="BC462" t="str">
        <f ca="1">IFERROR(__xludf.DUMMYFUNCTION("""COMPUTED_VALUE"""),"#VALUE!")</f>
        <v>#VALUE!</v>
      </c>
      <c r="BE462" t="str">
        <f ca="1">IFERROR(__xludf.DUMMYFUNCTION("""COMPUTED_VALUE"""),"#VALUE!")</f>
        <v>#VALUE!</v>
      </c>
      <c r="BG462" t="str">
        <f ca="1">IFERROR(__xludf.DUMMYFUNCTION("""COMPUTED_VALUE"""),"#VALUE!")</f>
        <v>#VALUE!</v>
      </c>
      <c r="BI462" t="str">
        <f ca="1">IFERROR(__xludf.DUMMYFUNCTION("""COMPUTED_VALUE"""),"#VALUE!")</f>
        <v>#VALUE!</v>
      </c>
      <c r="BK462" t="str">
        <f ca="1">IFERROR(__xludf.DUMMYFUNCTION("""COMPUTED_VALUE"""),"#VALUE!")</f>
        <v>#VALUE!</v>
      </c>
      <c r="BM462" t="str">
        <f ca="1">IFERROR(__xludf.DUMMYFUNCTION("""COMPUTED_VALUE"""),"#VALUE!")</f>
        <v>#VALUE!</v>
      </c>
      <c r="CS462" t="str">
        <f ca="1">IFERROR(__xludf.DUMMYFUNCTION("""COMPUTED_VALUE"""),"#VALUE!")</f>
        <v>#VALUE!</v>
      </c>
      <c r="CU462" t="str">
        <f ca="1">IFERROR(__xludf.DUMMYFUNCTION("""COMPUTED_VALUE"""),"#VALUE!")</f>
        <v>#VALUE!</v>
      </c>
      <c r="CW462" t="str">
        <f ca="1">IFERROR(__xludf.DUMMYFUNCTION("""COMPUTED_VALUE"""),"#VALUE!")</f>
        <v>#VALUE!</v>
      </c>
      <c r="CY462" t="str">
        <f ca="1">IFERROR(__xludf.DUMMYFUNCTION("""COMPUTED_VALUE"""),"#VALUE!")</f>
        <v>#VALUE!</v>
      </c>
      <c r="DC462" t="str">
        <f ca="1">IFERROR(__xludf.DUMMYFUNCTION("""COMPUTED_VALUE"""),"#VALUE!")</f>
        <v>#VALUE!</v>
      </c>
      <c r="DE462" t="str">
        <f ca="1">IFERROR(__xludf.DUMMYFUNCTION("""COMPUTED_VALUE"""),"#VALUE!")</f>
        <v>#VALUE!</v>
      </c>
    </row>
    <row r="463" spans="1:109" ht="13.2" x14ac:dyDescent="0.25">
      <c r="A463" t="str">
        <f ca="1">IFERROR(__xludf.DUMMYFUNCTION("""COMPUTED_VALUE"""),"P0472")</f>
        <v>P0472</v>
      </c>
      <c r="BC463" t="str">
        <f ca="1">IFERROR(__xludf.DUMMYFUNCTION("""COMPUTED_VALUE"""),"#VALUE!")</f>
        <v>#VALUE!</v>
      </c>
      <c r="BE463" t="str">
        <f ca="1">IFERROR(__xludf.DUMMYFUNCTION("""COMPUTED_VALUE"""),"#VALUE!")</f>
        <v>#VALUE!</v>
      </c>
      <c r="BG463" t="str">
        <f ca="1">IFERROR(__xludf.DUMMYFUNCTION("""COMPUTED_VALUE"""),"#VALUE!")</f>
        <v>#VALUE!</v>
      </c>
      <c r="BI463" t="str">
        <f ca="1">IFERROR(__xludf.DUMMYFUNCTION("""COMPUTED_VALUE"""),"#VALUE!")</f>
        <v>#VALUE!</v>
      </c>
      <c r="BK463" t="str">
        <f ca="1">IFERROR(__xludf.DUMMYFUNCTION("""COMPUTED_VALUE"""),"#VALUE!")</f>
        <v>#VALUE!</v>
      </c>
      <c r="BM463" t="str">
        <f ca="1">IFERROR(__xludf.DUMMYFUNCTION("""COMPUTED_VALUE"""),"#VALUE!")</f>
        <v>#VALUE!</v>
      </c>
      <c r="CS463" t="str">
        <f ca="1">IFERROR(__xludf.DUMMYFUNCTION("""COMPUTED_VALUE"""),"#VALUE!")</f>
        <v>#VALUE!</v>
      </c>
      <c r="CU463" t="str">
        <f ca="1">IFERROR(__xludf.DUMMYFUNCTION("""COMPUTED_VALUE"""),"#VALUE!")</f>
        <v>#VALUE!</v>
      </c>
      <c r="CW463" t="str">
        <f ca="1">IFERROR(__xludf.DUMMYFUNCTION("""COMPUTED_VALUE"""),"#VALUE!")</f>
        <v>#VALUE!</v>
      </c>
      <c r="CY463" t="str">
        <f ca="1">IFERROR(__xludf.DUMMYFUNCTION("""COMPUTED_VALUE"""),"#VALUE!")</f>
        <v>#VALUE!</v>
      </c>
      <c r="DC463" t="str">
        <f ca="1">IFERROR(__xludf.DUMMYFUNCTION("""COMPUTED_VALUE"""),"#VALUE!")</f>
        <v>#VALUE!</v>
      </c>
      <c r="DE463" t="str">
        <f ca="1">IFERROR(__xludf.DUMMYFUNCTION("""COMPUTED_VALUE"""),"#VALUE!")</f>
        <v>#VALUE!</v>
      </c>
    </row>
    <row r="464" spans="1:109" ht="13.2" x14ac:dyDescent="0.25">
      <c r="A464" t="str">
        <f ca="1">IFERROR(__xludf.DUMMYFUNCTION("""COMPUTED_VALUE"""),"P0473")</f>
        <v>P0473</v>
      </c>
      <c r="BC464" t="str">
        <f ca="1">IFERROR(__xludf.DUMMYFUNCTION("""COMPUTED_VALUE"""),"#VALUE!")</f>
        <v>#VALUE!</v>
      </c>
      <c r="BE464" t="str">
        <f ca="1">IFERROR(__xludf.DUMMYFUNCTION("""COMPUTED_VALUE"""),"#VALUE!")</f>
        <v>#VALUE!</v>
      </c>
      <c r="BG464" t="str">
        <f ca="1">IFERROR(__xludf.DUMMYFUNCTION("""COMPUTED_VALUE"""),"#VALUE!")</f>
        <v>#VALUE!</v>
      </c>
      <c r="BI464" t="str">
        <f ca="1">IFERROR(__xludf.DUMMYFUNCTION("""COMPUTED_VALUE"""),"#VALUE!")</f>
        <v>#VALUE!</v>
      </c>
      <c r="BK464" t="str">
        <f ca="1">IFERROR(__xludf.DUMMYFUNCTION("""COMPUTED_VALUE"""),"#VALUE!")</f>
        <v>#VALUE!</v>
      </c>
      <c r="BM464" t="str">
        <f ca="1">IFERROR(__xludf.DUMMYFUNCTION("""COMPUTED_VALUE"""),"#VALUE!")</f>
        <v>#VALUE!</v>
      </c>
      <c r="CS464" t="str">
        <f ca="1">IFERROR(__xludf.DUMMYFUNCTION("""COMPUTED_VALUE"""),"#VALUE!")</f>
        <v>#VALUE!</v>
      </c>
      <c r="CU464" t="str">
        <f ca="1">IFERROR(__xludf.DUMMYFUNCTION("""COMPUTED_VALUE"""),"#VALUE!")</f>
        <v>#VALUE!</v>
      </c>
      <c r="CW464" t="str">
        <f ca="1">IFERROR(__xludf.DUMMYFUNCTION("""COMPUTED_VALUE"""),"#VALUE!")</f>
        <v>#VALUE!</v>
      </c>
      <c r="CY464" t="str">
        <f ca="1">IFERROR(__xludf.DUMMYFUNCTION("""COMPUTED_VALUE"""),"#VALUE!")</f>
        <v>#VALUE!</v>
      </c>
      <c r="DC464" t="str">
        <f ca="1">IFERROR(__xludf.DUMMYFUNCTION("""COMPUTED_VALUE"""),"#VALUE!")</f>
        <v>#VALUE!</v>
      </c>
      <c r="DE464" t="str">
        <f ca="1">IFERROR(__xludf.DUMMYFUNCTION("""COMPUTED_VALUE"""),"#VALUE!")</f>
        <v>#VALUE!</v>
      </c>
    </row>
    <row r="465" spans="1:109" ht="13.2" x14ac:dyDescent="0.25">
      <c r="A465" t="str">
        <f ca="1">IFERROR(__xludf.DUMMYFUNCTION("""COMPUTED_VALUE"""),"P0474")</f>
        <v>P0474</v>
      </c>
      <c r="BC465" t="str">
        <f ca="1">IFERROR(__xludf.DUMMYFUNCTION("""COMPUTED_VALUE"""),"#VALUE!")</f>
        <v>#VALUE!</v>
      </c>
      <c r="BE465" t="str">
        <f ca="1">IFERROR(__xludf.DUMMYFUNCTION("""COMPUTED_VALUE"""),"#VALUE!")</f>
        <v>#VALUE!</v>
      </c>
      <c r="BG465" t="str">
        <f ca="1">IFERROR(__xludf.DUMMYFUNCTION("""COMPUTED_VALUE"""),"#VALUE!")</f>
        <v>#VALUE!</v>
      </c>
      <c r="BI465" t="str">
        <f ca="1">IFERROR(__xludf.DUMMYFUNCTION("""COMPUTED_VALUE"""),"#VALUE!")</f>
        <v>#VALUE!</v>
      </c>
      <c r="BK465" t="str">
        <f ca="1">IFERROR(__xludf.DUMMYFUNCTION("""COMPUTED_VALUE"""),"#VALUE!")</f>
        <v>#VALUE!</v>
      </c>
      <c r="BM465" t="str">
        <f ca="1">IFERROR(__xludf.DUMMYFUNCTION("""COMPUTED_VALUE"""),"#VALUE!")</f>
        <v>#VALUE!</v>
      </c>
      <c r="CS465" t="str">
        <f ca="1">IFERROR(__xludf.DUMMYFUNCTION("""COMPUTED_VALUE"""),"#VALUE!")</f>
        <v>#VALUE!</v>
      </c>
      <c r="CU465" t="str">
        <f ca="1">IFERROR(__xludf.DUMMYFUNCTION("""COMPUTED_VALUE"""),"#VALUE!")</f>
        <v>#VALUE!</v>
      </c>
      <c r="CW465" t="str">
        <f ca="1">IFERROR(__xludf.DUMMYFUNCTION("""COMPUTED_VALUE"""),"#VALUE!")</f>
        <v>#VALUE!</v>
      </c>
      <c r="CY465" t="str">
        <f ca="1">IFERROR(__xludf.DUMMYFUNCTION("""COMPUTED_VALUE"""),"#VALUE!")</f>
        <v>#VALUE!</v>
      </c>
      <c r="DC465" t="str">
        <f ca="1">IFERROR(__xludf.DUMMYFUNCTION("""COMPUTED_VALUE"""),"#VALUE!")</f>
        <v>#VALUE!</v>
      </c>
      <c r="DE465" t="str">
        <f ca="1">IFERROR(__xludf.DUMMYFUNCTION("""COMPUTED_VALUE"""),"#VALUE!")</f>
        <v>#VALUE!</v>
      </c>
    </row>
    <row r="466" spans="1:109" ht="13.2" x14ac:dyDescent="0.25">
      <c r="A466" t="str">
        <f ca="1">IFERROR(__xludf.DUMMYFUNCTION("""COMPUTED_VALUE"""),"P0475")</f>
        <v>P0475</v>
      </c>
      <c r="BC466" t="str">
        <f ca="1">IFERROR(__xludf.DUMMYFUNCTION("""COMPUTED_VALUE"""),"#VALUE!")</f>
        <v>#VALUE!</v>
      </c>
      <c r="BE466" t="str">
        <f ca="1">IFERROR(__xludf.DUMMYFUNCTION("""COMPUTED_VALUE"""),"#VALUE!")</f>
        <v>#VALUE!</v>
      </c>
      <c r="BG466" t="str">
        <f ca="1">IFERROR(__xludf.DUMMYFUNCTION("""COMPUTED_VALUE"""),"#VALUE!")</f>
        <v>#VALUE!</v>
      </c>
      <c r="BI466" t="str">
        <f ca="1">IFERROR(__xludf.DUMMYFUNCTION("""COMPUTED_VALUE"""),"#VALUE!")</f>
        <v>#VALUE!</v>
      </c>
      <c r="BK466" t="str">
        <f ca="1">IFERROR(__xludf.DUMMYFUNCTION("""COMPUTED_VALUE"""),"#VALUE!")</f>
        <v>#VALUE!</v>
      </c>
      <c r="BM466" t="str">
        <f ca="1">IFERROR(__xludf.DUMMYFUNCTION("""COMPUTED_VALUE"""),"#VALUE!")</f>
        <v>#VALUE!</v>
      </c>
      <c r="CS466" t="str">
        <f ca="1">IFERROR(__xludf.DUMMYFUNCTION("""COMPUTED_VALUE"""),"#VALUE!")</f>
        <v>#VALUE!</v>
      </c>
      <c r="CU466" t="str">
        <f ca="1">IFERROR(__xludf.DUMMYFUNCTION("""COMPUTED_VALUE"""),"#VALUE!")</f>
        <v>#VALUE!</v>
      </c>
      <c r="CW466" t="str">
        <f ca="1">IFERROR(__xludf.DUMMYFUNCTION("""COMPUTED_VALUE"""),"#VALUE!")</f>
        <v>#VALUE!</v>
      </c>
      <c r="CY466" t="str">
        <f ca="1">IFERROR(__xludf.DUMMYFUNCTION("""COMPUTED_VALUE"""),"#VALUE!")</f>
        <v>#VALUE!</v>
      </c>
      <c r="DC466" t="str">
        <f ca="1">IFERROR(__xludf.DUMMYFUNCTION("""COMPUTED_VALUE"""),"#VALUE!")</f>
        <v>#VALUE!</v>
      </c>
      <c r="DE466" t="str">
        <f ca="1">IFERROR(__xludf.DUMMYFUNCTION("""COMPUTED_VALUE"""),"#VALUE!")</f>
        <v>#VALUE!</v>
      </c>
    </row>
    <row r="467" spans="1:109" ht="13.2" x14ac:dyDescent="0.25">
      <c r="A467" t="str">
        <f ca="1">IFERROR(__xludf.DUMMYFUNCTION("""COMPUTED_VALUE"""),"P0476")</f>
        <v>P0476</v>
      </c>
      <c r="BC467" t="str">
        <f ca="1">IFERROR(__xludf.DUMMYFUNCTION("""COMPUTED_VALUE"""),"#VALUE!")</f>
        <v>#VALUE!</v>
      </c>
      <c r="BE467" t="str">
        <f ca="1">IFERROR(__xludf.DUMMYFUNCTION("""COMPUTED_VALUE"""),"#VALUE!")</f>
        <v>#VALUE!</v>
      </c>
      <c r="BG467" t="str">
        <f ca="1">IFERROR(__xludf.DUMMYFUNCTION("""COMPUTED_VALUE"""),"#VALUE!")</f>
        <v>#VALUE!</v>
      </c>
      <c r="BI467" t="str">
        <f ca="1">IFERROR(__xludf.DUMMYFUNCTION("""COMPUTED_VALUE"""),"#VALUE!")</f>
        <v>#VALUE!</v>
      </c>
      <c r="BK467" t="str">
        <f ca="1">IFERROR(__xludf.DUMMYFUNCTION("""COMPUTED_VALUE"""),"#VALUE!")</f>
        <v>#VALUE!</v>
      </c>
      <c r="BM467" t="str">
        <f ca="1">IFERROR(__xludf.DUMMYFUNCTION("""COMPUTED_VALUE"""),"#VALUE!")</f>
        <v>#VALUE!</v>
      </c>
      <c r="CS467" t="str">
        <f ca="1">IFERROR(__xludf.DUMMYFUNCTION("""COMPUTED_VALUE"""),"#VALUE!")</f>
        <v>#VALUE!</v>
      </c>
      <c r="CU467" t="str">
        <f ca="1">IFERROR(__xludf.DUMMYFUNCTION("""COMPUTED_VALUE"""),"#VALUE!")</f>
        <v>#VALUE!</v>
      </c>
      <c r="CW467" t="str">
        <f ca="1">IFERROR(__xludf.DUMMYFUNCTION("""COMPUTED_VALUE"""),"#VALUE!")</f>
        <v>#VALUE!</v>
      </c>
      <c r="CY467" t="str">
        <f ca="1">IFERROR(__xludf.DUMMYFUNCTION("""COMPUTED_VALUE"""),"#VALUE!")</f>
        <v>#VALUE!</v>
      </c>
      <c r="DC467" t="str">
        <f ca="1">IFERROR(__xludf.DUMMYFUNCTION("""COMPUTED_VALUE"""),"#VALUE!")</f>
        <v>#VALUE!</v>
      </c>
      <c r="DE467" t="str">
        <f ca="1">IFERROR(__xludf.DUMMYFUNCTION("""COMPUTED_VALUE"""),"#VALUE!")</f>
        <v>#VALUE!</v>
      </c>
    </row>
    <row r="468" spans="1:109" ht="13.2" x14ac:dyDescent="0.25">
      <c r="A468" t="str">
        <f ca="1">IFERROR(__xludf.DUMMYFUNCTION("""COMPUTED_VALUE"""),"P0477")</f>
        <v>P0477</v>
      </c>
      <c r="BC468" t="str">
        <f ca="1">IFERROR(__xludf.DUMMYFUNCTION("""COMPUTED_VALUE"""),"#VALUE!")</f>
        <v>#VALUE!</v>
      </c>
      <c r="BE468" t="str">
        <f ca="1">IFERROR(__xludf.DUMMYFUNCTION("""COMPUTED_VALUE"""),"#VALUE!")</f>
        <v>#VALUE!</v>
      </c>
      <c r="BG468" t="str">
        <f ca="1">IFERROR(__xludf.DUMMYFUNCTION("""COMPUTED_VALUE"""),"#VALUE!")</f>
        <v>#VALUE!</v>
      </c>
      <c r="BI468" t="str">
        <f ca="1">IFERROR(__xludf.DUMMYFUNCTION("""COMPUTED_VALUE"""),"#VALUE!")</f>
        <v>#VALUE!</v>
      </c>
      <c r="BK468" t="str">
        <f ca="1">IFERROR(__xludf.DUMMYFUNCTION("""COMPUTED_VALUE"""),"#VALUE!")</f>
        <v>#VALUE!</v>
      </c>
      <c r="BM468" t="str">
        <f ca="1">IFERROR(__xludf.DUMMYFUNCTION("""COMPUTED_VALUE"""),"#VALUE!")</f>
        <v>#VALUE!</v>
      </c>
      <c r="CS468" t="str">
        <f ca="1">IFERROR(__xludf.DUMMYFUNCTION("""COMPUTED_VALUE"""),"#VALUE!")</f>
        <v>#VALUE!</v>
      </c>
      <c r="CU468" t="str">
        <f ca="1">IFERROR(__xludf.DUMMYFUNCTION("""COMPUTED_VALUE"""),"#VALUE!")</f>
        <v>#VALUE!</v>
      </c>
      <c r="CW468" t="str">
        <f ca="1">IFERROR(__xludf.DUMMYFUNCTION("""COMPUTED_VALUE"""),"#VALUE!")</f>
        <v>#VALUE!</v>
      </c>
      <c r="CY468" t="str">
        <f ca="1">IFERROR(__xludf.DUMMYFUNCTION("""COMPUTED_VALUE"""),"#VALUE!")</f>
        <v>#VALUE!</v>
      </c>
      <c r="DC468" t="str">
        <f ca="1">IFERROR(__xludf.DUMMYFUNCTION("""COMPUTED_VALUE"""),"#VALUE!")</f>
        <v>#VALUE!</v>
      </c>
      <c r="DE468" t="str">
        <f ca="1">IFERROR(__xludf.DUMMYFUNCTION("""COMPUTED_VALUE"""),"#VALUE!")</f>
        <v>#VALUE!</v>
      </c>
    </row>
    <row r="469" spans="1:109" ht="13.2" x14ac:dyDescent="0.25">
      <c r="A469" t="str">
        <f ca="1">IFERROR(__xludf.DUMMYFUNCTION("""COMPUTED_VALUE"""),"P0478")</f>
        <v>P0478</v>
      </c>
      <c r="BC469" t="str">
        <f ca="1">IFERROR(__xludf.DUMMYFUNCTION("""COMPUTED_VALUE"""),"#VALUE!")</f>
        <v>#VALUE!</v>
      </c>
      <c r="BE469" t="str">
        <f ca="1">IFERROR(__xludf.DUMMYFUNCTION("""COMPUTED_VALUE"""),"#VALUE!")</f>
        <v>#VALUE!</v>
      </c>
      <c r="BG469" t="str">
        <f ca="1">IFERROR(__xludf.DUMMYFUNCTION("""COMPUTED_VALUE"""),"#VALUE!")</f>
        <v>#VALUE!</v>
      </c>
      <c r="BI469" t="str">
        <f ca="1">IFERROR(__xludf.DUMMYFUNCTION("""COMPUTED_VALUE"""),"#VALUE!")</f>
        <v>#VALUE!</v>
      </c>
      <c r="BK469" t="str">
        <f ca="1">IFERROR(__xludf.DUMMYFUNCTION("""COMPUTED_VALUE"""),"#VALUE!")</f>
        <v>#VALUE!</v>
      </c>
      <c r="BM469" t="str">
        <f ca="1">IFERROR(__xludf.DUMMYFUNCTION("""COMPUTED_VALUE"""),"#VALUE!")</f>
        <v>#VALUE!</v>
      </c>
      <c r="CS469" t="str">
        <f ca="1">IFERROR(__xludf.DUMMYFUNCTION("""COMPUTED_VALUE"""),"#VALUE!")</f>
        <v>#VALUE!</v>
      </c>
      <c r="CU469" t="str">
        <f ca="1">IFERROR(__xludf.DUMMYFUNCTION("""COMPUTED_VALUE"""),"#VALUE!")</f>
        <v>#VALUE!</v>
      </c>
      <c r="CW469" t="str">
        <f ca="1">IFERROR(__xludf.DUMMYFUNCTION("""COMPUTED_VALUE"""),"#VALUE!")</f>
        <v>#VALUE!</v>
      </c>
      <c r="CY469" t="str">
        <f ca="1">IFERROR(__xludf.DUMMYFUNCTION("""COMPUTED_VALUE"""),"#VALUE!")</f>
        <v>#VALUE!</v>
      </c>
      <c r="DC469" t="str">
        <f ca="1">IFERROR(__xludf.DUMMYFUNCTION("""COMPUTED_VALUE"""),"#VALUE!")</f>
        <v>#VALUE!</v>
      </c>
      <c r="DE469" t="str">
        <f ca="1">IFERROR(__xludf.DUMMYFUNCTION("""COMPUTED_VALUE"""),"#VALUE!")</f>
        <v>#VALUE!</v>
      </c>
    </row>
    <row r="470" spans="1:109" ht="13.2" x14ac:dyDescent="0.25">
      <c r="A470" t="str">
        <f ca="1">IFERROR(__xludf.DUMMYFUNCTION("""COMPUTED_VALUE"""),"P0479")</f>
        <v>P0479</v>
      </c>
      <c r="BC470" t="str">
        <f ca="1">IFERROR(__xludf.DUMMYFUNCTION("""COMPUTED_VALUE"""),"#VALUE!")</f>
        <v>#VALUE!</v>
      </c>
      <c r="BE470" t="str">
        <f ca="1">IFERROR(__xludf.DUMMYFUNCTION("""COMPUTED_VALUE"""),"#VALUE!")</f>
        <v>#VALUE!</v>
      </c>
      <c r="BG470" t="str">
        <f ca="1">IFERROR(__xludf.DUMMYFUNCTION("""COMPUTED_VALUE"""),"#VALUE!")</f>
        <v>#VALUE!</v>
      </c>
      <c r="BI470" t="str">
        <f ca="1">IFERROR(__xludf.DUMMYFUNCTION("""COMPUTED_VALUE"""),"#VALUE!")</f>
        <v>#VALUE!</v>
      </c>
      <c r="BK470" t="str">
        <f ca="1">IFERROR(__xludf.DUMMYFUNCTION("""COMPUTED_VALUE"""),"#VALUE!")</f>
        <v>#VALUE!</v>
      </c>
      <c r="BM470" t="str">
        <f ca="1">IFERROR(__xludf.DUMMYFUNCTION("""COMPUTED_VALUE"""),"#VALUE!")</f>
        <v>#VALUE!</v>
      </c>
      <c r="CS470" t="str">
        <f ca="1">IFERROR(__xludf.DUMMYFUNCTION("""COMPUTED_VALUE"""),"#VALUE!")</f>
        <v>#VALUE!</v>
      </c>
      <c r="CU470" t="str">
        <f ca="1">IFERROR(__xludf.DUMMYFUNCTION("""COMPUTED_VALUE"""),"#VALUE!")</f>
        <v>#VALUE!</v>
      </c>
      <c r="CW470" t="str">
        <f ca="1">IFERROR(__xludf.DUMMYFUNCTION("""COMPUTED_VALUE"""),"#VALUE!")</f>
        <v>#VALUE!</v>
      </c>
      <c r="CY470" t="str">
        <f ca="1">IFERROR(__xludf.DUMMYFUNCTION("""COMPUTED_VALUE"""),"#VALUE!")</f>
        <v>#VALUE!</v>
      </c>
      <c r="DC470" t="str">
        <f ca="1">IFERROR(__xludf.DUMMYFUNCTION("""COMPUTED_VALUE"""),"#VALUE!")</f>
        <v>#VALUE!</v>
      </c>
      <c r="DE470" t="str">
        <f ca="1">IFERROR(__xludf.DUMMYFUNCTION("""COMPUTED_VALUE"""),"#VALUE!")</f>
        <v>#VALUE!</v>
      </c>
    </row>
    <row r="471" spans="1:109" ht="13.2" x14ac:dyDescent="0.25">
      <c r="A471" t="str">
        <f ca="1">IFERROR(__xludf.DUMMYFUNCTION("""COMPUTED_VALUE"""),"P0480")</f>
        <v>P0480</v>
      </c>
      <c r="BC471" t="str">
        <f ca="1">IFERROR(__xludf.DUMMYFUNCTION("""COMPUTED_VALUE"""),"#VALUE!")</f>
        <v>#VALUE!</v>
      </c>
      <c r="BE471" t="str">
        <f ca="1">IFERROR(__xludf.DUMMYFUNCTION("""COMPUTED_VALUE"""),"#VALUE!")</f>
        <v>#VALUE!</v>
      </c>
      <c r="BG471" t="str">
        <f ca="1">IFERROR(__xludf.DUMMYFUNCTION("""COMPUTED_VALUE"""),"#VALUE!")</f>
        <v>#VALUE!</v>
      </c>
      <c r="BI471" t="str">
        <f ca="1">IFERROR(__xludf.DUMMYFUNCTION("""COMPUTED_VALUE"""),"#VALUE!")</f>
        <v>#VALUE!</v>
      </c>
      <c r="BK471" t="str">
        <f ca="1">IFERROR(__xludf.DUMMYFUNCTION("""COMPUTED_VALUE"""),"#VALUE!")</f>
        <v>#VALUE!</v>
      </c>
      <c r="BM471" t="str">
        <f ca="1">IFERROR(__xludf.DUMMYFUNCTION("""COMPUTED_VALUE"""),"#VALUE!")</f>
        <v>#VALUE!</v>
      </c>
      <c r="CS471" t="str">
        <f ca="1">IFERROR(__xludf.DUMMYFUNCTION("""COMPUTED_VALUE"""),"#VALUE!")</f>
        <v>#VALUE!</v>
      </c>
      <c r="CU471" t="str">
        <f ca="1">IFERROR(__xludf.DUMMYFUNCTION("""COMPUTED_VALUE"""),"#VALUE!")</f>
        <v>#VALUE!</v>
      </c>
      <c r="CW471" t="str">
        <f ca="1">IFERROR(__xludf.DUMMYFUNCTION("""COMPUTED_VALUE"""),"#VALUE!")</f>
        <v>#VALUE!</v>
      </c>
      <c r="CY471" t="str">
        <f ca="1">IFERROR(__xludf.DUMMYFUNCTION("""COMPUTED_VALUE"""),"#VALUE!")</f>
        <v>#VALUE!</v>
      </c>
      <c r="DC471" t="str">
        <f ca="1">IFERROR(__xludf.DUMMYFUNCTION("""COMPUTED_VALUE"""),"#VALUE!")</f>
        <v>#VALUE!</v>
      </c>
      <c r="DE471" t="str">
        <f ca="1">IFERROR(__xludf.DUMMYFUNCTION("""COMPUTED_VALUE"""),"#VALUE!")</f>
        <v>#VALUE!</v>
      </c>
    </row>
    <row r="472" spans="1:109" ht="13.2" x14ac:dyDescent="0.25">
      <c r="A472" t="str">
        <f ca="1">IFERROR(__xludf.DUMMYFUNCTION("""COMPUTED_VALUE"""),"P0481")</f>
        <v>P0481</v>
      </c>
      <c r="BC472" t="str">
        <f ca="1">IFERROR(__xludf.DUMMYFUNCTION("""COMPUTED_VALUE"""),"#VALUE!")</f>
        <v>#VALUE!</v>
      </c>
      <c r="BE472" t="str">
        <f ca="1">IFERROR(__xludf.DUMMYFUNCTION("""COMPUTED_VALUE"""),"#VALUE!")</f>
        <v>#VALUE!</v>
      </c>
      <c r="BG472" t="str">
        <f ca="1">IFERROR(__xludf.DUMMYFUNCTION("""COMPUTED_VALUE"""),"#VALUE!")</f>
        <v>#VALUE!</v>
      </c>
      <c r="BI472" t="str">
        <f ca="1">IFERROR(__xludf.DUMMYFUNCTION("""COMPUTED_VALUE"""),"#VALUE!")</f>
        <v>#VALUE!</v>
      </c>
      <c r="BK472" t="str">
        <f ca="1">IFERROR(__xludf.DUMMYFUNCTION("""COMPUTED_VALUE"""),"#VALUE!")</f>
        <v>#VALUE!</v>
      </c>
      <c r="BM472" t="str">
        <f ca="1">IFERROR(__xludf.DUMMYFUNCTION("""COMPUTED_VALUE"""),"#VALUE!")</f>
        <v>#VALUE!</v>
      </c>
      <c r="CS472" t="str">
        <f ca="1">IFERROR(__xludf.DUMMYFUNCTION("""COMPUTED_VALUE"""),"#VALUE!")</f>
        <v>#VALUE!</v>
      </c>
      <c r="CU472" t="str">
        <f ca="1">IFERROR(__xludf.DUMMYFUNCTION("""COMPUTED_VALUE"""),"#VALUE!")</f>
        <v>#VALUE!</v>
      </c>
      <c r="CW472" t="str">
        <f ca="1">IFERROR(__xludf.DUMMYFUNCTION("""COMPUTED_VALUE"""),"#VALUE!")</f>
        <v>#VALUE!</v>
      </c>
      <c r="CY472" t="str">
        <f ca="1">IFERROR(__xludf.DUMMYFUNCTION("""COMPUTED_VALUE"""),"#VALUE!")</f>
        <v>#VALUE!</v>
      </c>
      <c r="DC472" t="str">
        <f ca="1">IFERROR(__xludf.DUMMYFUNCTION("""COMPUTED_VALUE"""),"#VALUE!")</f>
        <v>#VALUE!</v>
      </c>
      <c r="DE472" t="str">
        <f ca="1">IFERROR(__xludf.DUMMYFUNCTION("""COMPUTED_VALUE"""),"#VALUE!")</f>
        <v>#VALUE!</v>
      </c>
    </row>
    <row r="473" spans="1:109" ht="13.2" x14ac:dyDescent="0.25">
      <c r="A473" t="str">
        <f ca="1">IFERROR(__xludf.DUMMYFUNCTION("""COMPUTED_VALUE"""),"P0482")</f>
        <v>P0482</v>
      </c>
      <c r="BC473" t="str">
        <f ca="1">IFERROR(__xludf.DUMMYFUNCTION("""COMPUTED_VALUE"""),"#VALUE!")</f>
        <v>#VALUE!</v>
      </c>
      <c r="BE473" t="str">
        <f ca="1">IFERROR(__xludf.DUMMYFUNCTION("""COMPUTED_VALUE"""),"#VALUE!")</f>
        <v>#VALUE!</v>
      </c>
      <c r="BG473" t="str">
        <f ca="1">IFERROR(__xludf.DUMMYFUNCTION("""COMPUTED_VALUE"""),"#VALUE!")</f>
        <v>#VALUE!</v>
      </c>
      <c r="BI473" t="str">
        <f ca="1">IFERROR(__xludf.DUMMYFUNCTION("""COMPUTED_VALUE"""),"#VALUE!")</f>
        <v>#VALUE!</v>
      </c>
      <c r="BK473" t="str">
        <f ca="1">IFERROR(__xludf.DUMMYFUNCTION("""COMPUTED_VALUE"""),"#VALUE!")</f>
        <v>#VALUE!</v>
      </c>
      <c r="BM473" t="str">
        <f ca="1">IFERROR(__xludf.DUMMYFUNCTION("""COMPUTED_VALUE"""),"#VALUE!")</f>
        <v>#VALUE!</v>
      </c>
      <c r="CS473" t="str">
        <f ca="1">IFERROR(__xludf.DUMMYFUNCTION("""COMPUTED_VALUE"""),"#VALUE!")</f>
        <v>#VALUE!</v>
      </c>
      <c r="CU473" t="str">
        <f ca="1">IFERROR(__xludf.DUMMYFUNCTION("""COMPUTED_VALUE"""),"#VALUE!")</f>
        <v>#VALUE!</v>
      </c>
      <c r="CW473" t="str">
        <f ca="1">IFERROR(__xludf.DUMMYFUNCTION("""COMPUTED_VALUE"""),"#VALUE!")</f>
        <v>#VALUE!</v>
      </c>
      <c r="CY473" t="str">
        <f ca="1">IFERROR(__xludf.DUMMYFUNCTION("""COMPUTED_VALUE"""),"#VALUE!")</f>
        <v>#VALUE!</v>
      </c>
      <c r="DC473" t="str">
        <f ca="1">IFERROR(__xludf.DUMMYFUNCTION("""COMPUTED_VALUE"""),"#VALUE!")</f>
        <v>#VALUE!</v>
      </c>
      <c r="DE473" t="str">
        <f ca="1">IFERROR(__xludf.DUMMYFUNCTION("""COMPUTED_VALUE"""),"#VALUE!")</f>
        <v>#VALUE!</v>
      </c>
    </row>
    <row r="474" spans="1:109" ht="13.2" x14ac:dyDescent="0.25">
      <c r="A474" t="str">
        <f ca="1">IFERROR(__xludf.DUMMYFUNCTION("""COMPUTED_VALUE"""),"P0483")</f>
        <v>P0483</v>
      </c>
      <c r="BC474" t="str">
        <f ca="1">IFERROR(__xludf.DUMMYFUNCTION("""COMPUTED_VALUE"""),"#VALUE!")</f>
        <v>#VALUE!</v>
      </c>
      <c r="BE474" t="str">
        <f ca="1">IFERROR(__xludf.DUMMYFUNCTION("""COMPUTED_VALUE"""),"#VALUE!")</f>
        <v>#VALUE!</v>
      </c>
      <c r="BG474" t="str">
        <f ca="1">IFERROR(__xludf.DUMMYFUNCTION("""COMPUTED_VALUE"""),"#VALUE!")</f>
        <v>#VALUE!</v>
      </c>
      <c r="BI474" t="str">
        <f ca="1">IFERROR(__xludf.DUMMYFUNCTION("""COMPUTED_VALUE"""),"#VALUE!")</f>
        <v>#VALUE!</v>
      </c>
      <c r="BK474" t="str">
        <f ca="1">IFERROR(__xludf.DUMMYFUNCTION("""COMPUTED_VALUE"""),"#VALUE!")</f>
        <v>#VALUE!</v>
      </c>
      <c r="BM474" t="str">
        <f ca="1">IFERROR(__xludf.DUMMYFUNCTION("""COMPUTED_VALUE"""),"#VALUE!")</f>
        <v>#VALUE!</v>
      </c>
      <c r="CS474" t="str">
        <f ca="1">IFERROR(__xludf.DUMMYFUNCTION("""COMPUTED_VALUE"""),"#VALUE!")</f>
        <v>#VALUE!</v>
      </c>
      <c r="CU474" t="str">
        <f ca="1">IFERROR(__xludf.DUMMYFUNCTION("""COMPUTED_VALUE"""),"#VALUE!")</f>
        <v>#VALUE!</v>
      </c>
      <c r="CW474" t="str">
        <f ca="1">IFERROR(__xludf.DUMMYFUNCTION("""COMPUTED_VALUE"""),"#VALUE!")</f>
        <v>#VALUE!</v>
      </c>
      <c r="CY474" t="str">
        <f ca="1">IFERROR(__xludf.DUMMYFUNCTION("""COMPUTED_VALUE"""),"#VALUE!")</f>
        <v>#VALUE!</v>
      </c>
      <c r="DC474" t="str">
        <f ca="1">IFERROR(__xludf.DUMMYFUNCTION("""COMPUTED_VALUE"""),"#VALUE!")</f>
        <v>#VALUE!</v>
      </c>
      <c r="DE474" t="str">
        <f ca="1">IFERROR(__xludf.DUMMYFUNCTION("""COMPUTED_VALUE"""),"#VALUE!")</f>
        <v>#VALUE!</v>
      </c>
    </row>
    <row r="475" spans="1:109" ht="13.2" x14ac:dyDescent="0.25">
      <c r="A475" t="str">
        <f ca="1">IFERROR(__xludf.DUMMYFUNCTION("""COMPUTED_VALUE"""),"P0484")</f>
        <v>P0484</v>
      </c>
      <c r="BC475" t="str">
        <f ca="1">IFERROR(__xludf.DUMMYFUNCTION("""COMPUTED_VALUE"""),"#VALUE!")</f>
        <v>#VALUE!</v>
      </c>
      <c r="BE475" t="str">
        <f ca="1">IFERROR(__xludf.DUMMYFUNCTION("""COMPUTED_VALUE"""),"#VALUE!")</f>
        <v>#VALUE!</v>
      </c>
      <c r="BG475" t="str">
        <f ca="1">IFERROR(__xludf.DUMMYFUNCTION("""COMPUTED_VALUE"""),"#VALUE!")</f>
        <v>#VALUE!</v>
      </c>
      <c r="BI475" t="str">
        <f ca="1">IFERROR(__xludf.DUMMYFUNCTION("""COMPUTED_VALUE"""),"#VALUE!")</f>
        <v>#VALUE!</v>
      </c>
      <c r="BK475" t="str">
        <f ca="1">IFERROR(__xludf.DUMMYFUNCTION("""COMPUTED_VALUE"""),"#VALUE!")</f>
        <v>#VALUE!</v>
      </c>
      <c r="BM475" t="str">
        <f ca="1">IFERROR(__xludf.DUMMYFUNCTION("""COMPUTED_VALUE"""),"#VALUE!")</f>
        <v>#VALUE!</v>
      </c>
      <c r="CS475" t="str">
        <f ca="1">IFERROR(__xludf.DUMMYFUNCTION("""COMPUTED_VALUE"""),"#VALUE!")</f>
        <v>#VALUE!</v>
      </c>
      <c r="CU475" t="str">
        <f ca="1">IFERROR(__xludf.DUMMYFUNCTION("""COMPUTED_VALUE"""),"#VALUE!")</f>
        <v>#VALUE!</v>
      </c>
      <c r="CW475" t="str">
        <f ca="1">IFERROR(__xludf.DUMMYFUNCTION("""COMPUTED_VALUE"""),"#VALUE!")</f>
        <v>#VALUE!</v>
      </c>
      <c r="CY475" t="str">
        <f ca="1">IFERROR(__xludf.DUMMYFUNCTION("""COMPUTED_VALUE"""),"#VALUE!")</f>
        <v>#VALUE!</v>
      </c>
      <c r="DC475" t="str">
        <f ca="1">IFERROR(__xludf.DUMMYFUNCTION("""COMPUTED_VALUE"""),"#VALUE!")</f>
        <v>#VALUE!</v>
      </c>
      <c r="DE475" t="str">
        <f ca="1">IFERROR(__xludf.DUMMYFUNCTION("""COMPUTED_VALUE"""),"#VALUE!")</f>
        <v>#VALUE!</v>
      </c>
    </row>
    <row r="476" spans="1:109" ht="13.2" x14ac:dyDescent="0.25">
      <c r="A476" t="str">
        <f ca="1">IFERROR(__xludf.DUMMYFUNCTION("""COMPUTED_VALUE"""),"P0485")</f>
        <v>P0485</v>
      </c>
      <c r="BC476" t="str">
        <f ca="1">IFERROR(__xludf.DUMMYFUNCTION("""COMPUTED_VALUE"""),"#VALUE!")</f>
        <v>#VALUE!</v>
      </c>
      <c r="BE476" t="str">
        <f ca="1">IFERROR(__xludf.DUMMYFUNCTION("""COMPUTED_VALUE"""),"#VALUE!")</f>
        <v>#VALUE!</v>
      </c>
      <c r="BG476" t="str">
        <f ca="1">IFERROR(__xludf.DUMMYFUNCTION("""COMPUTED_VALUE"""),"#VALUE!")</f>
        <v>#VALUE!</v>
      </c>
      <c r="BI476" t="str">
        <f ca="1">IFERROR(__xludf.DUMMYFUNCTION("""COMPUTED_VALUE"""),"#VALUE!")</f>
        <v>#VALUE!</v>
      </c>
      <c r="BK476" t="str">
        <f ca="1">IFERROR(__xludf.DUMMYFUNCTION("""COMPUTED_VALUE"""),"#VALUE!")</f>
        <v>#VALUE!</v>
      </c>
      <c r="BM476" t="str">
        <f ca="1">IFERROR(__xludf.DUMMYFUNCTION("""COMPUTED_VALUE"""),"#VALUE!")</f>
        <v>#VALUE!</v>
      </c>
      <c r="CS476" t="str">
        <f ca="1">IFERROR(__xludf.DUMMYFUNCTION("""COMPUTED_VALUE"""),"#VALUE!")</f>
        <v>#VALUE!</v>
      </c>
      <c r="CU476" t="str">
        <f ca="1">IFERROR(__xludf.DUMMYFUNCTION("""COMPUTED_VALUE"""),"#VALUE!")</f>
        <v>#VALUE!</v>
      </c>
      <c r="CW476" t="str">
        <f ca="1">IFERROR(__xludf.DUMMYFUNCTION("""COMPUTED_VALUE"""),"#VALUE!")</f>
        <v>#VALUE!</v>
      </c>
      <c r="CY476" t="str">
        <f ca="1">IFERROR(__xludf.DUMMYFUNCTION("""COMPUTED_VALUE"""),"#VALUE!")</f>
        <v>#VALUE!</v>
      </c>
      <c r="DC476" t="str">
        <f ca="1">IFERROR(__xludf.DUMMYFUNCTION("""COMPUTED_VALUE"""),"#VALUE!")</f>
        <v>#VALUE!</v>
      </c>
      <c r="DE476" t="str">
        <f ca="1">IFERROR(__xludf.DUMMYFUNCTION("""COMPUTED_VALUE"""),"#VALUE!")</f>
        <v>#VALUE!</v>
      </c>
    </row>
    <row r="477" spans="1:109" ht="13.2" x14ac:dyDescent="0.25">
      <c r="A477" t="str">
        <f ca="1">IFERROR(__xludf.DUMMYFUNCTION("""COMPUTED_VALUE"""),"P0486")</f>
        <v>P0486</v>
      </c>
      <c r="BC477" t="str">
        <f ca="1">IFERROR(__xludf.DUMMYFUNCTION("""COMPUTED_VALUE"""),"#VALUE!")</f>
        <v>#VALUE!</v>
      </c>
      <c r="BE477" t="str">
        <f ca="1">IFERROR(__xludf.DUMMYFUNCTION("""COMPUTED_VALUE"""),"#VALUE!")</f>
        <v>#VALUE!</v>
      </c>
      <c r="BG477" t="str">
        <f ca="1">IFERROR(__xludf.DUMMYFUNCTION("""COMPUTED_VALUE"""),"#VALUE!")</f>
        <v>#VALUE!</v>
      </c>
      <c r="BI477" t="str">
        <f ca="1">IFERROR(__xludf.DUMMYFUNCTION("""COMPUTED_VALUE"""),"#VALUE!")</f>
        <v>#VALUE!</v>
      </c>
      <c r="BK477" t="str">
        <f ca="1">IFERROR(__xludf.DUMMYFUNCTION("""COMPUTED_VALUE"""),"#VALUE!")</f>
        <v>#VALUE!</v>
      </c>
      <c r="BM477" t="str">
        <f ca="1">IFERROR(__xludf.DUMMYFUNCTION("""COMPUTED_VALUE"""),"#VALUE!")</f>
        <v>#VALUE!</v>
      </c>
      <c r="CS477" t="str">
        <f ca="1">IFERROR(__xludf.DUMMYFUNCTION("""COMPUTED_VALUE"""),"#VALUE!")</f>
        <v>#VALUE!</v>
      </c>
      <c r="CU477" t="str">
        <f ca="1">IFERROR(__xludf.DUMMYFUNCTION("""COMPUTED_VALUE"""),"#VALUE!")</f>
        <v>#VALUE!</v>
      </c>
      <c r="CW477" t="str">
        <f ca="1">IFERROR(__xludf.DUMMYFUNCTION("""COMPUTED_VALUE"""),"#VALUE!")</f>
        <v>#VALUE!</v>
      </c>
      <c r="CY477" t="str">
        <f ca="1">IFERROR(__xludf.DUMMYFUNCTION("""COMPUTED_VALUE"""),"#VALUE!")</f>
        <v>#VALUE!</v>
      </c>
      <c r="DC477" t="str">
        <f ca="1">IFERROR(__xludf.DUMMYFUNCTION("""COMPUTED_VALUE"""),"#VALUE!")</f>
        <v>#VALUE!</v>
      </c>
      <c r="DE477" t="str">
        <f ca="1">IFERROR(__xludf.DUMMYFUNCTION("""COMPUTED_VALUE"""),"#VALUE!")</f>
        <v>#VALUE!</v>
      </c>
    </row>
    <row r="478" spans="1:109" ht="13.2" x14ac:dyDescent="0.25">
      <c r="A478" t="str">
        <f ca="1">IFERROR(__xludf.DUMMYFUNCTION("""COMPUTED_VALUE"""),"P0487")</f>
        <v>P0487</v>
      </c>
      <c r="BC478" t="str">
        <f ca="1">IFERROR(__xludf.DUMMYFUNCTION("""COMPUTED_VALUE"""),"#VALUE!")</f>
        <v>#VALUE!</v>
      </c>
      <c r="BE478" t="str">
        <f ca="1">IFERROR(__xludf.DUMMYFUNCTION("""COMPUTED_VALUE"""),"#VALUE!")</f>
        <v>#VALUE!</v>
      </c>
      <c r="BG478" t="str">
        <f ca="1">IFERROR(__xludf.DUMMYFUNCTION("""COMPUTED_VALUE"""),"#VALUE!")</f>
        <v>#VALUE!</v>
      </c>
      <c r="BI478" t="str">
        <f ca="1">IFERROR(__xludf.DUMMYFUNCTION("""COMPUTED_VALUE"""),"#VALUE!")</f>
        <v>#VALUE!</v>
      </c>
      <c r="BK478" t="str">
        <f ca="1">IFERROR(__xludf.DUMMYFUNCTION("""COMPUTED_VALUE"""),"#VALUE!")</f>
        <v>#VALUE!</v>
      </c>
      <c r="BM478" t="str">
        <f ca="1">IFERROR(__xludf.DUMMYFUNCTION("""COMPUTED_VALUE"""),"#VALUE!")</f>
        <v>#VALUE!</v>
      </c>
      <c r="CS478" t="str">
        <f ca="1">IFERROR(__xludf.DUMMYFUNCTION("""COMPUTED_VALUE"""),"#VALUE!")</f>
        <v>#VALUE!</v>
      </c>
      <c r="CU478" t="str">
        <f ca="1">IFERROR(__xludf.DUMMYFUNCTION("""COMPUTED_VALUE"""),"#VALUE!")</f>
        <v>#VALUE!</v>
      </c>
      <c r="CW478" t="str">
        <f ca="1">IFERROR(__xludf.DUMMYFUNCTION("""COMPUTED_VALUE"""),"#VALUE!")</f>
        <v>#VALUE!</v>
      </c>
      <c r="CY478" t="str">
        <f ca="1">IFERROR(__xludf.DUMMYFUNCTION("""COMPUTED_VALUE"""),"#VALUE!")</f>
        <v>#VALUE!</v>
      </c>
      <c r="DC478" t="str">
        <f ca="1">IFERROR(__xludf.DUMMYFUNCTION("""COMPUTED_VALUE"""),"#VALUE!")</f>
        <v>#VALUE!</v>
      </c>
      <c r="DE478" t="str">
        <f ca="1">IFERROR(__xludf.DUMMYFUNCTION("""COMPUTED_VALUE"""),"#VALUE!")</f>
        <v>#VALUE!</v>
      </c>
    </row>
    <row r="479" spans="1:109" ht="13.2" x14ac:dyDescent="0.25">
      <c r="A479" t="str">
        <f ca="1">IFERROR(__xludf.DUMMYFUNCTION("""COMPUTED_VALUE"""),"P0488")</f>
        <v>P0488</v>
      </c>
      <c r="BC479" t="str">
        <f ca="1">IFERROR(__xludf.DUMMYFUNCTION("""COMPUTED_VALUE"""),"#VALUE!")</f>
        <v>#VALUE!</v>
      </c>
      <c r="BE479" t="str">
        <f ca="1">IFERROR(__xludf.DUMMYFUNCTION("""COMPUTED_VALUE"""),"#VALUE!")</f>
        <v>#VALUE!</v>
      </c>
      <c r="BG479" t="str">
        <f ca="1">IFERROR(__xludf.DUMMYFUNCTION("""COMPUTED_VALUE"""),"#VALUE!")</f>
        <v>#VALUE!</v>
      </c>
      <c r="BI479" t="str">
        <f ca="1">IFERROR(__xludf.DUMMYFUNCTION("""COMPUTED_VALUE"""),"#VALUE!")</f>
        <v>#VALUE!</v>
      </c>
      <c r="BK479" t="str">
        <f ca="1">IFERROR(__xludf.DUMMYFUNCTION("""COMPUTED_VALUE"""),"#VALUE!")</f>
        <v>#VALUE!</v>
      </c>
      <c r="BM479" t="str">
        <f ca="1">IFERROR(__xludf.DUMMYFUNCTION("""COMPUTED_VALUE"""),"#VALUE!")</f>
        <v>#VALUE!</v>
      </c>
      <c r="CS479" t="str">
        <f ca="1">IFERROR(__xludf.DUMMYFUNCTION("""COMPUTED_VALUE"""),"#VALUE!")</f>
        <v>#VALUE!</v>
      </c>
      <c r="CU479" t="str">
        <f ca="1">IFERROR(__xludf.DUMMYFUNCTION("""COMPUTED_VALUE"""),"#VALUE!")</f>
        <v>#VALUE!</v>
      </c>
      <c r="CW479" t="str">
        <f ca="1">IFERROR(__xludf.DUMMYFUNCTION("""COMPUTED_VALUE"""),"#VALUE!")</f>
        <v>#VALUE!</v>
      </c>
      <c r="CY479" t="str">
        <f ca="1">IFERROR(__xludf.DUMMYFUNCTION("""COMPUTED_VALUE"""),"#VALUE!")</f>
        <v>#VALUE!</v>
      </c>
      <c r="DC479" t="str">
        <f ca="1">IFERROR(__xludf.DUMMYFUNCTION("""COMPUTED_VALUE"""),"#VALUE!")</f>
        <v>#VALUE!</v>
      </c>
      <c r="DE479" t="str">
        <f ca="1">IFERROR(__xludf.DUMMYFUNCTION("""COMPUTED_VALUE"""),"#VALUE!")</f>
        <v>#VALUE!</v>
      </c>
    </row>
    <row r="480" spans="1:109" ht="13.2" x14ac:dyDescent="0.25">
      <c r="A480" t="str">
        <f ca="1">IFERROR(__xludf.DUMMYFUNCTION("""COMPUTED_VALUE"""),"P0489")</f>
        <v>P0489</v>
      </c>
      <c r="BC480" t="str">
        <f ca="1">IFERROR(__xludf.DUMMYFUNCTION("""COMPUTED_VALUE"""),"#VALUE!")</f>
        <v>#VALUE!</v>
      </c>
      <c r="BE480" t="str">
        <f ca="1">IFERROR(__xludf.DUMMYFUNCTION("""COMPUTED_VALUE"""),"#VALUE!")</f>
        <v>#VALUE!</v>
      </c>
      <c r="BG480" t="str">
        <f ca="1">IFERROR(__xludf.DUMMYFUNCTION("""COMPUTED_VALUE"""),"#VALUE!")</f>
        <v>#VALUE!</v>
      </c>
      <c r="BI480" t="str">
        <f ca="1">IFERROR(__xludf.DUMMYFUNCTION("""COMPUTED_VALUE"""),"#VALUE!")</f>
        <v>#VALUE!</v>
      </c>
      <c r="BK480" t="str">
        <f ca="1">IFERROR(__xludf.DUMMYFUNCTION("""COMPUTED_VALUE"""),"#VALUE!")</f>
        <v>#VALUE!</v>
      </c>
      <c r="BM480" t="str">
        <f ca="1">IFERROR(__xludf.DUMMYFUNCTION("""COMPUTED_VALUE"""),"#VALUE!")</f>
        <v>#VALUE!</v>
      </c>
      <c r="CS480" t="str">
        <f ca="1">IFERROR(__xludf.DUMMYFUNCTION("""COMPUTED_VALUE"""),"#VALUE!")</f>
        <v>#VALUE!</v>
      </c>
      <c r="CU480" t="str">
        <f ca="1">IFERROR(__xludf.DUMMYFUNCTION("""COMPUTED_VALUE"""),"#VALUE!")</f>
        <v>#VALUE!</v>
      </c>
      <c r="CW480" t="str">
        <f ca="1">IFERROR(__xludf.DUMMYFUNCTION("""COMPUTED_VALUE"""),"#VALUE!")</f>
        <v>#VALUE!</v>
      </c>
      <c r="CY480" t="str">
        <f ca="1">IFERROR(__xludf.DUMMYFUNCTION("""COMPUTED_VALUE"""),"#VALUE!")</f>
        <v>#VALUE!</v>
      </c>
      <c r="DC480" t="str">
        <f ca="1">IFERROR(__xludf.DUMMYFUNCTION("""COMPUTED_VALUE"""),"#VALUE!")</f>
        <v>#VALUE!</v>
      </c>
      <c r="DE480" t="str">
        <f ca="1">IFERROR(__xludf.DUMMYFUNCTION("""COMPUTED_VALUE"""),"#VALUE!")</f>
        <v>#VALUE!</v>
      </c>
    </row>
    <row r="481" spans="1:109" ht="13.2" x14ac:dyDescent="0.25">
      <c r="A481" t="str">
        <f ca="1">IFERROR(__xludf.DUMMYFUNCTION("""COMPUTED_VALUE"""),"P0490")</f>
        <v>P0490</v>
      </c>
      <c r="BC481" t="str">
        <f ca="1">IFERROR(__xludf.DUMMYFUNCTION("""COMPUTED_VALUE"""),"#VALUE!")</f>
        <v>#VALUE!</v>
      </c>
      <c r="BE481" t="str">
        <f ca="1">IFERROR(__xludf.DUMMYFUNCTION("""COMPUTED_VALUE"""),"#VALUE!")</f>
        <v>#VALUE!</v>
      </c>
      <c r="BG481" t="str">
        <f ca="1">IFERROR(__xludf.DUMMYFUNCTION("""COMPUTED_VALUE"""),"#VALUE!")</f>
        <v>#VALUE!</v>
      </c>
      <c r="BI481" t="str">
        <f ca="1">IFERROR(__xludf.DUMMYFUNCTION("""COMPUTED_VALUE"""),"#VALUE!")</f>
        <v>#VALUE!</v>
      </c>
      <c r="BK481" t="str">
        <f ca="1">IFERROR(__xludf.DUMMYFUNCTION("""COMPUTED_VALUE"""),"#VALUE!")</f>
        <v>#VALUE!</v>
      </c>
      <c r="BM481" t="str">
        <f ca="1">IFERROR(__xludf.DUMMYFUNCTION("""COMPUTED_VALUE"""),"#VALUE!")</f>
        <v>#VALUE!</v>
      </c>
      <c r="CS481" t="str">
        <f ca="1">IFERROR(__xludf.DUMMYFUNCTION("""COMPUTED_VALUE"""),"#VALUE!")</f>
        <v>#VALUE!</v>
      </c>
      <c r="CU481" t="str">
        <f ca="1">IFERROR(__xludf.DUMMYFUNCTION("""COMPUTED_VALUE"""),"#VALUE!")</f>
        <v>#VALUE!</v>
      </c>
      <c r="CW481" t="str">
        <f ca="1">IFERROR(__xludf.DUMMYFUNCTION("""COMPUTED_VALUE"""),"#VALUE!")</f>
        <v>#VALUE!</v>
      </c>
      <c r="CY481" t="str">
        <f ca="1">IFERROR(__xludf.DUMMYFUNCTION("""COMPUTED_VALUE"""),"#VALUE!")</f>
        <v>#VALUE!</v>
      </c>
      <c r="DC481" t="str">
        <f ca="1">IFERROR(__xludf.DUMMYFUNCTION("""COMPUTED_VALUE"""),"#VALUE!")</f>
        <v>#VALUE!</v>
      </c>
      <c r="DE481" t="str">
        <f ca="1">IFERROR(__xludf.DUMMYFUNCTION("""COMPUTED_VALUE"""),"#VALUE!")</f>
        <v>#VALUE!</v>
      </c>
    </row>
    <row r="482" spans="1:109" ht="13.2" x14ac:dyDescent="0.25">
      <c r="A482" t="str">
        <f ca="1">IFERROR(__xludf.DUMMYFUNCTION("""COMPUTED_VALUE"""),"P0491")</f>
        <v>P0491</v>
      </c>
      <c r="BC482" t="str">
        <f ca="1">IFERROR(__xludf.DUMMYFUNCTION("""COMPUTED_VALUE"""),"#VALUE!")</f>
        <v>#VALUE!</v>
      </c>
      <c r="BE482" t="str">
        <f ca="1">IFERROR(__xludf.DUMMYFUNCTION("""COMPUTED_VALUE"""),"#VALUE!")</f>
        <v>#VALUE!</v>
      </c>
      <c r="BG482" t="str">
        <f ca="1">IFERROR(__xludf.DUMMYFUNCTION("""COMPUTED_VALUE"""),"#VALUE!")</f>
        <v>#VALUE!</v>
      </c>
      <c r="BI482" t="str">
        <f ca="1">IFERROR(__xludf.DUMMYFUNCTION("""COMPUTED_VALUE"""),"#VALUE!")</f>
        <v>#VALUE!</v>
      </c>
      <c r="BK482" t="str">
        <f ca="1">IFERROR(__xludf.DUMMYFUNCTION("""COMPUTED_VALUE"""),"#VALUE!")</f>
        <v>#VALUE!</v>
      </c>
      <c r="BM482" t="str">
        <f ca="1">IFERROR(__xludf.DUMMYFUNCTION("""COMPUTED_VALUE"""),"#VALUE!")</f>
        <v>#VALUE!</v>
      </c>
      <c r="CS482" t="str">
        <f ca="1">IFERROR(__xludf.DUMMYFUNCTION("""COMPUTED_VALUE"""),"#VALUE!")</f>
        <v>#VALUE!</v>
      </c>
      <c r="CU482" t="str">
        <f ca="1">IFERROR(__xludf.DUMMYFUNCTION("""COMPUTED_VALUE"""),"#VALUE!")</f>
        <v>#VALUE!</v>
      </c>
      <c r="CW482" t="str">
        <f ca="1">IFERROR(__xludf.DUMMYFUNCTION("""COMPUTED_VALUE"""),"#VALUE!")</f>
        <v>#VALUE!</v>
      </c>
      <c r="CY482" t="str">
        <f ca="1">IFERROR(__xludf.DUMMYFUNCTION("""COMPUTED_VALUE"""),"#VALUE!")</f>
        <v>#VALUE!</v>
      </c>
      <c r="DC482" t="str">
        <f ca="1">IFERROR(__xludf.DUMMYFUNCTION("""COMPUTED_VALUE"""),"#VALUE!")</f>
        <v>#VALUE!</v>
      </c>
      <c r="DE482" t="str">
        <f ca="1">IFERROR(__xludf.DUMMYFUNCTION("""COMPUTED_VALUE"""),"#VALUE!")</f>
        <v>#VALUE!</v>
      </c>
    </row>
    <row r="483" spans="1:109" ht="13.2" x14ac:dyDescent="0.25">
      <c r="A483" t="str">
        <f ca="1">IFERROR(__xludf.DUMMYFUNCTION("""COMPUTED_VALUE"""),"P0492")</f>
        <v>P0492</v>
      </c>
      <c r="BC483" t="str">
        <f ca="1">IFERROR(__xludf.DUMMYFUNCTION("""COMPUTED_VALUE"""),"#VALUE!")</f>
        <v>#VALUE!</v>
      </c>
      <c r="BE483" t="str">
        <f ca="1">IFERROR(__xludf.DUMMYFUNCTION("""COMPUTED_VALUE"""),"#VALUE!")</f>
        <v>#VALUE!</v>
      </c>
      <c r="BG483" t="str">
        <f ca="1">IFERROR(__xludf.DUMMYFUNCTION("""COMPUTED_VALUE"""),"#VALUE!")</f>
        <v>#VALUE!</v>
      </c>
      <c r="BI483" t="str">
        <f ca="1">IFERROR(__xludf.DUMMYFUNCTION("""COMPUTED_VALUE"""),"#VALUE!")</f>
        <v>#VALUE!</v>
      </c>
      <c r="BK483" t="str">
        <f ca="1">IFERROR(__xludf.DUMMYFUNCTION("""COMPUTED_VALUE"""),"#VALUE!")</f>
        <v>#VALUE!</v>
      </c>
      <c r="BM483" t="str">
        <f ca="1">IFERROR(__xludf.DUMMYFUNCTION("""COMPUTED_VALUE"""),"#VALUE!")</f>
        <v>#VALUE!</v>
      </c>
      <c r="CS483" t="str">
        <f ca="1">IFERROR(__xludf.DUMMYFUNCTION("""COMPUTED_VALUE"""),"#VALUE!")</f>
        <v>#VALUE!</v>
      </c>
      <c r="CU483" t="str">
        <f ca="1">IFERROR(__xludf.DUMMYFUNCTION("""COMPUTED_VALUE"""),"#VALUE!")</f>
        <v>#VALUE!</v>
      </c>
      <c r="CW483" t="str">
        <f ca="1">IFERROR(__xludf.DUMMYFUNCTION("""COMPUTED_VALUE"""),"#VALUE!")</f>
        <v>#VALUE!</v>
      </c>
      <c r="CY483" t="str">
        <f ca="1">IFERROR(__xludf.DUMMYFUNCTION("""COMPUTED_VALUE"""),"#VALUE!")</f>
        <v>#VALUE!</v>
      </c>
      <c r="DC483" t="str">
        <f ca="1">IFERROR(__xludf.DUMMYFUNCTION("""COMPUTED_VALUE"""),"#VALUE!")</f>
        <v>#VALUE!</v>
      </c>
      <c r="DE483" t="str">
        <f ca="1">IFERROR(__xludf.DUMMYFUNCTION("""COMPUTED_VALUE"""),"#VALUE!")</f>
        <v>#VALUE!</v>
      </c>
    </row>
    <row r="484" spans="1:109" ht="13.2" x14ac:dyDescent="0.25">
      <c r="A484" t="str">
        <f ca="1">IFERROR(__xludf.DUMMYFUNCTION("""COMPUTED_VALUE"""),"P0493")</f>
        <v>P0493</v>
      </c>
      <c r="BC484" t="str">
        <f ca="1">IFERROR(__xludf.DUMMYFUNCTION("""COMPUTED_VALUE"""),"#VALUE!")</f>
        <v>#VALUE!</v>
      </c>
      <c r="BE484" t="str">
        <f ca="1">IFERROR(__xludf.DUMMYFUNCTION("""COMPUTED_VALUE"""),"#VALUE!")</f>
        <v>#VALUE!</v>
      </c>
      <c r="BG484" t="str">
        <f ca="1">IFERROR(__xludf.DUMMYFUNCTION("""COMPUTED_VALUE"""),"#VALUE!")</f>
        <v>#VALUE!</v>
      </c>
      <c r="BI484" t="str">
        <f ca="1">IFERROR(__xludf.DUMMYFUNCTION("""COMPUTED_VALUE"""),"#VALUE!")</f>
        <v>#VALUE!</v>
      </c>
      <c r="BK484" t="str">
        <f ca="1">IFERROR(__xludf.DUMMYFUNCTION("""COMPUTED_VALUE"""),"#VALUE!")</f>
        <v>#VALUE!</v>
      </c>
      <c r="BM484" t="str">
        <f ca="1">IFERROR(__xludf.DUMMYFUNCTION("""COMPUTED_VALUE"""),"#VALUE!")</f>
        <v>#VALUE!</v>
      </c>
      <c r="CS484" t="str">
        <f ca="1">IFERROR(__xludf.DUMMYFUNCTION("""COMPUTED_VALUE"""),"#VALUE!")</f>
        <v>#VALUE!</v>
      </c>
      <c r="CU484" t="str">
        <f ca="1">IFERROR(__xludf.DUMMYFUNCTION("""COMPUTED_VALUE"""),"#VALUE!")</f>
        <v>#VALUE!</v>
      </c>
      <c r="CW484" t="str">
        <f ca="1">IFERROR(__xludf.DUMMYFUNCTION("""COMPUTED_VALUE"""),"#VALUE!")</f>
        <v>#VALUE!</v>
      </c>
      <c r="CY484" t="str">
        <f ca="1">IFERROR(__xludf.DUMMYFUNCTION("""COMPUTED_VALUE"""),"#VALUE!")</f>
        <v>#VALUE!</v>
      </c>
      <c r="DC484" t="str">
        <f ca="1">IFERROR(__xludf.DUMMYFUNCTION("""COMPUTED_VALUE"""),"#VALUE!")</f>
        <v>#VALUE!</v>
      </c>
      <c r="DE484" t="str">
        <f ca="1">IFERROR(__xludf.DUMMYFUNCTION("""COMPUTED_VALUE"""),"#VALUE!")</f>
        <v>#VALUE!</v>
      </c>
    </row>
    <row r="485" spans="1:109" ht="13.2" x14ac:dyDescent="0.25">
      <c r="A485" t="str">
        <f ca="1">IFERROR(__xludf.DUMMYFUNCTION("""COMPUTED_VALUE"""),"P0494")</f>
        <v>P0494</v>
      </c>
      <c r="BC485" t="str">
        <f ca="1">IFERROR(__xludf.DUMMYFUNCTION("""COMPUTED_VALUE"""),"#VALUE!")</f>
        <v>#VALUE!</v>
      </c>
      <c r="BE485" t="str">
        <f ca="1">IFERROR(__xludf.DUMMYFUNCTION("""COMPUTED_VALUE"""),"#VALUE!")</f>
        <v>#VALUE!</v>
      </c>
      <c r="BG485" t="str">
        <f ca="1">IFERROR(__xludf.DUMMYFUNCTION("""COMPUTED_VALUE"""),"#VALUE!")</f>
        <v>#VALUE!</v>
      </c>
      <c r="BI485" t="str">
        <f ca="1">IFERROR(__xludf.DUMMYFUNCTION("""COMPUTED_VALUE"""),"#VALUE!")</f>
        <v>#VALUE!</v>
      </c>
      <c r="BK485" t="str">
        <f ca="1">IFERROR(__xludf.DUMMYFUNCTION("""COMPUTED_VALUE"""),"#VALUE!")</f>
        <v>#VALUE!</v>
      </c>
      <c r="BM485" t="str">
        <f ca="1">IFERROR(__xludf.DUMMYFUNCTION("""COMPUTED_VALUE"""),"#VALUE!")</f>
        <v>#VALUE!</v>
      </c>
      <c r="CS485" t="str">
        <f ca="1">IFERROR(__xludf.DUMMYFUNCTION("""COMPUTED_VALUE"""),"#VALUE!")</f>
        <v>#VALUE!</v>
      </c>
      <c r="CU485" t="str">
        <f ca="1">IFERROR(__xludf.DUMMYFUNCTION("""COMPUTED_VALUE"""),"#VALUE!")</f>
        <v>#VALUE!</v>
      </c>
      <c r="CW485" t="str">
        <f ca="1">IFERROR(__xludf.DUMMYFUNCTION("""COMPUTED_VALUE"""),"#VALUE!")</f>
        <v>#VALUE!</v>
      </c>
      <c r="CY485" t="str">
        <f ca="1">IFERROR(__xludf.DUMMYFUNCTION("""COMPUTED_VALUE"""),"#VALUE!")</f>
        <v>#VALUE!</v>
      </c>
      <c r="DC485" t="str">
        <f ca="1">IFERROR(__xludf.DUMMYFUNCTION("""COMPUTED_VALUE"""),"#VALUE!")</f>
        <v>#VALUE!</v>
      </c>
      <c r="DE485" t="str">
        <f ca="1">IFERROR(__xludf.DUMMYFUNCTION("""COMPUTED_VALUE"""),"#VALUE!")</f>
        <v>#VALUE!</v>
      </c>
    </row>
    <row r="486" spans="1:109" ht="13.2" x14ac:dyDescent="0.25">
      <c r="A486" t="str">
        <f ca="1">IFERROR(__xludf.DUMMYFUNCTION("""COMPUTED_VALUE"""),"P0495")</f>
        <v>P0495</v>
      </c>
      <c r="BC486" t="str">
        <f ca="1">IFERROR(__xludf.DUMMYFUNCTION("""COMPUTED_VALUE"""),"#VALUE!")</f>
        <v>#VALUE!</v>
      </c>
      <c r="BE486" t="str">
        <f ca="1">IFERROR(__xludf.DUMMYFUNCTION("""COMPUTED_VALUE"""),"#VALUE!")</f>
        <v>#VALUE!</v>
      </c>
      <c r="BG486" t="str">
        <f ca="1">IFERROR(__xludf.DUMMYFUNCTION("""COMPUTED_VALUE"""),"#VALUE!")</f>
        <v>#VALUE!</v>
      </c>
      <c r="BI486" t="str">
        <f ca="1">IFERROR(__xludf.DUMMYFUNCTION("""COMPUTED_VALUE"""),"#VALUE!")</f>
        <v>#VALUE!</v>
      </c>
      <c r="BK486" t="str">
        <f ca="1">IFERROR(__xludf.DUMMYFUNCTION("""COMPUTED_VALUE"""),"#VALUE!")</f>
        <v>#VALUE!</v>
      </c>
      <c r="BM486" t="str">
        <f ca="1">IFERROR(__xludf.DUMMYFUNCTION("""COMPUTED_VALUE"""),"#VALUE!")</f>
        <v>#VALUE!</v>
      </c>
      <c r="CS486" t="str">
        <f ca="1">IFERROR(__xludf.DUMMYFUNCTION("""COMPUTED_VALUE"""),"#VALUE!")</f>
        <v>#VALUE!</v>
      </c>
      <c r="CU486" t="str">
        <f ca="1">IFERROR(__xludf.DUMMYFUNCTION("""COMPUTED_VALUE"""),"#VALUE!")</f>
        <v>#VALUE!</v>
      </c>
      <c r="CW486" t="str">
        <f ca="1">IFERROR(__xludf.DUMMYFUNCTION("""COMPUTED_VALUE"""),"#VALUE!")</f>
        <v>#VALUE!</v>
      </c>
      <c r="CY486" t="str">
        <f ca="1">IFERROR(__xludf.DUMMYFUNCTION("""COMPUTED_VALUE"""),"#VALUE!")</f>
        <v>#VALUE!</v>
      </c>
      <c r="DC486" t="str">
        <f ca="1">IFERROR(__xludf.DUMMYFUNCTION("""COMPUTED_VALUE"""),"#VALUE!")</f>
        <v>#VALUE!</v>
      </c>
      <c r="DE486" t="str">
        <f ca="1">IFERROR(__xludf.DUMMYFUNCTION("""COMPUTED_VALUE"""),"#VALUE!")</f>
        <v>#VALUE!</v>
      </c>
    </row>
    <row r="487" spans="1:109" ht="13.2" x14ac:dyDescent="0.25">
      <c r="A487" t="str">
        <f ca="1">IFERROR(__xludf.DUMMYFUNCTION("""COMPUTED_VALUE"""),"P0496")</f>
        <v>P0496</v>
      </c>
      <c r="BC487" t="str">
        <f ca="1">IFERROR(__xludf.DUMMYFUNCTION("""COMPUTED_VALUE"""),"#VALUE!")</f>
        <v>#VALUE!</v>
      </c>
      <c r="BE487" t="str">
        <f ca="1">IFERROR(__xludf.DUMMYFUNCTION("""COMPUTED_VALUE"""),"#VALUE!")</f>
        <v>#VALUE!</v>
      </c>
      <c r="BG487" t="str">
        <f ca="1">IFERROR(__xludf.DUMMYFUNCTION("""COMPUTED_VALUE"""),"#VALUE!")</f>
        <v>#VALUE!</v>
      </c>
      <c r="BI487" t="str">
        <f ca="1">IFERROR(__xludf.DUMMYFUNCTION("""COMPUTED_VALUE"""),"#VALUE!")</f>
        <v>#VALUE!</v>
      </c>
      <c r="BK487" t="str">
        <f ca="1">IFERROR(__xludf.DUMMYFUNCTION("""COMPUTED_VALUE"""),"#VALUE!")</f>
        <v>#VALUE!</v>
      </c>
      <c r="BM487" t="str">
        <f ca="1">IFERROR(__xludf.DUMMYFUNCTION("""COMPUTED_VALUE"""),"#VALUE!")</f>
        <v>#VALUE!</v>
      </c>
      <c r="CS487" t="str">
        <f ca="1">IFERROR(__xludf.DUMMYFUNCTION("""COMPUTED_VALUE"""),"#VALUE!")</f>
        <v>#VALUE!</v>
      </c>
      <c r="CU487" t="str">
        <f ca="1">IFERROR(__xludf.DUMMYFUNCTION("""COMPUTED_VALUE"""),"#VALUE!")</f>
        <v>#VALUE!</v>
      </c>
      <c r="CW487" t="str">
        <f ca="1">IFERROR(__xludf.DUMMYFUNCTION("""COMPUTED_VALUE"""),"#VALUE!")</f>
        <v>#VALUE!</v>
      </c>
      <c r="CY487" t="str">
        <f ca="1">IFERROR(__xludf.DUMMYFUNCTION("""COMPUTED_VALUE"""),"#VALUE!")</f>
        <v>#VALUE!</v>
      </c>
      <c r="DC487" t="str">
        <f ca="1">IFERROR(__xludf.DUMMYFUNCTION("""COMPUTED_VALUE"""),"#VALUE!")</f>
        <v>#VALUE!</v>
      </c>
      <c r="DE487" t="str">
        <f ca="1">IFERROR(__xludf.DUMMYFUNCTION("""COMPUTED_VALUE"""),"#VALUE!")</f>
        <v>#VALUE!</v>
      </c>
    </row>
    <row r="488" spans="1:109" ht="13.2" x14ac:dyDescent="0.25">
      <c r="A488" t="str">
        <f ca="1">IFERROR(__xludf.DUMMYFUNCTION("""COMPUTED_VALUE"""),"P0497")</f>
        <v>P0497</v>
      </c>
      <c r="BC488" t="str">
        <f ca="1">IFERROR(__xludf.DUMMYFUNCTION("""COMPUTED_VALUE"""),"#VALUE!")</f>
        <v>#VALUE!</v>
      </c>
      <c r="BE488" t="str">
        <f ca="1">IFERROR(__xludf.DUMMYFUNCTION("""COMPUTED_VALUE"""),"#VALUE!")</f>
        <v>#VALUE!</v>
      </c>
      <c r="BG488" t="str">
        <f ca="1">IFERROR(__xludf.DUMMYFUNCTION("""COMPUTED_VALUE"""),"#VALUE!")</f>
        <v>#VALUE!</v>
      </c>
      <c r="BI488" t="str">
        <f ca="1">IFERROR(__xludf.DUMMYFUNCTION("""COMPUTED_VALUE"""),"#VALUE!")</f>
        <v>#VALUE!</v>
      </c>
      <c r="BK488" t="str">
        <f ca="1">IFERROR(__xludf.DUMMYFUNCTION("""COMPUTED_VALUE"""),"#VALUE!")</f>
        <v>#VALUE!</v>
      </c>
      <c r="BM488" t="str">
        <f ca="1">IFERROR(__xludf.DUMMYFUNCTION("""COMPUTED_VALUE"""),"#VALUE!")</f>
        <v>#VALUE!</v>
      </c>
      <c r="CS488" t="str">
        <f ca="1">IFERROR(__xludf.DUMMYFUNCTION("""COMPUTED_VALUE"""),"#VALUE!")</f>
        <v>#VALUE!</v>
      </c>
      <c r="CU488" t="str">
        <f ca="1">IFERROR(__xludf.DUMMYFUNCTION("""COMPUTED_VALUE"""),"#VALUE!")</f>
        <v>#VALUE!</v>
      </c>
      <c r="CW488" t="str">
        <f ca="1">IFERROR(__xludf.DUMMYFUNCTION("""COMPUTED_VALUE"""),"#VALUE!")</f>
        <v>#VALUE!</v>
      </c>
      <c r="CY488" t="str">
        <f ca="1">IFERROR(__xludf.DUMMYFUNCTION("""COMPUTED_VALUE"""),"#VALUE!")</f>
        <v>#VALUE!</v>
      </c>
      <c r="DC488" t="str">
        <f ca="1">IFERROR(__xludf.DUMMYFUNCTION("""COMPUTED_VALUE"""),"#VALUE!")</f>
        <v>#VALUE!</v>
      </c>
      <c r="DE488" t="str">
        <f ca="1">IFERROR(__xludf.DUMMYFUNCTION("""COMPUTED_VALUE"""),"#VALUE!")</f>
        <v>#VALUE!</v>
      </c>
    </row>
    <row r="489" spans="1:109" ht="13.2" x14ac:dyDescent="0.25">
      <c r="A489" t="str">
        <f ca="1">IFERROR(__xludf.DUMMYFUNCTION("""COMPUTED_VALUE"""),"P0498")</f>
        <v>P0498</v>
      </c>
      <c r="BC489" t="str">
        <f ca="1">IFERROR(__xludf.DUMMYFUNCTION("""COMPUTED_VALUE"""),"#VALUE!")</f>
        <v>#VALUE!</v>
      </c>
      <c r="BE489" t="str">
        <f ca="1">IFERROR(__xludf.DUMMYFUNCTION("""COMPUTED_VALUE"""),"#VALUE!")</f>
        <v>#VALUE!</v>
      </c>
      <c r="BG489" t="str">
        <f ca="1">IFERROR(__xludf.DUMMYFUNCTION("""COMPUTED_VALUE"""),"#VALUE!")</f>
        <v>#VALUE!</v>
      </c>
      <c r="BI489" t="str">
        <f ca="1">IFERROR(__xludf.DUMMYFUNCTION("""COMPUTED_VALUE"""),"#VALUE!")</f>
        <v>#VALUE!</v>
      </c>
      <c r="BK489" t="str">
        <f ca="1">IFERROR(__xludf.DUMMYFUNCTION("""COMPUTED_VALUE"""),"#VALUE!")</f>
        <v>#VALUE!</v>
      </c>
      <c r="BM489" t="str">
        <f ca="1">IFERROR(__xludf.DUMMYFUNCTION("""COMPUTED_VALUE"""),"#VALUE!")</f>
        <v>#VALUE!</v>
      </c>
      <c r="CS489" t="str">
        <f ca="1">IFERROR(__xludf.DUMMYFUNCTION("""COMPUTED_VALUE"""),"#VALUE!")</f>
        <v>#VALUE!</v>
      </c>
      <c r="CU489" t="str">
        <f ca="1">IFERROR(__xludf.DUMMYFUNCTION("""COMPUTED_VALUE"""),"#VALUE!")</f>
        <v>#VALUE!</v>
      </c>
      <c r="CW489" t="str">
        <f ca="1">IFERROR(__xludf.DUMMYFUNCTION("""COMPUTED_VALUE"""),"#VALUE!")</f>
        <v>#VALUE!</v>
      </c>
      <c r="CY489" t="str">
        <f ca="1">IFERROR(__xludf.DUMMYFUNCTION("""COMPUTED_VALUE"""),"#VALUE!")</f>
        <v>#VALUE!</v>
      </c>
      <c r="DC489" t="str">
        <f ca="1">IFERROR(__xludf.DUMMYFUNCTION("""COMPUTED_VALUE"""),"#VALUE!")</f>
        <v>#VALUE!</v>
      </c>
      <c r="DE489" t="str">
        <f ca="1">IFERROR(__xludf.DUMMYFUNCTION("""COMPUTED_VALUE"""),"#VALUE!")</f>
        <v>#VALUE!</v>
      </c>
    </row>
    <row r="490" spans="1:109" ht="13.2" x14ac:dyDescent="0.25">
      <c r="A490" t="str">
        <f ca="1">IFERROR(__xludf.DUMMYFUNCTION("""COMPUTED_VALUE"""),"P0499")</f>
        <v>P0499</v>
      </c>
      <c r="BC490" t="str">
        <f ca="1">IFERROR(__xludf.DUMMYFUNCTION("""COMPUTED_VALUE"""),"#VALUE!")</f>
        <v>#VALUE!</v>
      </c>
      <c r="BE490" t="str">
        <f ca="1">IFERROR(__xludf.DUMMYFUNCTION("""COMPUTED_VALUE"""),"#VALUE!")</f>
        <v>#VALUE!</v>
      </c>
      <c r="BG490" t="str">
        <f ca="1">IFERROR(__xludf.DUMMYFUNCTION("""COMPUTED_VALUE"""),"#VALUE!")</f>
        <v>#VALUE!</v>
      </c>
      <c r="BI490" t="str">
        <f ca="1">IFERROR(__xludf.DUMMYFUNCTION("""COMPUTED_VALUE"""),"#VALUE!")</f>
        <v>#VALUE!</v>
      </c>
      <c r="BK490" t="str">
        <f ca="1">IFERROR(__xludf.DUMMYFUNCTION("""COMPUTED_VALUE"""),"#VALUE!")</f>
        <v>#VALUE!</v>
      </c>
      <c r="BM490" t="str">
        <f ca="1">IFERROR(__xludf.DUMMYFUNCTION("""COMPUTED_VALUE"""),"#VALUE!")</f>
        <v>#VALUE!</v>
      </c>
      <c r="CS490" t="str">
        <f ca="1">IFERROR(__xludf.DUMMYFUNCTION("""COMPUTED_VALUE"""),"#VALUE!")</f>
        <v>#VALUE!</v>
      </c>
      <c r="CU490" t="str">
        <f ca="1">IFERROR(__xludf.DUMMYFUNCTION("""COMPUTED_VALUE"""),"#VALUE!")</f>
        <v>#VALUE!</v>
      </c>
      <c r="CW490" t="str">
        <f ca="1">IFERROR(__xludf.DUMMYFUNCTION("""COMPUTED_VALUE"""),"#VALUE!")</f>
        <v>#VALUE!</v>
      </c>
      <c r="CY490" t="str">
        <f ca="1">IFERROR(__xludf.DUMMYFUNCTION("""COMPUTED_VALUE"""),"#VALUE!")</f>
        <v>#VALUE!</v>
      </c>
      <c r="DC490" t="str">
        <f ca="1">IFERROR(__xludf.DUMMYFUNCTION("""COMPUTED_VALUE"""),"#VALUE!")</f>
        <v>#VALUE!</v>
      </c>
      <c r="DE490" t="str">
        <f ca="1">IFERROR(__xludf.DUMMYFUNCTION("""COMPUTED_VALUE"""),"#VALUE!")</f>
        <v>#VALUE!</v>
      </c>
    </row>
    <row r="491" spans="1:109" ht="13.2" x14ac:dyDescent="0.25">
      <c r="A491" t="str">
        <f ca="1">IFERROR(__xludf.DUMMYFUNCTION("""COMPUTED_VALUE"""),"P0500")</f>
        <v>P0500</v>
      </c>
      <c r="BC491" t="str">
        <f ca="1">IFERROR(__xludf.DUMMYFUNCTION("""COMPUTED_VALUE"""),"#VALUE!")</f>
        <v>#VALUE!</v>
      </c>
      <c r="BE491" t="str">
        <f ca="1">IFERROR(__xludf.DUMMYFUNCTION("""COMPUTED_VALUE"""),"#VALUE!")</f>
        <v>#VALUE!</v>
      </c>
      <c r="BG491" t="str">
        <f ca="1">IFERROR(__xludf.DUMMYFUNCTION("""COMPUTED_VALUE"""),"#VALUE!")</f>
        <v>#VALUE!</v>
      </c>
      <c r="BI491" t="str">
        <f ca="1">IFERROR(__xludf.DUMMYFUNCTION("""COMPUTED_VALUE"""),"#VALUE!")</f>
        <v>#VALUE!</v>
      </c>
      <c r="BK491" t="str">
        <f ca="1">IFERROR(__xludf.DUMMYFUNCTION("""COMPUTED_VALUE"""),"#VALUE!")</f>
        <v>#VALUE!</v>
      </c>
      <c r="BM491" t="str">
        <f ca="1">IFERROR(__xludf.DUMMYFUNCTION("""COMPUTED_VALUE"""),"#VALUE!")</f>
        <v>#VALUE!</v>
      </c>
      <c r="CS491" t="str">
        <f ca="1">IFERROR(__xludf.DUMMYFUNCTION("""COMPUTED_VALUE"""),"#VALUE!")</f>
        <v>#VALUE!</v>
      </c>
      <c r="CU491" t="str">
        <f ca="1">IFERROR(__xludf.DUMMYFUNCTION("""COMPUTED_VALUE"""),"#VALUE!")</f>
        <v>#VALUE!</v>
      </c>
      <c r="CW491" t="str">
        <f ca="1">IFERROR(__xludf.DUMMYFUNCTION("""COMPUTED_VALUE"""),"#VALUE!")</f>
        <v>#VALUE!</v>
      </c>
      <c r="CY491" t="str">
        <f ca="1">IFERROR(__xludf.DUMMYFUNCTION("""COMPUTED_VALUE"""),"#VALUE!")</f>
        <v>#VALUE!</v>
      </c>
      <c r="DC491" t="str">
        <f ca="1">IFERROR(__xludf.DUMMYFUNCTION("""COMPUTED_VALUE"""),"#VALUE!")</f>
        <v>#VALUE!</v>
      </c>
      <c r="DE491" t="str">
        <f ca="1">IFERROR(__xludf.DUMMYFUNCTION("""COMPUTED_VALUE"""),"#VALUE!")</f>
        <v>#VALUE!</v>
      </c>
    </row>
    <row r="492" spans="1:109" ht="13.2" x14ac:dyDescent="0.25">
      <c r="A492" t="str">
        <f ca="1">IFERROR(__xludf.DUMMYFUNCTION("""COMPUTED_VALUE"""),"P0501")</f>
        <v>P0501</v>
      </c>
      <c r="BC492" t="str">
        <f ca="1">IFERROR(__xludf.DUMMYFUNCTION("""COMPUTED_VALUE"""),"#VALUE!")</f>
        <v>#VALUE!</v>
      </c>
      <c r="BE492" t="str">
        <f ca="1">IFERROR(__xludf.DUMMYFUNCTION("""COMPUTED_VALUE"""),"#VALUE!")</f>
        <v>#VALUE!</v>
      </c>
      <c r="BG492" t="str">
        <f ca="1">IFERROR(__xludf.DUMMYFUNCTION("""COMPUTED_VALUE"""),"#VALUE!")</f>
        <v>#VALUE!</v>
      </c>
      <c r="BI492" t="str">
        <f ca="1">IFERROR(__xludf.DUMMYFUNCTION("""COMPUTED_VALUE"""),"#VALUE!")</f>
        <v>#VALUE!</v>
      </c>
      <c r="BK492" t="str">
        <f ca="1">IFERROR(__xludf.DUMMYFUNCTION("""COMPUTED_VALUE"""),"#VALUE!")</f>
        <v>#VALUE!</v>
      </c>
      <c r="BM492" t="str">
        <f ca="1">IFERROR(__xludf.DUMMYFUNCTION("""COMPUTED_VALUE"""),"#VALUE!")</f>
        <v>#VALUE!</v>
      </c>
      <c r="CS492" t="str">
        <f ca="1">IFERROR(__xludf.DUMMYFUNCTION("""COMPUTED_VALUE"""),"#VALUE!")</f>
        <v>#VALUE!</v>
      </c>
      <c r="CU492" t="str">
        <f ca="1">IFERROR(__xludf.DUMMYFUNCTION("""COMPUTED_VALUE"""),"#VALUE!")</f>
        <v>#VALUE!</v>
      </c>
      <c r="CW492" t="str">
        <f ca="1">IFERROR(__xludf.DUMMYFUNCTION("""COMPUTED_VALUE"""),"#VALUE!")</f>
        <v>#VALUE!</v>
      </c>
      <c r="CY492" t="str">
        <f ca="1">IFERROR(__xludf.DUMMYFUNCTION("""COMPUTED_VALUE"""),"#VALUE!")</f>
        <v>#VALUE!</v>
      </c>
      <c r="DC492" t="str">
        <f ca="1">IFERROR(__xludf.DUMMYFUNCTION("""COMPUTED_VALUE"""),"#VALUE!")</f>
        <v>#VALUE!</v>
      </c>
      <c r="DE492" t="str">
        <f ca="1">IFERROR(__xludf.DUMMYFUNCTION("""COMPUTED_VALUE"""),"#VALUE!")</f>
        <v>#VALUE!</v>
      </c>
    </row>
    <row r="493" spans="1:109" ht="13.2" x14ac:dyDescent="0.25">
      <c r="A493" t="str">
        <f ca="1">IFERROR(__xludf.DUMMYFUNCTION("""COMPUTED_VALUE"""),"P0502")</f>
        <v>P0502</v>
      </c>
      <c r="BC493" t="str">
        <f ca="1">IFERROR(__xludf.DUMMYFUNCTION("""COMPUTED_VALUE"""),"#VALUE!")</f>
        <v>#VALUE!</v>
      </c>
      <c r="BE493" t="str">
        <f ca="1">IFERROR(__xludf.DUMMYFUNCTION("""COMPUTED_VALUE"""),"#VALUE!")</f>
        <v>#VALUE!</v>
      </c>
      <c r="BG493" t="str">
        <f ca="1">IFERROR(__xludf.DUMMYFUNCTION("""COMPUTED_VALUE"""),"#VALUE!")</f>
        <v>#VALUE!</v>
      </c>
      <c r="BI493" t="str">
        <f ca="1">IFERROR(__xludf.DUMMYFUNCTION("""COMPUTED_VALUE"""),"#VALUE!")</f>
        <v>#VALUE!</v>
      </c>
      <c r="BK493" t="str">
        <f ca="1">IFERROR(__xludf.DUMMYFUNCTION("""COMPUTED_VALUE"""),"#VALUE!")</f>
        <v>#VALUE!</v>
      </c>
      <c r="BM493" t="str">
        <f ca="1">IFERROR(__xludf.DUMMYFUNCTION("""COMPUTED_VALUE"""),"#VALUE!")</f>
        <v>#VALUE!</v>
      </c>
      <c r="CS493" t="str">
        <f ca="1">IFERROR(__xludf.DUMMYFUNCTION("""COMPUTED_VALUE"""),"#VALUE!")</f>
        <v>#VALUE!</v>
      </c>
      <c r="CU493" t="str">
        <f ca="1">IFERROR(__xludf.DUMMYFUNCTION("""COMPUTED_VALUE"""),"#VALUE!")</f>
        <v>#VALUE!</v>
      </c>
      <c r="CW493" t="str">
        <f ca="1">IFERROR(__xludf.DUMMYFUNCTION("""COMPUTED_VALUE"""),"#VALUE!")</f>
        <v>#VALUE!</v>
      </c>
      <c r="CY493" t="str">
        <f ca="1">IFERROR(__xludf.DUMMYFUNCTION("""COMPUTED_VALUE"""),"#VALUE!")</f>
        <v>#VALUE!</v>
      </c>
      <c r="DC493" t="str">
        <f ca="1">IFERROR(__xludf.DUMMYFUNCTION("""COMPUTED_VALUE"""),"#VALUE!")</f>
        <v>#VALUE!</v>
      </c>
      <c r="DE493" t="str">
        <f ca="1">IFERROR(__xludf.DUMMYFUNCTION("""COMPUTED_VALUE"""),"#VALUE!")</f>
        <v>#VALUE!</v>
      </c>
    </row>
    <row r="494" spans="1:109" ht="13.2" x14ac:dyDescent="0.25">
      <c r="A494" t="str">
        <f ca="1">IFERROR(__xludf.DUMMYFUNCTION("""COMPUTED_VALUE"""),"P0503")</f>
        <v>P0503</v>
      </c>
      <c r="BC494" t="str">
        <f ca="1">IFERROR(__xludf.DUMMYFUNCTION("""COMPUTED_VALUE"""),"#VALUE!")</f>
        <v>#VALUE!</v>
      </c>
      <c r="BE494" t="str">
        <f ca="1">IFERROR(__xludf.DUMMYFUNCTION("""COMPUTED_VALUE"""),"#VALUE!")</f>
        <v>#VALUE!</v>
      </c>
      <c r="BG494" t="str">
        <f ca="1">IFERROR(__xludf.DUMMYFUNCTION("""COMPUTED_VALUE"""),"#VALUE!")</f>
        <v>#VALUE!</v>
      </c>
      <c r="BI494" t="str">
        <f ca="1">IFERROR(__xludf.DUMMYFUNCTION("""COMPUTED_VALUE"""),"#VALUE!")</f>
        <v>#VALUE!</v>
      </c>
      <c r="BK494" t="str">
        <f ca="1">IFERROR(__xludf.DUMMYFUNCTION("""COMPUTED_VALUE"""),"#VALUE!")</f>
        <v>#VALUE!</v>
      </c>
      <c r="BM494" t="str">
        <f ca="1">IFERROR(__xludf.DUMMYFUNCTION("""COMPUTED_VALUE"""),"#VALUE!")</f>
        <v>#VALUE!</v>
      </c>
      <c r="CS494" t="str">
        <f ca="1">IFERROR(__xludf.DUMMYFUNCTION("""COMPUTED_VALUE"""),"#VALUE!")</f>
        <v>#VALUE!</v>
      </c>
      <c r="CU494" t="str">
        <f ca="1">IFERROR(__xludf.DUMMYFUNCTION("""COMPUTED_VALUE"""),"#VALUE!")</f>
        <v>#VALUE!</v>
      </c>
      <c r="CW494" t="str">
        <f ca="1">IFERROR(__xludf.DUMMYFUNCTION("""COMPUTED_VALUE"""),"#VALUE!")</f>
        <v>#VALUE!</v>
      </c>
      <c r="CY494" t="str">
        <f ca="1">IFERROR(__xludf.DUMMYFUNCTION("""COMPUTED_VALUE"""),"#VALUE!")</f>
        <v>#VALUE!</v>
      </c>
      <c r="DC494" t="str">
        <f ca="1">IFERROR(__xludf.DUMMYFUNCTION("""COMPUTED_VALUE"""),"#VALUE!")</f>
        <v>#VALUE!</v>
      </c>
      <c r="DE494" t="str">
        <f ca="1">IFERROR(__xludf.DUMMYFUNCTION("""COMPUTED_VALUE"""),"#VALUE!")</f>
        <v>#VALUE!</v>
      </c>
    </row>
    <row r="495" spans="1:109" ht="13.2" x14ac:dyDescent="0.25">
      <c r="A495" t="str">
        <f ca="1">IFERROR(__xludf.DUMMYFUNCTION("""COMPUTED_VALUE"""),"P0504")</f>
        <v>P0504</v>
      </c>
      <c r="BC495" t="str">
        <f ca="1">IFERROR(__xludf.DUMMYFUNCTION("""COMPUTED_VALUE"""),"#VALUE!")</f>
        <v>#VALUE!</v>
      </c>
      <c r="BE495" t="str">
        <f ca="1">IFERROR(__xludf.DUMMYFUNCTION("""COMPUTED_VALUE"""),"#VALUE!")</f>
        <v>#VALUE!</v>
      </c>
      <c r="BG495" t="str">
        <f ca="1">IFERROR(__xludf.DUMMYFUNCTION("""COMPUTED_VALUE"""),"#VALUE!")</f>
        <v>#VALUE!</v>
      </c>
      <c r="BI495" t="str">
        <f ca="1">IFERROR(__xludf.DUMMYFUNCTION("""COMPUTED_VALUE"""),"#VALUE!")</f>
        <v>#VALUE!</v>
      </c>
      <c r="BK495" t="str">
        <f ca="1">IFERROR(__xludf.DUMMYFUNCTION("""COMPUTED_VALUE"""),"#VALUE!")</f>
        <v>#VALUE!</v>
      </c>
      <c r="BM495" t="str">
        <f ca="1">IFERROR(__xludf.DUMMYFUNCTION("""COMPUTED_VALUE"""),"#VALUE!")</f>
        <v>#VALUE!</v>
      </c>
      <c r="CS495" t="str">
        <f ca="1">IFERROR(__xludf.DUMMYFUNCTION("""COMPUTED_VALUE"""),"#VALUE!")</f>
        <v>#VALUE!</v>
      </c>
      <c r="CU495" t="str">
        <f ca="1">IFERROR(__xludf.DUMMYFUNCTION("""COMPUTED_VALUE"""),"#VALUE!")</f>
        <v>#VALUE!</v>
      </c>
      <c r="CW495" t="str">
        <f ca="1">IFERROR(__xludf.DUMMYFUNCTION("""COMPUTED_VALUE"""),"#VALUE!")</f>
        <v>#VALUE!</v>
      </c>
      <c r="CY495" t="str">
        <f ca="1">IFERROR(__xludf.DUMMYFUNCTION("""COMPUTED_VALUE"""),"#VALUE!")</f>
        <v>#VALUE!</v>
      </c>
      <c r="DC495" t="str">
        <f ca="1">IFERROR(__xludf.DUMMYFUNCTION("""COMPUTED_VALUE"""),"#VALUE!")</f>
        <v>#VALUE!</v>
      </c>
      <c r="DE495" t="str">
        <f ca="1">IFERROR(__xludf.DUMMYFUNCTION("""COMPUTED_VALUE"""),"#VALUE!")</f>
        <v>#VALUE!</v>
      </c>
    </row>
    <row r="496" spans="1:109" ht="13.2" x14ac:dyDescent="0.25">
      <c r="A496" t="str">
        <f ca="1">IFERROR(__xludf.DUMMYFUNCTION("""COMPUTED_VALUE"""),"P0505")</f>
        <v>P0505</v>
      </c>
      <c r="BC496" t="str">
        <f ca="1">IFERROR(__xludf.DUMMYFUNCTION("""COMPUTED_VALUE"""),"#VALUE!")</f>
        <v>#VALUE!</v>
      </c>
      <c r="BE496" t="str">
        <f ca="1">IFERROR(__xludf.DUMMYFUNCTION("""COMPUTED_VALUE"""),"#VALUE!")</f>
        <v>#VALUE!</v>
      </c>
      <c r="BG496" t="str">
        <f ca="1">IFERROR(__xludf.DUMMYFUNCTION("""COMPUTED_VALUE"""),"#VALUE!")</f>
        <v>#VALUE!</v>
      </c>
      <c r="BI496" t="str">
        <f ca="1">IFERROR(__xludf.DUMMYFUNCTION("""COMPUTED_VALUE"""),"#VALUE!")</f>
        <v>#VALUE!</v>
      </c>
      <c r="BK496" t="str">
        <f ca="1">IFERROR(__xludf.DUMMYFUNCTION("""COMPUTED_VALUE"""),"#VALUE!")</f>
        <v>#VALUE!</v>
      </c>
      <c r="BM496" t="str">
        <f ca="1">IFERROR(__xludf.DUMMYFUNCTION("""COMPUTED_VALUE"""),"#VALUE!")</f>
        <v>#VALUE!</v>
      </c>
      <c r="CS496" t="str">
        <f ca="1">IFERROR(__xludf.DUMMYFUNCTION("""COMPUTED_VALUE"""),"#VALUE!")</f>
        <v>#VALUE!</v>
      </c>
      <c r="CU496" t="str">
        <f ca="1">IFERROR(__xludf.DUMMYFUNCTION("""COMPUTED_VALUE"""),"#VALUE!")</f>
        <v>#VALUE!</v>
      </c>
      <c r="CW496" t="str">
        <f ca="1">IFERROR(__xludf.DUMMYFUNCTION("""COMPUTED_VALUE"""),"#VALUE!")</f>
        <v>#VALUE!</v>
      </c>
      <c r="CY496" t="str">
        <f ca="1">IFERROR(__xludf.DUMMYFUNCTION("""COMPUTED_VALUE"""),"#VALUE!")</f>
        <v>#VALUE!</v>
      </c>
      <c r="DC496" t="str">
        <f ca="1">IFERROR(__xludf.DUMMYFUNCTION("""COMPUTED_VALUE"""),"#VALUE!")</f>
        <v>#VALUE!</v>
      </c>
      <c r="DE496" t="str">
        <f ca="1">IFERROR(__xludf.DUMMYFUNCTION("""COMPUTED_VALUE"""),"#VALUE!")</f>
        <v>#VALUE!</v>
      </c>
    </row>
    <row r="497" spans="1:109" ht="13.2" x14ac:dyDescent="0.25">
      <c r="A497" t="str">
        <f ca="1">IFERROR(__xludf.DUMMYFUNCTION("""COMPUTED_VALUE"""),"P0506")</f>
        <v>P0506</v>
      </c>
      <c r="BC497" t="str">
        <f ca="1">IFERROR(__xludf.DUMMYFUNCTION("""COMPUTED_VALUE"""),"#VALUE!")</f>
        <v>#VALUE!</v>
      </c>
      <c r="BE497" t="str">
        <f ca="1">IFERROR(__xludf.DUMMYFUNCTION("""COMPUTED_VALUE"""),"#VALUE!")</f>
        <v>#VALUE!</v>
      </c>
      <c r="BG497" t="str">
        <f ca="1">IFERROR(__xludf.DUMMYFUNCTION("""COMPUTED_VALUE"""),"#VALUE!")</f>
        <v>#VALUE!</v>
      </c>
      <c r="BI497" t="str">
        <f ca="1">IFERROR(__xludf.DUMMYFUNCTION("""COMPUTED_VALUE"""),"#VALUE!")</f>
        <v>#VALUE!</v>
      </c>
      <c r="BK497" t="str">
        <f ca="1">IFERROR(__xludf.DUMMYFUNCTION("""COMPUTED_VALUE"""),"#VALUE!")</f>
        <v>#VALUE!</v>
      </c>
      <c r="BM497" t="str">
        <f ca="1">IFERROR(__xludf.DUMMYFUNCTION("""COMPUTED_VALUE"""),"#VALUE!")</f>
        <v>#VALUE!</v>
      </c>
      <c r="CS497" t="str">
        <f ca="1">IFERROR(__xludf.DUMMYFUNCTION("""COMPUTED_VALUE"""),"#VALUE!")</f>
        <v>#VALUE!</v>
      </c>
      <c r="CU497" t="str">
        <f ca="1">IFERROR(__xludf.DUMMYFUNCTION("""COMPUTED_VALUE"""),"#VALUE!")</f>
        <v>#VALUE!</v>
      </c>
      <c r="CW497" t="str">
        <f ca="1">IFERROR(__xludf.DUMMYFUNCTION("""COMPUTED_VALUE"""),"#VALUE!")</f>
        <v>#VALUE!</v>
      </c>
      <c r="CY497" t="str">
        <f ca="1">IFERROR(__xludf.DUMMYFUNCTION("""COMPUTED_VALUE"""),"#VALUE!")</f>
        <v>#VALUE!</v>
      </c>
      <c r="DC497" t="str">
        <f ca="1">IFERROR(__xludf.DUMMYFUNCTION("""COMPUTED_VALUE"""),"#VALUE!")</f>
        <v>#VALUE!</v>
      </c>
      <c r="DE497" t="str">
        <f ca="1">IFERROR(__xludf.DUMMYFUNCTION("""COMPUTED_VALUE"""),"#VALUE!")</f>
        <v>#VALUE!</v>
      </c>
    </row>
    <row r="498" spans="1:109" ht="13.2" x14ac:dyDescent="0.25">
      <c r="A498" t="str">
        <f ca="1">IFERROR(__xludf.DUMMYFUNCTION("""COMPUTED_VALUE"""),"P0507")</f>
        <v>P0507</v>
      </c>
      <c r="BC498" t="str">
        <f ca="1">IFERROR(__xludf.DUMMYFUNCTION("""COMPUTED_VALUE"""),"#VALUE!")</f>
        <v>#VALUE!</v>
      </c>
      <c r="BE498" t="str">
        <f ca="1">IFERROR(__xludf.DUMMYFUNCTION("""COMPUTED_VALUE"""),"#VALUE!")</f>
        <v>#VALUE!</v>
      </c>
      <c r="BG498" t="str">
        <f ca="1">IFERROR(__xludf.DUMMYFUNCTION("""COMPUTED_VALUE"""),"#VALUE!")</f>
        <v>#VALUE!</v>
      </c>
      <c r="BI498" t="str">
        <f ca="1">IFERROR(__xludf.DUMMYFUNCTION("""COMPUTED_VALUE"""),"#VALUE!")</f>
        <v>#VALUE!</v>
      </c>
      <c r="BK498" t="str">
        <f ca="1">IFERROR(__xludf.DUMMYFUNCTION("""COMPUTED_VALUE"""),"#VALUE!")</f>
        <v>#VALUE!</v>
      </c>
      <c r="BM498" t="str">
        <f ca="1">IFERROR(__xludf.DUMMYFUNCTION("""COMPUTED_VALUE"""),"#VALUE!")</f>
        <v>#VALUE!</v>
      </c>
      <c r="CS498" t="str">
        <f ca="1">IFERROR(__xludf.DUMMYFUNCTION("""COMPUTED_VALUE"""),"#VALUE!")</f>
        <v>#VALUE!</v>
      </c>
      <c r="CU498" t="str">
        <f ca="1">IFERROR(__xludf.DUMMYFUNCTION("""COMPUTED_VALUE"""),"#VALUE!")</f>
        <v>#VALUE!</v>
      </c>
      <c r="CW498" t="str">
        <f ca="1">IFERROR(__xludf.DUMMYFUNCTION("""COMPUTED_VALUE"""),"#VALUE!")</f>
        <v>#VALUE!</v>
      </c>
      <c r="CY498" t="str">
        <f ca="1">IFERROR(__xludf.DUMMYFUNCTION("""COMPUTED_VALUE"""),"#VALUE!")</f>
        <v>#VALUE!</v>
      </c>
      <c r="DC498" t="str">
        <f ca="1">IFERROR(__xludf.DUMMYFUNCTION("""COMPUTED_VALUE"""),"#VALUE!")</f>
        <v>#VALUE!</v>
      </c>
      <c r="DE498" t="str">
        <f ca="1">IFERROR(__xludf.DUMMYFUNCTION("""COMPUTED_VALUE"""),"#VALUE!")</f>
        <v>#VALUE!</v>
      </c>
    </row>
    <row r="499" spans="1:109" ht="13.2" x14ac:dyDescent="0.25">
      <c r="A499" t="str">
        <f ca="1">IFERROR(__xludf.DUMMYFUNCTION("""COMPUTED_VALUE"""),"P0508")</f>
        <v>P0508</v>
      </c>
      <c r="BC499" t="str">
        <f ca="1">IFERROR(__xludf.DUMMYFUNCTION("""COMPUTED_VALUE"""),"#VALUE!")</f>
        <v>#VALUE!</v>
      </c>
      <c r="BE499" t="str">
        <f ca="1">IFERROR(__xludf.DUMMYFUNCTION("""COMPUTED_VALUE"""),"#VALUE!")</f>
        <v>#VALUE!</v>
      </c>
      <c r="BG499" t="str">
        <f ca="1">IFERROR(__xludf.DUMMYFUNCTION("""COMPUTED_VALUE"""),"#VALUE!")</f>
        <v>#VALUE!</v>
      </c>
      <c r="BI499" t="str">
        <f ca="1">IFERROR(__xludf.DUMMYFUNCTION("""COMPUTED_VALUE"""),"#VALUE!")</f>
        <v>#VALUE!</v>
      </c>
      <c r="BK499" t="str">
        <f ca="1">IFERROR(__xludf.DUMMYFUNCTION("""COMPUTED_VALUE"""),"#VALUE!")</f>
        <v>#VALUE!</v>
      </c>
      <c r="BM499" t="str">
        <f ca="1">IFERROR(__xludf.DUMMYFUNCTION("""COMPUTED_VALUE"""),"#VALUE!")</f>
        <v>#VALUE!</v>
      </c>
      <c r="CS499" t="str">
        <f ca="1">IFERROR(__xludf.DUMMYFUNCTION("""COMPUTED_VALUE"""),"#VALUE!")</f>
        <v>#VALUE!</v>
      </c>
      <c r="CU499" t="str">
        <f ca="1">IFERROR(__xludf.DUMMYFUNCTION("""COMPUTED_VALUE"""),"#VALUE!")</f>
        <v>#VALUE!</v>
      </c>
      <c r="CW499" t="str">
        <f ca="1">IFERROR(__xludf.DUMMYFUNCTION("""COMPUTED_VALUE"""),"#VALUE!")</f>
        <v>#VALUE!</v>
      </c>
      <c r="CY499" t="str">
        <f ca="1">IFERROR(__xludf.DUMMYFUNCTION("""COMPUTED_VALUE"""),"#VALUE!")</f>
        <v>#VALUE!</v>
      </c>
      <c r="DC499" t="str">
        <f ca="1">IFERROR(__xludf.DUMMYFUNCTION("""COMPUTED_VALUE"""),"#VALUE!")</f>
        <v>#VALUE!</v>
      </c>
      <c r="DE499" t="str">
        <f ca="1">IFERROR(__xludf.DUMMYFUNCTION("""COMPUTED_VALUE"""),"#VALUE!")</f>
        <v>#VALUE!</v>
      </c>
    </row>
    <row r="500" spans="1:109" ht="13.2" x14ac:dyDescent="0.25">
      <c r="A500" t="str">
        <f ca="1">IFERROR(__xludf.DUMMYFUNCTION("""COMPUTED_VALUE"""),"P0509")</f>
        <v>P0509</v>
      </c>
      <c r="BC500" t="str">
        <f ca="1">IFERROR(__xludf.DUMMYFUNCTION("""COMPUTED_VALUE"""),"#VALUE!")</f>
        <v>#VALUE!</v>
      </c>
      <c r="BE500" t="str">
        <f ca="1">IFERROR(__xludf.DUMMYFUNCTION("""COMPUTED_VALUE"""),"#VALUE!")</f>
        <v>#VALUE!</v>
      </c>
      <c r="BG500" t="str">
        <f ca="1">IFERROR(__xludf.DUMMYFUNCTION("""COMPUTED_VALUE"""),"#VALUE!")</f>
        <v>#VALUE!</v>
      </c>
      <c r="BI500" t="str">
        <f ca="1">IFERROR(__xludf.DUMMYFUNCTION("""COMPUTED_VALUE"""),"#VALUE!")</f>
        <v>#VALUE!</v>
      </c>
      <c r="BK500" t="str">
        <f ca="1">IFERROR(__xludf.DUMMYFUNCTION("""COMPUTED_VALUE"""),"#VALUE!")</f>
        <v>#VALUE!</v>
      </c>
      <c r="BM500" t="str">
        <f ca="1">IFERROR(__xludf.DUMMYFUNCTION("""COMPUTED_VALUE"""),"#VALUE!")</f>
        <v>#VALUE!</v>
      </c>
      <c r="CS500" t="str">
        <f ca="1">IFERROR(__xludf.DUMMYFUNCTION("""COMPUTED_VALUE"""),"#VALUE!")</f>
        <v>#VALUE!</v>
      </c>
      <c r="CU500" t="str">
        <f ca="1">IFERROR(__xludf.DUMMYFUNCTION("""COMPUTED_VALUE"""),"#VALUE!")</f>
        <v>#VALUE!</v>
      </c>
      <c r="CW500" t="str">
        <f ca="1">IFERROR(__xludf.DUMMYFUNCTION("""COMPUTED_VALUE"""),"#VALUE!")</f>
        <v>#VALUE!</v>
      </c>
      <c r="CY500" t="str">
        <f ca="1">IFERROR(__xludf.DUMMYFUNCTION("""COMPUTED_VALUE"""),"#VALUE!")</f>
        <v>#VALUE!</v>
      </c>
      <c r="DC500" t="str">
        <f ca="1">IFERROR(__xludf.DUMMYFUNCTION("""COMPUTED_VALUE"""),"#VALUE!")</f>
        <v>#VALUE!</v>
      </c>
      <c r="DE500" t="str">
        <f ca="1">IFERROR(__xludf.DUMMYFUNCTION("""COMPUTED_VALUE"""),"#VALUE!")</f>
        <v>#VALUE!</v>
      </c>
    </row>
    <row r="501" spans="1:109" ht="13.2" x14ac:dyDescent="0.25">
      <c r="A501" t="str">
        <f ca="1">IFERROR(__xludf.DUMMYFUNCTION("""COMPUTED_VALUE"""),"P0510")</f>
        <v>P0510</v>
      </c>
      <c r="BC501" t="str">
        <f ca="1">IFERROR(__xludf.DUMMYFUNCTION("""COMPUTED_VALUE"""),"#VALUE!")</f>
        <v>#VALUE!</v>
      </c>
      <c r="BE501" t="str">
        <f ca="1">IFERROR(__xludf.DUMMYFUNCTION("""COMPUTED_VALUE"""),"#VALUE!")</f>
        <v>#VALUE!</v>
      </c>
      <c r="BG501" t="str">
        <f ca="1">IFERROR(__xludf.DUMMYFUNCTION("""COMPUTED_VALUE"""),"#VALUE!")</f>
        <v>#VALUE!</v>
      </c>
      <c r="BI501" t="str">
        <f ca="1">IFERROR(__xludf.DUMMYFUNCTION("""COMPUTED_VALUE"""),"#VALUE!")</f>
        <v>#VALUE!</v>
      </c>
      <c r="BK501" t="str">
        <f ca="1">IFERROR(__xludf.DUMMYFUNCTION("""COMPUTED_VALUE"""),"#VALUE!")</f>
        <v>#VALUE!</v>
      </c>
      <c r="BM501" t="str">
        <f ca="1">IFERROR(__xludf.DUMMYFUNCTION("""COMPUTED_VALUE"""),"#VALUE!")</f>
        <v>#VALUE!</v>
      </c>
      <c r="CS501" t="str">
        <f ca="1">IFERROR(__xludf.DUMMYFUNCTION("""COMPUTED_VALUE"""),"#VALUE!")</f>
        <v>#VALUE!</v>
      </c>
      <c r="CU501" t="str">
        <f ca="1">IFERROR(__xludf.DUMMYFUNCTION("""COMPUTED_VALUE"""),"#VALUE!")</f>
        <v>#VALUE!</v>
      </c>
      <c r="CW501" t="str">
        <f ca="1">IFERROR(__xludf.DUMMYFUNCTION("""COMPUTED_VALUE"""),"#VALUE!")</f>
        <v>#VALUE!</v>
      </c>
      <c r="CY501" t="str">
        <f ca="1">IFERROR(__xludf.DUMMYFUNCTION("""COMPUTED_VALUE"""),"#VALUE!")</f>
        <v>#VALUE!</v>
      </c>
      <c r="DC501" t="str">
        <f ca="1">IFERROR(__xludf.DUMMYFUNCTION("""COMPUTED_VALUE"""),"#VALUE!")</f>
        <v>#VALUE!</v>
      </c>
      <c r="DE501" t="str">
        <f ca="1">IFERROR(__xludf.DUMMYFUNCTION("""COMPUTED_VALUE"""),"#VALUE!")</f>
        <v>#VALUE!</v>
      </c>
    </row>
    <row r="502" spans="1:109" ht="13.2" x14ac:dyDescent="0.25">
      <c r="A502" t="str">
        <f ca="1">IFERROR(__xludf.DUMMYFUNCTION("""COMPUTED_VALUE"""),"P0511")</f>
        <v>P0511</v>
      </c>
      <c r="BC502" t="str">
        <f ca="1">IFERROR(__xludf.DUMMYFUNCTION("""COMPUTED_VALUE"""),"#VALUE!")</f>
        <v>#VALUE!</v>
      </c>
      <c r="BE502" t="str">
        <f ca="1">IFERROR(__xludf.DUMMYFUNCTION("""COMPUTED_VALUE"""),"#VALUE!")</f>
        <v>#VALUE!</v>
      </c>
      <c r="BG502" t="str">
        <f ca="1">IFERROR(__xludf.DUMMYFUNCTION("""COMPUTED_VALUE"""),"#VALUE!")</f>
        <v>#VALUE!</v>
      </c>
      <c r="BI502" t="str">
        <f ca="1">IFERROR(__xludf.DUMMYFUNCTION("""COMPUTED_VALUE"""),"#VALUE!")</f>
        <v>#VALUE!</v>
      </c>
      <c r="BK502" t="str">
        <f ca="1">IFERROR(__xludf.DUMMYFUNCTION("""COMPUTED_VALUE"""),"#VALUE!")</f>
        <v>#VALUE!</v>
      </c>
      <c r="BM502" t="str">
        <f ca="1">IFERROR(__xludf.DUMMYFUNCTION("""COMPUTED_VALUE"""),"#VALUE!")</f>
        <v>#VALUE!</v>
      </c>
      <c r="CS502" t="str">
        <f ca="1">IFERROR(__xludf.DUMMYFUNCTION("""COMPUTED_VALUE"""),"#VALUE!")</f>
        <v>#VALUE!</v>
      </c>
      <c r="CU502" t="str">
        <f ca="1">IFERROR(__xludf.DUMMYFUNCTION("""COMPUTED_VALUE"""),"#VALUE!")</f>
        <v>#VALUE!</v>
      </c>
      <c r="CW502" t="str">
        <f ca="1">IFERROR(__xludf.DUMMYFUNCTION("""COMPUTED_VALUE"""),"#VALUE!")</f>
        <v>#VALUE!</v>
      </c>
      <c r="CY502" t="str">
        <f ca="1">IFERROR(__xludf.DUMMYFUNCTION("""COMPUTED_VALUE"""),"#VALUE!")</f>
        <v>#VALUE!</v>
      </c>
      <c r="DC502" t="str">
        <f ca="1">IFERROR(__xludf.DUMMYFUNCTION("""COMPUTED_VALUE"""),"#VALUE!")</f>
        <v>#VALUE!</v>
      </c>
      <c r="DE502" t="str">
        <f ca="1">IFERROR(__xludf.DUMMYFUNCTION("""COMPUTED_VALUE"""),"#VALUE!")</f>
        <v>#VALUE!</v>
      </c>
    </row>
    <row r="503" spans="1:109" ht="13.2" x14ac:dyDescent="0.25">
      <c r="A503" t="str">
        <f ca="1">IFERROR(__xludf.DUMMYFUNCTION("""COMPUTED_VALUE"""),"P0512")</f>
        <v>P0512</v>
      </c>
      <c r="BC503" t="str">
        <f ca="1">IFERROR(__xludf.DUMMYFUNCTION("""COMPUTED_VALUE"""),"#VALUE!")</f>
        <v>#VALUE!</v>
      </c>
      <c r="BE503" t="str">
        <f ca="1">IFERROR(__xludf.DUMMYFUNCTION("""COMPUTED_VALUE"""),"#VALUE!")</f>
        <v>#VALUE!</v>
      </c>
      <c r="BG503" t="str">
        <f ca="1">IFERROR(__xludf.DUMMYFUNCTION("""COMPUTED_VALUE"""),"#VALUE!")</f>
        <v>#VALUE!</v>
      </c>
      <c r="BI503" t="str">
        <f ca="1">IFERROR(__xludf.DUMMYFUNCTION("""COMPUTED_VALUE"""),"#VALUE!")</f>
        <v>#VALUE!</v>
      </c>
      <c r="BK503" t="str">
        <f ca="1">IFERROR(__xludf.DUMMYFUNCTION("""COMPUTED_VALUE"""),"#VALUE!")</f>
        <v>#VALUE!</v>
      </c>
      <c r="BM503" t="str">
        <f ca="1">IFERROR(__xludf.DUMMYFUNCTION("""COMPUTED_VALUE"""),"#VALUE!")</f>
        <v>#VALUE!</v>
      </c>
      <c r="CS503" t="str">
        <f ca="1">IFERROR(__xludf.DUMMYFUNCTION("""COMPUTED_VALUE"""),"#VALUE!")</f>
        <v>#VALUE!</v>
      </c>
      <c r="CU503" t="str">
        <f ca="1">IFERROR(__xludf.DUMMYFUNCTION("""COMPUTED_VALUE"""),"#VALUE!")</f>
        <v>#VALUE!</v>
      </c>
      <c r="CW503" t="str">
        <f ca="1">IFERROR(__xludf.DUMMYFUNCTION("""COMPUTED_VALUE"""),"#VALUE!")</f>
        <v>#VALUE!</v>
      </c>
      <c r="CY503" t="str">
        <f ca="1">IFERROR(__xludf.DUMMYFUNCTION("""COMPUTED_VALUE"""),"#VALUE!")</f>
        <v>#VALUE!</v>
      </c>
      <c r="DC503" t="str">
        <f ca="1">IFERROR(__xludf.DUMMYFUNCTION("""COMPUTED_VALUE"""),"#VALUE!")</f>
        <v>#VALUE!</v>
      </c>
      <c r="DE503" t="str">
        <f ca="1">IFERROR(__xludf.DUMMYFUNCTION("""COMPUTED_VALUE"""),"#VALUE!")</f>
        <v>#VALUE!</v>
      </c>
    </row>
    <row r="504" spans="1:109" ht="13.2" x14ac:dyDescent="0.25">
      <c r="A504" t="str">
        <f ca="1">IFERROR(__xludf.DUMMYFUNCTION("""COMPUTED_VALUE"""),"P0513")</f>
        <v>P0513</v>
      </c>
      <c r="BC504" t="str">
        <f ca="1">IFERROR(__xludf.DUMMYFUNCTION("""COMPUTED_VALUE"""),"#VALUE!")</f>
        <v>#VALUE!</v>
      </c>
      <c r="BE504" t="str">
        <f ca="1">IFERROR(__xludf.DUMMYFUNCTION("""COMPUTED_VALUE"""),"#VALUE!")</f>
        <v>#VALUE!</v>
      </c>
      <c r="BG504" t="str">
        <f ca="1">IFERROR(__xludf.DUMMYFUNCTION("""COMPUTED_VALUE"""),"#VALUE!")</f>
        <v>#VALUE!</v>
      </c>
      <c r="BI504" t="str">
        <f ca="1">IFERROR(__xludf.DUMMYFUNCTION("""COMPUTED_VALUE"""),"#VALUE!")</f>
        <v>#VALUE!</v>
      </c>
      <c r="BK504" t="str">
        <f ca="1">IFERROR(__xludf.DUMMYFUNCTION("""COMPUTED_VALUE"""),"#VALUE!")</f>
        <v>#VALUE!</v>
      </c>
      <c r="BM504" t="str">
        <f ca="1">IFERROR(__xludf.DUMMYFUNCTION("""COMPUTED_VALUE"""),"#VALUE!")</f>
        <v>#VALUE!</v>
      </c>
      <c r="CS504" t="str">
        <f ca="1">IFERROR(__xludf.DUMMYFUNCTION("""COMPUTED_VALUE"""),"#VALUE!")</f>
        <v>#VALUE!</v>
      </c>
      <c r="CU504" t="str">
        <f ca="1">IFERROR(__xludf.DUMMYFUNCTION("""COMPUTED_VALUE"""),"#VALUE!")</f>
        <v>#VALUE!</v>
      </c>
      <c r="CW504" t="str">
        <f ca="1">IFERROR(__xludf.DUMMYFUNCTION("""COMPUTED_VALUE"""),"#VALUE!")</f>
        <v>#VALUE!</v>
      </c>
      <c r="CY504" t="str">
        <f ca="1">IFERROR(__xludf.DUMMYFUNCTION("""COMPUTED_VALUE"""),"#VALUE!")</f>
        <v>#VALUE!</v>
      </c>
      <c r="DC504" t="str">
        <f ca="1">IFERROR(__xludf.DUMMYFUNCTION("""COMPUTED_VALUE"""),"#VALUE!")</f>
        <v>#VALUE!</v>
      </c>
      <c r="DE504" t="str">
        <f ca="1">IFERROR(__xludf.DUMMYFUNCTION("""COMPUTED_VALUE"""),"#VALUE!")</f>
        <v>#VALUE!</v>
      </c>
    </row>
    <row r="505" spans="1:109" ht="13.2" x14ac:dyDescent="0.25">
      <c r="A505" t="str">
        <f ca="1">IFERROR(__xludf.DUMMYFUNCTION("""COMPUTED_VALUE"""),"P0514")</f>
        <v>P0514</v>
      </c>
      <c r="BC505" t="str">
        <f ca="1">IFERROR(__xludf.DUMMYFUNCTION("""COMPUTED_VALUE"""),"#VALUE!")</f>
        <v>#VALUE!</v>
      </c>
      <c r="BE505" t="str">
        <f ca="1">IFERROR(__xludf.DUMMYFUNCTION("""COMPUTED_VALUE"""),"#VALUE!")</f>
        <v>#VALUE!</v>
      </c>
      <c r="BG505" t="str">
        <f ca="1">IFERROR(__xludf.DUMMYFUNCTION("""COMPUTED_VALUE"""),"#VALUE!")</f>
        <v>#VALUE!</v>
      </c>
      <c r="BI505" t="str">
        <f ca="1">IFERROR(__xludf.DUMMYFUNCTION("""COMPUTED_VALUE"""),"#VALUE!")</f>
        <v>#VALUE!</v>
      </c>
      <c r="BK505" t="str">
        <f ca="1">IFERROR(__xludf.DUMMYFUNCTION("""COMPUTED_VALUE"""),"#VALUE!")</f>
        <v>#VALUE!</v>
      </c>
      <c r="BM505" t="str">
        <f ca="1">IFERROR(__xludf.DUMMYFUNCTION("""COMPUTED_VALUE"""),"#VALUE!")</f>
        <v>#VALUE!</v>
      </c>
      <c r="CS505" t="str">
        <f ca="1">IFERROR(__xludf.DUMMYFUNCTION("""COMPUTED_VALUE"""),"#VALUE!")</f>
        <v>#VALUE!</v>
      </c>
      <c r="CU505" t="str">
        <f ca="1">IFERROR(__xludf.DUMMYFUNCTION("""COMPUTED_VALUE"""),"#VALUE!")</f>
        <v>#VALUE!</v>
      </c>
      <c r="CW505" t="str">
        <f ca="1">IFERROR(__xludf.DUMMYFUNCTION("""COMPUTED_VALUE"""),"#VALUE!")</f>
        <v>#VALUE!</v>
      </c>
      <c r="CY505" t="str">
        <f ca="1">IFERROR(__xludf.DUMMYFUNCTION("""COMPUTED_VALUE"""),"#VALUE!")</f>
        <v>#VALUE!</v>
      </c>
      <c r="DC505" t="str">
        <f ca="1">IFERROR(__xludf.DUMMYFUNCTION("""COMPUTED_VALUE"""),"#VALUE!")</f>
        <v>#VALUE!</v>
      </c>
      <c r="DE505" t="str">
        <f ca="1">IFERROR(__xludf.DUMMYFUNCTION("""COMPUTED_VALUE"""),"#VALUE!")</f>
        <v>#VALUE!</v>
      </c>
    </row>
    <row r="506" spans="1:109" ht="13.2" x14ac:dyDescent="0.25">
      <c r="A506" t="str">
        <f ca="1">IFERROR(__xludf.DUMMYFUNCTION("""COMPUTED_VALUE"""),"P0515")</f>
        <v>P0515</v>
      </c>
      <c r="BC506" t="str">
        <f ca="1">IFERROR(__xludf.DUMMYFUNCTION("""COMPUTED_VALUE"""),"#VALUE!")</f>
        <v>#VALUE!</v>
      </c>
      <c r="BE506" t="str">
        <f ca="1">IFERROR(__xludf.DUMMYFUNCTION("""COMPUTED_VALUE"""),"#VALUE!")</f>
        <v>#VALUE!</v>
      </c>
      <c r="BG506" t="str">
        <f ca="1">IFERROR(__xludf.DUMMYFUNCTION("""COMPUTED_VALUE"""),"#VALUE!")</f>
        <v>#VALUE!</v>
      </c>
      <c r="BI506" t="str">
        <f ca="1">IFERROR(__xludf.DUMMYFUNCTION("""COMPUTED_VALUE"""),"#VALUE!")</f>
        <v>#VALUE!</v>
      </c>
      <c r="BK506" t="str">
        <f ca="1">IFERROR(__xludf.DUMMYFUNCTION("""COMPUTED_VALUE"""),"#VALUE!")</f>
        <v>#VALUE!</v>
      </c>
      <c r="BM506" t="str">
        <f ca="1">IFERROR(__xludf.DUMMYFUNCTION("""COMPUTED_VALUE"""),"#VALUE!")</f>
        <v>#VALUE!</v>
      </c>
      <c r="CS506" t="str">
        <f ca="1">IFERROR(__xludf.DUMMYFUNCTION("""COMPUTED_VALUE"""),"#VALUE!")</f>
        <v>#VALUE!</v>
      </c>
      <c r="CU506" t="str">
        <f ca="1">IFERROR(__xludf.DUMMYFUNCTION("""COMPUTED_VALUE"""),"#VALUE!")</f>
        <v>#VALUE!</v>
      </c>
      <c r="CW506" t="str">
        <f ca="1">IFERROR(__xludf.DUMMYFUNCTION("""COMPUTED_VALUE"""),"#VALUE!")</f>
        <v>#VALUE!</v>
      </c>
      <c r="CY506" t="str">
        <f ca="1">IFERROR(__xludf.DUMMYFUNCTION("""COMPUTED_VALUE"""),"#VALUE!")</f>
        <v>#VALUE!</v>
      </c>
      <c r="DC506" t="str">
        <f ca="1">IFERROR(__xludf.DUMMYFUNCTION("""COMPUTED_VALUE"""),"#VALUE!")</f>
        <v>#VALUE!</v>
      </c>
      <c r="DE506" t="str">
        <f ca="1">IFERROR(__xludf.DUMMYFUNCTION("""COMPUTED_VALUE"""),"#VALUE!")</f>
        <v>#VALUE!</v>
      </c>
    </row>
    <row r="507" spans="1:109" ht="13.2" x14ac:dyDescent="0.25">
      <c r="A507" t="str">
        <f ca="1">IFERROR(__xludf.DUMMYFUNCTION("""COMPUTED_VALUE"""),"P0516")</f>
        <v>P0516</v>
      </c>
      <c r="BC507" t="str">
        <f ca="1">IFERROR(__xludf.DUMMYFUNCTION("""COMPUTED_VALUE"""),"#VALUE!")</f>
        <v>#VALUE!</v>
      </c>
      <c r="BE507" t="str">
        <f ca="1">IFERROR(__xludf.DUMMYFUNCTION("""COMPUTED_VALUE"""),"#VALUE!")</f>
        <v>#VALUE!</v>
      </c>
      <c r="BG507" t="str">
        <f ca="1">IFERROR(__xludf.DUMMYFUNCTION("""COMPUTED_VALUE"""),"#VALUE!")</f>
        <v>#VALUE!</v>
      </c>
      <c r="BI507" t="str">
        <f ca="1">IFERROR(__xludf.DUMMYFUNCTION("""COMPUTED_VALUE"""),"#VALUE!")</f>
        <v>#VALUE!</v>
      </c>
      <c r="BK507" t="str">
        <f ca="1">IFERROR(__xludf.DUMMYFUNCTION("""COMPUTED_VALUE"""),"#VALUE!")</f>
        <v>#VALUE!</v>
      </c>
      <c r="BM507" t="str">
        <f ca="1">IFERROR(__xludf.DUMMYFUNCTION("""COMPUTED_VALUE"""),"#VALUE!")</f>
        <v>#VALUE!</v>
      </c>
      <c r="CS507" t="str">
        <f ca="1">IFERROR(__xludf.DUMMYFUNCTION("""COMPUTED_VALUE"""),"#VALUE!")</f>
        <v>#VALUE!</v>
      </c>
      <c r="CU507" t="str">
        <f ca="1">IFERROR(__xludf.DUMMYFUNCTION("""COMPUTED_VALUE"""),"#VALUE!")</f>
        <v>#VALUE!</v>
      </c>
      <c r="CW507" t="str">
        <f ca="1">IFERROR(__xludf.DUMMYFUNCTION("""COMPUTED_VALUE"""),"#VALUE!")</f>
        <v>#VALUE!</v>
      </c>
      <c r="CY507" t="str">
        <f ca="1">IFERROR(__xludf.DUMMYFUNCTION("""COMPUTED_VALUE"""),"#VALUE!")</f>
        <v>#VALUE!</v>
      </c>
      <c r="DC507" t="str">
        <f ca="1">IFERROR(__xludf.DUMMYFUNCTION("""COMPUTED_VALUE"""),"#VALUE!")</f>
        <v>#VALUE!</v>
      </c>
      <c r="DE507" t="str">
        <f ca="1">IFERROR(__xludf.DUMMYFUNCTION("""COMPUTED_VALUE"""),"#VALUE!")</f>
        <v>#VALUE!</v>
      </c>
    </row>
    <row r="508" spans="1:109" ht="13.2" x14ac:dyDescent="0.25">
      <c r="A508" t="str">
        <f ca="1">IFERROR(__xludf.DUMMYFUNCTION("""COMPUTED_VALUE"""),"P0517")</f>
        <v>P0517</v>
      </c>
      <c r="BC508" t="str">
        <f ca="1">IFERROR(__xludf.DUMMYFUNCTION("""COMPUTED_VALUE"""),"#VALUE!")</f>
        <v>#VALUE!</v>
      </c>
      <c r="BE508" t="str">
        <f ca="1">IFERROR(__xludf.DUMMYFUNCTION("""COMPUTED_VALUE"""),"#VALUE!")</f>
        <v>#VALUE!</v>
      </c>
      <c r="BG508" t="str">
        <f ca="1">IFERROR(__xludf.DUMMYFUNCTION("""COMPUTED_VALUE"""),"#VALUE!")</f>
        <v>#VALUE!</v>
      </c>
      <c r="BI508" t="str">
        <f ca="1">IFERROR(__xludf.DUMMYFUNCTION("""COMPUTED_VALUE"""),"#VALUE!")</f>
        <v>#VALUE!</v>
      </c>
      <c r="BK508" t="str">
        <f ca="1">IFERROR(__xludf.DUMMYFUNCTION("""COMPUTED_VALUE"""),"#VALUE!")</f>
        <v>#VALUE!</v>
      </c>
      <c r="BM508" t="str">
        <f ca="1">IFERROR(__xludf.DUMMYFUNCTION("""COMPUTED_VALUE"""),"#VALUE!")</f>
        <v>#VALUE!</v>
      </c>
      <c r="CS508" t="str">
        <f ca="1">IFERROR(__xludf.DUMMYFUNCTION("""COMPUTED_VALUE"""),"#VALUE!")</f>
        <v>#VALUE!</v>
      </c>
      <c r="CU508" t="str">
        <f ca="1">IFERROR(__xludf.DUMMYFUNCTION("""COMPUTED_VALUE"""),"#VALUE!")</f>
        <v>#VALUE!</v>
      </c>
      <c r="CW508" t="str">
        <f ca="1">IFERROR(__xludf.DUMMYFUNCTION("""COMPUTED_VALUE"""),"#VALUE!")</f>
        <v>#VALUE!</v>
      </c>
      <c r="CY508" t="str">
        <f ca="1">IFERROR(__xludf.DUMMYFUNCTION("""COMPUTED_VALUE"""),"#VALUE!")</f>
        <v>#VALUE!</v>
      </c>
      <c r="DC508" t="str">
        <f ca="1">IFERROR(__xludf.DUMMYFUNCTION("""COMPUTED_VALUE"""),"#VALUE!")</f>
        <v>#VALUE!</v>
      </c>
      <c r="DE508" t="str">
        <f ca="1">IFERROR(__xludf.DUMMYFUNCTION("""COMPUTED_VALUE"""),"#VALUE!")</f>
        <v>#VALUE!</v>
      </c>
    </row>
    <row r="509" spans="1:109" ht="13.2" x14ac:dyDescent="0.25">
      <c r="A509" t="str">
        <f ca="1">IFERROR(__xludf.DUMMYFUNCTION("""COMPUTED_VALUE"""),"P0518")</f>
        <v>P0518</v>
      </c>
      <c r="BC509" t="str">
        <f ca="1">IFERROR(__xludf.DUMMYFUNCTION("""COMPUTED_VALUE"""),"#VALUE!")</f>
        <v>#VALUE!</v>
      </c>
      <c r="BE509" t="str">
        <f ca="1">IFERROR(__xludf.DUMMYFUNCTION("""COMPUTED_VALUE"""),"#VALUE!")</f>
        <v>#VALUE!</v>
      </c>
      <c r="BG509" t="str">
        <f ca="1">IFERROR(__xludf.DUMMYFUNCTION("""COMPUTED_VALUE"""),"#VALUE!")</f>
        <v>#VALUE!</v>
      </c>
      <c r="BI509" t="str">
        <f ca="1">IFERROR(__xludf.DUMMYFUNCTION("""COMPUTED_VALUE"""),"#VALUE!")</f>
        <v>#VALUE!</v>
      </c>
      <c r="BK509" t="str">
        <f ca="1">IFERROR(__xludf.DUMMYFUNCTION("""COMPUTED_VALUE"""),"#VALUE!")</f>
        <v>#VALUE!</v>
      </c>
      <c r="BM509" t="str">
        <f ca="1">IFERROR(__xludf.DUMMYFUNCTION("""COMPUTED_VALUE"""),"#VALUE!")</f>
        <v>#VALUE!</v>
      </c>
      <c r="CS509" t="str">
        <f ca="1">IFERROR(__xludf.DUMMYFUNCTION("""COMPUTED_VALUE"""),"#VALUE!")</f>
        <v>#VALUE!</v>
      </c>
      <c r="CU509" t="str">
        <f ca="1">IFERROR(__xludf.DUMMYFUNCTION("""COMPUTED_VALUE"""),"#VALUE!")</f>
        <v>#VALUE!</v>
      </c>
      <c r="CW509" t="str">
        <f ca="1">IFERROR(__xludf.DUMMYFUNCTION("""COMPUTED_VALUE"""),"#VALUE!")</f>
        <v>#VALUE!</v>
      </c>
      <c r="CY509" t="str">
        <f ca="1">IFERROR(__xludf.DUMMYFUNCTION("""COMPUTED_VALUE"""),"#VALUE!")</f>
        <v>#VALUE!</v>
      </c>
      <c r="DC509" t="str">
        <f ca="1">IFERROR(__xludf.DUMMYFUNCTION("""COMPUTED_VALUE"""),"#VALUE!")</f>
        <v>#VALUE!</v>
      </c>
      <c r="DE509" t="str">
        <f ca="1">IFERROR(__xludf.DUMMYFUNCTION("""COMPUTED_VALUE"""),"#VALUE!")</f>
        <v>#VALUE!</v>
      </c>
    </row>
    <row r="510" spans="1:109" ht="13.2" x14ac:dyDescent="0.25">
      <c r="A510" t="str">
        <f ca="1">IFERROR(__xludf.DUMMYFUNCTION("""COMPUTED_VALUE"""),"P0519")</f>
        <v>P0519</v>
      </c>
      <c r="BC510" t="str">
        <f ca="1">IFERROR(__xludf.DUMMYFUNCTION("""COMPUTED_VALUE"""),"#VALUE!")</f>
        <v>#VALUE!</v>
      </c>
      <c r="BE510" t="str">
        <f ca="1">IFERROR(__xludf.DUMMYFUNCTION("""COMPUTED_VALUE"""),"#VALUE!")</f>
        <v>#VALUE!</v>
      </c>
      <c r="BG510" t="str">
        <f ca="1">IFERROR(__xludf.DUMMYFUNCTION("""COMPUTED_VALUE"""),"#VALUE!")</f>
        <v>#VALUE!</v>
      </c>
      <c r="BI510" t="str">
        <f ca="1">IFERROR(__xludf.DUMMYFUNCTION("""COMPUTED_VALUE"""),"#VALUE!")</f>
        <v>#VALUE!</v>
      </c>
      <c r="BK510" t="str">
        <f ca="1">IFERROR(__xludf.DUMMYFUNCTION("""COMPUTED_VALUE"""),"#VALUE!")</f>
        <v>#VALUE!</v>
      </c>
      <c r="BM510" t="str">
        <f ca="1">IFERROR(__xludf.DUMMYFUNCTION("""COMPUTED_VALUE"""),"#VALUE!")</f>
        <v>#VALUE!</v>
      </c>
      <c r="CS510" t="str">
        <f ca="1">IFERROR(__xludf.DUMMYFUNCTION("""COMPUTED_VALUE"""),"#VALUE!")</f>
        <v>#VALUE!</v>
      </c>
      <c r="CU510" t="str">
        <f ca="1">IFERROR(__xludf.DUMMYFUNCTION("""COMPUTED_VALUE"""),"#VALUE!")</f>
        <v>#VALUE!</v>
      </c>
      <c r="CW510" t="str">
        <f ca="1">IFERROR(__xludf.DUMMYFUNCTION("""COMPUTED_VALUE"""),"#VALUE!")</f>
        <v>#VALUE!</v>
      </c>
      <c r="CY510" t="str">
        <f ca="1">IFERROR(__xludf.DUMMYFUNCTION("""COMPUTED_VALUE"""),"#VALUE!")</f>
        <v>#VALUE!</v>
      </c>
      <c r="DC510" t="str">
        <f ca="1">IFERROR(__xludf.DUMMYFUNCTION("""COMPUTED_VALUE"""),"#VALUE!")</f>
        <v>#VALUE!</v>
      </c>
      <c r="DE510" t="str">
        <f ca="1">IFERROR(__xludf.DUMMYFUNCTION("""COMPUTED_VALUE"""),"#VALUE!")</f>
        <v>#VALUE!</v>
      </c>
    </row>
    <row r="511" spans="1:109" ht="13.2" x14ac:dyDescent="0.25">
      <c r="A511" t="str">
        <f ca="1">IFERROR(__xludf.DUMMYFUNCTION("""COMPUTED_VALUE"""),"P0520")</f>
        <v>P0520</v>
      </c>
      <c r="BC511" t="str">
        <f ca="1">IFERROR(__xludf.DUMMYFUNCTION("""COMPUTED_VALUE"""),"#VALUE!")</f>
        <v>#VALUE!</v>
      </c>
      <c r="BE511" t="str">
        <f ca="1">IFERROR(__xludf.DUMMYFUNCTION("""COMPUTED_VALUE"""),"#VALUE!")</f>
        <v>#VALUE!</v>
      </c>
      <c r="BG511" t="str">
        <f ca="1">IFERROR(__xludf.DUMMYFUNCTION("""COMPUTED_VALUE"""),"#VALUE!")</f>
        <v>#VALUE!</v>
      </c>
      <c r="BI511" t="str">
        <f ca="1">IFERROR(__xludf.DUMMYFUNCTION("""COMPUTED_VALUE"""),"#VALUE!")</f>
        <v>#VALUE!</v>
      </c>
      <c r="BK511" t="str">
        <f ca="1">IFERROR(__xludf.DUMMYFUNCTION("""COMPUTED_VALUE"""),"#VALUE!")</f>
        <v>#VALUE!</v>
      </c>
      <c r="BM511" t="str">
        <f ca="1">IFERROR(__xludf.DUMMYFUNCTION("""COMPUTED_VALUE"""),"#VALUE!")</f>
        <v>#VALUE!</v>
      </c>
      <c r="CS511" t="str">
        <f ca="1">IFERROR(__xludf.DUMMYFUNCTION("""COMPUTED_VALUE"""),"#VALUE!")</f>
        <v>#VALUE!</v>
      </c>
      <c r="CU511" t="str">
        <f ca="1">IFERROR(__xludf.DUMMYFUNCTION("""COMPUTED_VALUE"""),"#VALUE!")</f>
        <v>#VALUE!</v>
      </c>
      <c r="CW511" t="str">
        <f ca="1">IFERROR(__xludf.DUMMYFUNCTION("""COMPUTED_VALUE"""),"#VALUE!")</f>
        <v>#VALUE!</v>
      </c>
      <c r="CY511" t="str">
        <f ca="1">IFERROR(__xludf.DUMMYFUNCTION("""COMPUTED_VALUE"""),"#VALUE!")</f>
        <v>#VALUE!</v>
      </c>
      <c r="DC511" t="str">
        <f ca="1">IFERROR(__xludf.DUMMYFUNCTION("""COMPUTED_VALUE"""),"#VALUE!")</f>
        <v>#VALUE!</v>
      </c>
      <c r="DE511" t="str">
        <f ca="1">IFERROR(__xludf.DUMMYFUNCTION("""COMPUTED_VALUE"""),"#VALUE!")</f>
        <v>#VALUE!</v>
      </c>
    </row>
    <row r="512" spans="1:109" ht="13.2" x14ac:dyDescent="0.25">
      <c r="A512" t="str">
        <f ca="1">IFERROR(__xludf.DUMMYFUNCTION("""COMPUTED_VALUE"""),"P0521")</f>
        <v>P0521</v>
      </c>
      <c r="BC512" t="str">
        <f ca="1">IFERROR(__xludf.DUMMYFUNCTION("""COMPUTED_VALUE"""),"#VALUE!")</f>
        <v>#VALUE!</v>
      </c>
      <c r="BE512" t="str">
        <f ca="1">IFERROR(__xludf.DUMMYFUNCTION("""COMPUTED_VALUE"""),"#VALUE!")</f>
        <v>#VALUE!</v>
      </c>
      <c r="BG512" t="str">
        <f ca="1">IFERROR(__xludf.DUMMYFUNCTION("""COMPUTED_VALUE"""),"#VALUE!")</f>
        <v>#VALUE!</v>
      </c>
      <c r="BI512" t="str">
        <f ca="1">IFERROR(__xludf.DUMMYFUNCTION("""COMPUTED_VALUE"""),"#VALUE!")</f>
        <v>#VALUE!</v>
      </c>
      <c r="BK512" t="str">
        <f ca="1">IFERROR(__xludf.DUMMYFUNCTION("""COMPUTED_VALUE"""),"#VALUE!")</f>
        <v>#VALUE!</v>
      </c>
      <c r="BM512" t="str">
        <f ca="1">IFERROR(__xludf.DUMMYFUNCTION("""COMPUTED_VALUE"""),"#VALUE!")</f>
        <v>#VALUE!</v>
      </c>
      <c r="CS512" t="str">
        <f ca="1">IFERROR(__xludf.DUMMYFUNCTION("""COMPUTED_VALUE"""),"#VALUE!")</f>
        <v>#VALUE!</v>
      </c>
      <c r="CU512" t="str">
        <f ca="1">IFERROR(__xludf.DUMMYFUNCTION("""COMPUTED_VALUE"""),"#VALUE!")</f>
        <v>#VALUE!</v>
      </c>
      <c r="CW512" t="str">
        <f ca="1">IFERROR(__xludf.DUMMYFUNCTION("""COMPUTED_VALUE"""),"#VALUE!")</f>
        <v>#VALUE!</v>
      </c>
      <c r="CY512" t="str">
        <f ca="1">IFERROR(__xludf.DUMMYFUNCTION("""COMPUTED_VALUE"""),"#VALUE!")</f>
        <v>#VALUE!</v>
      </c>
      <c r="DC512" t="str">
        <f ca="1">IFERROR(__xludf.DUMMYFUNCTION("""COMPUTED_VALUE"""),"#VALUE!")</f>
        <v>#VALUE!</v>
      </c>
      <c r="DE512" t="str">
        <f ca="1">IFERROR(__xludf.DUMMYFUNCTION("""COMPUTED_VALUE"""),"#VALUE!")</f>
        <v>#VALUE!</v>
      </c>
    </row>
    <row r="513" spans="1:109" ht="13.2" x14ac:dyDescent="0.25">
      <c r="A513" t="str">
        <f ca="1">IFERROR(__xludf.DUMMYFUNCTION("""COMPUTED_VALUE"""),"P0522")</f>
        <v>P0522</v>
      </c>
      <c r="BC513" t="str">
        <f ca="1">IFERROR(__xludf.DUMMYFUNCTION("""COMPUTED_VALUE"""),"#VALUE!")</f>
        <v>#VALUE!</v>
      </c>
      <c r="BE513" t="str">
        <f ca="1">IFERROR(__xludf.DUMMYFUNCTION("""COMPUTED_VALUE"""),"#VALUE!")</f>
        <v>#VALUE!</v>
      </c>
      <c r="BG513" t="str">
        <f ca="1">IFERROR(__xludf.DUMMYFUNCTION("""COMPUTED_VALUE"""),"#VALUE!")</f>
        <v>#VALUE!</v>
      </c>
      <c r="BI513" t="str">
        <f ca="1">IFERROR(__xludf.DUMMYFUNCTION("""COMPUTED_VALUE"""),"#VALUE!")</f>
        <v>#VALUE!</v>
      </c>
      <c r="BK513" t="str">
        <f ca="1">IFERROR(__xludf.DUMMYFUNCTION("""COMPUTED_VALUE"""),"#VALUE!")</f>
        <v>#VALUE!</v>
      </c>
      <c r="BM513" t="str">
        <f ca="1">IFERROR(__xludf.DUMMYFUNCTION("""COMPUTED_VALUE"""),"#VALUE!")</f>
        <v>#VALUE!</v>
      </c>
      <c r="CS513" t="str">
        <f ca="1">IFERROR(__xludf.DUMMYFUNCTION("""COMPUTED_VALUE"""),"#VALUE!")</f>
        <v>#VALUE!</v>
      </c>
      <c r="CU513" t="str">
        <f ca="1">IFERROR(__xludf.DUMMYFUNCTION("""COMPUTED_VALUE"""),"#VALUE!")</f>
        <v>#VALUE!</v>
      </c>
      <c r="CW513" t="str">
        <f ca="1">IFERROR(__xludf.DUMMYFUNCTION("""COMPUTED_VALUE"""),"#VALUE!")</f>
        <v>#VALUE!</v>
      </c>
      <c r="CY513" t="str">
        <f ca="1">IFERROR(__xludf.DUMMYFUNCTION("""COMPUTED_VALUE"""),"#VALUE!")</f>
        <v>#VALUE!</v>
      </c>
      <c r="DC513" t="str">
        <f ca="1">IFERROR(__xludf.DUMMYFUNCTION("""COMPUTED_VALUE"""),"#VALUE!")</f>
        <v>#VALUE!</v>
      </c>
      <c r="DE513" t="str">
        <f ca="1">IFERROR(__xludf.DUMMYFUNCTION("""COMPUTED_VALUE"""),"#VALUE!")</f>
        <v>#VALUE!</v>
      </c>
    </row>
    <row r="514" spans="1:109" ht="13.2" x14ac:dyDescent="0.25">
      <c r="A514" t="str">
        <f ca="1">IFERROR(__xludf.DUMMYFUNCTION("""COMPUTED_VALUE"""),"P0523")</f>
        <v>P0523</v>
      </c>
      <c r="BC514" t="str">
        <f ca="1">IFERROR(__xludf.DUMMYFUNCTION("""COMPUTED_VALUE"""),"#VALUE!")</f>
        <v>#VALUE!</v>
      </c>
      <c r="BE514" t="str">
        <f ca="1">IFERROR(__xludf.DUMMYFUNCTION("""COMPUTED_VALUE"""),"#VALUE!")</f>
        <v>#VALUE!</v>
      </c>
      <c r="BG514" t="str">
        <f ca="1">IFERROR(__xludf.DUMMYFUNCTION("""COMPUTED_VALUE"""),"#VALUE!")</f>
        <v>#VALUE!</v>
      </c>
      <c r="BI514" t="str">
        <f ca="1">IFERROR(__xludf.DUMMYFUNCTION("""COMPUTED_VALUE"""),"#VALUE!")</f>
        <v>#VALUE!</v>
      </c>
      <c r="BK514" t="str">
        <f ca="1">IFERROR(__xludf.DUMMYFUNCTION("""COMPUTED_VALUE"""),"#VALUE!")</f>
        <v>#VALUE!</v>
      </c>
      <c r="BM514" t="str">
        <f ca="1">IFERROR(__xludf.DUMMYFUNCTION("""COMPUTED_VALUE"""),"#VALUE!")</f>
        <v>#VALUE!</v>
      </c>
      <c r="CS514" t="str">
        <f ca="1">IFERROR(__xludf.DUMMYFUNCTION("""COMPUTED_VALUE"""),"#VALUE!")</f>
        <v>#VALUE!</v>
      </c>
      <c r="CU514" t="str">
        <f ca="1">IFERROR(__xludf.DUMMYFUNCTION("""COMPUTED_VALUE"""),"#VALUE!")</f>
        <v>#VALUE!</v>
      </c>
      <c r="CW514" t="str">
        <f ca="1">IFERROR(__xludf.DUMMYFUNCTION("""COMPUTED_VALUE"""),"#VALUE!")</f>
        <v>#VALUE!</v>
      </c>
      <c r="CY514" t="str">
        <f ca="1">IFERROR(__xludf.DUMMYFUNCTION("""COMPUTED_VALUE"""),"#VALUE!")</f>
        <v>#VALUE!</v>
      </c>
      <c r="DC514" t="str">
        <f ca="1">IFERROR(__xludf.DUMMYFUNCTION("""COMPUTED_VALUE"""),"#VALUE!")</f>
        <v>#VALUE!</v>
      </c>
      <c r="DE514" t="str">
        <f ca="1">IFERROR(__xludf.DUMMYFUNCTION("""COMPUTED_VALUE"""),"#VALUE!")</f>
        <v>#VALUE!</v>
      </c>
    </row>
    <row r="515" spans="1:109" ht="13.2" x14ac:dyDescent="0.25">
      <c r="A515" t="str">
        <f ca="1">IFERROR(__xludf.DUMMYFUNCTION("""COMPUTED_VALUE"""),"P0524")</f>
        <v>P0524</v>
      </c>
      <c r="BC515" t="str">
        <f ca="1">IFERROR(__xludf.DUMMYFUNCTION("""COMPUTED_VALUE"""),"#VALUE!")</f>
        <v>#VALUE!</v>
      </c>
      <c r="BE515" t="str">
        <f ca="1">IFERROR(__xludf.DUMMYFUNCTION("""COMPUTED_VALUE"""),"#VALUE!")</f>
        <v>#VALUE!</v>
      </c>
      <c r="BG515" t="str">
        <f ca="1">IFERROR(__xludf.DUMMYFUNCTION("""COMPUTED_VALUE"""),"#VALUE!")</f>
        <v>#VALUE!</v>
      </c>
      <c r="BI515" t="str">
        <f ca="1">IFERROR(__xludf.DUMMYFUNCTION("""COMPUTED_VALUE"""),"#VALUE!")</f>
        <v>#VALUE!</v>
      </c>
      <c r="BK515" t="str">
        <f ca="1">IFERROR(__xludf.DUMMYFUNCTION("""COMPUTED_VALUE"""),"#VALUE!")</f>
        <v>#VALUE!</v>
      </c>
      <c r="BM515" t="str">
        <f ca="1">IFERROR(__xludf.DUMMYFUNCTION("""COMPUTED_VALUE"""),"#VALUE!")</f>
        <v>#VALUE!</v>
      </c>
      <c r="CS515" t="str">
        <f ca="1">IFERROR(__xludf.DUMMYFUNCTION("""COMPUTED_VALUE"""),"#VALUE!")</f>
        <v>#VALUE!</v>
      </c>
      <c r="CU515" t="str">
        <f ca="1">IFERROR(__xludf.DUMMYFUNCTION("""COMPUTED_VALUE"""),"#VALUE!")</f>
        <v>#VALUE!</v>
      </c>
      <c r="CW515" t="str">
        <f ca="1">IFERROR(__xludf.DUMMYFUNCTION("""COMPUTED_VALUE"""),"#VALUE!")</f>
        <v>#VALUE!</v>
      </c>
      <c r="CY515" t="str">
        <f ca="1">IFERROR(__xludf.DUMMYFUNCTION("""COMPUTED_VALUE"""),"#VALUE!")</f>
        <v>#VALUE!</v>
      </c>
      <c r="DC515" t="str">
        <f ca="1">IFERROR(__xludf.DUMMYFUNCTION("""COMPUTED_VALUE"""),"#VALUE!")</f>
        <v>#VALUE!</v>
      </c>
      <c r="DE515" t="str">
        <f ca="1">IFERROR(__xludf.DUMMYFUNCTION("""COMPUTED_VALUE"""),"#VALUE!")</f>
        <v>#VALUE!</v>
      </c>
    </row>
    <row r="516" spans="1:109" ht="13.2" x14ac:dyDescent="0.25">
      <c r="A516" t="str">
        <f ca="1">IFERROR(__xludf.DUMMYFUNCTION("""COMPUTED_VALUE"""),"P0525")</f>
        <v>P0525</v>
      </c>
      <c r="BC516" t="str">
        <f ca="1">IFERROR(__xludf.DUMMYFUNCTION("""COMPUTED_VALUE"""),"#VALUE!")</f>
        <v>#VALUE!</v>
      </c>
      <c r="BE516" t="str">
        <f ca="1">IFERROR(__xludf.DUMMYFUNCTION("""COMPUTED_VALUE"""),"#VALUE!")</f>
        <v>#VALUE!</v>
      </c>
      <c r="BG516" t="str">
        <f ca="1">IFERROR(__xludf.DUMMYFUNCTION("""COMPUTED_VALUE"""),"#VALUE!")</f>
        <v>#VALUE!</v>
      </c>
      <c r="BI516" t="str">
        <f ca="1">IFERROR(__xludf.DUMMYFUNCTION("""COMPUTED_VALUE"""),"#VALUE!")</f>
        <v>#VALUE!</v>
      </c>
      <c r="BK516" t="str">
        <f ca="1">IFERROR(__xludf.DUMMYFUNCTION("""COMPUTED_VALUE"""),"#VALUE!")</f>
        <v>#VALUE!</v>
      </c>
      <c r="BM516" t="str">
        <f ca="1">IFERROR(__xludf.DUMMYFUNCTION("""COMPUTED_VALUE"""),"#VALUE!")</f>
        <v>#VALUE!</v>
      </c>
      <c r="CS516" t="str">
        <f ca="1">IFERROR(__xludf.DUMMYFUNCTION("""COMPUTED_VALUE"""),"#VALUE!")</f>
        <v>#VALUE!</v>
      </c>
      <c r="CU516" t="str">
        <f ca="1">IFERROR(__xludf.DUMMYFUNCTION("""COMPUTED_VALUE"""),"#VALUE!")</f>
        <v>#VALUE!</v>
      </c>
      <c r="CW516" t="str">
        <f ca="1">IFERROR(__xludf.DUMMYFUNCTION("""COMPUTED_VALUE"""),"#VALUE!")</f>
        <v>#VALUE!</v>
      </c>
      <c r="CY516" t="str">
        <f ca="1">IFERROR(__xludf.DUMMYFUNCTION("""COMPUTED_VALUE"""),"#VALUE!")</f>
        <v>#VALUE!</v>
      </c>
      <c r="DC516" t="str">
        <f ca="1">IFERROR(__xludf.DUMMYFUNCTION("""COMPUTED_VALUE"""),"#VALUE!")</f>
        <v>#VALUE!</v>
      </c>
      <c r="DE516" t="str">
        <f ca="1">IFERROR(__xludf.DUMMYFUNCTION("""COMPUTED_VALUE"""),"#VALUE!")</f>
        <v>#VALUE!</v>
      </c>
    </row>
    <row r="517" spans="1:109" ht="13.2" x14ac:dyDescent="0.25">
      <c r="A517" t="str">
        <f ca="1">IFERROR(__xludf.DUMMYFUNCTION("""COMPUTED_VALUE"""),"P0526")</f>
        <v>P0526</v>
      </c>
      <c r="BC517" t="str">
        <f ca="1">IFERROR(__xludf.DUMMYFUNCTION("""COMPUTED_VALUE"""),"#VALUE!")</f>
        <v>#VALUE!</v>
      </c>
      <c r="BE517" t="str">
        <f ca="1">IFERROR(__xludf.DUMMYFUNCTION("""COMPUTED_VALUE"""),"#VALUE!")</f>
        <v>#VALUE!</v>
      </c>
      <c r="BG517" t="str">
        <f ca="1">IFERROR(__xludf.DUMMYFUNCTION("""COMPUTED_VALUE"""),"#VALUE!")</f>
        <v>#VALUE!</v>
      </c>
      <c r="BI517" t="str">
        <f ca="1">IFERROR(__xludf.DUMMYFUNCTION("""COMPUTED_VALUE"""),"#VALUE!")</f>
        <v>#VALUE!</v>
      </c>
      <c r="BK517" t="str">
        <f ca="1">IFERROR(__xludf.DUMMYFUNCTION("""COMPUTED_VALUE"""),"#VALUE!")</f>
        <v>#VALUE!</v>
      </c>
      <c r="BM517" t="str">
        <f ca="1">IFERROR(__xludf.DUMMYFUNCTION("""COMPUTED_VALUE"""),"#VALUE!")</f>
        <v>#VALUE!</v>
      </c>
      <c r="CS517" t="str">
        <f ca="1">IFERROR(__xludf.DUMMYFUNCTION("""COMPUTED_VALUE"""),"#VALUE!")</f>
        <v>#VALUE!</v>
      </c>
      <c r="CU517" t="str">
        <f ca="1">IFERROR(__xludf.DUMMYFUNCTION("""COMPUTED_VALUE"""),"#VALUE!")</f>
        <v>#VALUE!</v>
      </c>
      <c r="CW517" t="str">
        <f ca="1">IFERROR(__xludf.DUMMYFUNCTION("""COMPUTED_VALUE"""),"#VALUE!")</f>
        <v>#VALUE!</v>
      </c>
      <c r="CY517" t="str">
        <f ca="1">IFERROR(__xludf.DUMMYFUNCTION("""COMPUTED_VALUE"""),"#VALUE!")</f>
        <v>#VALUE!</v>
      </c>
      <c r="DC517" t="str">
        <f ca="1">IFERROR(__xludf.DUMMYFUNCTION("""COMPUTED_VALUE"""),"#VALUE!")</f>
        <v>#VALUE!</v>
      </c>
      <c r="DE517" t="str">
        <f ca="1">IFERROR(__xludf.DUMMYFUNCTION("""COMPUTED_VALUE"""),"#VALUE!")</f>
        <v>#VALUE!</v>
      </c>
    </row>
    <row r="518" spans="1:109" ht="13.2" x14ac:dyDescent="0.25">
      <c r="A518" t="str">
        <f ca="1">IFERROR(__xludf.DUMMYFUNCTION("""COMPUTED_VALUE"""),"P0527")</f>
        <v>P0527</v>
      </c>
      <c r="BC518" t="str">
        <f ca="1">IFERROR(__xludf.DUMMYFUNCTION("""COMPUTED_VALUE"""),"#VALUE!")</f>
        <v>#VALUE!</v>
      </c>
      <c r="BE518" t="str">
        <f ca="1">IFERROR(__xludf.DUMMYFUNCTION("""COMPUTED_VALUE"""),"#VALUE!")</f>
        <v>#VALUE!</v>
      </c>
      <c r="BG518" t="str">
        <f ca="1">IFERROR(__xludf.DUMMYFUNCTION("""COMPUTED_VALUE"""),"#VALUE!")</f>
        <v>#VALUE!</v>
      </c>
      <c r="BI518" t="str">
        <f ca="1">IFERROR(__xludf.DUMMYFUNCTION("""COMPUTED_VALUE"""),"#VALUE!")</f>
        <v>#VALUE!</v>
      </c>
      <c r="BK518" t="str">
        <f ca="1">IFERROR(__xludf.DUMMYFUNCTION("""COMPUTED_VALUE"""),"#VALUE!")</f>
        <v>#VALUE!</v>
      </c>
      <c r="BM518" t="str">
        <f ca="1">IFERROR(__xludf.DUMMYFUNCTION("""COMPUTED_VALUE"""),"#VALUE!")</f>
        <v>#VALUE!</v>
      </c>
      <c r="CS518" t="str">
        <f ca="1">IFERROR(__xludf.DUMMYFUNCTION("""COMPUTED_VALUE"""),"#VALUE!")</f>
        <v>#VALUE!</v>
      </c>
      <c r="CU518" t="str">
        <f ca="1">IFERROR(__xludf.DUMMYFUNCTION("""COMPUTED_VALUE"""),"#VALUE!")</f>
        <v>#VALUE!</v>
      </c>
      <c r="CW518" t="str">
        <f ca="1">IFERROR(__xludf.DUMMYFUNCTION("""COMPUTED_VALUE"""),"#VALUE!")</f>
        <v>#VALUE!</v>
      </c>
      <c r="CY518" t="str">
        <f ca="1">IFERROR(__xludf.DUMMYFUNCTION("""COMPUTED_VALUE"""),"#VALUE!")</f>
        <v>#VALUE!</v>
      </c>
      <c r="DC518" t="str">
        <f ca="1">IFERROR(__xludf.DUMMYFUNCTION("""COMPUTED_VALUE"""),"#VALUE!")</f>
        <v>#VALUE!</v>
      </c>
      <c r="DE518" t="str">
        <f ca="1">IFERROR(__xludf.DUMMYFUNCTION("""COMPUTED_VALUE"""),"#VALUE!")</f>
        <v>#VALUE!</v>
      </c>
    </row>
    <row r="519" spans="1:109" ht="13.2" x14ac:dyDescent="0.25">
      <c r="A519" t="str">
        <f ca="1">IFERROR(__xludf.DUMMYFUNCTION("""COMPUTED_VALUE"""),"P0528")</f>
        <v>P0528</v>
      </c>
      <c r="BC519" t="str">
        <f ca="1">IFERROR(__xludf.DUMMYFUNCTION("""COMPUTED_VALUE"""),"#VALUE!")</f>
        <v>#VALUE!</v>
      </c>
      <c r="BE519" t="str">
        <f ca="1">IFERROR(__xludf.DUMMYFUNCTION("""COMPUTED_VALUE"""),"#VALUE!")</f>
        <v>#VALUE!</v>
      </c>
      <c r="BG519" t="str">
        <f ca="1">IFERROR(__xludf.DUMMYFUNCTION("""COMPUTED_VALUE"""),"#VALUE!")</f>
        <v>#VALUE!</v>
      </c>
      <c r="BI519" t="str">
        <f ca="1">IFERROR(__xludf.DUMMYFUNCTION("""COMPUTED_VALUE"""),"#VALUE!")</f>
        <v>#VALUE!</v>
      </c>
      <c r="BK519" t="str">
        <f ca="1">IFERROR(__xludf.DUMMYFUNCTION("""COMPUTED_VALUE"""),"#VALUE!")</f>
        <v>#VALUE!</v>
      </c>
      <c r="BM519" t="str">
        <f ca="1">IFERROR(__xludf.DUMMYFUNCTION("""COMPUTED_VALUE"""),"#VALUE!")</f>
        <v>#VALUE!</v>
      </c>
      <c r="CS519" t="str">
        <f ca="1">IFERROR(__xludf.DUMMYFUNCTION("""COMPUTED_VALUE"""),"#VALUE!")</f>
        <v>#VALUE!</v>
      </c>
      <c r="CU519" t="str">
        <f ca="1">IFERROR(__xludf.DUMMYFUNCTION("""COMPUTED_VALUE"""),"#VALUE!")</f>
        <v>#VALUE!</v>
      </c>
      <c r="CW519" t="str">
        <f ca="1">IFERROR(__xludf.DUMMYFUNCTION("""COMPUTED_VALUE"""),"#VALUE!")</f>
        <v>#VALUE!</v>
      </c>
      <c r="CY519" t="str">
        <f ca="1">IFERROR(__xludf.DUMMYFUNCTION("""COMPUTED_VALUE"""),"#VALUE!")</f>
        <v>#VALUE!</v>
      </c>
      <c r="DC519" t="str">
        <f ca="1">IFERROR(__xludf.DUMMYFUNCTION("""COMPUTED_VALUE"""),"#VALUE!")</f>
        <v>#VALUE!</v>
      </c>
      <c r="DE519" t="str">
        <f ca="1">IFERROR(__xludf.DUMMYFUNCTION("""COMPUTED_VALUE"""),"#VALUE!")</f>
        <v>#VALUE!</v>
      </c>
    </row>
    <row r="520" spans="1:109" ht="13.2" x14ac:dyDescent="0.25">
      <c r="A520" t="str">
        <f ca="1">IFERROR(__xludf.DUMMYFUNCTION("""COMPUTED_VALUE"""),"P0529")</f>
        <v>P0529</v>
      </c>
      <c r="BC520" t="str">
        <f ca="1">IFERROR(__xludf.DUMMYFUNCTION("""COMPUTED_VALUE"""),"#VALUE!")</f>
        <v>#VALUE!</v>
      </c>
      <c r="BE520" t="str">
        <f ca="1">IFERROR(__xludf.DUMMYFUNCTION("""COMPUTED_VALUE"""),"#VALUE!")</f>
        <v>#VALUE!</v>
      </c>
      <c r="BG520" t="str">
        <f ca="1">IFERROR(__xludf.DUMMYFUNCTION("""COMPUTED_VALUE"""),"#VALUE!")</f>
        <v>#VALUE!</v>
      </c>
      <c r="BI520" t="str">
        <f ca="1">IFERROR(__xludf.DUMMYFUNCTION("""COMPUTED_VALUE"""),"#VALUE!")</f>
        <v>#VALUE!</v>
      </c>
      <c r="BK520" t="str">
        <f ca="1">IFERROR(__xludf.DUMMYFUNCTION("""COMPUTED_VALUE"""),"#VALUE!")</f>
        <v>#VALUE!</v>
      </c>
      <c r="BM520" t="str">
        <f ca="1">IFERROR(__xludf.DUMMYFUNCTION("""COMPUTED_VALUE"""),"#VALUE!")</f>
        <v>#VALUE!</v>
      </c>
      <c r="CS520" t="str">
        <f ca="1">IFERROR(__xludf.DUMMYFUNCTION("""COMPUTED_VALUE"""),"#VALUE!")</f>
        <v>#VALUE!</v>
      </c>
      <c r="CU520" t="str">
        <f ca="1">IFERROR(__xludf.DUMMYFUNCTION("""COMPUTED_VALUE"""),"#VALUE!")</f>
        <v>#VALUE!</v>
      </c>
      <c r="CW520" t="str">
        <f ca="1">IFERROR(__xludf.DUMMYFUNCTION("""COMPUTED_VALUE"""),"#VALUE!")</f>
        <v>#VALUE!</v>
      </c>
      <c r="CY520" t="str">
        <f ca="1">IFERROR(__xludf.DUMMYFUNCTION("""COMPUTED_VALUE"""),"#VALUE!")</f>
        <v>#VALUE!</v>
      </c>
      <c r="DC520" t="str">
        <f ca="1">IFERROR(__xludf.DUMMYFUNCTION("""COMPUTED_VALUE"""),"#VALUE!")</f>
        <v>#VALUE!</v>
      </c>
      <c r="DE520" t="str">
        <f ca="1">IFERROR(__xludf.DUMMYFUNCTION("""COMPUTED_VALUE"""),"#VALUE!")</f>
        <v>#VALUE!</v>
      </c>
    </row>
    <row r="521" spans="1:109" ht="13.2" x14ac:dyDescent="0.25">
      <c r="A521" t="str">
        <f ca="1">IFERROR(__xludf.DUMMYFUNCTION("""COMPUTED_VALUE"""),"P0530")</f>
        <v>P0530</v>
      </c>
      <c r="BC521" t="str">
        <f ca="1">IFERROR(__xludf.DUMMYFUNCTION("""COMPUTED_VALUE"""),"#VALUE!")</f>
        <v>#VALUE!</v>
      </c>
      <c r="BE521" t="str">
        <f ca="1">IFERROR(__xludf.DUMMYFUNCTION("""COMPUTED_VALUE"""),"#VALUE!")</f>
        <v>#VALUE!</v>
      </c>
      <c r="BG521" t="str">
        <f ca="1">IFERROR(__xludf.DUMMYFUNCTION("""COMPUTED_VALUE"""),"#VALUE!")</f>
        <v>#VALUE!</v>
      </c>
      <c r="BI521" t="str">
        <f ca="1">IFERROR(__xludf.DUMMYFUNCTION("""COMPUTED_VALUE"""),"#VALUE!")</f>
        <v>#VALUE!</v>
      </c>
      <c r="BK521" t="str">
        <f ca="1">IFERROR(__xludf.DUMMYFUNCTION("""COMPUTED_VALUE"""),"#VALUE!")</f>
        <v>#VALUE!</v>
      </c>
      <c r="BM521" t="str">
        <f ca="1">IFERROR(__xludf.DUMMYFUNCTION("""COMPUTED_VALUE"""),"#VALUE!")</f>
        <v>#VALUE!</v>
      </c>
      <c r="CS521" t="str">
        <f ca="1">IFERROR(__xludf.DUMMYFUNCTION("""COMPUTED_VALUE"""),"#VALUE!")</f>
        <v>#VALUE!</v>
      </c>
      <c r="CU521" t="str">
        <f ca="1">IFERROR(__xludf.DUMMYFUNCTION("""COMPUTED_VALUE"""),"#VALUE!")</f>
        <v>#VALUE!</v>
      </c>
      <c r="CW521" t="str">
        <f ca="1">IFERROR(__xludf.DUMMYFUNCTION("""COMPUTED_VALUE"""),"#VALUE!")</f>
        <v>#VALUE!</v>
      </c>
      <c r="CY521" t="str">
        <f ca="1">IFERROR(__xludf.DUMMYFUNCTION("""COMPUTED_VALUE"""),"#VALUE!")</f>
        <v>#VALUE!</v>
      </c>
      <c r="DC521" t="str">
        <f ca="1">IFERROR(__xludf.DUMMYFUNCTION("""COMPUTED_VALUE"""),"#VALUE!")</f>
        <v>#VALUE!</v>
      </c>
      <c r="DE521" t="str">
        <f ca="1">IFERROR(__xludf.DUMMYFUNCTION("""COMPUTED_VALUE"""),"#VALUE!")</f>
        <v>#VALUE!</v>
      </c>
    </row>
    <row r="522" spans="1:109" ht="13.2" x14ac:dyDescent="0.25">
      <c r="A522" t="str">
        <f ca="1">IFERROR(__xludf.DUMMYFUNCTION("""COMPUTED_VALUE"""),"P0531")</f>
        <v>P0531</v>
      </c>
      <c r="BC522" t="str">
        <f ca="1">IFERROR(__xludf.DUMMYFUNCTION("""COMPUTED_VALUE"""),"#VALUE!")</f>
        <v>#VALUE!</v>
      </c>
      <c r="BE522" t="str">
        <f ca="1">IFERROR(__xludf.DUMMYFUNCTION("""COMPUTED_VALUE"""),"#VALUE!")</f>
        <v>#VALUE!</v>
      </c>
      <c r="BG522" t="str">
        <f ca="1">IFERROR(__xludf.DUMMYFUNCTION("""COMPUTED_VALUE"""),"#VALUE!")</f>
        <v>#VALUE!</v>
      </c>
      <c r="BI522" t="str">
        <f ca="1">IFERROR(__xludf.DUMMYFUNCTION("""COMPUTED_VALUE"""),"#VALUE!")</f>
        <v>#VALUE!</v>
      </c>
      <c r="BK522" t="str">
        <f ca="1">IFERROR(__xludf.DUMMYFUNCTION("""COMPUTED_VALUE"""),"#VALUE!")</f>
        <v>#VALUE!</v>
      </c>
      <c r="BM522" t="str">
        <f ca="1">IFERROR(__xludf.DUMMYFUNCTION("""COMPUTED_VALUE"""),"#VALUE!")</f>
        <v>#VALUE!</v>
      </c>
      <c r="CS522" t="str">
        <f ca="1">IFERROR(__xludf.DUMMYFUNCTION("""COMPUTED_VALUE"""),"#VALUE!")</f>
        <v>#VALUE!</v>
      </c>
      <c r="CU522" t="str">
        <f ca="1">IFERROR(__xludf.DUMMYFUNCTION("""COMPUTED_VALUE"""),"#VALUE!")</f>
        <v>#VALUE!</v>
      </c>
      <c r="CW522" t="str">
        <f ca="1">IFERROR(__xludf.DUMMYFUNCTION("""COMPUTED_VALUE"""),"#VALUE!")</f>
        <v>#VALUE!</v>
      </c>
      <c r="CY522" t="str">
        <f ca="1">IFERROR(__xludf.DUMMYFUNCTION("""COMPUTED_VALUE"""),"#VALUE!")</f>
        <v>#VALUE!</v>
      </c>
      <c r="DC522" t="str">
        <f ca="1">IFERROR(__xludf.DUMMYFUNCTION("""COMPUTED_VALUE"""),"#VALUE!")</f>
        <v>#VALUE!</v>
      </c>
      <c r="DE522" t="str">
        <f ca="1">IFERROR(__xludf.DUMMYFUNCTION("""COMPUTED_VALUE"""),"#VALUE!")</f>
        <v>#VALUE!</v>
      </c>
    </row>
    <row r="523" spans="1:109" ht="13.2" x14ac:dyDescent="0.25">
      <c r="A523" t="str">
        <f ca="1">IFERROR(__xludf.DUMMYFUNCTION("""COMPUTED_VALUE"""),"P0532")</f>
        <v>P0532</v>
      </c>
      <c r="BC523" t="str">
        <f ca="1">IFERROR(__xludf.DUMMYFUNCTION("""COMPUTED_VALUE"""),"#VALUE!")</f>
        <v>#VALUE!</v>
      </c>
      <c r="BE523" t="str">
        <f ca="1">IFERROR(__xludf.DUMMYFUNCTION("""COMPUTED_VALUE"""),"#VALUE!")</f>
        <v>#VALUE!</v>
      </c>
      <c r="BG523" t="str">
        <f ca="1">IFERROR(__xludf.DUMMYFUNCTION("""COMPUTED_VALUE"""),"#VALUE!")</f>
        <v>#VALUE!</v>
      </c>
      <c r="BI523" t="str">
        <f ca="1">IFERROR(__xludf.DUMMYFUNCTION("""COMPUTED_VALUE"""),"#VALUE!")</f>
        <v>#VALUE!</v>
      </c>
      <c r="BK523" t="str">
        <f ca="1">IFERROR(__xludf.DUMMYFUNCTION("""COMPUTED_VALUE"""),"#VALUE!")</f>
        <v>#VALUE!</v>
      </c>
      <c r="BM523" t="str">
        <f ca="1">IFERROR(__xludf.DUMMYFUNCTION("""COMPUTED_VALUE"""),"#VALUE!")</f>
        <v>#VALUE!</v>
      </c>
      <c r="CS523" t="str">
        <f ca="1">IFERROR(__xludf.DUMMYFUNCTION("""COMPUTED_VALUE"""),"#VALUE!")</f>
        <v>#VALUE!</v>
      </c>
      <c r="CU523" t="str">
        <f ca="1">IFERROR(__xludf.DUMMYFUNCTION("""COMPUTED_VALUE"""),"#VALUE!")</f>
        <v>#VALUE!</v>
      </c>
      <c r="CW523" t="str">
        <f ca="1">IFERROR(__xludf.DUMMYFUNCTION("""COMPUTED_VALUE"""),"#VALUE!")</f>
        <v>#VALUE!</v>
      </c>
      <c r="CY523" t="str">
        <f ca="1">IFERROR(__xludf.DUMMYFUNCTION("""COMPUTED_VALUE"""),"#VALUE!")</f>
        <v>#VALUE!</v>
      </c>
      <c r="DC523" t="str">
        <f ca="1">IFERROR(__xludf.DUMMYFUNCTION("""COMPUTED_VALUE"""),"#VALUE!")</f>
        <v>#VALUE!</v>
      </c>
      <c r="DE523" t="str">
        <f ca="1">IFERROR(__xludf.DUMMYFUNCTION("""COMPUTED_VALUE"""),"#VALUE!")</f>
        <v>#VALUE!</v>
      </c>
    </row>
    <row r="524" spans="1:109" ht="13.2" x14ac:dyDescent="0.25">
      <c r="A524" t="str">
        <f ca="1">IFERROR(__xludf.DUMMYFUNCTION("""COMPUTED_VALUE"""),"P0533")</f>
        <v>P0533</v>
      </c>
      <c r="BC524" t="str">
        <f ca="1">IFERROR(__xludf.DUMMYFUNCTION("""COMPUTED_VALUE"""),"#VALUE!")</f>
        <v>#VALUE!</v>
      </c>
      <c r="BE524" t="str">
        <f ca="1">IFERROR(__xludf.DUMMYFUNCTION("""COMPUTED_VALUE"""),"#VALUE!")</f>
        <v>#VALUE!</v>
      </c>
      <c r="BG524" t="str">
        <f ca="1">IFERROR(__xludf.DUMMYFUNCTION("""COMPUTED_VALUE"""),"#VALUE!")</f>
        <v>#VALUE!</v>
      </c>
      <c r="BI524" t="str">
        <f ca="1">IFERROR(__xludf.DUMMYFUNCTION("""COMPUTED_VALUE"""),"#VALUE!")</f>
        <v>#VALUE!</v>
      </c>
      <c r="BK524" t="str">
        <f ca="1">IFERROR(__xludf.DUMMYFUNCTION("""COMPUTED_VALUE"""),"#VALUE!")</f>
        <v>#VALUE!</v>
      </c>
      <c r="BM524" t="str">
        <f ca="1">IFERROR(__xludf.DUMMYFUNCTION("""COMPUTED_VALUE"""),"#VALUE!")</f>
        <v>#VALUE!</v>
      </c>
      <c r="CS524" t="str">
        <f ca="1">IFERROR(__xludf.DUMMYFUNCTION("""COMPUTED_VALUE"""),"#VALUE!")</f>
        <v>#VALUE!</v>
      </c>
      <c r="CU524" t="str">
        <f ca="1">IFERROR(__xludf.DUMMYFUNCTION("""COMPUTED_VALUE"""),"#VALUE!")</f>
        <v>#VALUE!</v>
      </c>
      <c r="CW524" t="str">
        <f ca="1">IFERROR(__xludf.DUMMYFUNCTION("""COMPUTED_VALUE"""),"#VALUE!")</f>
        <v>#VALUE!</v>
      </c>
      <c r="CY524" t="str">
        <f ca="1">IFERROR(__xludf.DUMMYFUNCTION("""COMPUTED_VALUE"""),"#VALUE!")</f>
        <v>#VALUE!</v>
      </c>
      <c r="DC524" t="str">
        <f ca="1">IFERROR(__xludf.DUMMYFUNCTION("""COMPUTED_VALUE"""),"#VALUE!")</f>
        <v>#VALUE!</v>
      </c>
      <c r="DE524" t="str">
        <f ca="1">IFERROR(__xludf.DUMMYFUNCTION("""COMPUTED_VALUE"""),"#VALUE!")</f>
        <v>#VALUE!</v>
      </c>
    </row>
    <row r="525" spans="1:109" ht="13.2" x14ac:dyDescent="0.25">
      <c r="A525" t="str">
        <f ca="1">IFERROR(__xludf.DUMMYFUNCTION("""COMPUTED_VALUE"""),"P0534")</f>
        <v>P0534</v>
      </c>
      <c r="BC525" t="str">
        <f ca="1">IFERROR(__xludf.DUMMYFUNCTION("""COMPUTED_VALUE"""),"#VALUE!")</f>
        <v>#VALUE!</v>
      </c>
      <c r="BE525" t="str">
        <f ca="1">IFERROR(__xludf.DUMMYFUNCTION("""COMPUTED_VALUE"""),"#VALUE!")</f>
        <v>#VALUE!</v>
      </c>
      <c r="BG525" t="str">
        <f ca="1">IFERROR(__xludf.DUMMYFUNCTION("""COMPUTED_VALUE"""),"#VALUE!")</f>
        <v>#VALUE!</v>
      </c>
      <c r="BI525" t="str">
        <f ca="1">IFERROR(__xludf.DUMMYFUNCTION("""COMPUTED_VALUE"""),"#VALUE!")</f>
        <v>#VALUE!</v>
      </c>
      <c r="BK525" t="str">
        <f ca="1">IFERROR(__xludf.DUMMYFUNCTION("""COMPUTED_VALUE"""),"#VALUE!")</f>
        <v>#VALUE!</v>
      </c>
      <c r="BM525" t="str">
        <f ca="1">IFERROR(__xludf.DUMMYFUNCTION("""COMPUTED_VALUE"""),"#VALUE!")</f>
        <v>#VALUE!</v>
      </c>
      <c r="CS525" t="str">
        <f ca="1">IFERROR(__xludf.DUMMYFUNCTION("""COMPUTED_VALUE"""),"#VALUE!")</f>
        <v>#VALUE!</v>
      </c>
      <c r="CU525" t="str">
        <f ca="1">IFERROR(__xludf.DUMMYFUNCTION("""COMPUTED_VALUE"""),"#VALUE!")</f>
        <v>#VALUE!</v>
      </c>
      <c r="CW525" t="str">
        <f ca="1">IFERROR(__xludf.DUMMYFUNCTION("""COMPUTED_VALUE"""),"#VALUE!")</f>
        <v>#VALUE!</v>
      </c>
      <c r="CY525" t="str">
        <f ca="1">IFERROR(__xludf.DUMMYFUNCTION("""COMPUTED_VALUE"""),"#VALUE!")</f>
        <v>#VALUE!</v>
      </c>
      <c r="DC525" t="str">
        <f ca="1">IFERROR(__xludf.DUMMYFUNCTION("""COMPUTED_VALUE"""),"#VALUE!")</f>
        <v>#VALUE!</v>
      </c>
      <c r="DE525" t="str">
        <f ca="1">IFERROR(__xludf.DUMMYFUNCTION("""COMPUTED_VALUE"""),"#VALUE!")</f>
        <v>#VALUE!</v>
      </c>
    </row>
    <row r="526" spans="1:109" ht="13.2" x14ac:dyDescent="0.25">
      <c r="A526" t="str">
        <f ca="1">IFERROR(__xludf.DUMMYFUNCTION("""COMPUTED_VALUE"""),"P0535")</f>
        <v>P0535</v>
      </c>
      <c r="BC526" t="str">
        <f ca="1">IFERROR(__xludf.DUMMYFUNCTION("""COMPUTED_VALUE"""),"#VALUE!")</f>
        <v>#VALUE!</v>
      </c>
      <c r="BE526" t="str">
        <f ca="1">IFERROR(__xludf.DUMMYFUNCTION("""COMPUTED_VALUE"""),"#VALUE!")</f>
        <v>#VALUE!</v>
      </c>
      <c r="BG526" t="str">
        <f ca="1">IFERROR(__xludf.DUMMYFUNCTION("""COMPUTED_VALUE"""),"#VALUE!")</f>
        <v>#VALUE!</v>
      </c>
      <c r="BI526" t="str">
        <f ca="1">IFERROR(__xludf.DUMMYFUNCTION("""COMPUTED_VALUE"""),"#VALUE!")</f>
        <v>#VALUE!</v>
      </c>
      <c r="BK526" t="str">
        <f ca="1">IFERROR(__xludf.DUMMYFUNCTION("""COMPUTED_VALUE"""),"#VALUE!")</f>
        <v>#VALUE!</v>
      </c>
      <c r="BM526" t="str">
        <f ca="1">IFERROR(__xludf.DUMMYFUNCTION("""COMPUTED_VALUE"""),"#VALUE!")</f>
        <v>#VALUE!</v>
      </c>
      <c r="CS526" t="str">
        <f ca="1">IFERROR(__xludf.DUMMYFUNCTION("""COMPUTED_VALUE"""),"#VALUE!")</f>
        <v>#VALUE!</v>
      </c>
      <c r="CU526" t="str">
        <f ca="1">IFERROR(__xludf.DUMMYFUNCTION("""COMPUTED_VALUE"""),"#VALUE!")</f>
        <v>#VALUE!</v>
      </c>
      <c r="CW526" t="str">
        <f ca="1">IFERROR(__xludf.DUMMYFUNCTION("""COMPUTED_VALUE"""),"#VALUE!")</f>
        <v>#VALUE!</v>
      </c>
      <c r="CY526" t="str">
        <f ca="1">IFERROR(__xludf.DUMMYFUNCTION("""COMPUTED_VALUE"""),"#VALUE!")</f>
        <v>#VALUE!</v>
      </c>
      <c r="DC526" t="str">
        <f ca="1">IFERROR(__xludf.DUMMYFUNCTION("""COMPUTED_VALUE"""),"#VALUE!")</f>
        <v>#VALUE!</v>
      </c>
      <c r="DE526" t="str">
        <f ca="1">IFERROR(__xludf.DUMMYFUNCTION("""COMPUTED_VALUE"""),"#VALUE!")</f>
        <v>#VALUE!</v>
      </c>
    </row>
    <row r="527" spans="1:109" ht="13.2" x14ac:dyDescent="0.25">
      <c r="A527" t="str">
        <f ca="1">IFERROR(__xludf.DUMMYFUNCTION("""COMPUTED_VALUE"""),"P0536")</f>
        <v>P0536</v>
      </c>
      <c r="BC527" t="str">
        <f ca="1">IFERROR(__xludf.DUMMYFUNCTION("""COMPUTED_VALUE"""),"#VALUE!")</f>
        <v>#VALUE!</v>
      </c>
      <c r="BE527" t="str">
        <f ca="1">IFERROR(__xludf.DUMMYFUNCTION("""COMPUTED_VALUE"""),"#VALUE!")</f>
        <v>#VALUE!</v>
      </c>
      <c r="BG527" t="str">
        <f ca="1">IFERROR(__xludf.DUMMYFUNCTION("""COMPUTED_VALUE"""),"#VALUE!")</f>
        <v>#VALUE!</v>
      </c>
      <c r="BI527" t="str">
        <f ca="1">IFERROR(__xludf.DUMMYFUNCTION("""COMPUTED_VALUE"""),"#VALUE!")</f>
        <v>#VALUE!</v>
      </c>
      <c r="BK527" t="str">
        <f ca="1">IFERROR(__xludf.DUMMYFUNCTION("""COMPUTED_VALUE"""),"#VALUE!")</f>
        <v>#VALUE!</v>
      </c>
      <c r="BM527" t="str">
        <f ca="1">IFERROR(__xludf.DUMMYFUNCTION("""COMPUTED_VALUE"""),"#VALUE!")</f>
        <v>#VALUE!</v>
      </c>
      <c r="CS527" t="str">
        <f ca="1">IFERROR(__xludf.DUMMYFUNCTION("""COMPUTED_VALUE"""),"#VALUE!")</f>
        <v>#VALUE!</v>
      </c>
      <c r="CU527" t="str">
        <f ca="1">IFERROR(__xludf.DUMMYFUNCTION("""COMPUTED_VALUE"""),"#VALUE!")</f>
        <v>#VALUE!</v>
      </c>
      <c r="CW527" t="str">
        <f ca="1">IFERROR(__xludf.DUMMYFUNCTION("""COMPUTED_VALUE"""),"#VALUE!")</f>
        <v>#VALUE!</v>
      </c>
      <c r="CY527" t="str">
        <f ca="1">IFERROR(__xludf.DUMMYFUNCTION("""COMPUTED_VALUE"""),"#VALUE!")</f>
        <v>#VALUE!</v>
      </c>
      <c r="DC527" t="str">
        <f ca="1">IFERROR(__xludf.DUMMYFUNCTION("""COMPUTED_VALUE"""),"#VALUE!")</f>
        <v>#VALUE!</v>
      </c>
      <c r="DE527" t="str">
        <f ca="1">IFERROR(__xludf.DUMMYFUNCTION("""COMPUTED_VALUE"""),"#VALUE!")</f>
        <v>#VALUE!</v>
      </c>
    </row>
    <row r="528" spans="1:109" ht="13.2" x14ac:dyDescent="0.25">
      <c r="A528" t="str">
        <f ca="1">IFERROR(__xludf.DUMMYFUNCTION("""COMPUTED_VALUE"""),"P0537")</f>
        <v>P0537</v>
      </c>
      <c r="BC528" t="str">
        <f ca="1">IFERROR(__xludf.DUMMYFUNCTION("""COMPUTED_VALUE"""),"#VALUE!")</f>
        <v>#VALUE!</v>
      </c>
      <c r="BE528" t="str">
        <f ca="1">IFERROR(__xludf.DUMMYFUNCTION("""COMPUTED_VALUE"""),"#VALUE!")</f>
        <v>#VALUE!</v>
      </c>
      <c r="BG528" t="str">
        <f ca="1">IFERROR(__xludf.DUMMYFUNCTION("""COMPUTED_VALUE"""),"#VALUE!")</f>
        <v>#VALUE!</v>
      </c>
      <c r="BI528" t="str">
        <f ca="1">IFERROR(__xludf.DUMMYFUNCTION("""COMPUTED_VALUE"""),"#VALUE!")</f>
        <v>#VALUE!</v>
      </c>
      <c r="BK528" t="str">
        <f ca="1">IFERROR(__xludf.DUMMYFUNCTION("""COMPUTED_VALUE"""),"#VALUE!")</f>
        <v>#VALUE!</v>
      </c>
      <c r="BM528" t="str">
        <f ca="1">IFERROR(__xludf.DUMMYFUNCTION("""COMPUTED_VALUE"""),"#VALUE!")</f>
        <v>#VALUE!</v>
      </c>
      <c r="CS528" t="str">
        <f ca="1">IFERROR(__xludf.DUMMYFUNCTION("""COMPUTED_VALUE"""),"#VALUE!")</f>
        <v>#VALUE!</v>
      </c>
      <c r="CU528" t="str">
        <f ca="1">IFERROR(__xludf.DUMMYFUNCTION("""COMPUTED_VALUE"""),"#VALUE!")</f>
        <v>#VALUE!</v>
      </c>
      <c r="CW528" t="str">
        <f ca="1">IFERROR(__xludf.DUMMYFUNCTION("""COMPUTED_VALUE"""),"#VALUE!")</f>
        <v>#VALUE!</v>
      </c>
      <c r="CY528" t="str">
        <f ca="1">IFERROR(__xludf.DUMMYFUNCTION("""COMPUTED_VALUE"""),"#VALUE!")</f>
        <v>#VALUE!</v>
      </c>
      <c r="DC528" t="str">
        <f ca="1">IFERROR(__xludf.DUMMYFUNCTION("""COMPUTED_VALUE"""),"#VALUE!")</f>
        <v>#VALUE!</v>
      </c>
      <c r="DE528" t="str">
        <f ca="1">IFERROR(__xludf.DUMMYFUNCTION("""COMPUTED_VALUE"""),"#VALUE!")</f>
        <v>#VALUE!</v>
      </c>
    </row>
    <row r="529" spans="1:109" ht="13.2" x14ac:dyDescent="0.25">
      <c r="A529" t="str">
        <f ca="1">IFERROR(__xludf.DUMMYFUNCTION("""COMPUTED_VALUE"""),"P0538")</f>
        <v>P0538</v>
      </c>
      <c r="BC529" t="str">
        <f ca="1">IFERROR(__xludf.DUMMYFUNCTION("""COMPUTED_VALUE"""),"#VALUE!")</f>
        <v>#VALUE!</v>
      </c>
      <c r="BE529" t="str">
        <f ca="1">IFERROR(__xludf.DUMMYFUNCTION("""COMPUTED_VALUE"""),"#VALUE!")</f>
        <v>#VALUE!</v>
      </c>
      <c r="BG529" t="str">
        <f ca="1">IFERROR(__xludf.DUMMYFUNCTION("""COMPUTED_VALUE"""),"#VALUE!")</f>
        <v>#VALUE!</v>
      </c>
      <c r="BI529" t="str">
        <f ca="1">IFERROR(__xludf.DUMMYFUNCTION("""COMPUTED_VALUE"""),"#VALUE!")</f>
        <v>#VALUE!</v>
      </c>
      <c r="BK529" t="str">
        <f ca="1">IFERROR(__xludf.DUMMYFUNCTION("""COMPUTED_VALUE"""),"#VALUE!")</f>
        <v>#VALUE!</v>
      </c>
      <c r="BM529" t="str">
        <f ca="1">IFERROR(__xludf.DUMMYFUNCTION("""COMPUTED_VALUE"""),"#VALUE!")</f>
        <v>#VALUE!</v>
      </c>
      <c r="CS529" t="str">
        <f ca="1">IFERROR(__xludf.DUMMYFUNCTION("""COMPUTED_VALUE"""),"#VALUE!")</f>
        <v>#VALUE!</v>
      </c>
      <c r="CU529" t="str">
        <f ca="1">IFERROR(__xludf.DUMMYFUNCTION("""COMPUTED_VALUE"""),"#VALUE!")</f>
        <v>#VALUE!</v>
      </c>
      <c r="CW529" t="str">
        <f ca="1">IFERROR(__xludf.DUMMYFUNCTION("""COMPUTED_VALUE"""),"#VALUE!")</f>
        <v>#VALUE!</v>
      </c>
      <c r="CY529" t="str">
        <f ca="1">IFERROR(__xludf.DUMMYFUNCTION("""COMPUTED_VALUE"""),"#VALUE!")</f>
        <v>#VALUE!</v>
      </c>
      <c r="DC529" t="str">
        <f ca="1">IFERROR(__xludf.DUMMYFUNCTION("""COMPUTED_VALUE"""),"#VALUE!")</f>
        <v>#VALUE!</v>
      </c>
      <c r="DE529" t="str">
        <f ca="1">IFERROR(__xludf.DUMMYFUNCTION("""COMPUTED_VALUE"""),"#VALUE!")</f>
        <v>#VALUE!</v>
      </c>
    </row>
    <row r="530" spans="1:109" ht="13.2" x14ac:dyDescent="0.25">
      <c r="A530" t="str">
        <f ca="1">IFERROR(__xludf.DUMMYFUNCTION("""COMPUTED_VALUE"""),"P0539")</f>
        <v>P0539</v>
      </c>
      <c r="BC530" t="str">
        <f ca="1">IFERROR(__xludf.DUMMYFUNCTION("""COMPUTED_VALUE"""),"#VALUE!")</f>
        <v>#VALUE!</v>
      </c>
      <c r="BE530" t="str">
        <f ca="1">IFERROR(__xludf.DUMMYFUNCTION("""COMPUTED_VALUE"""),"#VALUE!")</f>
        <v>#VALUE!</v>
      </c>
      <c r="BG530" t="str">
        <f ca="1">IFERROR(__xludf.DUMMYFUNCTION("""COMPUTED_VALUE"""),"#VALUE!")</f>
        <v>#VALUE!</v>
      </c>
      <c r="BI530" t="str">
        <f ca="1">IFERROR(__xludf.DUMMYFUNCTION("""COMPUTED_VALUE"""),"#VALUE!")</f>
        <v>#VALUE!</v>
      </c>
      <c r="BK530" t="str">
        <f ca="1">IFERROR(__xludf.DUMMYFUNCTION("""COMPUTED_VALUE"""),"#VALUE!")</f>
        <v>#VALUE!</v>
      </c>
      <c r="BM530" t="str">
        <f ca="1">IFERROR(__xludf.DUMMYFUNCTION("""COMPUTED_VALUE"""),"#VALUE!")</f>
        <v>#VALUE!</v>
      </c>
      <c r="CS530" t="str">
        <f ca="1">IFERROR(__xludf.DUMMYFUNCTION("""COMPUTED_VALUE"""),"#VALUE!")</f>
        <v>#VALUE!</v>
      </c>
      <c r="CU530" t="str">
        <f ca="1">IFERROR(__xludf.DUMMYFUNCTION("""COMPUTED_VALUE"""),"#VALUE!")</f>
        <v>#VALUE!</v>
      </c>
      <c r="CW530" t="str">
        <f ca="1">IFERROR(__xludf.DUMMYFUNCTION("""COMPUTED_VALUE"""),"#VALUE!")</f>
        <v>#VALUE!</v>
      </c>
      <c r="CY530" t="str">
        <f ca="1">IFERROR(__xludf.DUMMYFUNCTION("""COMPUTED_VALUE"""),"#VALUE!")</f>
        <v>#VALUE!</v>
      </c>
      <c r="DC530" t="str">
        <f ca="1">IFERROR(__xludf.DUMMYFUNCTION("""COMPUTED_VALUE"""),"#VALUE!")</f>
        <v>#VALUE!</v>
      </c>
      <c r="DE530" t="str">
        <f ca="1">IFERROR(__xludf.DUMMYFUNCTION("""COMPUTED_VALUE"""),"#VALUE!")</f>
        <v>#VALUE!</v>
      </c>
    </row>
    <row r="531" spans="1:109" ht="13.2" x14ac:dyDescent="0.25">
      <c r="A531" t="str">
        <f ca="1">IFERROR(__xludf.DUMMYFUNCTION("""COMPUTED_VALUE"""),"P0540")</f>
        <v>P0540</v>
      </c>
      <c r="BC531" t="str">
        <f ca="1">IFERROR(__xludf.DUMMYFUNCTION("""COMPUTED_VALUE"""),"#VALUE!")</f>
        <v>#VALUE!</v>
      </c>
      <c r="BE531" t="str">
        <f ca="1">IFERROR(__xludf.DUMMYFUNCTION("""COMPUTED_VALUE"""),"#VALUE!")</f>
        <v>#VALUE!</v>
      </c>
      <c r="BG531" t="str">
        <f ca="1">IFERROR(__xludf.DUMMYFUNCTION("""COMPUTED_VALUE"""),"#VALUE!")</f>
        <v>#VALUE!</v>
      </c>
      <c r="BI531" t="str">
        <f ca="1">IFERROR(__xludf.DUMMYFUNCTION("""COMPUTED_VALUE"""),"#VALUE!")</f>
        <v>#VALUE!</v>
      </c>
      <c r="BK531" t="str">
        <f ca="1">IFERROR(__xludf.DUMMYFUNCTION("""COMPUTED_VALUE"""),"#VALUE!")</f>
        <v>#VALUE!</v>
      </c>
      <c r="BM531" t="str">
        <f ca="1">IFERROR(__xludf.DUMMYFUNCTION("""COMPUTED_VALUE"""),"#VALUE!")</f>
        <v>#VALUE!</v>
      </c>
      <c r="CS531" t="str">
        <f ca="1">IFERROR(__xludf.DUMMYFUNCTION("""COMPUTED_VALUE"""),"#VALUE!")</f>
        <v>#VALUE!</v>
      </c>
      <c r="CU531" t="str">
        <f ca="1">IFERROR(__xludf.DUMMYFUNCTION("""COMPUTED_VALUE"""),"#VALUE!")</f>
        <v>#VALUE!</v>
      </c>
      <c r="CW531" t="str">
        <f ca="1">IFERROR(__xludf.DUMMYFUNCTION("""COMPUTED_VALUE"""),"#VALUE!")</f>
        <v>#VALUE!</v>
      </c>
      <c r="CY531" t="str">
        <f ca="1">IFERROR(__xludf.DUMMYFUNCTION("""COMPUTED_VALUE"""),"#VALUE!")</f>
        <v>#VALUE!</v>
      </c>
      <c r="DC531" t="str">
        <f ca="1">IFERROR(__xludf.DUMMYFUNCTION("""COMPUTED_VALUE"""),"#VALUE!")</f>
        <v>#VALUE!</v>
      </c>
      <c r="DE531" t="str">
        <f ca="1">IFERROR(__xludf.DUMMYFUNCTION("""COMPUTED_VALUE"""),"#VALUE!")</f>
        <v>#VALUE!</v>
      </c>
    </row>
    <row r="532" spans="1:109" ht="13.2" x14ac:dyDescent="0.25">
      <c r="A532" t="str">
        <f ca="1">IFERROR(__xludf.DUMMYFUNCTION("""COMPUTED_VALUE"""),"P0541")</f>
        <v>P0541</v>
      </c>
      <c r="BC532" t="str">
        <f ca="1">IFERROR(__xludf.DUMMYFUNCTION("""COMPUTED_VALUE"""),"#VALUE!")</f>
        <v>#VALUE!</v>
      </c>
      <c r="BE532" t="str">
        <f ca="1">IFERROR(__xludf.DUMMYFUNCTION("""COMPUTED_VALUE"""),"#VALUE!")</f>
        <v>#VALUE!</v>
      </c>
      <c r="BG532" t="str">
        <f ca="1">IFERROR(__xludf.DUMMYFUNCTION("""COMPUTED_VALUE"""),"#VALUE!")</f>
        <v>#VALUE!</v>
      </c>
      <c r="BI532" t="str">
        <f ca="1">IFERROR(__xludf.DUMMYFUNCTION("""COMPUTED_VALUE"""),"#VALUE!")</f>
        <v>#VALUE!</v>
      </c>
      <c r="BK532" t="str">
        <f ca="1">IFERROR(__xludf.DUMMYFUNCTION("""COMPUTED_VALUE"""),"#VALUE!")</f>
        <v>#VALUE!</v>
      </c>
      <c r="BM532" t="str">
        <f ca="1">IFERROR(__xludf.DUMMYFUNCTION("""COMPUTED_VALUE"""),"#VALUE!")</f>
        <v>#VALUE!</v>
      </c>
      <c r="CS532" t="str">
        <f ca="1">IFERROR(__xludf.DUMMYFUNCTION("""COMPUTED_VALUE"""),"#VALUE!")</f>
        <v>#VALUE!</v>
      </c>
      <c r="CU532" t="str">
        <f ca="1">IFERROR(__xludf.DUMMYFUNCTION("""COMPUTED_VALUE"""),"#VALUE!")</f>
        <v>#VALUE!</v>
      </c>
      <c r="CW532" t="str">
        <f ca="1">IFERROR(__xludf.DUMMYFUNCTION("""COMPUTED_VALUE"""),"#VALUE!")</f>
        <v>#VALUE!</v>
      </c>
      <c r="CY532" t="str">
        <f ca="1">IFERROR(__xludf.DUMMYFUNCTION("""COMPUTED_VALUE"""),"#VALUE!")</f>
        <v>#VALUE!</v>
      </c>
      <c r="DC532" t="str">
        <f ca="1">IFERROR(__xludf.DUMMYFUNCTION("""COMPUTED_VALUE"""),"#VALUE!")</f>
        <v>#VALUE!</v>
      </c>
      <c r="DE532" t="str">
        <f ca="1">IFERROR(__xludf.DUMMYFUNCTION("""COMPUTED_VALUE"""),"#VALUE!")</f>
        <v>#VALUE!</v>
      </c>
    </row>
    <row r="533" spans="1:109" ht="13.2" x14ac:dyDescent="0.25">
      <c r="A533" t="str">
        <f ca="1">IFERROR(__xludf.DUMMYFUNCTION("""COMPUTED_VALUE"""),"P0542")</f>
        <v>P0542</v>
      </c>
      <c r="BC533" t="str">
        <f ca="1">IFERROR(__xludf.DUMMYFUNCTION("""COMPUTED_VALUE"""),"#VALUE!")</f>
        <v>#VALUE!</v>
      </c>
      <c r="BE533" t="str">
        <f ca="1">IFERROR(__xludf.DUMMYFUNCTION("""COMPUTED_VALUE"""),"#VALUE!")</f>
        <v>#VALUE!</v>
      </c>
      <c r="BG533" t="str">
        <f ca="1">IFERROR(__xludf.DUMMYFUNCTION("""COMPUTED_VALUE"""),"#VALUE!")</f>
        <v>#VALUE!</v>
      </c>
      <c r="BI533" t="str">
        <f ca="1">IFERROR(__xludf.DUMMYFUNCTION("""COMPUTED_VALUE"""),"#VALUE!")</f>
        <v>#VALUE!</v>
      </c>
      <c r="BK533" t="str">
        <f ca="1">IFERROR(__xludf.DUMMYFUNCTION("""COMPUTED_VALUE"""),"#VALUE!")</f>
        <v>#VALUE!</v>
      </c>
      <c r="BM533" t="str">
        <f ca="1">IFERROR(__xludf.DUMMYFUNCTION("""COMPUTED_VALUE"""),"#VALUE!")</f>
        <v>#VALUE!</v>
      </c>
      <c r="CS533" t="str">
        <f ca="1">IFERROR(__xludf.DUMMYFUNCTION("""COMPUTED_VALUE"""),"#VALUE!")</f>
        <v>#VALUE!</v>
      </c>
      <c r="CU533" t="str">
        <f ca="1">IFERROR(__xludf.DUMMYFUNCTION("""COMPUTED_VALUE"""),"#VALUE!")</f>
        <v>#VALUE!</v>
      </c>
      <c r="CW533" t="str">
        <f ca="1">IFERROR(__xludf.DUMMYFUNCTION("""COMPUTED_VALUE"""),"#VALUE!")</f>
        <v>#VALUE!</v>
      </c>
      <c r="CY533" t="str">
        <f ca="1">IFERROR(__xludf.DUMMYFUNCTION("""COMPUTED_VALUE"""),"#VALUE!")</f>
        <v>#VALUE!</v>
      </c>
      <c r="DC533" t="str">
        <f ca="1">IFERROR(__xludf.DUMMYFUNCTION("""COMPUTED_VALUE"""),"#VALUE!")</f>
        <v>#VALUE!</v>
      </c>
      <c r="DE533" t="str">
        <f ca="1">IFERROR(__xludf.DUMMYFUNCTION("""COMPUTED_VALUE"""),"#VALUE!")</f>
        <v>#VALUE!</v>
      </c>
    </row>
    <row r="534" spans="1:109" ht="13.2" x14ac:dyDescent="0.25">
      <c r="A534" t="str">
        <f ca="1">IFERROR(__xludf.DUMMYFUNCTION("""COMPUTED_VALUE"""),"P0543")</f>
        <v>P0543</v>
      </c>
      <c r="BC534" t="str">
        <f ca="1">IFERROR(__xludf.DUMMYFUNCTION("""COMPUTED_VALUE"""),"#VALUE!")</f>
        <v>#VALUE!</v>
      </c>
      <c r="BE534" t="str">
        <f ca="1">IFERROR(__xludf.DUMMYFUNCTION("""COMPUTED_VALUE"""),"#VALUE!")</f>
        <v>#VALUE!</v>
      </c>
      <c r="BG534" t="str">
        <f ca="1">IFERROR(__xludf.DUMMYFUNCTION("""COMPUTED_VALUE"""),"#VALUE!")</f>
        <v>#VALUE!</v>
      </c>
      <c r="BI534" t="str">
        <f ca="1">IFERROR(__xludf.DUMMYFUNCTION("""COMPUTED_VALUE"""),"#VALUE!")</f>
        <v>#VALUE!</v>
      </c>
      <c r="BK534" t="str">
        <f ca="1">IFERROR(__xludf.DUMMYFUNCTION("""COMPUTED_VALUE"""),"#VALUE!")</f>
        <v>#VALUE!</v>
      </c>
      <c r="BM534" t="str">
        <f ca="1">IFERROR(__xludf.DUMMYFUNCTION("""COMPUTED_VALUE"""),"#VALUE!")</f>
        <v>#VALUE!</v>
      </c>
      <c r="CS534" t="str">
        <f ca="1">IFERROR(__xludf.DUMMYFUNCTION("""COMPUTED_VALUE"""),"#VALUE!")</f>
        <v>#VALUE!</v>
      </c>
      <c r="CU534" t="str">
        <f ca="1">IFERROR(__xludf.DUMMYFUNCTION("""COMPUTED_VALUE"""),"#VALUE!")</f>
        <v>#VALUE!</v>
      </c>
      <c r="CW534" t="str">
        <f ca="1">IFERROR(__xludf.DUMMYFUNCTION("""COMPUTED_VALUE"""),"#VALUE!")</f>
        <v>#VALUE!</v>
      </c>
      <c r="CY534" t="str">
        <f ca="1">IFERROR(__xludf.DUMMYFUNCTION("""COMPUTED_VALUE"""),"#VALUE!")</f>
        <v>#VALUE!</v>
      </c>
      <c r="DC534" t="str">
        <f ca="1">IFERROR(__xludf.DUMMYFUNCTION("""COMPUTED_VALUE"""),"#VALUE!")</f>
        <v>#VALUE!</v>
      </c>
      <c r="DE534" t="str">
        <f ca="1">IFERROR(__xludf.DUMMYFUNCTION("""COMPUTED_VALUE"""),"#VALUE!")</f>
        <v>#VALUE!</v>
      </c>
    </row>
    <row r="535" spans="1:109" ht="13.2" x14ac:dyDescent="0.25">
      <c r="A535" t="str">
        <f ca="1">IFERROR(__xludf.DUMMYFUNCTION("""COMPUTED_VALUE"""),"P0544")</f>
        <v>P0544</v>
      </c>
      <c r="BC535" t="str">
        <f ca="1">IFERROR(__xludf.DUMMYFUNCTION("""COMPUTED_VALUE"""),"#VALUE!")</f>
        <v>#VALUE!</v>
      </c>
      <c r="BE535" t="str">
        <f ca="1">IFERROR(__xludf.DUMMYFUNCTION("""COMPUTED_VALUE"""),"#VALUE!")</f>
        <v>#VALUE!</v>
      </c>
      <c r="BG535" t="str">
        <f ca="1">IFERROR(__xludf.DUMMYFUNCTION("""COMPUTED_VALUE"""),"#VALUE!")</f>
        <v>#VALUE!</v>
      </c>
      <c r="BI535" t="str">
        <f ca="1">IFERROR(__xludf.DUMMYFUNCTION("""COMPUTED_VALUE"""),"#VALUE!")</f>
        <v>#VALUE!</v>
      </c>
      <c r="BK535" t="str">
        <f ca="1">IFERROR(__xludf.DUMMYFUNCTION("""COMPUTED_VALUE"""),"#VALUE!")</f>
        <v>#VALUE!</v>
      </c>
      <c r="BM535" t="str">
        <f ca="1">IFERROR(__xludf.DUMMYFUNCTION("""COMPUTED_VALUE"""),"#VALUE!")</f>
        <v>#VALUE!</v>
      </c>
      <c r="CS535" t="str">
        <f ca="1">IFERROR(__xludf.DUMMYFUNCTION("""COMPUTED_VALUE"""),"#VALUE!")</f>
        <v>#VALUE!</v>
      </c>
      <c r="CU535" t="str">
        <f ca="1">IFERROR(__xludf.DUMMYFUNCTION("""COMPUTED_VALUE"""),"#VALUE!")</f>
        <v>#VALUE!</v>
      </c>
      <c r="CW535" t="str">
        <f ca="1">IFERROR(__xludf.DUMMYFUNCTION("""COMPUTED_VALUE"""),"#VALUE!")</f>
        <v>#VALUE!</v>
      </c>
      <c r="CY535" t="str">
        <f ca="1">IFERROR(__xludf.DUMMYFUNCTION("""COMPUTED_VALUE"""),"#VALUE!")</f>
        <v>#VALUE!</v>
      </c>
      <c r="DC535" t="str">
        <f ca="1">IFERROR(__xludf.DUMMYFUNCTION("""COMPUTED_VALUE"""),"#VALUE!")</f>
        <v>#VALUE!</v>
      </c>
      <c r="DE535" t="str">
        <f ca="1">IFERROR(__xludf.DUMMYFUNCTION("""COMPUTED_VALUE"""),"#VALUE!")</f>
        <v>#VALUE!</v>
      </c>
    </row>
    <row r="536" spans="1:109" ht="13.2" x14ac:dyDescent="0.25">
      <c r="A536" t="str">
        <f ca="1">IFERROR(__xludf.DUMMYFUNCTION("""COMPUTED_VALUE"""),"P0545")</f>
        <v>P0545</v>
      </c>
      <c r="BC536" t="str">
        <f ca="1">IFERROR(__xludf.DUMMYFUNCTION("""COMPUTED_VALUE"""),"#VALUE!")</f>
        <v>#VALUE!</v>
      </c>
      <c r="BE536" t="str">
        <f ca="1">IFERROR(__xludf.DUMMYFUNCTION("""COMPUTED_VALUE"""),"#VALUE!")</f>
        <v>#VALUE!</v>
      </c>
      <c r="BG536" t="str">
        <f ca="1">IFERROR(__xludf.DUMMYFUNCTION("""COMPUTED_VALUE"""),"#VALUE!")</f>
        <v>#VALUE!</v>
      </c>
      <c r="BI536" t="str">
        <f ca="1">IFERROR(__xludf.DUMMYFUNCTION("""COMPUTED_VALUE"""),"#VALUE!")</f>
        <v>#VALUE!</v>
      </c>
      <c r="BK536" t="str">
        <f ca="1">IFERROR(__xludf.DUMMYFUNCTION("""COMPUTED_VALUE"""),"#VALUE!")</f>
        <v>#VALUE!</v>
      </c>
      <c r="BM536" t="str">
        <f ca="1">IFERROR(__xludf.DUMMYFUNCTION("""COMPUTED_VALUE"""),"#VALUE!")</f>
        <v>#VALUE!</v>
      </c>
      <c r="CS536" t="str">
        <f ca="1">IFERROR(__xludf.DUMMYFUNCTION("""COMPUTED_VALUE"""),"#VALUE!")</f>
        <v>#VALUE!</v>
      </c>
      <c r="CU536" t="str">
        <f ca="1">IFERROR(__xludf.DUMMYFUNCTION("""COMPUTED_VALUE"""),"#VALUE!")</f>
        <v>#VALUE!</v>
      </c>
      <c r="CW536" t="str">
        <f ca="1">IFERROR(__xludf.DUMMYFUNCTION("""COMPUTED_VALUE"""),"#VALUE!")</f>
        <v>#VALUE!</v>
      </c>
      <c r="CY536" t="str">
        <f ca="1">IFERROR(__xludf.DUMMYFUNCTION("""COMPUTED_VALUE"""),"#VALUE!")</f>
        <v>#VALUE!</v>
      </c>
      <c r="DC536" t="str">
        <f ca="1">IFERROR(__xludf.DUMMYFUNCTION("""COMPUTED_VALUE"""),"#VALUE!")</f>
        <v>#VALUE!</v>
      </c>
      <c r="DE536" t="str">
        <f ca="1">IFERROR(__xludf.DUMMYFUNCTION("""COMPUTED_VALUE"""),"#VALUE!")</f>
        <v>#VALUE!</v>
      </c>
    </row>
    <row r="537" spans="1:109" ht="13.2" x14ac:dyDescent="0.25">
      <c r="A537" t="str">
        <f ca="1">IFERROR(__xludf.DUMMYFUNCTION("""COMPUTED_VALUE"""),"P0546")</f>
        <v>P0546</v>
      </c>
      <c r="BC537" t="str">
        <f ca="1">IFERROR(__xludf.DUMMYFUNCTION("""COMPUTED_VALUE"""),"#VALUE!")</f>
        <v>#VALUE!</v>
      </c>
      <c r="BE537" t="str">
        <f ca="1">IFERROR(__xludf.DUMMYFUNCTION("""COMPUTED_VALUE"""),"#VALUE!")</f>
        <v>#VALUE!</v>
      </c>
      <c r="BG537" t="str">
        <f ca="1">IFERROR(__xludf.DUMMYFUNCTION("""COMPUTED_VALUE"""),"#VALUE!")</f>
        <v>#VALUE!</v>
      </c>
      <c r="BI537" t="str">
        <f ca="1">IFERROR(__xludf.DUMMYFUNCTION("""COMPUTED_VALUE"""),"#VALUE!")</f>
        <v>#VALUE!</v>
      </c>
      <c r="BK537" t="str">
        <f ca="1">IFERROR(__xludf.DUMMYFUNCTION("""COMPUTED_VALUE"""),"#VALUE!")</f>
        <v>#VALUE!</v>
      </c>
      <c r="BM537" t="str">
        <f ca="1">IFERROR(__xludf.DUMMYFUNCTION("""COMPUTED_VALUE"""),"#VALUE!")</f>
        <v>#VALUE!</v>
      </c>
      <c r="CS537" t="str">
        <f ca="1">IFERROR(__xludf.DUMMYFUNCTION("""COMPUTED_VALUE"""),"#VALUE!")</f>
        <v>#VALUE!</v>
      </c>
      <c r="CU537" t="str">
        <f ca="1">IFERROR(__xludf.DUMMYFUNCTION("""COMPUTED_VALUE"""),"#VALUE!")</f>
        <v>#VALUE!</v>
      </c>
      <c r="CW537" t="str">
        <f ca="1">IFERROR(__xludf.DUMMYFUNCTION("""COMPUTED_VALUE"""),"#VALUE!")</f>
        <v>#VALUE!</v>
      </c>
      <c r="CY537" t="str">
        <f ca="1">IFERROR(__xludf.DUMMYFUNCTION("""COMPUTED_VALUE"""),"#VALUE!")</f>
        <v>#VALUE!</v>
      </c>
      <c r="DC537" t="str">
        <f ca="1">IFERROR(__xludf.DUMMYFUNCTION("""COMPUTED_VALUE"""),"#VALUE!")</f>
        <v>#VALUE!</v>
      </c>
      <c r="DE537" t="str">
        <f ca="1">IFERROR(__xludf.DUMMYFUNCTION("""COMPUTED_VALUE"""),"#VALUE!")</f>
        <v>#VALUE!</v>
      </c>
    </row>
    <row r="538" spans="1:109" ht="13.2" x14ac:dyDescent="0.25">
      <c r="A538" t="str">
        <f ca="1">IFERROR(__xludf.DUMMYFUNCTION("""COMPUTED_VALUE"""),"P0547")</f>
        <v>P0547</v>
      </c>
      <c r="BC538" t="str">
        <f ca="1">IFERROR(__xludf.DUMMYFUNCTION("""COMPUTED_VALUE"""),"#VALUE!")</f>
        <v>#VALUE!</v>
      </c>
      <c r="BE538" t="str">
        <f ca="1">IFERROR(__xludf.DUMMYFUNCTION("""COMPUTED_VALUE"""),"#VALUE!")</f>
        <v>#VALUE!</v>
      </c>
      <c r="BG538" t="str">
        <f ca="1">IFERROR(__xludf.DUMMYFUNCTION("""COMPUTED_VALUE"""),"#VALUE!")</f>
        <v>#VALUE!</v>
      </c>
      <c r="BI538" t="str">
        <f ca="1">IFERROR(__xludf.DUMMYFUNCTION("""COMPUTED_VALUE"""),"#VALUE!")</f>
        <v>#VALUE!</v>
      </c>
      <c r="BK538" t="str">
        <f ca="1">IFERROR(__xludf.DUMMYFUNCTION("""COMPUTED_VALUE"""),"#VALUE!")</f>
        <v>#VALUE!</v>
      </c>
      <c r="BM538" t="str">
        <f ca="1">IFERROR(__xludf.DUMMYFUNCTION("""COMPUTED_VALUE"""),"#VALUE!")</f>
        <v>#VALUE!</v>
      </c>
      <c r="CS538" t="str">
        <f ca="1">IFERROR(__xludf.DUMMYFUNCTION("""COMPUTED_VALUE"""),"#VALUE!")</f>
        <v>#VALUE!</v>
      </c>
      <c r="CU538" t="str">
        <f ca="1">IFERROR(__xludf.DUMMYFUNCTION("""COMPUTED_VALUE"""),"#VALUE!")</f>
        <v>#VALUE!</v>
      </c>
      <c r="CW538" t="str">
        <f ca="1">IFERROR(__xludf.DUMMYFUNCTION("""COMPUTED_VALUE"""),"#VALUE!")</f>
        <v>#VALUE!</v>
      </c>
      <c r="CY538" t="str">
        <f ca="1">IFERROR(__xludf.DUMMYFUNCTION("""COMPUTED_VALUE"""),"#VALUE!")</f>
        <v>#VALUE!</v>
      </c>
      <c r="DC538" t="str">
        <f ca="1">IFERROR(__xludf.DUMMYFUNCTION("""COMPUTED_VALUE"""),"#VALUE!")</f>
        <v>#VALUE!</v>
      </c>
      <c r="DE538" t="str">
        <f ca="1">IFERROR(__xludf.DUMMYFUNCTION("""COMPUTED_VALUE"""),"#VALUE!")</f>
        <v>#VALUE!</v>
      </c>
    </row>
    <row r="539" spans="1:109" ht="13.2" x14ac:dyDescent="0.25">
      <c r="A539" t="str">
        <f ca="1">IFERROR(__xludf.DUMMYFUNCTION("""COMPUTED_VALUE"""),"P0548")</f>
        <v>P0548</v>
      </c>
      <c r="BC539" t="str">
        <f ca="1">IFERROR(__xludf.DUMMYFUNCTION("""COMPUTED_VALUE"""),"#VALUE!")</f>
        <v>#VALUE!</v>
      </c>
      <c r="BE539" t="str">
        <f ca="1">IFERROR(__xludf.DUMMYFUNCTION("""COMPUTED_VALUE"""),"#VALUE!")</f>
        <v>#VALUE!</v>
      </c>
      <c r="BG539" t="str">
        <f ca="1">IFERROR(__xludf.DUMMYFUNCTION("""COMPUTED_VALUE"""),"#VALUE!")</f>
        <v>#VALUE!</v>
      </c>
      <c r="BI539" t="str">
        <f ca="1">IFERROR(__xludf.DUMMYFUNCTION("""COMPUTED_VALUE"""),"#VALUE!")</f>
        <v>#VALUE!</v>
      </c>
      <c r="BK539" t="str">
        <f ca="1">IFERROR(__xludf.DUMMYFUNCTION("""COMPUTED_VALUE"""),"#VALUE!")</f>
        <v>#VALUE!</v>
      </c>
      <c r="BM539" t="str">
        <f ca="1">IFERROR(__xludf.DUMMYFUNCTION("""COMPUTED_VALUE"""),"#VALUE!")</f>
        <v>#VALUE!</v>
      </c>
      <c r="CS539" t="str">
        <f ca="1">IFERROR(__xludf.DUMMYFUNCTION("""COMPUTED_VALUE"""),"#VALUE!")</f>
        <v>#VALUE!</v>
      </c>
      <c r="CU539" t="str">
        <f ca="1">IFERROR(__xludf.DUMMYFUNCTION("""COMPUTED_VALUE"""),"#VALUE!")</f>
        <v>#VALUE!</v>
      </c>
      <c r="CW539" t="str">
        <f ca="1">IFERROR(__xludf.DUMMYFUNCTION("""COMPUTED_VALUE"""),"#VALUE!")</f>
        <v>#VALUE!</v>
      </c>
      <c r="CY539" t="str">
        <f ca="1">IFERROR(__xludf.DUMMYFUNCTION("""COMPUTED_VALUE"""),"#VALUE!")</f>
        <v>#VALUE!</v>
      </c>
      <c r="DC539" t="str">
        <f ca="1">IFERROR(__xludf.DUMMYFUNCTION("""COMPUTED_VALUE"""),"#VALUE!")</f>
        <v>#VALUE!</v>
      </c>
      <c r="DE539" t="str">
        <f ca="1">IFERROR(__xludf.DUMMYFUNCTION("""COMPUTED_VALUE"""),"#VALUE!")</f>
        <v>#VALUE!</v>
      </c>
    </row>
    <row r="540" spans="1:109" ht="13.2" x14ac:dyDescent="0.25">
      <c r="A540" t="str">
        <f ca="1">IFERROR(__xludf.DUMMYFUNCTION("""COMPUTED_VALUE"""),"P0549")</f>
        <v>P0549</v>
      </c>
      <c r="BC540" t="str">
        <f ca="1">IFERROR(__xludf.DUMMYFUNCTION("""COMPUTED_VALUE"""),"#VALUE!")</f>
        <v>#VALUE!</v>
      </c>
      <c r="BE540" t="str">
        <f ca="1">IFERROR(__xludf.DUMMYFUNCTION("""COMPUTED_VALUE"""),"#VALUE!")</f>
        <v>#VALUE!</v>
      </c>
      <c r="BG540" t="str">
        <f ca="1">IFERROR(__xludf.DUMMYFUNCTION("""COMPUTED_VALUE"""),"#VALUE!")</f>
        <v>#VALUE!</v>
      </c>
      <c r="BI540" t="str">
        <f ca="1">IFERROR(__xludf.DUMMYFUNCTION("""COMPUTED_VALUE"""),"#VALUE!")</f>
        <v>#VALUE!</v>
      </c>
      <c r="BK540" t="str">
        <f ca="1">IFERROR(__xludf.DUMMYFUNCTION("""COMPUTED_VALUE"""),"#VALUE!")</f>
        <v>#VALUE!</v>
      </c>
      <c r="BM540" t="str">
        <f ca="1">IFERROR(__xludf.DUMMYFUNCTION("""COMPUTED_VALUE"""),"#VALUE!")</f>
        <v>#VALUE!</v>
      </c>
      <c r="CS540" t="str">
        <f ca="1">IFERROR(__xludf.DUMMYFUNCTION("""COMPUTED_VALUE"""),"#VALUE!")</f>
        <v>#VALUE!</v>
      </c>
      <c r="CU540" t="str">
        <f ca="1">IFERROR(__xludf.DUMMYFUNCTION("""COMPUTED_VALUE"""),"#VALUE!")</f>
        <v>#VALUE!</v>
      </c>
      <c r="CW540" t="str">
        <f ca="1">IFERROR(__xludf.DUMMYFUNCTION("""COMPUTED_VALUE"""),"#VALUE!")</f>
        <v>#VALUE!</v>
      </c>
      <c r="CY540" t="str">
        <f ca="1">IFERROR(__xludf.DUMMYFUNCTION("""COMPUTED_VALUE"""),"#VALUE!")</f>
        <v>#VALUE!</v>
      </c>
      <c r="DC540" t="str">
        <f ca="1">IFERROR(__xludf.DUMMYFUNCTION("""COMPUTED_VALUE"""),"#VALUE!")</f>
        <v>#VALUE!</v>
      </c>
      <c r="DE540" t="str">
        <f ca="1">IFERROR(__xludf.DUMMYFUNCTION("""COMPUTED_VALUE"""),"#VALUE!")</f>
        <v>#VALUE!</v>
      </c>
    </row>
    <row r="541" spans="1:109" ht="13.2" x14ac:dyDescent="0.25">
      <c r="A541" t="str">
        <f ca="1">IFERROR(__xludf.DUMMYFUNCTION("""COMPUTED_VALUE"""),"P0550")</f>
        <v>P0550</v>
      </c>
      <c r="BC541" t="str">
        <f ca="1">IFERROR(__xludf.DUMMYFUNCTION("""COMPUTED_VALUE"""),"#VALUE!")</f>
        <v>#VALUE!</v>
      </c>
      <c r="BE541" t="str">
        <f ca="1">IFERROR(__xludf.DUMMYFUNCTION("""COMPUTED_VALUE"""),"#VALUE!")</f>
        <v>#VALUE!</v>
      </c>
      <c r="BG541" t="str">
        <f ca="1">IFERROR(__xludf.DUMMYFUNCTION("""COMPUTED_VALUE"""),"#VALUE!")</f>
        <v>#VALUE!</v>
      </c>
      <c r="BI541" t="str">
        <f ca="1">IFERROR(__xludf.DUMMYFUNCTION("""COMPUTED_VALUE"""),"#VALUE!")</f>
        <v>#VALUE!</v>
      </c>
      <c r="BK541" t="str">
        <f ca="1">IFERROR(__xludf.DUMMYFUNCTION("""COMPUTED_VALUE"""),"#VALUE!")</f>
        <v>#VALUE!</v>
      </c>
      <c r="BM541" t="str">
        <f ca="1">IFERROR(__xludf.DUMMYFUNCTION("""COMPUTED_VALUE"""),"#VALUE!")</f>
        <v>#VALUE!</v>
      </c>
      <c r="CS541" t="str">
        <f ca="1">IFERROR(__xludf.DUMMYFUNCTION("""COMPUTED_VALUE"""),"#VALUE!")</f>
        <v>#VALUE!</v>
      </c>
      <c r="CU541" t="str">
        <f ca="1">IFERROR(__xludf.DUMMYFUNCTION("""COMPUTED_VALUE"""),"#VALUE!")</f>
        <v>#VALUE!</v>
      </c>
      <c r="CW541" t="str">
        <f ca="1">IFERROR(__xludf.DUMMYFUNCTION("""COMPUTED_VALUE"""),"#VALUE!")</f>
        <v>#VALUE!</v>
      </c>
      <c r="CY541" t="str">
        <f ca="1">IFERROR(__xludf.DUMMYFUNCTION("""COMPUTED_VALUE"""),"#VALUE!")</f>
        <v>#VALUE!</v>
      </c>
      <c r="DC541" t="str">
        <f ca="1">IFERROR(__xludf.DUMMYFUNCTION("""COMPUTED_VALUE"""),"#VALUE!")</f>
        <v>#VALUE!</v>
      </c>
      <c r="DE541" t="str">
        <f ca="1">IFERROR(__xludf.DUMMYFUNCTION("""COMPUTED_VALUE"""),"#VALUE!")</f>
        <v>#VALUE!</v>
      </c>
    </row>
    <row r="542" spans="1:109" ht="13.2" x14ac:dyDescent="0.25">
      <c r="A542" t="str">
        <f ca="1">IFERROR(__xludf.DUMMYFUNCTION("""COMPUTED_VALUE"""),"P0551")</f>
        <v>P0551</v>
      </c>
      <c r="BC542" t="str">
        <f ca="1">IFERROR(__xludf.DUMMYFUNCTION("""COMPUTED_VALUE"""),"#VALUE!")</f>
        <v>#VALUE!</v>
      </c>
      <c r="BE542" t="str">
        <f ca="1">IFERROR(__xludf.DUMMYFUNCTION("""COMPUTED_VALUE"""),"#VALUE!")</f>
        <v>#VALUE!</v>
      </c>
      <c r="BG542" t="str">
        <f ca="1">IFERROR(__xludf.DUMMYFUNCTION("""COMPUTED_VALUE"""),"#VALUE!")</f>
        <v>#VALUE!</v>
      </c>
      <c r="BI542" t="str">
        <f ca="1">IFERROR(__xludf.DUMMYFUNCTION("""COMPUTED_VALUE"""),"#VALUE!")</f>
        <v>#VALUE!</v>
      </c>
      <c r="BK542" t="str">
        <f ca="1">IFERROR(__xludf.DUMMYFUNCTION("""COMPUTED_VALUE"""),"#VALUE!")</f>
        <v>#VALUE!</v>
      </c>
      <c r="BM542" t="str">
        <f ca="1">IFERROR(__xludf.DUMMYFUNCTION("""COMPUTED_VALUE"""),"#VALUE!")</f>
        <v>#VALUE!</v>
      </c>
      <c r="CS542" t="str">
        <f ca="1">IFERROR(__xludf.DUMMYFUNCTION("""COMPUTED_VALUE"""),"#VALUE!")</f>
        <v>#VALUE!</v>
      </c>
      <c r="CU542" t="str">
        <f ca="1">IFERROR(__xludf.DUMMYFUNCTION("""COMPUTED_VALUE"""),"#VALUE!")</f>
        <v>#VALUE!</v>
      </c>
      <c r="CW542" t="str">
        <f ca="1">IFERROR(__xludf.DUMMYFUNCTION("""COMPUTED_VALUE"""),"#VALUE!")</f>
        <v>#VALUE!</v>
      </c>
      <c r="CY542" t="str">
        <f ca="1">IFERROR(__xludf.DUMMYFUNCTION("""COMPUTED_VALUE"""),"#VALUE!")</f>
        <v>#VALUE!</v>
      </c>
      <c r="DC542" t="str">
        <f ca="1">IFERROR(__xludf.DUMMYFUNCTION("""COMPUTED_VALUE"""),"#VALUE!")</f>
        <v>#VALUE!</v>
      </c>
      <c r="DE542" t="str">
        <f ca="1">IFERROR(__xludf.DUMMYFUNCTION("""COMPUTED_VALUE"""),"#VALUE!")</f>
        <v>#VALUE!</v>
      </c>
    </row>
    <row r="543" spans="1:109" ht="13.2" x14ac:dyDescent="0.25">
      <c r="A543" t="str">
        <f ca="1">IFERROR(__xludf.DUMMYFUNCTION("""COMPUTED_VALUE"""),"P0552")</f>
        <v>P0552</v>
      </c>
      <c r="BC543" t="str">
        <f ca="1">IFERROR(__xludf.DUMMYFUNCTION("""COMPUTED_VALUE"""),"#VALUE!")</f>
        <v>#VALUE!</v>
      </c>
      <c r="BE543" t="str">
        <f ca="1">IFERROR(__xludf.DUMMYFUNCTION("""COMPUTED_VALUE"""),"#VALUE!")</f>
        <v>#VALUE!</v>
      </c>
      <c r="BG543" t="str">
        <f ca="1">IFERROR(__xludf.DUMMYFUNCTION("""COMPUTED_VALUE"""),"#VALUE!")</f>
        <v>#VALUE!</v>
      </c>
      <c r="BI543" t="str">
        <f ca="1">IFERROR(__xludf.DUMMYFUNCTION("""COMPUTED_VALUE"""),"#VALUE!")</f>
        <v>#VALUE!</v>
      </c>
      <c r="BK543" t="str">
        <f ca="1">IFERROR(__xludf.DUMMYFUNCTION("""COMPUTED_VALUE"""),"#VALUE!")</f>
        <v>#VALUE!</v>
      </c>
      <c r="BM543" t="str">
        <f ca="1">IFERROR(__xludf.DUMMYFUNCTION("""COMPUTED_VALUE"""),"#VALUE!")</f>
        <v>#VALUE!</v>
      </c>
      <c r="CS543" t="str">
        <f ca="1">IFERROR(__xludf.DUMMYFUNCTION("""COMPUTED_VALUE"""),"#VALUE!")</f>
        <v>#VALUE!</v>
      </c>
      <c r="CU543" t="str">
        <f ca="1">IFERROR(__xludf.DUMMYFUNCTION("""COMPUTED_VALUE"""),"#VALUE!")</f>
        <v>#VALUE!</v>
      </c>
      <c r="CW543" t="str">
        <f ca="1">IFERROR(__xludf.DUMMYFUNCTION("""COMPUTED_VALUE"""),"#VALUE!")</f>
        <v>#VALUE!</v>
      </c>
      <c r="CY543" t="str">
        <f ca="1">IFERROR(__xludf.DUMMYFUNCTION("""COMPUTED_VALUE"""),"#VALUE!")</f>
        <v>#VALUE!</v>
      </c>
      <c r="DC543" t="str">
        <f ca="1">IFERROR(__xludf.DUMMYFUNCTION("""COMPUTED_VALUE"""),"#VALUE!")</f>
        <v>#VALUE!</v>
      </c>
      <c r="DE543" t="str">
        <f ca="1">IFERROR(__xludf.DUMMYFUNCTION("""COMPUTED_VALUE"""),"#VALUE!")</f>
        <v>#VALUE!</v>
      </c>
    </row>
    <row r="544" spans="1:109" ht="13.2" x14ac:dyDescent="0.25">
      <c r="A544" t="str">
        <f ca="1">IFERROR(__xludf.DUMMYFUNCTION("""COMPUTED_VALUE"""),"P0553")</f>
        <v>P0553</v>
      </c>
      <c r="BC544" t="str">
        <f ca="1">IFERROR(__xludf.DUMMYFUNCTION("""COMPUTED_VALUE"""),"#VALUE!")</f>
        <v>#VALUE!</v>
      </c>
      <c r="BE544" t="str">
        <f ca="1">IFERROR(__xludf.DUMMYFUNCTION("""COMPUTED_VALUE"""),"#VALUE!")</f>
        <v>#VALUE!</v>
      </c>
      <c r="BG544" t="str">
        <f ca="1">IFERROR(__xludf.DUMMYFUNCTION("""COMPUTED_VALUE"""),"#VALUE!")</f>
        <v>#VALUE!</v>
      </c>
      <c r="BI544" t="str">
        <f ca="1">IFERROR(__xludf.DUMMYFUNCTION("""COMPUTED_VALUE"""),"#VALUE!")</f>
        <v>#VALUE!</v>
      </c>
      <c r="BK544" t="str">
        <f ca="1">IFERROR(__xludf.DUMMYFUNCTION("""COMPUTED_VALUE"""),"#VALUE!")</f>
        <v>#VALUE!</v>
      </c>
      <c r="BM544" t="str">
        <f ca="1">IFERROR(__xludf.DUMMYFUNCTION("""COMPUTED_VALUE"""),"#VALUE!")</f>
        <v>#VALUE!</v>
      </c>
      <c r="CS544" t="str">
        <f ca="1">IFERROR(__xludf.DUMMYFUNCTION("""COMPUTED_VALUE"""),"#VALUE!")</f>
        <v>#VALUE!</v>
      </c>
      <c r="CU544" t="str">
        <f ca="1">IFERROR(__xludf.DUMMYFUNCTION("""COMPUTED_VALUE"""),"#VALUE!")</f>
        <v>#VALUE!</v>
      </c>
      <c r="CW544" t="str">
        <f ca="1">IFERROR(__xludf.DUMMYFUNCTION("""COMPUTED_VALUE"""),"#VALUE!")</f>
        <v>#VALUE!</v>
      </c>
      <c r="CY544" t="str">
        <f ca="1">IFERROR(__xludf.DUMMYFUNCTION("""COMPUTED_VALUE"""),"#VALUE!")</f>
        <v>#VALUE!</v>
      </c>
      <c r="DC544" t="str">
        <f ca="1">IFERROR(__xludf.DUMMYFUNCTION("""COMPUTED_VALUE"""),"#VALUE!")</f>
        <v>#VALUE!</v>
      </c>
      <c r="DE544" t="str">
        <f ca="1">IFERROR(__xludf.DUMMYFUNCTION("""COMPUTED_VALUE"""),"#VALUE!")</f>
        <v>#VALUE!</v>
      </c>
    </row>
    <row r="545" spans="1:109" ht="13.2" x14ac:dyDescent="0.25">
      <c r="A545" t="str">
        <f ca="1">IFERROR(__xludf.DUMMYFUNCTION("""COMPUTED_VALUE"""),"P0554")</f>
        <v>P0554</v>
      </c>
      <c r="BC545" t="str">
        <f ca="1">IFERROR(__xludf.DUMMYFUNCTION("""COMPUTED_VALUE"""),"#VALUE!")</f>
        <v>#VALUE!</v>
      </c>
      <c r="BE545" t="str">
        <f ca="1">IFERROR(__xludf.DUMMYFUNCTION("""COMPUTED_VALUE"""),"#VALUE!")</f>
        <v>#VALUE!</v>
      </c>
      <c r="BG545" t="str">
        <f ca="1">IFERROR(__xludf.DUMMYFUNCTION("""COMPUTED_VALUE"""),"#VALUE!")</f>
        <v>#VALUE!</v>
      </c>
      <c r="BI545" t="str">
        <f ca="1">IFERROR(__xludf.DUMMYFUNCTION("""COMPUTED_VALUE"""),"#VALUE!")</f>
        <v>#VALUE!</v>
      </c>
      <c r="BK545" t="str">
        <f ca="1">IFERROR(__xludf.DUMMYFUNCTION("""COMPUTED_VALUE"""),"#VALUE!")</f>
        <v>#VALUE!</v>
      </c>
      <c r="BM545" t="str">
        <f ca="1">IFERROR(__xludf.DUMMYFUNCTION("""COMPUTED_VALUE"""),"#VALUE!")</f>
        <v>#VALUE!</v>
      </c>
      <c r="CS545" t="str">
        <f ca="1">IFERROR(__xludf.DUMMYFUNCTION("""COMPUTED_VALUE"""),"#VALUE!")</f>
        <v>#VALUE!</v>
      </c>
      <c r="CU545" t="str">
        <f ca="1">IFERROR(__xludf.DUMMYFUNCTION("""COMPUTED_VALUE"""),"#VALUE!")</f>
        <v>#VALUE!</v>
      </c>
      <c r="CW545" t="str">
        <f ca="1">IFERROR(__xludf.DUMMYFUNCTION("""COMPUTED_VALUE"""),"#VALUE!")</f>
        <v>#VALUE!</v>
      </c>
      <c r="CY545" t="str">
        <f ca="1">IFERROR(__xludf.DUMMYFUNCTION("""COMPUTED_VALUE"""),"#VALUE!")</f>
        <v>#VALUE!</v>
      </c>
      <c r="DC545" t="str">
        <f ca="1">IFERROR(__xludf.DUMMYFUNCTION("""COMPUTED_VALUE"""),"#VALUE!")</f>
        <v>#VALUE!</v>
      </c>
      <c r="DE545" t="str">
        <f ca="1">IFERROR(__xludf.DUMMYFUNCTION("""COMPUTED_VALUE"""),"#VALUE!")</f>
        <v>#VALUE!</v>
      </c>
    </row>
    <row r="546" spans="1:109" ht="13.2" x14ac:dyDescent="0.25">
      <c r="A546" t="str">
        <f ca="1">IFERROR(__xludf.DUMMYFUNCTION("""COMPUTED_VALUE"""),"P0555")</f>
        <v>P0555</v>
      </c>
      <c r="BC546" t="str">
        <f ca="1">IFERROR(__xludf.DUMMYFUNCTION("""COMPUTED_VALUE"""),"#VALUE!")</f>
        <v>#VALUE!</v>
      </c>
      <c r="BE546" t="str">
        <f ca="1">IFERROR(__xludf.DUMMYFUNCTION("""COMPUTED_VALUE"""),"#VALUE!")</f>
        <v>#VALUE!</v>
      </c>
      <c r="BG546" t="str">
        <f ca="1">IFERROR(__xludf.DUMMYFUNCTION("""COMPUTED_VALUE"""),"#VALUE!")</f>
        <v>#VALUE!</v>
      </c>
      <c r="BI546" t="str">
        <f ca="1">IFERROR(__xludf.DUMMYFUNCTION("""COMPUTED_VALUE"""),"#VALUE!")</f>
        <v>#VALUE!</v>
      </c>
      <c r="BK546" t="str">
        <f ca="1">IFERROR(__xludf.DUMMYFUNCTION("""COMPUTED_VALUE"""),"#VALUE!")</f>
        <v>#VALUE!</v>
      </c>
      <c r="BM546" t="str">
        <f ca="1">IFERROR(__xludf.DUMMYFUNCTION("""COMPUTED_VALUE"""),"#VALUE!")</f>
        <v>#VALUE!</v>
      </c>
      <c r="CS546" t="str">
        <f ca="1">IFERROR(__xludf.DUMMYFUNCTION("""COMPUTED_VALUE"""),"#VALUE!")</f>
        <v>#VALUE!</v>
      </c>
      <c r="CU546" t="str">
        <f ca="1">IFERROR(__xludf.DUMMYFUNCTION("""COMPUTED_VALUE"""),"#VALUE!")</f>
        <v>#VALUE!</v>
      </c>
      <c r="CW546" t="str">
        <f ca="1">IFERROR(__xludf.DUMMYFUNCTION("""COMPUTED_VALUE"""),"#VALUE!")</f>
        <v>#VALUE!</v>
      </c>
      <c r="CY546" t="str">
        <f ca="1">IFERROR(__xludf.DUMMYFUNCTION("""COMPUTED_VALUE"""),"#VALUE!")</f>
        <v>#VALUE!</v>
      </c>
      <c r="DC546" t="str">
        <f ca="1">IFERROR(__xludf.DUMMYFUNCTION("""COMPUTED_VALUE"""),"#VALUE!")</f>
        <v>#VALUE!</v>
      </c>
      <c r="DE546" t="str">
        <f ca="1">IFERROR(__xludf.DUMMYFUNCTION("""COMPUTED_VALUE"""),"#VALUE!")</f>
        <v>#VALUE!</v>
      </c>
    </row>
    <row r="547" spans="1:109" ht="13.2" x14ac:dyDescent="0.25">
      <c r="A547" t="str">
        <f ca="1">IFERROR(__xludf.DUMMYFUNCTION("""COMPUTED_VALUE"""),"P0556")</f>
        <v>P0556</v>
      </c>
      <c r="BC547" t="str">
        <f ca="1">IFERROR(__xludf.DUMMYFUNCTION("""COMPUTED_VALUE"""),"#VALUE!")</f>
        <v>#VALUE!</v>
      </c>
      <c r="BE547" t="str">
        <f ca="1">IFERROR(__xludf.DUMMYFUNCTION("""COMPUTED_VALUE"""),"#VALUE!")</f>
        <v>#VALUE!</v>
      </c>
      <c r="BG547" t="str">
        <f ca="1">IFERROR(__xludf.DUMMYFUNCTION("""COMPUTED_VALUE"""),"#VALUE!")</f>
        <v>#VALUE!</v>
      </c>
      <c r="BI547" t="str">
        <f ca="1">IFERROR(__xludf.DUMMYFUNCTION("""COMPUTED_VALUE"""),"#VALUE!")</f>
        <v>#VALUE!</v>
      </c>
      <c r="BK547" t="str">
        <f ca="1">IFERROR(__xludf.DUMMYFUNCTION("""COMPUTED_VALUE"""),"#VALUE!")</f>
        <v>#VALUE!</v>
      </c>
      <c r="BM547" t="str">
        <f ca="1">IFERROR(__xludf.DUMMYFUNCTION("""COMPUTED_VALUE"""),"#VALUE!")</f>
        <v>#VALUE!</v>
      </c>
      <c r="CS547" t="str">
        <f ca="1">IFERROR(__xludf.DUMMYFUNCTION("""COMPUTED_VALUE"""),"#VALUE!")</f>
        <v>#VALUE!</v>
      </c>
      <c r="CU547" t="str">
        <f ca="1">IFERROR(__xludf.DUMMYFUNCTION("""COMPUTED_VALUE"""),"#VALUE!")</f>
        <v>#VALUE!</v>
      </c>
      <c r="CW547" t="str">
        <f ca="1">IFERROR(__xludf.DUMMYFUNCTION("""COMPUTED_VALUE"""),"#VALUE!")</f>
        <v>#VALUE!</v>
      </c>
      <c r="CY547" t="str">
        <f ca="1">IFERROR(__xludf.DUMMYFUNCTION("""COMPUTED_VALUE"""),"#VALUE!")</f>
        <v>#VALUE!</v>
      </c>
      <c r="DC547" t="str">
        <f ca="1">IFERROR(__xludf.DUMMYFUNCTION("""COMPUTED_VALUE"""),"#VALUE!")</f>
        <v>#VALUE!</v>
      </c>
      <c r="DE547" t="str">
        <f ca="1">IFERROR(__xludf.DUMMYFUNCTION("""COMPUTED_VALUE"""),"#VALUE!")</f>
        <v>#VALUE!</v>
      </c>
    </row>
    <row r="548" spans="1:109" ht="13.2" x14ac:dyDescent="0.25">
      <c r="A548" t="str">
        <f ca="1">IFERROR(__xludf.DUMMYFUNCTION("""COMPUTED_VALUE"""),"P0557")</f>
        <v>P0557</v>
      </c>
      <c r="BC548" t="str">
        <f ca="1">IFERROR(__xludf.DUMMYFUNCTION("""COMPUTED_VALUE"""),"#VALUE!")</f>
        <v>#VALUE!</v>
      </c>
      <c r="BE548" t="str">
        <f ca="1">IFERROR(__xludf.DUMMYFUNCTION("""COMPUTED_VALUE"""),"#VALUE!")</f>
        <v>#VALUE!</v>
      </c>
      <c r="BG548" t="str">
        <f ca="1">IFERROR(__xludf.DUMMYFUNCTION("""COMPUTED_VALUE"""),"#VALUE!")</f>
        <v>#VALUE!</v>
      </c>
      <c r="BI548" t="str">
        <f ca="1">IFERROR(__xludf.DUMMYFUNCTION("""COMPUTED_VALUE"""),"#VALUE!")</f>
        <v>#VALUE!</v>
      </c>
      <c r="BK548" t="str">
        <f ca="1">IFERROR(__xludf.DUMMYFUNCTION("""COMPUTED_VALUE"""),"#VALUE!")</f>
        <v>#VALUE!</v>
      </c>
      <c r="BM548" t="str">
        <f ca="1">IFERROR(__xludf.DUMMYFUNCTION("""COMPUTED_VALUE"""),"#VALUE!")</f>
        <v>#VALUE!</v>
      </c>
      <c r="CS548" t="str">
        <f ca="1">IFERROR(__xludf.DUMMYFUNCTION("""COMPUTED_VALUE"""),"#VALUE!")</f>
        <v>#VALUE!</v>
      </c>
      <c r="CU548" t="str">
        <f ca="1">IFERROR(__xludf.DUMMYFUNCTION("""COMPUTED_VALUE"""),"#VALUE!")</f>
        <v>#VALUE!</v>
      </c>
      <c r="CW548" t="str">
        <f ca="1">IFERROR(__xludf.DUMMYFUNCTION("""COMPUTED_VALUE"""),"#VALUE!")</f>
        <v>#VALUE!</v>
      </c>
      <c r="CY548" t="str">
        <f ca="1">IFERROR(__xludf.DUMMYFUNCTION("""COMPUTED_VALUE"""),"#VALUE!")</f>
        <v>#VALUE!</v>
      </c>
      <c r="DC548" t="str">
        <f ca="1">IFERROR(__xludf.DUMMYFUNCTION("""COMPUTED_VALUE"""),"#VALUE!")</f>
        <v>#VALUE!</v>
      </c>
      <c r="DE548" t="str">
        <f ca="1">IFERROR(__xludf.DUMMYFUNCTION("""COMPUTED_VALUE"""),"#VALUE!")</f>
        <v>#VALUE!</v>
      </c>
    </row>
    <row r="549" spans="1:109" ht="13.2" x14ac:dyDescent="0.25">
      <c r="A549" t="str">
        <f ca="1">IFERROR(__xludf.DUMMYFUNCTION("""COMPUTED_VALUE"""),"P0558")</f>
        <v>P0558</v>
      </c>
      <c r="BC549" t="str">
        <f ca="1">IFERROR(__xludf.DUMMYFUNCTION("""COMPUTED_VALUE"""),"#VALUE!")</f>
        <v>#VALUE!</v>
      </c>
      <c r="BE549" t="str">
        <f ca="1">IFERROR(__xludf.DUMMYFUNCTION("""COMPUTED_VALUE"""),"#VALUE!")</f>
        <v>#VALUE!</v>
      </c>
      <c r="BG549" t="str">
        <f ca="1">IFERROR(__xludf.DUMMYFUNCTION("""COMPUTED_VALUE"""),"#VALUE!")</f>
        <v>#VALUE!</v>
      </c>
      <c r="BI549" t="str">
        <f ca="1">IFERROR(__xludf.DUMMYFUNCTION("""COMPUTED_VALUE"""),"#VALUE!")</f>
        <v>#VALUE!</v>
      </c>
      <c r="BK549" t="str">
        <f ca="1">IFERROR(__xludf.DUMMYFUNCTION("""COMPUTED_VALUE"""),"#VALUE!")</f>
        <v>#VALUE!</v>
      </c>
      <c r="BM549" t="str">
        <f ca="1">IFERROR(__xludf.DUMMYFUNCTION("""COMPUTED_VALUE"""),"#VALUE!")</f>
        <v>#VALUE!</v>
      </c>
      <c r="CS549" t="str">
        <f ca="1">IFERROR(__xludf.DUMMYFUNCTION("""COMPUTED_VALUE"""),"#VALUE!")</f>
        <v>#VALUE!</v>
      </c>
      <c r="CU549" t="str">
        <f ca="1">IFERROR(__xludf.DUMMYFUNCTION("""COMPUTED_VALUE"""),"#VALUE!")</f>
        <v>#VALUE!</v>
      </c>
      <c r="CW549" t="str">
        <f ca="1">IFERROR(__xludf.DUMMYFUNCTION("""COMPUTED_VALUE"""),"#VALUE!")</f>
        <v>#VALUE!</v>
      </c>
      <c r="CY549" t="str">
        <f ca="1">IFERROR(__xludf.DUMMYFUNCTION("""COMPUTED_VALUE"""),"#VALUE!")</f>
        <v>#VALUE!</v>
      </c>
      <c r="DC549" t="str">
        <f ca="1">IFERROR(__xludf.DUMMYFUNCTION("""COMPUTED_VALUE"""),"#VALUE!")</f>
        <v>#VALUE!</v>
      </c>
      <c r="DE549" t="str">
        <f ca="1">IFERROR(__xludf.DUMMYFUNCTION("""COMPUTED_VALUE"""),"#VALUE!")</f>
        <v>#VALUE!</v>
      </c>
    </row>
    <row r="550" spans="1:109" ht="13.2" x14ac:dyDescent="0.25">
      <c r="A550" t="str">
        <f ca="1">IFERROR(__xludf.DUMMYFUNCTION("""COMPUTED_VALUE"""),"P0559")</f>
        <v>P0559</v>
      </c>
      <c r="BC550" t="str">
        <f ca="1">IFERROR(__xludf.DUMMYFUNCTION("""COMPUTED_VALUE"""),"#VALUE!")</f>
        <v>#VALUE!</v>
      </c>
      <c r="BE550" t="str">
        <f ca="1">IFERROR(__xludf.DUMMYFUNCTION("""COMPUTED_VALUE"""),"#VALUE!")</f>
        <v>#VALUE!</v>
      </c>
      <c r="BG550" t="str">
        <f ca="1">IFERROR(__xludf.DUMMYFUNCTION("""COMPUTED_VALUE"""),"#VALUE!")</f>
        <v>#VALUE!</v>
      </c>
      <c r="BI550" t="str">
        <f ca="1">IFERROR(__xludf.DUMMYFUNCTION("""COMPUTED_VALUE"""),"#VALUE!")</f>
        <v>#VALUE!</v>
      </c>
      <c r="BK550" t="str">
        <f ca="1">IFERROR(__xludf.DUMMYFUNCTION("""COMPUTED_VALUE"""),"#VALUE!")</f>
        <v>#VALUE!</v>
      </c>
      <c r="BM550" t="str">
        <f ca="1">IFERROR(__xludf.DUMMYFUNCTION("""COMPUTED_VALUE"""),"#VALUE!")</f>
        <v>#VALUE!</v>
      </c>
      <c r="CS550" t="str">
        <f ca="1">IFERROR(__xludf.DUMMYFUNCTION("""COMPUTED_VALUE"""),"#VALUE!")</f>
        <v>#VALUE!</v>
      </c>
      <c r="CU550" t="str">
        <f ca="1">IFERROR(__xludf.DUMMYFUNCTION("""COMPUTED_VALUE"""),"#VALUE!")</f>
        <v>#VALUE!</v>
      </c>
      <c r="CW550" t="str">
        <f ca="1">IFERROR(__xludf.DUMMYFUNCTION("""COMPUTED_VALUE"""),"#VALUE!")</f>
        <v>#VALUE!</v>
      </c>
      <c r="CY550" t="str">
        <f ca="1">IFERROR(__xludf.DUMMYFUNCTION("""COMPUTED_VALUE"""),"#VALUE!")</f>
        <v>#VALUE!</v>
      </c>
      <c r="DC550" t="str">
        <f ca="1">IFERROR(__xludf.DUMMYFUNCTION("""COMPUTED_VALUE"""),"#VALUE!")</f>
        <v>#VALUE!</v>
      </c>
      <c r="DE550" t="str">
        <f ca="1">IFERROR(__xludf.DUMMYFUNCTION("""COMPUTED_VALUE"""),"#VALUE!")</f>
        <v>#VALUE!</v>
      </c>
    </row>
    <row r="551" spans="1:109" ht="13.2" x14ac:dyDescent="0.25">
      <c r="A551" t="str">
        <f ca="1">IFERROR(__xludf.DUMMYFUNCTION("""COMPUTED_VALUE"""),"P0560")</f>
        <v>P0560</v>
      </c>
      <c r="BC551" t="str">
        <f ca="1">IFERROR(__xludf.DUMMYFUNCTION("""COMPUTED_VALUE"""),"#VALUE!")</f>
        <v>#VALUE!</v>
      </c>
      <c r="BE551" t="str">
        <f ca="1">IFERROR(__xludf.DUMMYFUNCTION("""COMPUTED_VALUE"""),"#VALUE!")</f>
        <v>#VALUE!</v>
      </c>
      <c r="BG551" t="str">
        <f ca="1">IFERROR(__xludf.DUMMYFUNCTION("""COMPUTED_VALUE"""),"#VALUE!")</f>
        <v>#VALUE!</v>
      </c>
      <c r="BI551" t="str">
        <f ca="1">IFERROR(__xludf.DUMMYFUNCTION("""COMPUTED_VALUE"""),"#VALUE!")</f>
        <v>#VALUE!</v>
      </c>
      <c r="BK551" t="str">
        <f ca="1">IFERROR(__xludf.DUMMYFUNCTION("""COMPUTED_VALUE"""),"#VALUE!")</f>
        <v>#VALUE!</v>
      </c>
      <c r="BM551" t="str">
        <f ca="1">IFERROR(__xludf.DUMMYFUNCTION("""COMPUTED_VALUE"""),"#VALUE!")</f>
        <v>#VALUE!</v>
      </c>
      <c r="CS551" t="str">
        <f ca="1">IFERROR(__xludf.DUMMYFUNCTION("""COMPUTED_VALUE"""),"#VALUE!")</f>
        <v>#VALUE!</v>
      </c>
      <c r="CU551" t="str">
        <f ca="1">IFERROR(__xludf.DUMMYFUNCTION("""COMPUTED_VALUE"""),"#VALUE!")</f>
        <v>#VALUE!</v>
      </c>
      <c r="CW551" t="str">
        <f ca="1">IFERROR(__xludf.DUMMYFUNCTION("""COMPUTED_VALUE"""),"#VALUE!")</f>
        <v>#VALUE!</v>
      </c>
      <c r="CY551" t="str">
        <f ca="1">IFERROR(__xludf.DUMMYFUNCTION("""COMPUTED_VALUE"""),"#VALUE!")</f>
        <v>#VALUE!</v>
      </c>
      <c r="DC551" t="str">
        <f ca="1">IFERROR(__xludf.DUMMYFUNCTION("""COMPUTED_VALUE"""),"#VALUE!")</f>
        <v>#VALUE!</v>
      </c>
      <c r="DE551" t="str">
        <f ca="1">IFERROR(__xludf.DUMMYFUNCTION("""COMPUTED_VALUE"""),"#VALUE!")</f>
        <v>#VALUE!</v>
      </c>
    </row>
    <row r="552" spans="1:109" ht="13.2" x14ac:dyDescent="0.25">
      <c r="A552" t="str">
        <f ca="1">IFERROR(__xludf.DUMMYFUNCTION("""COMPUTED_VALUE"""),"P0561")</f>
        <v>P0561</v>
      </c>
      <c r="BC552" t="str">
        <f ca="1">IFERROR(__xludf.DUMMYFUNCTION("""COMPUTED_VALUE"""),"#VALUE!")</f>
        <v>#VALUE!</v>
      </c>
      <c r="BE552" t="str">
        <f ca="1">IFERROR(__xludf.DUMMYFUNCTION("""COMPUTED_VALUE"""),"#VALUE!")</f>
        <v>#VALUE!</v>
      </c>
      <c r="BG552" t="str">
        <f ca="1">IFERROR(__xludf.DUMMYFUNCTION("""COMPUTED_VALUE"""),"#VALUE!")</f>
        <v>#VALUE!</v>
      </c>
      <c r="BI552" t="str">
        <f ca="1">IFERROR(__xludf.DUMMYFUNCTION("""COMPUTED_VALUE"""),"#VALUE!")</f>
        <v>#VALUE!</v>
      </c>
      <c r="BK552" t="str">
        <f ca="1">IFERROR(__xludf.DUMMYFUNCTION("""COMPUTED_VALUE"""),"#VALUE!")</f>
        <v>#VALUE!</v>
      </c>
      <c r="BM552" t="str">
        <f ca="1">IFERROR(__xludf.DUMMYFUNCTION("""COMPUTED_VALUE"""),"#VALUE!")</f>
        <v>#VALUE!</v>
      </c>
      <c r="CS552" t="str">
        <f ca="1">IFERROR(__xludf.DUMMYFUNCTION("""COMPUTED_VALUE"""),"#VALUE!")</f>
        <v>#VALUE!</v>
      </c>
      <c r="CU552" t="str">
        <f ca="1">IFERROR(__xludf.DUMMYFUNCTION("""COMPUTED_VALUE"""),"#VALUE!")</f>
        <v>#VALUE!</v>
      </c>
      <c r="CW552" t="str">
        <f ca="1">IFERROR(__xludf.DUMMYFUNCTION("""COMPUTED_VALUE"""),"#VALUE!")</f>
        <v>#VALUE!</v>
      </c>
      <c r="CY552" t="str">
        <f ca="1">IFERROR(__xludf.DUMMYFUNCTION("""COMPUTED_VALUE"""),"#VALUE!")</f>
        <v>#VALUE!</v>
      </c>
      <c r="DC552" t="str">
        <f ca="1">IFERROR(__xludf.DUMMYFUNCTION("""COMPUTED_VALUE"""),"#VALUE!")</f>
        <v>#VALUE!</v>
      </c>
      <c r="DE552" t="str">
        <f ca="1">IFERROR(__xludf.DUMMYFUNCTION("""COMPUTED_VALUE"""),"#VALUE!")</f>
        <v>#VALUE!</v>
      </c>
    </row>
    <row r="553" spans="1:109" ht="13.2" x14ac:dyDescent="0.25">
      <c r="A553" t="str">
        <f ca="1">IFERROR(__xludf.DUMMYFUNCTION("""COMPUTED_VALUE"""),"P0562")</f>
        <v>P0562</v>
      </c>
      <c r="BC553" t="str">
        <f ca="1">IFERROR(__xludf.DUMMYFUNCTION("""COMPUTED_VALUE"""),"#VALUE!")</f>
        <v>#VALUE!</v>
      </c>
      <c r="BE553" t="str">
        <f ca="1">IFERROR(__xludf.DUMMYFUNCTION("""COMPUTED_VALUE"""),"#VALUE!")</f>
        <v>#VALUE!</v>
      </c>
      <c r="BG553" t="str">
        <f ca="1">IFERROR(__xludf.DUMMYFUNCTION("""COMPUTED_VALUE"""),"#VALUE!")</f>
        <v>#VALUE!</v>
      </c>
      <c r="BI553" t="str">
        <f ca="1">IFERROR(__xludf.DUMMYFUNCTION("""COMPUTED_VALUE"""),"#VALUE!")</f>
        <v>#VALUE!</v>
      </c>
      <c r="BK553" t="str">
        <f ca="1">IFERROR(__xludf.DUMMYFUNCTION("""COMPUTED_VALUE"""),"#VALUE!")</f>
        <v>#VALUE!</v>
      </c>
      <c r="BM553" t="str">
        <f ca="1">IFERROR(__xludf.DUMMYFUNCTION("""COMPUTED_VALUE"""),"#VALUE!")</f>
        <v>#VALUE!</v>
      </c>
      <c r="CS553" t="str">
        <f ca="1">IFERROR(__xludf.DUMMYFUNCTION("""COMPUTED_VALUE"""),"#VALUE!")</f>
        <v>#VALUE!</v>
      </c>
      <c r="CU553" t="str">
        <f ca="1">IFERROR(__xludf.DUMMYFUNCTION("""COMPUTED_VALUE"""),"#VALUE!")</f>
        <v>#VALUE!</v>
      </c>
      <c r="CW553" t="str">
        <f ca="1">IFERROR(__xludf.DUMMYFUNCTION("""COMPUTED_VALUE"""),"#VALUE!")</f>
        <v>#VALUE!</v>
      </c>
      <c r="CY553" t="str">
        <f ca="1">IFERROR(__xludf.DUMMYFUNCTION("""COMPUTED_VALUE"""),"#VALUE!")</f>
        <v>#VALUE!</v>
      </c>
      <c r="DC553" t="str">
        <f ca="1">IFERROR(__xludf.DUMMYFUNCTION("""COMPUTED_VALUE"""),"#VALUE!")</f>
        <v>#VALUE!</v>
      </c>
      <c r="DE553" t="str">
        <f ca="1">IFERROR(__xludf.DUMMYFUNCTION("""COMPUTED_VALUE"""),"#VALUE!")</f>
        <v>#VALUE!</v>
      </c>
    </row>
    <row r="554" spans="1:109" ht="13.2" x14ac:dyDescent="0.25">
      <c r="A554" t="str">
        <f ca="1">IFERROR(__xludf.DUMMYFUNCTION("""COMPUTED_VALUE"""),"P0563")</f>
        <v>P0563</v>
      </c>
      <c r="BC554" t="str">
        <f ca="1">IFERROR(__xludf.DUMMYFUNCTION("""COMPUTED_VALUE"""),"#VALUE!")</f>
        <v>#VALUE!</v>
      </c>
      <c r="BE554" t="str">
        <f ca="1">IFERROR(__xludf.DUMMYFUNCTION("""COMPUTED_VALUE"""),"#VALUE!")</f>
        <v>#VALUE!</v>
      </c>
      <c r="BG554" t="str">
        <f ca="1">IFERROR(__xludf.DUMMYFUNCTION("""COMPUTED_VALUE"""),"#VALUE!")</f>
        <v>#VALUE!</v>
      </c>
      <c r="BI554" t="str">
        <f ca="1">IFERROR(__xludf.DUMMYFUNCTION("""COMPUTED_VALUE"""),"#VALUE!")</f>
        <v>#VALUE!</v>
      </c>
      <c r="BK554" t="str">
        <f ca="1">IFERROR(__xludf.DUMMYFUNCTION("""COMPUTED_VALUE"""),"#VALUE!")</f>
        <v>#VALUE!</v>
      </c>
      <c r="BM554" t="str">
        <f ca="1">IFERROR(__xludf.DUMMYFUNCTION("""COMPUTED_VALUE"""),"#VALUE!")</f>
        <v>#VALUE!</v>
      </c>
      <c r="CS554" t="str">
        <f ca="1">IFERROR(__xludf.DUMMYFUNCTION("""COMPUTED_VALUE"""),"#VALUE!")</f>
        <v>#VALUE!</v>
      </c>
      <c r="CU554" t="str">
        <f ca="1">IFERROR(__xludf.DUMMYFUNCTION("""COMPUTED_VALUE"""),"#VALUE!")</f>
        <v>#VALUE!</v>
      </c>
      <c r="CW554" t="str">
        <f ca="1">IFERROR(__xludf.DUMMYFUNCTION("""COMPUTED_VALUE"""),"#VALUE!")</f>
        <v>#VALUE!</v>
      </c>
      <c r="CY554" t="str">
        <f ca="1">IFERROR(__xludf.DUMMYFUNCTION("""COMPUTED_VALUE"""),"#VALUE!")</f>
        <v>#VALUE!</v>
      </c>
      <c r="DC554" t="str">
        <f ca="1">IFERROR(__xludf.DUMMYFUNCTION("""COMPUTED_VALUE"""),"#VALUE!")</f>
        <v>#VALUE!</v>
      </c>
      <c r="DE554" t="str">
        <f ca="1">IFERROR(__xludf.DUMMYFUNCTION("""COMPUTED_VALUE"""),"#VALUE!")</f>
        <v>#VALUE!</v>
      </c>
    </row>
    <row r="555" spans="1:109" ht="13.2" x14ac:dyDescent="0.25">
      <c r="A555" t="str">
        <f ca="1">IFERROR(__xludf.DUMMYFUNCTION("""COMPUTED_VALUE"""),"P0564")</f>
        <v>P0564</v>
      </c>
      <c r="BC555" t="str">
        <f ca="1">IFERROR(__xludf.DUMMYFUNCTION("""COMPUTED_VALUE"""),"#VALUE!")</f>
        <v>#VALUE!</v>
      </c>
      <c r="BE555" t="str">
        <f ca="1">IFERROR(__xludf.DUMMYFUNCTION("""COMPUTED_VALUE"""),"#VALUE!")</f>
        <v>#VALUE!</v>
      </c>
      <c r="BG555" t="str">
        <f ca="1">IFERROR(__xludf.DUMMYFUNCTION("""COMPUTED_VALUE"""),"#VALUE!")</f>
        <v>#VALUE!</v>
      </c>
      <c r="BI555" t="str">
        <f ca="1">IFERROR(__xludf.DUMMYFUNCTION("""COMPUTED_VALUE"""),"#VALUE!")</f>
        <v>#VALUE!</v>
      </c>
      <c r="BK555" t="str">
        <f ca="1">IFERROR(__xludf.DUMMYFUNCTION("""COMPUTED_VALUE"""),"#VALUE!")</f>
        <v>#VALUE!</v>
      </c>
      <c r="BM555" t="str">
        <f ca="1">IFERROR(__xludf.DUMMYFUNCTION("""COMPUTED_VALUE"""),"#VALUE!")</f>
        <v>#VALUE!</v>
      </c>
      <c r="CS555" t="str">
        <f ca="1">IFERROR(__xludf.DUMMYFUNCTION("""COMPUTED_VALUE"""),"#VALUE!")</f>
        <v>#VALUE!</v>
      </c>
      <c r="CU555" t="str">
        <f ca="1">IFERROR(__xludf.DUMMYFUNCTION("""COMPUTED_VALUE"""),"#VALUE!")</f>
        <v>#VALUE!</v>
      </c>
      <c r="CW555" t="str">
        <f ca="1">IFERROR(__xludf.DUMMYFUNCTION("""COMPUTED_VALUE"""),"#VALUE!")</f>
        <v>#VALUE!</v>
      </c>
      <c r="CY555" t="str">
        <f ca="1">IFERROR(__xludf.DUMMYFUNCTION("""COMPUTED_VALUE"""),"#VALUE!")</f>
        <v>#VALUE!</v>
      </c>
      <c r="DC555" t="str">
        <f ca="1">IFERROR(__xludf.DUMMYFUNCTION("""COMPUTED_VALUE"""),"#VALUE!")</f>
        <v>#VALUE!</v>
      </c>
      <c r="DE555" t="str">
        <f ca="1">IFERROR(__xludf.DUMMYFUNCTION("""COMPUTED_VALUE"""),"#VALUE!")</f>
        <v>#VALUE!</v>
      </c>
    </row>
    <row r="556" spans="1:109" ht="13.2" x14ac:dyDescent="0.25">
      <c r="A556" t="str">
        <f ca="1">IFERROR(__xludf.DUMMYFUNCTION("""COMPUTED_VALUE"""),"P0565")</f>
        <v>P0565</v>
      </c>
      <c r="BC556" t="str">
        <f ca="1">IFERROR(__xludf.DUMMYFUNCTION("""COMPUTED_VALUE"""),"#VALUE!")</f>
        <v>#VALUE!</v>
      </c>
      <c r="BE556" t="str">
        <f ca="1">IFERROR(__xludf.DUMMYFUNCTION("""COMPUTED_VALUE"""),"#VALUE!")</f>
        <v>#VALUE!</v>
      </c>
      <c r="BG556" t="str">
        <f ca="1">IFERROR(__xludf.DUMMYFUNCTION("""COMPUTED_VALUE"""),"#VALUE!")</f>
        <v>#VALUE!</v>
      </c>
      <c r="BI556" t="str">
        <f ca="1">IFERROR(__xludf.DUMMYFUNCTION("""COMPUTED_VALUE"""),"#VALUE!")</f>
        <v>#VALUE!</v>
      </c>
      <c r="BK556" t="str">
        <f ca="1">IFERROR(__xludf.DUMMYFUNCTION("""COMPUTED_VALUE"""),"#VALUE!")</f>
        <v>#VALUE!</v>
      </c>
      <c r="BM556" t="str">
        <f ca="1">IFERROR(__xludf.DUMMYFUNCTION("""COMPUTED_VALUE"""),"#VALUE!")</f>
        <v>#VALUE!</v>
      </c>
      <c r="CS556" t="str">
        <f ca="1">IFERROR(__xludf.DUMMYFUNCTION("""COMPUTED_VALUE"""),"#VALUE!")</f>
        <v>#VALUE!</v>
      </c>
      <c r="CU556" t="str">
        <f ca="1">IFERROR(__xludf.DUMMYFUNCTION("""COMPUTED_VALUE"""),"#VALUE!")</f>
        <v>#VALUE!</v>
      </c>
      <c r="CW556" t="str">
        <f ca="1">IFERROR(__xludf.DUMMYFUNCTION("""COMPUTED_VALUE"""),"#VALUE!")</f>
        <v>#VALUE!</v>
      </c>
      <c r="CY556" t="str">
        <f ca="1">IFERROR(__xludf.DUMMYFUNCTION("""COMPUTED_VALUE"""),"#VALUE!")</f>
        <v>#VALUE!</v>
      </c>
      <c r="DC556" t="str">
        <f ca="1">IFERROR(__xludf.DUMMYFUNCTION("""COMPUTED_VALUE"""),"#VALUE!")</f>
        <v>#VALUE!</v>
      </c>
      <c r="DE556" t="str">
        <f ca="1">IFERROR(__xludf.DUMMYFUNCTION("""COMPUTED_VALUE"""),"#VALUE!")</f>
        <v>#VALUE!</v>
      </c>
    </row>
    <row r="557" spans="1:109" ht="13.2" x14ac:dyDescent="0.25">
      <c r="A557" t="str">
        <f ca="1">IFERROR(__xludf.DUMMYFUNCTION("""COMPUTED_VALUE"""),"P0566")</f>
        <v>P0566</v>
      </c>
      <c r="BC557" t="str">
        <f ca="1">IFERROR(__xludf.DUMMYFUNCTION("""COMPUTED_VALUE"""),"#VALUE!")</f>
        <v>#VALUE!</v>
      </c>
      <c r="BE557" t="str">
        <f ca="1">IFERROR(__xludf.DUMMYFUNCTION("""COMPUTED_VALUE"""),"#VALUE!")</f>
        <v>#VALUE!</v>
      </c>
      <c r="BG557" t="str">
        <f ca="1">IFERROR(__xludf.DUMMYFUNCTION("""COMPUTED_VALUE"""),"#VALUE!")</f>
        <v>#VALUE!</v>
      </c>
      <c r="BI557" t="str">
        <f ca="1">IFERROR(__xludf.DUMMYFUNCTION("""COMPUTED_VALUE"""),"#VALUE!")</f>
        <v>#VALUE!</v>
      </c>
      <c r="BK557" t="str">
        <f ca="1">IFERROR(__xludf.DUMMYFUNCTION("""COMPUTED_VALUE"""),"#VALUE!")</f>
        <v>#VALUE!</v>
      </c>
      <c r="BM557" t="str">
        <f ca="1">IFERROR(__xludf.DUMMYFUNCTION("""COMPUTED_VALUE"""),"#VALUE!")</f>
        <v>#VALUE!</v>
      </c>
      <c r="CS557" t="str">
        <f ca="1">IFERROR(__xludf.DUMMYFUNCTION("""COMPUTED_VALUE"""),"#VALUE!")</f>
        <v>#VALUE!</v>
      </c>
      <c r="CU557" t="str">
        <f ca="1">IFERROR(__xludf.DUMMYFUNCTION("""COMPUTED_VALUE"""),"#VALUE!")</f>
        <v>#VALUE!</v>
      </c>
      <c r="CW557" t="str">
        <f ca="1">IFERROR(__xludf.DUMMYFUNCTION("""COMPUTED_VALUE"""),"#VALUE!")</f>
        <v>#VALUE!</v>
      </c>
      <c r="CY557" t="str">
        <f ca="1">IFERROR(__xludf.DUMMYFUNCTION("""COMPUTED_VALUE"""),"#VALUE!")</f>
        <v>#VALUE!</v>
      </c>
      <c r="DC557" t="str">
        <f ca="1">IFERROR(__xludf.DUMMYFUNCTION("""COMPUTED_VALUE"""),"#VALUE!")</f>
        <v>#VALUE!</v>
      </c>
      <c r="DE557" t="str">
        <f ca="1">IFERROR(__xludf.DUMMYFUNCTION("""COMPUTED_VALUE"""),"#VALUE!")</f>
        <v>#VALUE!</v>
      </c>
    </row>
    <row r="558" spans="1:109" ht="13.2" x14ac:dyDescent="0.25">
      <c r="A558" t="str">
        <f ca="1">IFERROR(__xludf.DUMMYFUNCTION("""COMPUTED_VALUE"""),"P0567")</f>
        <v>P0567</v>
      </c>
      <c r="BC558" t="str">
        <f ca="1">IFERROR(__xludf.DUMMYFUNCTION("""COMPUTED_VALUE"""),"#VALUE!")</f>
        <v>#VALUE!</v>
      </c>
      <c r="BE558" t="str">
        <f ca="1">IFERROR(__xludf.DUMMYFUNCTION("""COMPUTED_VALUE"""),"#VALUE!")</f>
        <v>#VALUE!</v>
      </c>
      <c r="BG558" t="str">
        <f ca="1">IFERROR(__xludf.DUMMYFUNCTION("""COMPUTED_VALUE"""),"#VALUE!")</f>
        <v>#VALUE!</v>
      </c>
      <c r="BI558" t="str">
        <f ca="1">IFERROR(__xludf.DUMMYFUNCTION("""COMPUTED_VALUE"""),"#VALUE!")</f>
        <v>#VALUE!</v>
      </c>
      <c r="BK558" t="str">
        <f ca="1">IFERROR(__xludf.DUMMYFUNCTION("""COMPUTED_VALUE"""),"#VALUE!")</f>
        <v>#VALUE!</v>
      </c>
      <c r="BM558" t="str">
        <f ca="1">IFERROR(__xludf.DUMMYFUNCTION("""COMPUTED_VALUE"""),"#VALUE!")</f>
        <v>#VALUE!</v>
      </c>
      <c r="CS558" t="str">
        <f ca="1">IFERROR(__xludf.DUMMYFUNCTION("""COMPUTED_VALUE"""),"#VALUE!")</f>
        <v>#VALUE!</v>
      </c>
      <c r="CU558" t="str">
        <f ca="1">IFERROR(__xludf.DUMMYFUNCTION("""COMPUTED_VALUE"""),"#VALUE!")</f>
        <v>#VALUE!</v>
      </c>
      <c r="CW558" t="str">
        <f ca="1">IFERROR(__xludf.DUMMYFUNCTION("""COMPUTED_VALUE"""),"#VALUE!")</f>
        <v>#VALUE!</v>
      </c>
      <c r="CY558" t="str">
        <f ca="1">IFERROR(__xludf.DUMMYFUNCTION("""COMPUTED_VALUE"""),"#VALUE!")</f>
        <v>#VALUE!</v>
      </c>
      <c r="DC558" t="str">
        <f ca="1">IFERROR(__xludf.DUMMYFUNCTION("""COMPUTED_VALUE"""),"#VALUE!")</f>
        <v>#VALUE!</v>
      </c>
      <c r="DE558" t="str">
        <f ca="1">IFERROR(__xludf.DUMMYFUNCTION("""COMPUTED_VALUE"""),"#VALUE!")</f>
        <v>#VALUE!</v>
      </c>
    </row>
    <row r="559" spans="1:109" ht="13.2" x14ac:dyDescent="0.25">
      <c r="A559" t="str">
        <f ca="1">IFERROR(__xludf.DUMMYFUNCTION("""COMPUTED_VALUE"""),"P0568")</f>
        <v>P0568</v>
      </c>
      <c r="BC559" t="str">
        <f ca="1">IFERROR(__xludf.DUMMYFUNCTION("""COMPUTED_VALUE"""),"#VALUE!")</f>
        <v>#VALUE!</v>
      </c>
      <c r="BE559" t="str">
        <f ca="1">IFERROR(__xludf.DUMMYFUNCTION("""COMPUTED_VALUE"""),"#VALUE!")</f>
        <v>#VALUE!</v>
      </c>
      <c r="BG559" t="str">
        <f ca="1">IFERROR(__xludf.DUMMYFUNCTION("""COMPUTED_VALUE"""),"#VALUE!")</f>
        <v>#VALUE!</v>
      </c>
      <c r="BI559" t="str">
        <f ca="1">IFERROR(__xludf.DUMMYFUNCTION("""COMPUTED_VALUE"""),"#VALUE!")</f>
        <v>#VALUE!</v>
      </c>
      <c r="BK559" t="str">
        <f ca="1">IFERROR(__xludf.DUMMYFUNCTION("""COMPUTED_VALUE"""),"#VALUE!")</f>
        <v>#VALUE!</v>
      </c>
      <c r="BM559" t="str">
        <f ca="1">IFERROR(__xludf.DUMMYFUNCTION("""COMPUTED_VALUE"""),"#VALUE!")</f>
        <v>#VALUE!</v>
      </c>
      <c r="CS559" t="str">
        <f ca="1">IFERROR(__xludf.DUMMYFUNCTION("""COMPUTED_VALUE"""),"#VALUE!")</f>
        <v>#VALUE!</v>
      </c>
      <c r="CU559" t="str">
        <f ca="1">IFERROR(__xludf.DUMMYFUNCTION("""COMPUTED_VALUE"""),"#VALUE!")</f>
        <v>#VALUE!</v>
      </c>
      <c r="CW559" t="str">
        <f ca="1">IFERROR(__xludf.DUMMYFUNCTION("""COMPUTED_VALUE"""),"#VALUE!")</f>
        <v>#VALUE!</v>
      </c>
      <c r="CY559" t="str">
        <f ca="1">IFERROR(__xludf.DUMMYFUNCTION("""COMPUTED_VALUE"""),"#VALUE!")</f>
        <v>#VALUE!</v>
      </c>
      <c r="DC559" t="str">
        <f ca="1">IFERROR(__xludf.DUMMYFUNCTION("""COMPUTED_VALUE"""),"#VALUE!")</f>
        <v>#VALUE!</v>
      </c>
      <c r="DE559" t="str">
        <f ca="1">IFERROR(__xludf.DUMMYFUNCTION("""COMPUTED_VALUE"""),"#VALUE!")</f>
        <v>#VALUE!</v>
      </c>
    </row>
    <row r="560" spans="1:109" ht="13.2" x14ac:dyDescent="0.25">
      <c r="A560" t="str">
        <f ca="1">IFERROR(__xludf.DUMMYFUNCTION("""COMPUTED_VALUE"""),"P0569")</f>
        <v>P0569</v>
      </c>
      <c r="BC560" t="str">
        <f ca="1">IFERROR(__xludf.DUMMYFUNCTION("""COMPUTED_VALUE"""),"#VALUE!")</f>
        <v>#VALUE!</v>
      </c>
      <c r="BE560" t="str">
        <f ca="1">IFERROR(__xludf.DUMMYFUNCTION("""COMPUTED_VALUE"""),"#VALUE!")</f>
        <v>#VALUE!</v>
      </c>
      <c r="BG560" t="str">
        <f ca="1">IFERROR(__xludf.DUMMYFUNCTION("""COMPUTED_VALUE"""),"#VALUE!")</f>
        <v>#VALUE!</v>
      </c>
      <c r="BI560" t="str">
        <f ca="1">IFERROR(__xludf.DUMMYFUNCTION("""COMPUTED_VALUE"""),"#VALUE!")</f>
        <v>#VALUE!</v>
      </c>
      <c r="BK560" t="str">
        <f ca="1">IFERROR(__xludf.DUMMYFUNCTION("""COMPUTED_VALUE"""),"#VALUE!")</f>
        <v>#VALUE!</v>
      </c>
      <c r="BM560" t="str">
        <f ca="1">IFERROR(__xludf.DUMMYFUNCTION("""COMPUTED_VALUE"""),"#VALUE!")</f>
        <v>#VALUE!</v>
      </c>
      <c r="CS560" t="str">
        <f ca="1">IFERROR(__xludf.DUMMYFUNCTION("""COMPUTED_VALUE"""),"#VALUE!")</f>
        <v>#VALUE!</v>
      </c>
      <c r="CU560" t="str">
        <f ca="1">IFERROR(__xludf.DUMMYFUNCTION("""COMPUTED_VALUE"""),"#VALUE!")</f>
        <v>#VALUE!</v>
      </c>
      <c r="CW560" t="str">
        <f ca="1">IFERROR(__xludf.DUMMYFUNCTION("""COMPUTED_VALUE"""),"#VALUE!")</f>
        <v>#VALUE!</v>
      </c>
      <c r="CY560" t="str">
        <f ca="1">IFERROR(__xludf.DUMMYFUNCTION("""COMPUTED_VALUE"""),"#VALUE!")</f>
        <v>#VALUE!</v>
      </c>
      <c r="DC560" t="str">
        <f ca="1">IFERROR(__xludf.DUMMYFUNCTION("""COMPUTED_VALUE"""),"#VALUE!")</f>
        <v>#VALUE!</v>
      </c>
      <c r="DE560" t="str">
        <f ca="1">IFERROR(__xludf.DUMMYFUNCTION("""COMPUTED_VALUE"""),"#VALUE!")</f>
        <v>#VALUE!</v>
      </c>
    </row>
    <row r="561" spans="1:109" ht="13.2" x14ac:dyDescent="0.25">
      <c r="A561" t="str">
        <f ca="1">IFERROR(__xludf.DUMMYFUNCTION("""COMPUTED_VALUE"""),"P0570")</f>
        <v>P0570</v>
      </c>
      <c r="BC561" t="str">
        <f ca="1">IFERROR(__xludf.DUMMYFUNCTION("""COMPUTED_VALUE"""),"#VALUE!")</f>
        <v>#VALUE!</v>
      </c>
      <c r="BE561" t="str">
        <f ca="1">IFERROR(__xludf.DUMMYFUNCTION("""COMPUTED_VALUE"""),"#VALUE!")</f>
        <v>#VALUE!</v>
      </c>
      <c r="BG561" t="str">
        <f ca="1">IFERROR(__xludf.DUMMYFUNCTION("""COMPUTED_VALUE"""),"#VALUE!")</f>
        <v>#VALUE!</v>
      </c>
      <c r="BI561" t="str">
        <f ca="1">IFERROR(__xludf.DUMMYFUNCTION("""COMPUTED_VALUE"""),"#VALUE!")</f>
        <v>#VALUE!</v>
      </c>
      <c r="BK561" t="str">
        <f ca="1">IFERROR(__xludf.DUMMYFUNCTION("""COMPUTED_VALUE"""),"#VALUE!")</f>
        <v>#VALUE!</v>
      </c>
      <c r="BM561" t="str">
        <f ca="1">IFERROR(__xludf.DUMMYFUNCTION("""COMPUTED_VALUE"""),"#VALUE!")</f>
        <v>#VALUE!</v>
      </c>
      <c r="CS561" t="str">
        <f ca="1">IFERROR(__xludf.DUMMYFUNCTION("""COMPUTED_VALUE"""),"#VALUE!")</f>
        <v>#VALUE!</v>
      </c>
      <c r="CU561" t="str">
        <f ca="1">IFERROR(__xludf.DUMMYFUNCTION("""COMPUTED_VALUE"""),"#VALUE!")</f>
        <v>#VALUE!</v>
      </c>
      <c r="CW561" t="str">
        <f ca="1">IFERROR(__xludf.DUMMYFUNCTION("""COMPUTED_VALUE"""),"#VALUE!")</f>
        <v>#VALUE!</v>
      </c>
      <c r="CY561" t="str">
        <f ca="1">IFERROR(__xludf.DUMMYFUNCTION("""COMPUTED_VALUE"""),"#VALUE!")</f>
        <v>#VALUE!</v>
      </c>
      <c r="DC561" t="str">
        <f ca="1">IFERROR(__xludf.DUMMYFUNCTION("""COMPUTED_VALUE"""),"#VALUE!")</f>
        <v>#VALUE!</v>
      </c>
      <c r="DE561" t="str">
        <f ca="1">IFERROR(__xludf.DUMMYFUNCTION("""COMPUTED_VALUE"""),"#VALUE!")</f>
        <v>#VALUE!</v>
      </c>
    </row>
    <row r="562" spans="1:109" ht="13.2" x14ac:dyDescent="0.25">
      <c r="A562" t="str">
        <f ca="1">IFERROR(__xludf.DUMMYFUNCTION("""COMPUTED_VALUE"""),"P0571")</f>
        <v>P0571</v>
      </c>
      <c r="BC562" t="str">
        <f ca="1">IFERROR(__xludf.DUMMYFUNCTION("""COMPUTED_VALUE"""),"#VALUE!")</f>
        <v>#VALUE!</v>
      </c>
      <c r="BE562" t="str">
        <f ca="1">IFERROR(__xludf.DUMMYFUNCTION("""COMPUTED_VALUE"""),"#VALUE!")</f>
        <v>#VALUE!</v>
      </c>
      <c r="BG562" t="str">
        <f ca="1">IFERROR(__xludf.DUMMYFUNCTION("""COMPUTED_VALUE"""),"#VALUE!")</f>
        <v>#VALUE!</v>
      </c>
      <c r="BI562" t="str">
        <f ca="1">IFERROR(__xludf.DUMMYFUNCTION("""COMPUTED_VALUE"""),"#VALUE!")</f>
        <v>#VALUE!</v>
      </c>
      <c r="BK562" t="str">
        <f ca="1">IFERROR(__xludf.DUMMYFUNCTION("""COMPUTED_VALUE"""),"#VALUE!")</f>
        <v>#VALUE!</v>
      </c>
      <c r="BM562" t="str">
        <f ca="1">IFERROR(__xludf.DUMMYFUNCTION("""COMPUTED_VALUE"""),"#VALUE!")</f>
        <v>#VALUE!</v>
      </c>
      <c r="CS562" t="str">
        <f ca="1">IFERROR(__xludf.DUMMYFUNCTION("""COMPUTED_VALUE"""),"#VALUE!")</f>
        <v>#VALUE!</v>
      </c>
      <c r="CU562" t="str">
        <f ca="1">IFERROR(__xludf.DUMMYFUNCTION("""COMPUTED_VALUE"""),"#VALUE!")</f>
        <v>#VALUE!</v>
      </c>
      <c r="CW562" t="str">
        <f ca="1">IFERROR(__xludf.DUMMYFUNCTION("""COMPUTED_VALUE"""),"#VALUE!")</f>
        <v>#VALUE!</v>
      </c>
      <c r="CY562" t="str">
        <f ca="1">IFERROR(__xludf.DUMMYFUNCTION("""COMPUTED_VALUE"""),"#VALUE!")</f>
        <v>#VALUE!</v>
      </c>
      <c r="DC562" t="str">
        <f ca="1">IFERROR(__xludf.DUMMYFUNCTION("""COMPUTED_VALUE"""),"#VALUE!")</f>
        <v>#VALUE!</v>
      </c>
      <c r="DE562" t="str">
        <f ca="1">IFERROR(__xludf.DUMMYFUNCTION("""COMPUTED_VALUE"""),"#VALUE!")</f>
        <v>#VALUE!</v>
      </c>
    </row>
    <row r="563" spans="1:109" ht="13.2" x14ac:dyDescent="0.25">
      <c r="A563" t="str">
        <f ca="1">IFERROR(__xludf.DUMMYFUNCTION("""COMPUTED_VALUE"""),"P0572")</f>
        <v>P0572</v>
      </c>
      <c r="BC563" t="str">
        <f ca="1">IFERROR(__xludf.DUMMYFUNCTION("""COMPUTED_VALUE"""),"#VALUE!")</f>
        <v>#VALUE!</v>
      </c>
      <c r="BE563" t="str">
        <f ca="1">IFERROR(__xludf.DUMMYFUNCTION("""COMPUTED_VALUE"""),"#VALUE!")</f>
        <v>#VALUE!</v>
      </c>
      <c r="BG563" t="str">
        <f ca="1">IFERROR(__xludf.DUMMYFUNCTION("""COMPUTED_VALUE"""),"#VALUE!")</f>
        <v>#VALUE!</v>
      </c>
      <c r="BI563" t="str">
        <f ca="1">IFERROR(__xludf.DUMMYFUNCTION("""COMPUTED_VALUE"""),"#VALUE!")</f>
        <v>#VALUE!</v>
      </c>
      <c r="BK563" t="str">
        <f ca="1">IFERROR(__xludf.DUMMYFUNCTION("""COMPUTED_VALUE"""),"#VALUE!")</f>
        <v>#VALUE!</v>
      </c>
      <c r="BM563" t="str">
        <f ca="1">IFERROR(__xludf.DUMMYFUNCTION("""COMPUTED_VALUE"""),"#VALUE!")</f>
        <v>#VALUE!</v>
      </c>
      <c r="CS563" t="str">
        <f ca="1">IFERROR(__xludf.DUMMYFUNCTION("""COMPUTED_VALUE"""),"#VALUE!")</f>
        <v>#VALUE!</v>
      </c>
      <c r="CU563" t="str">
        <f ca="1">IFERROR(__xludf.DUMMYFUNCTION("""COMPUTED_VALUE"""),"#VALUE!")</f>
        <v>#VALUE!</v>
      </c>
      <c r="CW563" t="str">
        <f ca="1">IFERROR(__xludf.DUMMYFUNCTION("""COMPUTED_VALUE"""),"#VALUE!")</f>
        <v>#VALUE!</v>
      </c>
      <c r="CY563" t="str">
        <f ca="1">IFERROR(__xludf.DUMMYFUNCTION("""COMPUTED_VALUE"""),"#VALUE!")</f>
        <v>#VALUE!</v>
      </c>
      <c r="DC563" t="str">
        <f ca="1">IFERROR(__xludf.DUMMYFUNCTION("""COMPUTED_VALUE"""),"#VALUE!")</f>
        <v>#VALUE!</v>
      </c>
      <c r="DE563" t="str">
        <f ca="1">IFERROR(__xludf.DUMMYFUNCTION("""COMPUTED_VALUE"""),"#VALUE!")</f>
        <v>#VALUE!</v>
      </c>
    </row>
    <row r="564" spans="1:109" ht="13.2" x14ac:dyDescent="0.25">
      <c r="A564" t="str">
        <f ca="1">IFERROR(__xludf.DUMMYFUNCTION("""COMPUTED_VALUE"""),"P0573")</f>
        <v>P0573</v>
      </c>
      <c r="BC564" t="str">
        <f ca="1">IFERROR(__xludf.DUMMYFUNCTION("""COMPUTED_VALUE"""),"#VALUE!")</f>
        <v>#VALUE!</v>
      </c>
      <c r="BE564" t="str">
        <f ca="1">IFERROR(__xludf.DUMMYFUNCTION("""COMPUTED_VALUE"""),"#VALUE!")</f>
        <v>#VALUE!</v>
      </c>
      <c r="BG564" t="str">
        <f ca="1">IFERROR(__xludf.DUMMYFUNCTION("""COMPUTED_VALUE"""),"#VALUE!")</f>
        <v>#VALUE!</v>
      </c>
      <c r="BI564" t="str">
        <f ca="1">IFERROR(__xludf.DUMMYFUNCTION("""COMPUTED_VALUE"""),"#VALUE!")</f>
        <v>#VALUE!</v>
      </c>
      <c r="BK564" t="str">
        <f ca="1">IFERROR(__xludf.DUMMYFUNCTION("""COMPUTED_VALUE"""),"#VALUE!")</f>
        <v>#VALUE!</v>
      </c>
      <c r="BM564" t="str">
        <f ca="1">IFERROR(__xludf.DUMMYFUNCTION("""COMPUTED_VALUE"""),"#VALUE!")</f>
        <v>#VALUE!</v>
      </c>
      <c r="CS564" t="str">
        <f ca="1">IFERROR(__xludf.DUMMYFUNCTION("""COMPUTED_VALUE"""),"#VALUE!")</f>
        <v>#VALUE!</v>
      </c>
      <c r="CU564" t="str">
        <f ca="1">IFERROR(__xludf.DUMMYFUNCTION("""COMPUTED_VALUE"""),"#VALUE!")</f>
        <v>#VALUE!</v>
      </c>
      <c r="CW564" t="str">
        <f ca="1">IFERROR(__xludf.DUMMYFUNCTION("""COMPUTED_VALUE"""),"#VALUE!")</f>
        <v>#VALUE!</v>
      </c>
      <c r="CY564" t="str">
        <f ca="1">IFERROR(__xludf.DUMMYFUNCTION("""COMPUTED_VALUE"""),"#VALUE!")</f>
        <v>#VALUE!</v>
      </c>
      <c r="DC564" t="str">
        <f ca="1">IFERROR(__xludf.DUMMYFUNCTION("""COMPUTED_VALUE"""),"#VALUE!")</f>
        <v>#VALUE!</v>
      </c>
      <c r="DE564" t="str">
        <f ca="1">IFERROR(__xludf.DUMMYFUNCTION("""COMPUTED_VALUE"""),"#VALUE!")</f>
        <v>#VALUE!</v>
      </c>
    </row>
    <row r="565" spans="1:109" ht="13.2" x14ac:dyDescent="0.25">
      <c r="A565" t="str">
        <f ca="1">IFERROR(__xludf.DUMMYFUNCTION("""COMPUTED_VALUE"""),"P0574")</f>
        <v>P0574</v>
      </c>
      <c r="BC565" t="str">
        <f ca="1">IFERROR(__xludf.DUMMYFUNCTION("""COMPUTED_VALUE"""),"#VALUE!")</f>
        <v>#VALUE!</v>
      </c>
      <c r="BE565" t="str">
        <f ca="1">IFERROR(__xludf.DUMMYFUNCTION("""COMPUTED_VALUE"""),"#VALUE!")</f>
        <v>#VALUE!</v>
      </c>
      <c r="BG565" t="str">
        <f ca="1">IFERROR(__xludf.DUMMYFUNCTION("""COMPUTED_VALUE"""),"#VALUE!")</f>
        <v>#VALUE!</v>
      </c>
      <c r="BI565" t="str">
        <f ca="1">IFERROR(__xludf.DUMMYFUNCTION("""COMPUTED_VALUE"""),"#VALUE!")</f>
        <v>#VALUE!</v>
      </c>
      <c r="BK565" t="str">
        <f ca="1">IFERROR(__xludf.DUMMYFUNCTION("""COMPUTED_VALUE"""),"#VALUE!")</f>
        <v>#VALUE!</v>
      </c>
      <c r="BM565" t="str">
        <f ca="1">IFERROR(__xludf.DUMMYFUNCTION("""COMPUTED_VALUE"""),"#VALUE!")</f>
        <v>#VALUE!</v>
      </c>
      <c r="CS565" t="str">
        <f ca="1">IFERROR(__xludf.DUMMYFUNCTION("""COMPUTED_VALUE"""),"#VALUE!")</f>
        <v>#VALUE!</v>
      </c>
      <c r="CU565" t="str">
        <f ca="1">IFERROR(__xludf.DUMMYFUNCTION("""COMPUTED_VALUE"""),"#VALUE!")</f>
        <v>#VALUE!</v>
      </c>
      <c r="CW565" t="str">
        <f ca="1">IFERROR(__xludf.DUMMYFUNCTION("""COMPUTED_VALUE"""),"#VALUE!")</f>
        <v>#VALUE!</v>
      </c>
      <c r="CY565" t="str">
        <f ca="1">IFERROR(__xludf.DUMMYFUNCTION("""COMPUTED_VALUE"""),"#VALUE!")</f>
        <v>#VALUE!</v>
      </c>
      <c r="DC565" t="str">
        <f ca="1">IFERROR(__xludf.DUMMYFUNCTION("""COMPUTED_VALUE"""),"#VALUE!")</f>
        <v>#VALUE!</v>
      </c>
      <c r="DE565" t="str">
        <f ca="1">IFERROR(__xludf.DUMMYFUNCTION("""COMPUTED_VALUE"""),"#VALUE!")</f>
        <v>#VALUE!</v>
      </c>
    </row>
    <row r="566" spans="1:109" ht="13.2" x14ac:dyDescent="0.25">
      <c r="A566" t="str">
        <f ca="1">IFERROR(__xludf.DUMMYFUNCTION("""COMPUTED_VALUE"""),"P0575")</f>
        <v>P0575</v>
      </c>
      <c r="BC566" t="str">
        <f ca="1">IFERROR(__xludf.DUMMYFUNCTION("""COMPUTED_VALUE"""),"#VALUE!")</f>
        <v>#VALUE!</v>
      </c>
      <c r="BE566" t="str">
        <f ca="1">IFERROR(__xludf.DUMMYFUNCTION("""COMPUTED_VALUE"""),"#VALUE!")</f>
        <v>#VALUE!</v>
      </c>
      <c r="BG566" t="str">
        <f ca="1">IFERROR(__xludf.DUMMYFUNCTION("""COMPUTED_VALUE"""),"#VALUE!")</f>
        <v>#VALUE!</v>
      </c>
      <c r="BI566" t="str">
        <f ca="1">IFERROR(__xludf.DUMMYFUNCTION("""COMPUTED_VALUE"""),"#VALUE!")</f>
        <v>#VALUE!</v>
      </c>
      <c r="BK566" t="str">
        <f ca="1">IFERROR(__xludf.DUMMYFUNCTION("""COMPUTED_VALUE"""),"#VALUE!")</f>
        <v>#VALUE!</v>
      </c>
      <c r="BM566" t="str">
        <f ca="1">IFERROR(__xludf.DUMMYFUNCTION("""COMPUTED_VALUE"""),"#VALUE!")</f>
        <v>#VALUE!</v>
      </c>
      <c r="CS566" t="str">
        <f ca="1">IFERROR(__xludf.DUMMYFUNCTION("""COMPUTED_VALUE"""),"#VALUE!")</f>
        <v>#VALUE!</v>
      </c>
      <c r="CU566" t="str">
        <f ca="1">IFERROR(__xludf.DUMMYFUNCTION("""COMPUTED_VALUE"""),"#VALUE!")</f>
        <v>#VALUE!</v>
      </c>
      <c r="CW566" t="str">
        <f ca="1">IFERROR(__xludf.DUMMYFUNCTION("""COMPUTED_VALUE"""),"#VALUE!")</f>
        <v>#VALUE!</v>
      </c>
      <c r="CY566" t="str">
        <f ca="1">IFERROR(__xludf.DUMMYFUNCTION("""COMPUTED_VALUE"""),"#VALUE!")</f>
        <v>#VALUE!</v>
      </c>
      <c r="DC566" t="str">
        <f ca="1">IFERROR(__xludf.DUMMYFUNCTION("""COMPUTED_VALUE"""),"#VALUE!")</f>
        <v>#VALUE!</v>
      </c>
      <c r="DE566" t="str">
        <f ca="1">IFERROR(__xludf.DUMMYFUNCTION("""COMPUTED_VALUE"""),"#VALUE!")</f>
        <v>#VALUE!</v>
      </c>
    </row>
    <row r="567" spans="1:109" ht="13.2" x14ac:dyDescent="0.25">
      <c r="A567" t="str">
        <f ca="1">IFERROR(__xludf.DUMMYFUNCTION("""COMPUTED_VALUE"""),"P0576")</f>
        <v>P0576</v>
      </c>
      <c r="BC567" t="str">
        <f ca="1">IFERROR(__xludf.DUMMYFUNCTION("""COMPUTED_VALUE"""),"#VALUE!")</f>
        <v>#VALUE!</v>
      </c>
      <c r="BE567" t="str">
        <f ca="1">IFERROR(__xludf.DUMMYFUNCTION("""COMPUTED_VALUE"""),"#VALUE!")</f>
        <v>#VALUE!</v>
      </c>
      <c r="BG567" t="str">
        <f ca="1">IFERROR(__xludf.DUMMYFUNCTION("""COMPUTED_VALUE"""),"#VALUE!")</f>
        <v>#VALUE!</v>
      </c>
      <c r="BI567" t="str">
        <f ca="1">IFERROR(__xludf.DUMMYFUNCTION("""COMPUTED_VALUE"""),"#VALUE!")</f>
        <v>#VALUE!</v>
      </c>
      <c r="BK567" t="str">
        <f ca="1">IFERROR(__xludf.DUMMYFUNCTION("""COMPUTED_VALUE"""),"#VALUE!")</f>
        <v>#VALUE!</v>
      </c>
      <c r="BM567" t="str">
        <f ca="1">IFERROR(__xludf.DUMMYFUNCTION("""COMPUTED_VALUE"""),"#VALUE!")</f>
        <v>#VALUE!</v>
      </c>
      <c r="CS567" t="str">
        <f ca="1">IFERROR(__xludf.DUMMYFUNCTION("""COMPUTED_VALUE"""),"#VALUE!")</f>
        <v>#VALUE!</v>
      </c>
      <c r="CU567" t="str">
        <f ca="1">IFERROR(__xludf.DUMMYFUNCTION("""COMPUTED_VALUE"""),"#VALUE!")</f>
        <v>#VALUE!</v>
      </c>
      <c r="CW567" t="str">
        <f ca="1">IFERROR(__xludf.DUMMYFUNCTION("""COMPUTED_VALUE"""),"#VALUE!")</f>
        <v>#VALUE!</v>
      </c>
      <c r="CY567" t="str">
        <f ca="1">IFERROR(__xludf.DUMMYFUNCTION("""COMPUTED_VALUE"""),"#VALUE!")</f>
        <v>#VALUE!</v>
      </c>
      <c r="DC567" t="str">
        <f ca="1">IFERROR(__xludf.DUMMYFUNCTION("""COMPUTED_VALUE"""),"#VALUE!")</f>
        <v>#VALUE!</v>
      </c>
      <c r="DE567" t="str">
        <f ca="1">IFERROR(__xludf.DUMMYFUNCTION("""COMPUTED_VALUE"""),"#VALUE!")</f>
        <v>#VALUE!</v>
      </c>
    </row>
    <row r="568" spans="1:109" ht="13.2" x14ac:dyDescent="0.25">
      <c r="A568" t="str">
        <f ca="1">IFERROR(__xludf.DUMMYFUNCTION("""COMPUTED_VALUE"""),"P0577")</f>
        <v>P0577</v>
      </c>
      <c r="BC568" t="str">
        <f ca="1">IFERROR(__xludf.DUMMYFUNCTION("""COMPUTED_VALUE"""),"#VALUE!")</f>
        <v>#VALUE!</v>
      </c>
      <c r="BE568" t="str">
        <f ca="1">IFERROR(__xludf.DUMMYFUNCTION("""COMPUTED_VALUE"""),"#VALUE!")</f>
        <v>#VALUE!</v>
      </c>
      <c r="BG568" t="str">
        <f ca="1">IFERROR(__xludf.DUMMYFUNCTION("""COMPUTED_VALUE"""),"#VALUE!")</f>
        <v>#VALUE!</v>
      </c>
      <c r="BI568" t="str">
        <f ca="1">IFERROR(__xludf.DUMMYFUNCTION("""COMPUTED_VALUE"""),"#VALUE!")</f>
        <v>#VALUE!</v>
      </c>
      <c r="BK568" t="str">
        <f ca="1">IFERROR(__xludf.DUMMYFUNCTION("""COMPUTED_VALUE"""),"#VALUE!")</f>
        <v>#VALUE!</v>
      </c>
      <c r="BM568" t="str">
        <f ca="1">IFERROR(__xludf.DUMMYFUNCTION("""COMPUTED_VALUE"""),"#VALUE!")</f>
        <v>#VALUE!</v>
      </c>
      <c r="CS568" t="str">
        <f ca="1">IFERROR(__xludf.DUMMYFUNCTION("""COMPUTED_VALUE"""),"#VALUE!")</f>
        <v>#VALUE!</v>
      </c>
      <c r="CU568" t="str">
        <f ca="1">IFERROR(__xludf.DUMMYFUNCTION("""COMPUTED_VALUE"""),"#VALUE!")</f>
        <v>#VALUE!</v>
      </c>
      <c r="CW568" t="str">
        <f ca="1">IFERROR(__xludf.DUMMYFUNCTION("""COMPUTED_VALUE"""),"#VALUE!")</f>
        <v>#VALUE!</v>
      </c>
      <c r="CY568" t="str">
        <f ca="1">IFERROR(__xludf.DUMMYFUNCTION("""COMPUTED_VALUE"""),"#VALUE!")</f>
        <v>#VALUE!</v>
      </c>
      <c r="DC568" t="str">
        <f ca="1">IFERROR(__xludf.DUMMYFUNCTION("""COMPUTED_VALUE"""),"#VALUE!")</f>
        <v>#VALUE!</v>
      </c>
      <c r="DE568" t="str">
        <f ca="1">IFERROR(__xludf.DUMMYFUNCTION("""COMPUTED_VALUE"""),"#VALUE!")</f>
        <v>#VALUE!</v>
      </c>
    </row>
    <row r="569" spans="1:109" ht="13.2" x14ac:dyDescent="0.25">
      <c r="A569" t="str">
        <f ca="1">IFERROR(__xludf.DUMMYFUNCTION("""COMPUTED_VALUE"""),"P0578")</f>
        <v>P0578</v>
      </c>
      <c r="BC569" t="str">
        <f ca="1">IFERROR(__xludf.DUMMYFUNCTION("""COMPUTED_VALUE"""),"#VALUE!")</f>
        <v>#VALUE!</v>
      </c>
      <c r="BE569" t="str">
        <f ca="1">IFERROR(__xludf.DUMMYFUNCTION("""COMPUTED_VALUE"""),"#VALUE!")</f>
        <v>#VALUE!</v>
      </c>
      <c r="BG569" t="str">
        <f ca="1">IFERROR(__xludf.DUMMYFUNCTION("""COMPUTED_VALUE"""),"#VALUE!")</f>
        <v>#VALUE!</v>
      </c>
      <c r="BI569" t="str">
        <f ca="1">IFERROR(__xludf.DUMMYFUNCTION("""COMPUTED_VALUE"""),"#VALUE!")</f>
        <v>#VALUE!</v>
      </c>
      <c r="BK569" t="str">
        <f ca="1">IFERROR(__xludf.DUMMYFUNCTION("""COMPUTED_VALUE"""),"#VALUE!")</f>
        <v>#VALUE!</v>
      </c>
      <c r="BM569" t="str">
        <f ca="1">IFERROR(__xludf.DUMMYFUNCTION("""COMPUTED_VALUE"""),"#VALUE!")</f>
        <v>#VALUE!</v>
      </c>
      <c r="CS569" t="str">
        <f ca="1">IFERROR(__xludf.DUMMYFUNCTION("""COMPUTED_VALUE"""),"#VALUE!")</f>
        <v>#VALUE!</v>
      </c>
      <c r="CU569" t="str">
        <f ca="1">IFERROR(__xludf.DUMMYFUNCTION("""COMPUTED_VALUE"""),"#VALUE!")</f>
        <v>#VALUE!</v>
      </c>
      <c r="CW569" t="str">
        <f ca="1">IFERROR(__xludf.DUMMYFUNCTION("""COMPUTED_VALUE"""),"#VALUE!")</f>
        <v>#VALUE!</v>
      </c>
      <c r="CY569" t="str">
        <f ca="1">IFERROR(__xludf.DUMMYFUNCTION("""COMPUTED_VALUE"""),"#VALUE!")</f>
        <v>#VALUE!</v>
      </c>
      <c r="DC569" t="str">
        <f ca="1">IFERROR(__xludf.DUMMYFUNCTION("""COMPUTED_VALUE"""),"#VALUE!")</f>
        <v>#VALUE!</v>
      </c>
      <c r="DE569" t="str">
        <f ca="1">IFERROR(__xludf.DUMMYFUNCTION("""COMPUTED_VALUE"""),"#VALUE!")</f>
        <v>#VALUE!</v>
      </c>
    </row>
    <row r="570" spans="1:109" ht="13.2" x14ac:dyDescent="0.25">
      <c r="A570" t="str">
        <f ca="1">IFERROR(__xludf.DUMMYFUNCTION("""COMPUTED_VALUE"""),"P0579")</f>
        <v>P0579</v>
      </c>
      <c r="BC570" t="str">
        <f ca="1">IFERROR(__xludf.DUMMYFUNCTION("""COMPUTED_VALUE"""),"#VALUE!")</f>
        <v>#VALUE!</v>
      </c>
      <c r="BE570" t="str">
        <f ca="1">IFERROR(__xludf.DUMMYFUNCTION("""COMPUTED_VALUE"""),"#VALUE!")</f>
        <v>#VALUE!</v>
      </c>
      <c r="BG570" t="str">
        <f ca="1">IFERROR(__xludf.DUMMYFUNCTION("""COMPUTED_VALUE"""),"#VALUE!")</f>
        <v>#VALUE!</v>
      </c>
      <c r="BI570" t="str">
        <f ca="1">IFERROR(__xludf.DUMMYFUNCTION("""COMPUTED_VALUE"""),"#VALUE!")</f>
        <v>#VALUE!</v>
      </c>
      <c r="BK570" t="str">
        <f ca="1">IFERROR(__xludf.DUMMYFUNCTION("""COMPUTED_VALUE"""),"#VALUE!")</f>
        <v>#VALUE!</v>
      </c>
      <c r="BM570" t="str">
        <f ca="1">IFERROR(__xludf.DUMMYFUNCTION("""COMPUTED_VALUE"""),"#VALUE!")</f>
        <v>#VALUE!</v>
      </c>
      <c r="CS570" t="str">
        <f ca="1">IFERROR(__xludf.DUMMYFUNCTION("""COMPUTED_VALUE"""),"#VALUE!")</f>
        <v>#VALUE!</v>
      </c>
      <c r="CU570" t="str">
        <f ca="1">IFERROR(__xludf.DUMMYFUNCTION("""COMPUTED_VALUE"""),"#VALUE!")</f>
        <v>#VALUE!</v>
      </c>
      <c r="CW570" t="str">
        <f ca="1">IFERROR(__xludf.DUMMYFUNCTION("""COMPUTED_VALUE"""),"#VALUE!")</f>
        <v>#VALUE!</v>
      </c>
      <c r="CY570" t="str">
        <f ca="1">IFERROR(__xludf.DUMMYFUNCTION("""COMPUTED_VALUE"""),"#VALUE!")</f>
        <v>#VALUE!</v>
      </c>
      <c r="DC570" t="str">
        <f ca="1">IFERROR(__xludf.DUMMYFUNCTION("""COMPUTED_VALUE"""),"#VALUE!")</f>
        <v>#VALUE!</v>
      </c>
      <c r="DE570" t="str">
        <f ca="1">IFERROR(__xludf.DUMMYFUNCTION("""COMPUTED_VALUE"""),"#VALUE!")</f>
        <v>#VALUE!</v>
      </c>
    </row>
    <row r="571" spans="1:109" ht="13.2" x14ac:dyDescent="0.25">
      <c r="A571" t="str">
        <f ca="1">IFERROR(__xludf.DUMMYFUNCTION("""COMPUTED_VALUE"""),"P0580")</f>
        <v>P0580</v>
      </c>
      <c r="BC571" t="str">
        <f ca="1">IFERROR(__xludf.DUMMYFUNCTION("""COMPUTED_VALUE"""),"#VALUE!")</f>
        <v>#VALUE!</v>
      </c>
      <c r="BE571" t="str">
        <f ca="1">IFERROR(__xludf.DUMMYFUNCTION("""COMPUTED_VALUE"""),"#VALUE!")</f>
        <v>#VALUE!</v>
      </c>
      <c r="BG571" t="str">
        <f ca="1">IFERROR(__xludf.DUMMYFUNCTION("""COMPUTED_VALUE"""),"#VALUE!")</f>
        <v>#VALUE!</v>
      </c>
      <c r="BI571" t="str">
        <f ca="1">IFERROR(__xludf.DUMMYFUNCTION("""COMPUTED_VALUE"""),"#VALUE!")</f>
        <v>#VALUE!</v>
      </c>
      <c r="BK571" t="str">
        <f ca="1">IFERROR(__xludf.DUMMYFUNCTION("""COMPUTED_VALUE"""),"#VALUE!")</f>
        <v>#VALUE!</v>
      </c>
      <c r="BM571" t="str">
        <f ca="1">IFERROR(__xludf.DUMMYFUNCTION("""COMPUTED_VALUE"""),"#VALUE!")</f>
        <v>#VALUE!</v>
      </c>
      <c r="CS571" t="str">
        <f ca="1">IFERROR(__xludf.DUMMYFUNCTION("""COMPUTED_VALUE"""),"#VALUE!")</f>
        <v>#VALUE!</v>
      </c>
      <c r="CU571" t="str">
        <f ca="1">IFERROR(__xludf.DUMMYFUNCTION("""COMPUTED_VALUE"""),"#VALUE!")</f>
        <v>#VALUE!</v>
      </c>
      <c r="CW571" t="str">
        <f ca="1">IFERROR(__xludf.DUMMYFUNCTION("""COMPUTED_VALUE"""),"#VALUE!")</f>
        <v>#VALUE!</v>
      </c>
      <c r="CY571" t="str">
        <f ca="1">IFERROR(__xludf.DUMMYFUNCTION("""COMPUTED_VALUE"""),"#VALUE!")</f>
        <v>#VALUE!</v>
      </c>
      <c r="DC571" t="str">
        <f ca="1">IFERROR(__xludf.DUMMYFUNCTION("""COMPUTED_VALUE"""),"#VALUE!")</f>
        <v>#VALUE!</v>
      </c>
      <c r="DE571" t="str">
        <f ca="1">IFERROR(__xludf.DUMMYFUNCTION("""COMPUTED_VALUE"""),"#VALUE!")</f>
        <v>#VALUE!</v>
      </c>
    </row>
    <row r="572" spans="1:109" ht="13.2" x14ac:dyDescent="0.25">
      <c r="A572" t="str">
        <f ca="1">IFERROR(__xludf.DUMMYFUNCTION("""COMPUTED_VALUE"""),"P0581")</f>
        <v>P0581</v>
      </c>
      <c r="BC572" t="str">
        <f ca="1">IFERROR(__xludf.DUMMYFUNCTION("""COMPUTED_VALUE"""),"#VALUE!")</f>
        <v>#VALUE!</v>
      </c>
      <c r="BE572" t="str">
        <f ca="1">IFERROR(__xludf.DUMMYFUNCTION("""COMPUTED_VALUE"""),"#VALUE!")</f>
        <v>#VALUE!</v>
      </c>
      <c r="BG572" t="str">
        <f ca="1">IFERROR(__xludf.DUMMYFUNCTION("""COMPUTED_VALUE"""),"#VALUE!")</f>
        <v>#VALUE!</v>
      </c>
      <c r="BI572" t="str">
        <f ca="1">IFERROR(__xludf.DUMMYFUNCTION("""COMPUTED_VALUE"""),"#VALUE!")</f>
        <v>#VALUE!</v>
      </c>
      <c r="BK572" t="str">
        <f ca="1">IFERROR(__xludf.DUMMYFUNCTION("""COMPUTED_VALUE"""),"#VALUE!")</f>
        <v>#VALUE!</v>
      </c>
      <c r="BM572" t="str">
        <f ca="1">IFERROR(__xludf.DUMMYFUNCTION("""COMPUTED_VALUE"""),"#VALUE!")</f>
        <v>#VALUE!</v>
      </c>
      <c r="CS572" t="str">
        <f ca="1">IFERROR(__xludf.DUMMYFUNCTION("""COMPUTED_VALUE"""),"#VALUE!")</f>
        <v>#VALUE!</v>
      </c>
      <c r="CU572" t="str">
        <f ca="1">IFERROR(__xludf.DUMMYFUNCTION("""COMPUTED_VALUE"""),"#VALUE!")</f>
        <v>#VALUE!</v>
      </c>
      <c r="CW572" t="str">
        <f ca="1">IFERROR(__xludf.DUMMYFUNCTION("""COMPUTED_VALUE"""),"#VALUE!")</f>
        <v>#VALUE!</v>
      </c>
      <c r="CY572" t="str">
        <f ca="1">IFERROR(__xludf.DUMMYFUNCTION("""COMPUTED_VALUE"""),"#VALUE!")</f>
        <v>#VALUE!</v>
      </c>
      <c r="DC572" t="str">
        <f ca="1">IFERROR(__xludf.DUMMYFUNCTION("""COMPUTED_VALUE"""),"#VALUE!")</f>
        <v>#VALUE!</v>
      </c>
      <c r="DE572" t="str">
        <f ca="1">IFERROR(__xludf.DUMMYFUNCTION("""COMPUTED_VALUE"""),"#VALUE!")</f>
        <v>#VALUE!</v>
      </c>
    </row>
    <row r="573" spans="1:109" ht="13.2" x14ac:dyDescent="0.25">
      <c r="A573" t="str">
        <f ca="1">IFERROR(__xludf.DUMMYFUNCTION("""COMPUTED_VALUE"""),"P0582")</f>
        <v>P0582</v>
      </c>
      <c r="BC573" t="str">
        <f ca="1">IFERROR(__xludf.DUMMYFUNCTION("""COMPUTED_VALUE"""),"#VALUE!")</f>
        <v>#VALUE!</v>
      </c>
      <c r="BE573" t="str">
        <f ca="1">IFERROR(__xludf.DUMMYFUNCTION("""COMPUTED_VALUE"""),"#VALUE!")</f>
        <v>#VALUE!</v>
      </c>
      <c r="BG573" t="str">
        <f ca="1">IFERROR(__xludf.DUMMYFUNCTION("""COMPUTED_VALUE"""),"#VALUE!")</f>
        <v>#VALUE!</v>
      </c>
      <c r="BI573" t="str">
        <f ca="1">IFERROR(__xludf.DUMMYFUNCTION("""COMPUTED_VALUE"""),"#VALUE!")</f>
        <v>#VALUE!</v>
      </c>
      <c r="BK573" t="str">
        <f ca="1">IFERROR(__xludf.DUMMYFUNCTION("""COMPUTED_VALUE"""),"#VALUE!")</f>
        <v>#VALUE!</v>
      </c>
      <c r="BM573" t="str">
        <f ca="1">IFERROR(__xludf.DUMMYFUNCTION("""COMPUTED_VALUE"""),"#VALUE!")</f>
        <v>#VALUE!</v>
      </c>
      <c r="CS573" t="str">
        <f ca="1">IFERROR(__xludf.DUMMYFUNCTION("""COMPUTED_VALUE"""),"#VALUE!")</f>
        <v>#VALUE!</v>
      </c>
      <c r="CU573" t="str">
        <f ca="1">IFERROR(__xludf.DUMMYFUNCTION("""COMPUTED_VALUE"""),"#VALUE!")</f>
        <v>#VALUE!</v>
      </c>
      <c r="CW573" t="str">
        <f ca="1">IFERROR(__xludf.DUMMYFUNCTION("""COMPUTED_VALUE"""),"#VALUE!")</f>
        <v>#VALUE!</v>
      </c>
      <c r="CY573" t="str">
        <f ca="1">IFERROR(__xludf.DUMMYFUNCTION("""COMPUTED_VALUE"""),"#VALUE!")</f>
        <v>#VALUE!</v>
      </c>
      <c r="DC573" t="str">
        <f ca="1">IFERROR(__xludf.DUMMYFUNCTION("""COMPUTED_VALUE"""),"#VALUE!")</f>
        <v>#VALUE!</v>
      </c>
      <c r="DE573" t="str">
        <f ca="1">IFERROR(__xludf.DUMMYFUNCTION("""COMPUTED_VALUE"""),"#VALUE!")</f>
        <v>#VALUE!</v>
      </c>
    </row>
    <row r="574" spans="1:109" ht="13.2" x14ac:dyDescent="0.25">
      <c r="A574" t="str">
        <f ca="1">IFERROR(__xludf.DUMMYFUNCTION("""COMPUTED_VALUE"""),"P0583")</f>
        <v>P0583</v>
      </c>
      <c r="BC574" t="str">
        <f ca="1">IFERROR(__xludf.DUMMYFUNCTION("""COMPUTED_VALUE"""),"#VALUE!")</f>
        <v>#VALUE!</v>
      </c>
      <c r="BE574" t="str">
        <f ca="1">IFERROR(__xludf.DUMMYFUNCTION("""COMPUTED_VALUE"""),"#VALUE!")</f>
        <v>#VALUE!</v>
      </c>
      <c r="BG574" t="str">
        <f ca="1">IFERROR(__xludf.DUMMYFUNCTION("""COMPUTED_VALUE"""),"#VALUE!")</f>
        <v>#VALUE!</v>
      </c>
      <c r="BI574" t="str">
        <f ca="1">IFERROR(__xludf.DUMMYFUNCTION("""COMPUTED_VALUE"""),"#VALUE!")</f>
        <v>#VALUE!</v>
      </c>
      <c r="BK574" t="str">
        <f ca="1">IFERROR(__xludf.DUMMYFUNCTION("""COMPUTED_VALUE"""),"#VALUE!")</f>
        <v>#VALUE!</v>
      </c>
      <c r="BM574" t="str">
        <f ca="1">IFERROR(__xludf.DUMMYFUNCTION("""COMPUTED_VALUE"""),"#VALUE!")</f>
        <v>#VALUE!</v>
      </c>
      <c r="CS574" t="str">
        <f ca="1">IFERROR(__xludf.DUMMYFUNCTION("""COMPUTED_VALUE"""),"#VALUE!")</f>
        <v>#VALUE!</v>
      </c>
      <c r="CU574" t="str">
        <f ca="1">IFERROR(__xludf.DUMMYFUNCTION("""COMPUTED_VALUE"""),"#VALUE!")</f>
        <v>#VALUE!</v>
      </c>
      <c r="CW574" t="str">
        <f ca="1">IFERROR(__xludf.DUMMYFUNCTION("""COMPUTED_VALUE"""),"#VALUE!")</f>
        <v>#VALUE!</v>
      </c>
      <c r="CY574" t="str">
        <f ca="1">IFERROR(__xludf.DUMMYFUNCTION("""COMPUTED_VALUE"""),"#VALUE!")</f>
        <v>#VALUE!</v>
      </c>
      <c r="DC574" t="str">
        <f ca="1">IFERROR(__xludf.DUMMYFUNCTION("""COMPUTED_VALUE"""),"#VALUE!")</f>
        <v>#VALUE!</v>
      </c>
      <c r="DE574" t="str">
        <f ca="1">IFERROR(__xludf.DUMMYFUNCTION("""COMPUTED_VALUE"""),"#VALUE!")</f>
        <v>#VALUE!</v>
      </c>
    </row>
    <row r="575" spans="1:109" ht="13.2" x14ac:dyDescent="0.25">
      <c r="A575" t="str">
        <f ca="1">IFERROR(__xludf.DUMMYFUNCTION("""COMPUTED_VALUE"""),"P0584")</f>
        <v>P0584</v>
      </c>
      <c r="BC575" t="str">
        <f ca="1">IFERROR(__xludf.DUMMYFUNCTION("""COMPUTED_VALUE"""),"#VALUE!")</f>
        <v>#VALUE!</v>
      </c>
      <c r="BE575" t="str">
        <f ca="1">IFERROR(__xludf.DUMMYFUNCTION("""COMPUTED_VALUE"""),"#VALUE!")</f>
        <v>#VALUE!</v>
      </c>
      <c r="BG575" t="str">
        <f ca="1">IFERROR(__xludf.DUMMYFUNCTION("""COMPUTED_VALUE"""),"#VALUE!")</f>
        <v>#VALUE!</v>
      </c>
      <c r="BI575" t="str">
        <f ca="1">IFERROR(__xludf.DUMMYFUNCTION("""COMPUTED_VALUE"""),"#VALUE!")</f>
        <v>#VALUE!</v>
      </c>
      <c r="BK575" t="str">
        <f ca="1">IFERROR(__xludf.DUMMYFUNCTION("""COMPUTED_VALUE"""),"#VALUE!")</f>
        <v>#VALUE!</v>
      </c>
      <c r="BM575" t="str">
        <f ca="1">IFERROR(__xludf.DUMMYFUNCTION("""COMPUTED_VALUE"""),"#VALUE!")</f>
        <v>#VALUE!</v>
      </c>
      <c r="CS575" t="str">
        <f ca="1">IFERROR(__xludf.DUMMYFUNCTION("""COMPUTED_VALUE"""),"#VALUE!")</f>
        <v>#VALUE!</v>
      </c>
      <c r="CU575" t="str">
        <f ca="1">IFERROR(__xludf.DUMMYFUNCTION("""COMPUTED_VALUE"""),"#VALUE!")</f>
        <v>#VALUE!</v>
      </c>
      <c r="CW575" t="str">
        <f ca="1">IFERROR(__xludf.DUMMYFUNCTION("""COMPUTED_VALUE"""),"#VALUE!")</f>
        <v>#VALUE!</v>
      </c>
      <c r="CY575" t="str">
        <f ca="1">IFERROR(__xludf.DUMMYFUNCTION("""COMPUTED_VALUE"""),"#VALUE!")</f>
        <v>#VALUE!</v>
      </c>
      <c r="DC575" t="str">
        <f ca="1">IFERROR(__xludf.DUMMYFUNCTION("""COMPUTED_VALUE"""),"#VALUE!")</f>
        <v>#VALUE!</v>
      </c>
      <c r="DE575" t="str">
        <f ca="1">IFERROR(__xludf.DUMMYFUNCTION("""COMPUTED_VALUE"""),"#VALUE!")</f>
        <v>#VALUE!</v>
      </c>
    </row>
    <row r="576" spans="1:109" ht="13.2" x14ac:dyDescent="0.25">
      <c r="A576" t="str">
        <f ca="1">IFERROR(__xludf.DUMMYFUNCTION("""COMPUTED_VALUE"""),"P0585")</f>
        <v>P0585</v>
      </c>
      <c r="BC576" t="str">
        <f ca="1">IFERROR(__xludf.DUMMYFUNCTION("""COMPUTED_VALUE"""),"#VALUE!")</f>
        <v>#VALUE!</v>
      </c>
      <c r="BE576" t="str">
        <f ca="1">IFERROR(__xludf.DUMMYFUNCTION("""COMPUTED_VALUE"""),"#VALUE!")</f>
        <v>#VALUE!</v>
      </c>
      <c r="BG576" t="str">
        <f ca="1">IFERROR(__xludf.DUMMYFUNCTION("""COMPUTED_VALUE"""),"#VALUE!")</f>
        <v>#VALUE!</v>
      </c>
      <c r="BI576" t="str">
        <f ca="1">IFERROR(__xludf.DUMMYFUNCTION("""COMPUTED_VALUE"""),"#VALUE!")</f>
        <v>#VALUE!</v>
      </c>
      <c r="BK576" t="str">
        <f ca="1">IFERROR(__xludf.DUMMYFUNCTION("""COMPUTED_VALUE"""),"#VALUE!")</f>
        <v>#VALUE!</v>
      </c>
      <c r="BM576" t="str">
        <f ca="1">IFERROR(__xludf.DUMMYFUNCTION("""COMPUTED_VALUE"""),"#VALUE!")</f>
        <v>#VALUE!</v>
      </c>
      <c r="CS576" t="str">
        <f ca="1">IFERROR(__xludf.DUMMYFUNCTION("""COMPUTED_VALUE"""),"#VALUE!")</f>
        <v>#VALUE!</v>
      </c>
      <c r="CU576" t="str">
        <f ca="1">IFERROR(__xludf.DUMMYFUNCTION("""COMPUTED_VALUE"""),"#VALUE!")</f>
        <v>#VALUE!</v>
      </c>
      <c r="CW576" t="str">
        <f ca="1">IFERROR(__xludf.DUMMYFUNCTION("""COMPUTED_VALUE"""),"#VALUE!")</f>
        <v>#VALUE!</v>
      </c>
      <c r="CY576" t="str">
        <f ca="1">IFERROR(__xludf.DUMMYFUNCTION("""COMPUTED_VALUE"""),"#VALUE!")</f>
        <v>#VALUE!</v>
      </c>
      <c r="DC576" t="str">
        <f ca="1">IFERROR(__xludf.DUMMYFUNCTION("""COMPUTED_VALUE"""),"#VALUE!")</f>
        <v>#VALUE!</v>
      </c>
      <c r="DE576" t="str">
        <f ca="1">IFERROR(__xludf.DUMMYFUNCTION("""COMPUTED_VALUE"""),"#VALUE!")</f>
        <v>#VALUE!</v>
      </c>
    </row>
    <row r="577" spans="1:109" ht="13.2" x14ac:dyDescent="0.25">
      <c r="A577" t="str">
        <f ca="1">IFERROR(__xludf.DUMMYFUNCTION("""COMPUTED_VALUE"""),"P0586")</f>
        <v>P0586</v>
      </c>
      <c r="BC577" t="str">
        <f ca="1">IFERROR(__xludf.DUMMYFUNCTION("""COMPUTED_VALUE"""),"#VALUE!")</f>
        <v>#VALUE!</v>
      </c>
      <c r="BE577" t="str">
        <f ca="1">IFERROR(__xludf.DUMMYFUNCTION("""COMPUTED_VALUE"""),"#VALUE!")</f>
        <v>#VALUE!</v>
      </c>
      <c r="BG577" t="str">
        <f ca="1">IFERROR(__xludf.DUMMYFUNCTION("""COMPUTED_VALUE"""),"#VALUE!")</f>
        <v>#VALUE!</v>
      </c>
      <c r="BI577" t="str">
        <f ca="1">IFERROR(__xludf.DUMMYFUNCTION("""COMPUTED_VALUE"""),"#VALUE!")</f>
        <v>#VALUE!</v>
      </c>
      <c r="BK577" t="str">
        <f ca="1">IFERROR(__xludf.DUMMYFUNCTION("""COMPUTED_VALUE"""),"#VALUE!")</f>
        <v>#VALUE!</v>
      </c>
      <c r="BM577" t="str">
        <f ca="1">IFERROR(__xludf.DUMMYFUNCTION("""COMPUTED_VALUE"""),"#VALUE!")</f>
        <v>#VALUE!</v>
      </c>
      <c r="CS577" t="str">
        <f ca="1">IFERROR(__xludf.DUMMYFUNCTION("""COMPUTED_VALUE"""),"#VALUE!")</f>
        <v>#VALUE!</v>
      </c>
      <c r="CU577" t="str">
        <f ca="1">IFERROR(__xludf.DUMMYFUNCTION("""COMPUTED_VALUE"""),"#VALUE!")</f>
        <v>#VALUE!</v>
      </c>
      <c r="CW577" t="str">
        <f ca="1">IFERROR(__xludf.DUMMYFUNCTION("""COMPUTED_VALUE"""),"#VALUE!")</f>
        <v>#VALUE!</v>
      </c>
      <c r="CY577" t="str">
        <f ca="1">IFERROR(__xludf.DUMMYFUNCTION("""COMPUTED_VALUE"""),"#VALUE!")</f>
        <v>#VALUE!</v>
      </c>
      <c r="DC577" t="str">
        <f ca="1">IFERROR(__xludf.DUMMYFUNCTION("""COMPUTED_VALUE"""),"#VALUE!")</f>
        <v>#VALUE!</v>
      </c>
      <c r="DE577" t="str">
        <f ca="1">IFERROR(__xludf.DUMMYFUNCTION("""COMPUTED_VALUE"""),"#VALUE!")</f>
        <v>#VALUE!</v>
      </c>
    </row>
    <row r="578" spans="1:109" ht="13.2" x14ac:dyDescent="0.25">
      <c r="A578" t="str">
        <f ca="1">IFERROR(__xludf.DUMMYFUNCTION("""COMPUTED_VALUE"""),"P0587")</f>
        <v>P0587</v>
      </c>
      <c r="BC578" t="str">
        <f ca="1">IFERROR(__xludf.DUMMYFUNCTION("""COMPUTED_VALUE"""),"#VALUE!")</f>
        <v>#VALUE!</v>
      </c>
      <c r="BE578" t="str">
        <f ca="1">IFERROR(__xludf.DUMMYFUNCTION("""COMPUTED_VALUE"""),"#VALUE!")</f>
        <v>#VALUE!</v>
      </c>
      <c r="BG578" t="str">
        <f ca="1">IFERROR(__xludf.DUMMYFUNCTION("""COMPUTED_VALUE"""),"#VALUE!")</f>
        <v>#VALUE!</v>
      </c>
      <c r="BI578" t="str">
        <f ca="1">IFERROR(__xludf.DUMMYFUNCTION("""COMPUTED_VALUE"""),"#VALUE!")</f>
        <v>#VALUE!</v>
      </c>
      <c r="BK578" t="str">
        <f ca="1">IFERROR(__xludf.DUMMYFUNCTION("""COMPUTED_VALUE"""),"#VALUE!")</f>
        <v>#VALUE!</v>
      </c>
      <c r="BM578" t="str">
        <f ca="1">IFERROR(__xludf.DUMMYFUNCTION("""COMPUTED_VALUE"""),"#VALUE!")</f>
        <v>#VALUE!</v>
      </c>
      <c r="CS578" t="str">
        <f ca="1">IFERROR(__xludf.DUMMYFUNCTION("""COMPUTED_VALUE"""),"#VALUE!")</f>
        <v>#VALUE!</v>
      </c>
      <c r="CU578" t="str">
        <f ca="1">IFERROR(__xludf.DUMMYFUNCTION("""COMPUTED_VALUE"""),"#VALUE!")</f>
        <v>#VALUE!</v>
      </c>
      <c r="CW578" t="str">
        <f ca="1">IFERROR(__xludf.DUMMYFUNCTION("""COMPUTED_VALUE"""),"#VALUE!")</f>
        <v>#VALUE!</v>
      </c>
      <c r="CY578" t="str">
        <f ca="1">IFERROR(__xludf.DUMMYFUNCTION("""COMPUTED_VALUE"""),"#VALUE!")</f>
        <v>#VALUE!</v>
      </c>
      <c r="DC578" t="str">
        <f ca="1">IFERROR(__xludf.DUMMYFUNCTION("""COMPUTED_VALUE"""),"#VALUE!")</f>
        <v>#VALUE!</v>
      </c>
      <c r="DE578" t="str">
        <f ca="1">IFERROR(__xludf.DUMMYFUNCTION("""COMPUTED_VALUE"""),"#VALUE!")</f>
        <v>#VALUE!</v>
      </c>
    </row>
    <row r="579" spans="1:109" ht="13.2" x14ac:dyDescent="0.25">
      <c r="A579" t="str">
        <f ca="1">IFERROR(__xludf.DUMMYFUNCTION("""COMPUTED_VALUE"""),"P0588")</f>
        <v>P0588</v>
      </c>
      <c r="BC579" t="str">
        <f ca="1">IFERROR(__xludf.DUMMYFUNCTION("""COMPUTED_VALUE"""),"#VALUE!")</f>
        <v>#VALUE!</v>
      </c>
      <c r="BE579" t="str">
        <f ca="1">IFERROR(__xludf.DUMMYFUNCTION("""COMPUTED_VALUE"""),"#VALUE!")</f>
        <v>#VALUE!</v>
      </c>
      <c r="BG579" t="str">
        <f ca="1">IFERROR(__xludf.DUMMYFUNCTION("""COMPUTED_VALUE"""),"#VALUE!")</f>
        <v>#VALUE!</v>
      </c>
      <c r="BI579" t="str">
        <f ca="1">IFERROR(__xludf.DUMMYFUNCTION("""COMPUTED_VALUE"""),"#VALUE!")</f>
        <v>#VALUE!</v>
      </c>
      <c r="BK579" t="str">
        <f ca="1">IFERROR(__xludf.DUMMYFUNCTION("""COMPUTED_VALUE"""),"#VALUE!")</f>
        <v>#VALUE!</v>
      </c>
      <c r="BM579" t="str">
        <f ca="1">IFERROR(__xludf.DUMMYFUNCTION("""COMPUTED_VALUE"""),"#VALUE!")</f>
        <v>#VALUE!</v>
      </c>
      <c r="CS579" t="str">
        <f ca="1">IFERROR(__xludf.DUMMYFUNCTION("""COMPUTED_VALUE"""),"#VALUE!")</f>
        <v>#VALUE!</v>
      </c>
      <c r="CU579" t="str">
        <f ca="1">IFERROR(__xludf.DUMMYFUNCTION("""COMPUTED_VALUE"""),"#VALUE!")</f>
        <v>#VALUE!</v>
      </c>
      <c r="CW579" t="str">
        <f ca="1">IFERROR(__xludf.DUMMYFUNCTION("""COMPUTED_VALUE"""),"#VALUE!")</f>
        <v>#VALUE!</v>
      </c>
      <c r="CY579" t="str">
        <f ca="1">IFERROR(__xludf.DUMMYFUNCTION("""COMPUTED_VALUE"""),"#VALUE!")</f>
        <v>#VALUE!</v>
      </c>
      <c r="DC579" t="str">
        <f ca="1">IFERROR(__xludf.DUMMYFUNCTION("""COMPUTED_VALUE"""),"#VALUE!")</f>
        <v>#VALUE!</v>
      </c>
      <c r="DE579" t="str">
        <f ca="1">IFERROR(__xludf.DUMMYFUNCTION("""COMPUTED_VALUE"""),"#VALUE!")</f>
        <v>#VALUE!</v>
      </c>
    </row>
    <row r="580" spans="1:109" ht="13.2" x14ac:dyDescent="0.25">
      <c r="A580" t="str">
        <f ca="1">IFERROR(__xludf.DUMMYFUNCTION("""COMPUTED_VALUE"""),"P0589")</f>
        <v>P0589</v>
      </c>
      <c r="BC580" t="str">
        <f ca="1">IFERROR(__xludf.DUMMYFUNCTION("""COMPUTED_VALUE"""),"#VALUE!")</f>
        <v>#VALUE!</v>
      </c>
      <c r="BE580" t="str">
        <f ca="1">IFERROR(__xludf.DUMMYFUNCTION("""COMPUTED_VALUE"""),"#VALUE!")</f>
        <v>#VALUE!</v>
      </c>
      <c r="BG580" t="str">
        <f ca="1">IFERROR(__xludf.DUMMYFUNCTION("""COMPUTED_VALUE"""),"#VALUE!")</f>
        <v>#VALUE!</v>
      </c>
      <c r="BI580" t="str">
        <f ca="1">IFERROR(__xludf.DUMMYFUNCTION("""COMPUTED_VALUE"""),"#VALUE!")</f>
        <v>#VALUE!</v>
      </c>
      <c r="BK580" t="str">
        <f ca="1">IFERROR(__xludf.DUMMYFUNCTION("""COMPUTED_VALUE"""),"#VALUE!")</f>
        <v>#VALUE!</v>
      </c>
      <c r="BM580" t="str">
        <f ca="1">IFERROR(__xludf.DUMMYFUNCTION("""COMPUTED_VALUE"""),"#VALUE!")</f>
        <v>#VALUE!</v>
      </c>
      <c r="CS580" t="str">
        <f ca="1">IFERROR(__xludf.DUMMYFUNCTION("""COMPUTED_VALUE"""),"#VALUE!")</f>
        <v>#VALUE!</v>
      </c>
      <c r="CU580" t="str">
        <f ca="1">IFERROR(__xludf.DUMMYFUNCTION("""COMPUTED_VALUE"""),"#VALUE!")</f>
        <v>#VALUE!</v>
      </c>
      <c r="CW580" t="str">
        <f ca="1">IFERROR(__xludf.DUMMYFUNCTION("""COMPUTED_VALUE"""),"#VALUE!")</f>
        <v>#VALUE!</v>
      </c>
      <c r="CY580" t="str">
        <f ca="1">IFERROR(__xludf.DUMMYFUNCTION("""COMPUTED_VALUE"""),"#VALUE!")</f>
        <v>#VALUE!</v>
      </c>
      <c r="DC580" t="str">
        <f ca="1">IFERROR(__xludf.DUMMYFUNCTION("""COMPUTED_VALUE"""),"#VALUE!")</f>
        <v>#VALUE!</v>
      </c>
      <c r="DE580" t="str">
        <f ca="1">IFERROR(__xludf.DUMMYFUNCTION("""COMPUTED_VALUE"""),"#VALUE!")</f>
        <v>#VALUE!</v>
      </c>
    </row>
    <row r="581" spans="1:109" ht="13.2" x14ac:dyDescent="0.25">
      <c r="A581" t="str">
        <f ca="1">IFERROR(__xludf.DUMMYFUNCTION("""COMPUTED_VALUE"""),"P0590")</f>
        <v>P0590</v>
      </c>
      <c r="BC581" t="str">
        <f ca="1">IFERROR(__xludf.DUMMYFUNCTION("""COMPUTED_VALUE"""),"#VALUE!")</f>
        <v>#VALUE!</v>
      </c>
      <c r="BE581" t="str">
        <f ca="1">IFERROR(__xludf.DUMMYFUNCTION("""COMPUTED_VALUE"""),"#VALUE!")</f>
        <v>#VALUE!</v>
      </c>
      <c r="BG581" t="str">
        <f ca="1">IFERROR(__xludf.DUMMYFUNCTION("""COMPUTED_VALUE"""),"#VALUE!")</f>
        <v>#VALUE!</v>
      </c>
      <c r="BI581" t="str">
        <f ca="1">IFERROR(__xludf.DUMMYFUNCTION("""COMPUTED_VALUE"""),"#VALUE!")</f>
        <v>#VALUE!</v>
      </c>
      <c r="BK581" t="str">
        <f ca="1">IFERROR(__xludf.DUMMYFUNCTION("""COMPUTED_VALUE"""),"#VALUE!")</f>
        <v>#VALUE!</v>
      </c>
      <c r="BM581" t="str">
        <f ca="1">IFERROR(__xludf.DUMMYFUNCTION("""COMPUTED_VALUE"""),"#VALUE!")</f>
        <v>#VALUE!</v>
      </c>
      <c r="CS581" t="str">
        <f ca="1">IFERROR(__xludf.DUMMYFUNCTION("""COMPUTED_VALUE"""),"#VALUE!")</f>
        <v>#VALUE!</v>
      </c>
      <c r="CU581" t="str">
        <f ca="1">IFERROR(__xludf.DUMMYFUNCTION("""COMPUTED_VALUE"""),"#VALUE!")</f>
        <v>#VALUE!</v>
      </c>
      <c r="CW581" t="str">
        <f ca="1">IFERROR(__xludf.DUMMYFUNCTION("""COMPUTED_VALUE"""),"#VALUE!")</f>
        <v>#VALUE!</v>
      </c>
      <c r="CY581" t="str">
        <f ca="1">IFERROR(__xludf.DUMMYFUNCTION("""COMPUTED_VALUE"""),"#VALUE!")</f>
        <v>#VALUE!</v>
      </c>
      <c r="DC581" t="str">
        <f ca="1">IFERROR(__xludf.DUMMYFUNCTION("""COMPUTED_VALUE"""),"#VALUE!")</f>
        <v>#VALUE!</v>
      </c>
      <c r="DE581" t="str">
        <f ca="1">IFERROR(__xludf.DUMMYFUNCTION("""COMPUTED_VALUE"""),"#VALUE!")</f>
        <v>#VALUE!</v>
      </c>
    </row>
    <row r="582" spans="1:109" ht="13.2" x14ac:dyDescent="0.25">
      <c r="A582" t="str">
        <f ca="1">IFERROR(__xludf.DUMMYFUNCTION("""COMPUTED_VALUE"""),"P0591")</f>
        <v>P0591</v>
      </c>
      <c r="BC582" t="str">
        <f ca="1">IFERROR(__xludf.DUMMYFUNCTION("""COMPUTED_VALUE"""),"#VALUE!")</f>
        <v>#VALUE!</v>
      </c>
      <c r="BE582" t="str">
        <f ca="1">IFERROR(__xludf.DUMMYFUNCTION("""COMPUTED_VALUE"""),"#VALUE!")</f>
        <v>#VALUE!</v>
      </c>
      <c r="BG582" t="str">
        <f ca="1">IFERROR(__xludf.DUMMYFUNCTION("""COMPUTED_VALUE"""),"#VALUE!")</f>
        <v>#VALUE!</v>
      </c>
      <c r="BI582" t="str">
        <f ca="1">IFERROR(__xludf.DUMMYFUNCTION("""COMPUTED_VALUE"""),"#VALUE!")</f>
        <v>#VALUE!</v>
      </c>
      <c r="BK582" t="str">
        <f ca="1">IFERROR(__xludf.DUMMYFUNCTION("""COMPUTED_VALUE"""),"#VALUE!")</f>
        <v>#VALUE!</v>
      </c>
      <c r="BM582" t="str">
        <f ca="1">IFERROR(__xludf.DUMMYFUNCTION("""COMPUTED_VALUE"""),"#VALUE!")</f>
        <v>#VALUE!</v>
      </c>
      <c r="CS582" t="str">
        <f ca="1">IFERROR(__xludf.DUMMYFUNCTION("""COMPUTED_VALUE"""),"#VALUE!")</f>
        <v>#VALUE!</v>
      </c>
      <c r="CU582" t="str">
        <f ca="1">IFERROR(__xludf.DUMMYFUNCTION("""COMPUTED_VALUE"""),"#VALUE!")</f>
        <v>#VALUE!</v>
      </c>
      <c r="CW582" t="str">
        <f ca="1">IFERROR(__xludf.DUMMYFUNCTION("""COMPUTED_VALUE"""),"#VALUE!")</f>
        <v>#VALUE!</v>
      </c>
      <c r="CY582" t="str">
        <f ca="1">IFERROR(__xludf.DUMMYFUNCTION("""COMPUTED_VALUE"""),"#VALUE!")</f>
        <v>#VALUE!</v>
      </c>
      <c r="DC582" t="str">
        <f ca="1">IFERROR(__xludf.DUMMYFUNCTION("""COMPUTED_VALUE"""),"#VALUE!")</f>
        <v>#VALUE!</v>
      </c>
      <c r="DE582" t="str">
        <f ca="1">IFERROR(__xludf.DUMMYFUNCTION("""COMPUTED_VALUE"""),"#VALUE!")</f>
        <v>#VALUE!</v>
      </c>
    </row>
    <row r="583" spans="1:109" ht="13.2" x14ac:dyDescent="0.25">
      <c r="A583" t="str">
        <f ca="1">IFERROR(__xludf.DUMMYFUNCTION("""COMPUTED_VALUE"""),"P0592")</f>
        <v>P0592</v>
      </c>
      <c r="BC583" t="str">
        <f ca="1">IFERROR(__xludf.DUMMYFUNCTION("""COMPUTED_VALUE"""),"#VALUE!")</f>
        <v>#VALUE!</v>
      </c>
      <c r="BE583" t="str">
        <f ca="1">IFERROR(__xludf.DUMMYFUNCTION("""COMPUTED_VALUE"""),"#VALUE!")</f>
        <v>#VALUE!</v>
      </c>
      <c r="BG583" t="str">
        <f ca="1">IFERROR(__xludf.DUMMYFUNCTION("""COMPUTED_VALUE"""),"#VALUE!")</f>
        <v>#VALUE!</v>
      </c>
      <c r="BI583" t="str">
        <f ca="1">IFERROR(__xludf.DUMMYFUNCTION("""COMPUTED_VALUE"""),"#VALUE!")</f>
        <v>#VALUE!</v>
      </c>
      <c r="BK583" t="str">
        <f ca="1">IFERROR(__xludf.DUMMYFUNCTION("""COMPUTED_VALUE"""),"#VALUE!")</f>
        <v>#VALUE!</v>
      </c>
      <c r="BM583" t="str">
        <f ca="1">IFERROR(__xludf.DUMMYFUNCTION("""COMPUTED_VALUE"""),"#VALUE!")</f>
        <v>#VALUE!</v>
      </c>
      <c r="CS583" t="str">
        <f ca="1">IFERROR(__xludf.DUMMYFUNCTION("""COMPUTED_VALUE"""),"#VALUE!")</f>
        <v>#VALUE!</v>
      </c>
      <c r="CU583" t="str">
        <f ca="1">IFERROR(__xludf.DUMMYFUNCTION("""COMPUTED_VALUE"""),"#VALUE!")</f>
        <v>#VALUE!</v>
      </c>
      <c r="CW583" t="str">
        <f ca="1">IFERROR(__xludf.DUMMYFUNCTION("""COMPUTED_VALUE"""),"#VALUE!")</f>
        <v>#VALUE!</v>
      </c>
      <c r="CY583" t="str">
        <f ca="1">IFERROR(__xludf.DUMMYFUNCTION("""COMPUTED_VALUE"""),"#VALUE!")</f>
        <v>#VALUE!</v>
      </c>
      <c r="DC583" t="str">
        <f ca="1">IFERROR(__xludf.DUMMYFUNCTION("""COMPUTED_VALUE"""),"#VALUE!")</f>
        <v>#VALUE!</v>
      </c>
      <c r="DE583" t="str">
        <f ca="1">IFERROR(__xludf.DUMMYFUNCTION("""COMPUTED_VALUE"""),"#VALUE!")</f>
        <v>#VALUE!</v>
      </c>
    </row>
    <row r="584" spans="1:109" ht="13.2" x14ac:dyDescent="0.25">
      <c r="A584" t="str">
        <f ca="1">IFERROR(__xludf.DUMMYFUNCTION("""COMPUTED_VALUE"""),"P0593")</f>
        <v>P0593</v>
      </c>
      <c r="BC584" t="str">
        <f ca="1">IFERROR(__xludf.DUMMYFUNCTION("""COMPUTED_VALUE"""),"#VALUE!")</f>
        <v>#VALUE!</v>
      </c>
      <c r="BE584" t="str">
        <f ca="1">IFERROR(__xludf.DUMMYFUNCTION("""COMPUTED_VALUE"""),"#VALUE!")</f>
        <v>#VALUE!</v>
      </c>
      <c r="BG584" t="str">
        <f ca="1">IFERROR(__xludf.DUMMYFUNCTION("""COMPUTED_VALUE"""),"#VALUE!")</f>
        <v>#VALUE!</v>
      </c>
      <c r="BI584" t="str">
        <f ca="1">IFERROR(__xludf.DUMMYFUNCTION("""COMPUTED_VALUE"""),"#VALUE!")</f>
        <v>#VALUE!</v>
      </c>
      <c r="BK584" t="str">
        <f ca="1">IFERROR(__xludf.DUMMYFUNCTION("""COMPUTED_VALUE"""),"#VALUE!")</f>
        <v>#VALUE!</v>
      </c>
      <c r="BM584" t="str">
        <f ca="1">IFERROR(__xludf.DUMMYFUNCTION("""COMPUTED_VALUE"""),"#VALUE!")</f>
        <v>#VALUE!</v>
      </c>
      <c r="CS584" t="str">
        <f ca="1">IFERROR(__xludf.DUMMYFUNCTION("""COMPUTED_VALUE"""),"#VALUE!")</f>
        <v>#VALUE!</v>
      </c>
      <c r="CU584" t="str">
        <f ca="1">IFERROR(__xludf.DUMMYFUNCTION("""COMPUTED_VALUE"""),"#VALUE!")</f>
        <v>#VALUE!</v>
      </c>
      <c r="CW584" t="str">
        <f ca="1">IFERROR(__xludf.DUMMYFUNCTION("""COMPUTED_VALUE"""),"#VALUE!")</f>
        <v>#VALUE!</v>
      </c>
      <c r="CY584" t="str">
        <f ca="1">IFERROR(__xludf.DUMMYFUNCTION("""COMPUTED_VALUE"""),"#VALUE!")</f>
        <v>#VALUE!</v>
      </c>
      <c r="DC584" t="str">
        <f ca="1">IFERROR(__xludf.DUMMYFUNCTION("""COMPUTED_VALUE"""),"#VALUE!")</f>
        <v>#VALUE!</v>
      </c>
      <c r="DE584" t="str">
        <f ca="1">IFERROR(__xludf.DUMMYFUNCTION("""COMPUTED_VALUE"""),"#VALUE!")</f>
        <v>#VALUE!</v>
      </c>
    </row>
    <row r="585" spans="1:109" ht="13.2" x14ac:dyDescent="0.25">
      <c r="A585" t="str">
        <f ca="1">IFERROR(__xludf.DUMMYFUNCTION("""COMPUTED_VALUE"""),"P0594")</f>
        <v>P0594</v>
      </c>
      <c r="BC585" t="str">
        <f ca="1">IFERROR(__xludf.DUMMYFUNCTION("""COMPUTED_VALUE"""),"#VALUE!")</f>
        <v>#VALUE!</v>
      </c>
      <c r="BE585" t="str">
        <f ca="1">IFERROR(__xludf.DUMMYFUNCTION("""COMPUTED_VALUE"""),"#VALUE!")</f>
        <v>#VALUE!</v>
      </c>
      <c r="BG585" t="str">
        <f ca="1">IFERROR(__xludf.DUMMYFUNCTION("""COMPUTED_VALUE"""),"#VALUE!")</f>
        <v>#VALUE!</v>
      </c>
      <c r="BI585" t="str">
        <f ca="1">IFERROR(__xludf.DUMMYFUNCTION("""COMPUTED_VALUE"""),"#VALUE!")</f>
        <v>#VALUE!</v>
      </c>
      <c r="BK585" t="str">
        <f ca="1">IFERROR(__xludf.DUMMYFUNCTION("""COMPUTED_VALUE"""),"#VALUE!")</f>
        <v>#VALUE!</v>
      </c>
      <c r="BM585" t="str">
        <f ca="1">IFERROR(__xludf.DUMMYFUNCTION("""COMPUTED_VALUE"""),"#VALUE!")</f>
        <v>#VALUE!</v>
      </c>
      <c r="CS585" t="str">
        <f ca="1">IFERROR(__xludf.DUMMYFUNCTION("""COMPUTED_VALUE"""),"#VALUE!")</f>
        <v>#VALUE!</v>
      </c>
      <c r="CU585" t="str">
        <f ca="1">IFERROR(__xludf.DUMMYFUNCTION("""COMPUTED_VALUE"""),"#VALUE!")</f>
        <v>#VALUE!</v>
      </c>
      <c r="CW585" t="str">
        <f ca="1">IFERROR(__xludf.DUMMYFUNCTION("""COMPUTED_VALUE"""),"#VALUE!")</f>
        <v>#VALUE!</v>
      </c>
      <c r="CY585" t="str">
        <f ca="1">IFERROR(__xludf.DUMMYFUNCTION("""COMPUTED_VALUE"""),"#VALUE!")</f>
        <v>#VALUE!</v>
      </c>
      <c r="DC585" t="str">
        <f ca="1">IFERROR(__xludf.DUMMYFUNCTION("""COMPUTED_VALUE"""),"#VALUE!")</f>
        <v>#VALUE!</v>
      </c>
      <c r="DE585" t="str">
        <f ca="1">IFERROR(__xludf.DUMMYFUNCTION("""COMPUTED_VALUE"""),"#VALUE!")</f>
        <v>#VALUE!</v>
      </c>
    </row>
    <row r="586" spans="1:109" ht="13.2" x14ac:dyDescent="0.25">
      <c r="A586" t="str">
        <f ca="1">IFERROR(__xludf.DUMMYFUNCTION("""COMPUTED_VALUE"""),"P0595")</f>
        <v>P0595</v>
      </c>
      <c r="BC586" t="str">
        <f ca="1">IFERROR(__xludf.DUMMYFUNCTION("""COMPUTED_VALUE"""),"#VALUE!")</f>
        <v>#VALUE!</v>
      </c>
      <c r="BE586" t="str">
        <f ca="1">IFERROR(__xludf.DUMMYFUNCTION("""COMPUTED_VALUE"""),"#VALUE!")</f>
        <v>#VALUE!</v>
      </c>
      <c r="BG586" t="str">
        <f ca="1">IFERROR(__xludf.DUMMYFUNCTION("""COMPUTED_VALUE"""),"#VALUE!")</f>
        <v>#VALUE!</v>
      </c>
      <c r="BI586" t="str">
        <f ca="1">IFERROR(__xludf.DUMMYFUNCTION("""COMPUTED_VALUE"""),"#VALUE!")</f>
        <v>#VALUE!</v>
      </c>
      <c r="BK586" t="str">
        <f ca="1">IFERROR(__xludf.DUMMYFUNCTION("""COMPUTED_VALUE"""),"#VALUE!")</f>
        <v>#VALUE!</v>
      </c>
      <c r="BM586" t="str">
        <f ca="1">IFERROR(__xludf.DUMMYFUNCTION("""COMPUTED_VALUE"""),"#VALUE!")</f>
        <v>#VALUE!</v>
      </c>
      <c r="CS586" t="str">
        <f ca="1">IFERROR(__xludf.DUMMYFUNCTION("""COMPUTED_VALUE"""),"#VALUE!")</f>
        <v>#VALUE!</v>
      </c>
      <c r="CU586" t="str">
        <f ca="1">IFERROR(__xludf.DUMMYFUNCTION("""COMPUTED_VALUE"""),"#VALUE!")</f>
        <v>#VALUE!</v>
      </c>
      <c r="CW586" t="str">
        <f ca="1">IFERROR(__xludf.DUMMYFUNCTION("""COMPUTED_VALUE"""),"#VALUE!")</f>
        <v>#VALUE!</v>
      </c>
      <c r="CY586" t="str">
        <f ca="1">IFERROR(__xludf.DUMMYFUNCTION("""COMPUTED_VALUE"""),"#VALUE!")</f>
        <v>#VALUE!</v>
      </c>
      <c r="DC586" t="str">
        <f ca="1">IFERROR(__xludf.DUMMYFUNCTION("""COMPUTED_VALUE"""),"#VALUE!")</f>
        <v>#VALUE!</v>
      </c>
      <c r="DE586" t="str">
        <f ca="1">IFERROR(__xludf.DUMMYFUNCTION("""COMPUTED_VALUE"""),"#VALUE!")</f>
        <v>#VALUE!</v>
      </c>
    </row>
    <row r="587" spans="1:109" ht="13.2" x14ac:dyDescent="0.25">
      <c r="A587" t="str">
        <f ca="1">IFERROR(__xludf.DUMMYFUNCTION("""COMPUTED_VALUE"""),"P0596")</f>
        <v>P0596</v>
      </c>
      <c r="BC587" t="str">
        <f ca="1">IFERROR(__xludf.DUMMYFUNCTION("""COMPUTED_VALUE"""),"#VALUE!")</f>
        <v>#VALUE!</v>
      </c>
      <c r="BE587" t="str">
        <f ca="1">IFERROR(__xludf.DUMMYFUNCTION("""COMPUTED_VALUE"""),"#VALUE!")</f>
        <v>#VALUE!</v>
      </c>
      <c r="BG587" t="str">
        <f ca="1">IFERROR(__xludf.DUMMYFUNCTION("""COMPUTED_VALUE"""),"#VALUE!")</f>
        <v>#VALUE!</v>
      </c>
      <c r="BI587" t="str">
        <f ca="1">IFERROR(__xludf.DUMMYFUNCTION("""COMPUTED_VALUE"""),"#VALUE!")</f>
        <v>#VALUE!</v>
      </c>
      <c r="BK587" t="str">
        <f ca="1">IFERROR(__xludf.DUMMYFUNCTION("""COMPUTED_VALUE"""),"#VALUE!")</f>
        <v>#VALUE!</v>
      </c>
      <c r="BM587" t="str">
        <f ca="1">IFERROR(__xludf.DUMMYFUNCTION("""COMPUTED_VALUE"""),"#VALUE!")</f>
        <v>#VALUE!</v>
      </c>
      <c r="CS587" t="str">
        <f ca="1">IFERROR(__xludf.DUMMYFUNCTION("""COMPUTED_VALUE"""),"#VALUE!")</f>
        <v>#VALUE!</v>
      </c>
      <c r="CU587" t="str">
        <f ca="1">IFERROR(__xludf.DUMMYFUNCTION("""COMPUTED_VALUE"""),"#VALUE!")</f>
        <v>#VALUE!</v>
      </c>
      <c r="CW587" t="str">
        <f ca="1">IFERROR(__xludf.DUMMYFUNCTION("""COMPUTED_VALUE"""),"#VALUE!")</f>
        <v>#VALUE!</v>
      </c>
      <c r="CY587" t="str">
        <f ca="1">IFERROR(__xludf.DUMMYFUNCTION("""COMPUTED_VALUE"""),"#VALUE!")</f>
        <v>#VALUE!</v>
      </c>
      <c r="DC587" t="str">
        <f ca="1">IFERROR(__xludf.DUMMYFUNCTION("""COMPUTED_VALUE"""),"#VALUE!")</f>
        <v>#VALUE!</v>
      </c>
      <c r="DE587" t="str">
        <f ca="1">IFERROR(__xludf.DUMMYFUNCTION("""COMPUTED_VALUE"""),"#VALUE!")</f>
        <v>#VALUE!</v>
      </c>
    </row>
    <row r="588" spans="1:109" ht="13.2" x14ac:dyDescent="0.25">
      <c r="A588" t="str">
        <f ca="1">IFERROR(__xludf.DUMMYFUNCTION("""COMPUTED_VALUE"""),"P0597")</f>
        <v>P0597</v>
      </c>
      <c r="BC588" t="str">
        <f ca="1">IFERROR(__xludf.DUMMYFUNCTION("""COMPUTED_VALUE"""),"#VALUE!")</f>
        <v>#VALUE!</v>
      </c>
      <c r="BE588" t="str">
        <f ca="1">IFERROR(__xludf.DUMMYFUNCTION("""COMPUTED_VALUE"""),"#VALUE!")</f>
        <v>#VALUE!</v>
      </c>
      <c r="BG588" t="str">
        <f ca="1">IFERROR(__xludf.DUMMYFUNCTION("""COMPUTED_VALUE"""),"#VALUE!")</f>
        <v>#VALUE!</v>
      </c>
      <c r="BI588" t="str">
        <f ca="1">IFERROR(__xludf.DUMMYFUNCTION("""COMPUTED_VALUE"""),"#VALUE!")</f>
        <v>#VALUE!</v>
      </c>
      <c r="BK588" t="str">
        <f ca="1">IFERROR(__xludf.DUMMYFUNCTION("""COMPUTED_VALUE"""),"#VALUE!")</f>
        <v>#VALUE!</v>
      </c>
      <c r="BM588" t="str">
        <f ca="1">IFERROR(__xludf.DUMMYFUNCTION("""COMPUTED_VALUE"""),"#VALUE!")</f>
        <v>#VALUE!</v>
      </c>
      <c r="CS588" t="str">
        <f ca="1">IFERROR(__xludf.DUMMYFUNCTION("""COMPUTED_VALUE"""),"#VALUE!")</f>
        <v>#VALUE!</v>
      </c>
      <c r="CU588" t="str">
        <f ca="1">IFERROR(__xludf.DUMMYFUNCTION("""COMPUTED_VALUE"""),"#VALUE!")</f>
        <v>#VALUE!</v>
      </c>
      <c r="CW588" t="str">
        <f ca="1">IFERROR(__xludf.DUMMYFUNCTION("""COMPUTED_VALUE"""),"#VALUE!")</f>
        <v>#VALUE!</v>
      </c>
      <c r="CY588" t="str">
        <f ca="1">IFERROR(__xludf.DUMMYFUNCTION("""COMPUTED_VALUE"""),"#VALUE!")</f>
        <v>#VALUE!</v>
      </c>
      <c r="DC588" t="str">
        <f ca="1">IFERROR(__xludf.DUMMYFUNCTION("""COMPUTED_VALUE"""),"#VALUE!")</f>
        <v>#VALUE!</v>
      </c>
      <c r="DE588" t="str">
        <f ca="1">IFERROR(__xludf.DUMMYFUNCTION("""COMPUTED_VALUE"""),"#VALUE!")</f>
        <v>#VALUE!</v>
      </c>
    </row>
    <row r="589" spans="1:109" ht="13.2" x14ac:dyDescent="0.25">
      <c r="A589" t="str">
        <f ca="1">IFERROR(__xludf.DUMMYFUNCTION("""COMPUTED_VALUE"""),"P0598")</f>
        <v>P0598</v>
      </c>
      <c r="BC589" t="str">
        <f ca="1">IFERROR(__xludf.DUMMYFUNCTION("""COMPUTED_VALUE"""),"#VALUE!")</f>
        <v>#VALUE!</v>
      </c>
      <c r="BE589" t="str">
        <f ca="1">IFERROR(__xludf.DUMMYFUNCTION("""COMPUTED_VALUE"""),"#VALUE!")</f>
        <v>#VALUE!</v>
      </c>
      <c r="BG589" t="str">
        <f ca="1">IFERROR(__xludf.DUMMYFUNCTION("""COMPUTED_VALUE"""),"#VALUE!")</f>
        <v>#VALUE!</v>
      </c>
      <c r="BI589" t="str">
        <f ca="1">IFERROR(__xludf.DUMMYFUNCTION("""COMPUTED_VALUE"""),"#VALUE!")</f>
        <v>#VALUE!</v>
      </c>
      <c r="BK589" t="str">
        <f ca="1">IFERROR(__xludf.DUMMYFUNCTION("""COMPUTED_VALUE"""),"#VALUE!")</f>
        <v>#VALUE!</v>
      </c>
      <c r="BM589" t="str">
        <f ca="1">IFERROR(__xludf.DUMMYFUNCTION("""COMPUTED_VALUE"""),"#VALUE!")</f>
        <v>#VALUE!</v>
      </c>
      <c r="CS589" t="str">
        <f ca="1">IFERROR(__xludf.DUMMYFUNCTION("""COMPUTED_VALUE"""),"#VALUE!")</f>
        <v>#VALUE!</v>
      </c>
      <c r="CU589" t="str">
        <f ca="1">IFERROR(__xludf.DUMMYFUNCTION("""COMPUTED_VALUE"""),"#VALUE!")</f>
        <v>#VALUE!</v>
      </c>
      <c r="CW589" t="str">
        <f ca="1">IFERROR(__xludf.DUMMYFUNCTION("""COMPUTED_VALUE"""),"#VALUE!")</f>
        <v>#VALUE!</v>
      </c>
      <c r="CY589" t="str">
        <f ca="1">IFERROR(__xludf.DUMMYFUNCTION("""COMPUTED_VALUE"""),"#VALUE!")</f>
        <v>#VALUE!</v>
      </c>
      <c r="DC589" t="str">
        <f ca="1">IFERROR(__xludf.DUMMYFUNCTION("""COMPUTED_VALUE"""),"#VALUE!")</f>
        <v>#VALUE!</v>
      </c>
      <c r="DE589" t="str">
        <f ca="1">IFERROR(__xludf.DUMMYFUNCTION("""COMPUTED_VALUE"""),"#VALUE!")</f>
        <v>#VALUE!</v>
      </c>
    </row>
    <row r="590" spans="1:109" ht="13.2" x14ac:dyDescent="0.25">
      <c r="A590" t="str">
        <f ca="1">IFERROR(__xludf.DUMMYFUNCTION("""COMPUTED_VALUE"""),"P0599")</f>
        <v>P0599</v>
      </c>
      <c r="BC590" t="str">
        <f ca="1">IFERROR(__xludf.DUMMYFUNCTION("""COMPUTED_VALUE"""),"#VALUE!")</f>
        <v>#VALUE!</v>
      </c>
      <c r="BE590" t="str">
        <f ca="1">IFERROR(__xludf.DUMMYFUNCTION("""COMPUTED_VALUE"""),"#VALUE!")</f>
        <v>#VALUE!</v>
      </c>
      <c r="BG590" t="str">
        <f ca="1">IFERROR(__xludf.DUMMYFUNCTION("""COMPUTED_VALUE"""),"#VALUE!")</f>
        <v>#VALUE!</v>
      </c>
      <c r="BI590" t="str">
        <f ca="1">IFERROR(__xludf.DUMMYFUNCTION("""COMPUTED_VALUE"""),"#VALUE!")</f>
        <v>#VALUE!</v>
      </c>
      <c r="BK590" t="str">
        <f ca="1">IFERROR(__xludf.DUMMYFUNCTION("""COMPUTED_VALUE"""),"#VALUE!")</f>
        <v>#VALUE!</v>
      </c>
      <c r="BM590" t="str">
        <f ca="1">IFERROR(__xludf.DUMMYFUNCTION("""COMPUTED_VALUE"""),"#VALUE!")</f>
        <v>#VALUE!</v>
      </c>
      <c r="CS590" t="str">
        <f ca="1">IFERROR(__xludf.DUMMYFUNCTION("""COMPUTED_VALUE"""),"#VALUE!")</f>
        <v>#VALUE!</v>
      </c>
      <c r="CU590" t="str">
        <f ca="1">IFERROR(__xludf.DUMMYFUNCTION("""COMPUTED_VALUE"""),"#VALUE!")</f>
        <v>#VALUE!</v>
      </c>
      <c r="CW590" t="str">
        <f ca="1">IFERROR(__xludf.DUMMYFUNCTION("""COMPUTED_VALUE"""),"#VALUE!")</f>
        <v>#VALUE!</v>
      </c>
      <c r="CY590" t="str">
        <f ca="1">IFERROR(__xludf.DUMMYFUNCTION("""COMPUTED_VALUE"""),"#VALUE!")</f>
        <v>#VALUE!</v>
      </c>
      <c r="DC590" t="str">
        <f ca="1">IFERROR(__xludf.DUMMYFUNCTION("""COMPUTED_VALUE"""),"#VALUE!")</f>
        <v>#VALUE!</v>
      </c>
      <c r="DE590" t="str">
        <f ca="1">IFERROR(__xludf.DUMMYFUNCTION("""COMPUTED_VALUE"""),"#VALUE!")</f>
        <v>#VALUE!</v>
      </c>
    </row>
    <row r="591" spans="1:109" ht="13.2" x14ac:dyDescent="0.25">
      <c r="A591" t="str">
        <f ca="1">IFERROR(__xludf.DUMMYFUNCTION("""COMPUTED_VALUE"""),"P0600")</f>
        <v>P0600</v>
      </c>
      <c r="BC591" t="str">
        <f ca="1">IFERROR(__xludf.DUMMYFUNCTION("""COMPUTED_VALUE"""),"#VALUE!")</f>
        <v>#VALUE!</v>
      </c>
      <c r="BE591" t="str">
        <f ca="1">IFERROR(__xludf.DUMMYFUNCTION("""COMPUTED_VALUE"""),"#VALUE!")</f>
        <v>#VALUE!</v>
      </c>
      <c r="BG591" t="str">
        <f ca="1">IFERROR(__xludf.DUMMYFUNCTION("""COMPUTED_VALUE"""),"#VALUE!")</f>
        <v>#VALUE!</v>
      </c>
      <c r="BI591" t="str">
        <f ca="1">IFERROR(__xludf.DUMMYFUNCTION("""COMPUTED_VALUE"""),"#VALUE!")</f>
        <v>#VALUE!</v>
      </c>
      <c r="BK591" t="str">
        <f ca="1">IFERROR(__xludf.DUMMYFUNCTION("""COMPUTED_VALUE"""),"#VALUE!")</f>
        <v>#VALUE!</v>
      </c>
      <c r="BM591" t="str">
        <f ca="1">IFERROR(__xludf.DUMMYFUNCTION("""COMPUTED_VALUE"""),"#VALUE!")</f>
        <v>#VALUE!</v>
      </c>
      <c r="CS591" t="str">
        <f ca="1">IFERROR(__xludf.DUMMYFUNCTION("""COMPUTED_VALUE"""),"#VALUE!")</f>
        <v>#VALUE!</v>
      </c>
      <c r="CU591" t="str">
        <f ca="1">IFERROR(__xludf.DUMMYFUNCTION("""COMPUTED_VALUE"""),"#VALUE!")</f>
        <v>#VALUE!</v>
      </c>
      <c r="CW591" t="str">
        <f ca="1">IFERROR(__xludf.DUMMYFUNCTION("""COMPUTED_VALUE"""),"#VALUE!")</f>
        <v>#VALUE!</v>
      </c>
      <c r="CY591" t="str">
        <f ca="1">IFERROR(__xludf.DUMMYFUNCTION("""COMPUTED_VALUE"""),"#VALUE!")</f>
        <v>#VALUE!</v>
      </c>
      <c r="DC591" t="str">
        <f ca="1">IFERROR(__xludf.DUMMYFUNCTION("""COMPUTED_VALUE"""),"#VALUE!")</f>
        <v>#VALUE!</v>
      </c>
      <c r="DE591" t="str">
        <f ca="1">IFERROR(__xludf.DUMMYFUNCTION("""COMPUTED_VALUE"""),"#VALUE!")</f>
        <v>#VALUE!</v>
      </c>
    </row>
    <row r="592" spans="1:109" ht="13.2" x14ac:dyDescent="0.25">
      <c r="A592" t="str">
        <f ca="1">IFERROR(__xludf.DUMMYFUNCTION("""COMPUTED_VALUE"""),"P0601")</f>
        <v>P0601</v>
      </c>
      <c r="BC592" t="str">
        <f ca="1">IFERROR(__xludf.DUMMYFUNCTION("""COMPUTED_VALUE"""),"#VALUE!")</f>
        <v>#VALUE!</v>
      </c>
      <c r="BE592" t="str">
        <f ca="1">IFERROR(__xludf.DUMMYFUNCTION("""COMPUTED_VALUE"""),"#VALUE!")</f>
        <v>#VALUE!</v>
      </c>
      <c r="BG592" t="str">
        <f ca="1">IFERROR(__xludf.DUMMYFUNCTION("""COMPUTED_VALUE"""),"#VALUE!")</f>
        <v>#VALUE!</v>
      </c>
      <c r="BI592" t="str">
        <f ca="1">IFERROR(__xludf.DUMMYFUNCTION("""COMPUTED_VALUE"""),"#VALUE!")</f>
        <v>#VALUE!</v>
      </c>
      <c r="BK592" t="str">
        <f ca="1">IFERROR(__xludf.DUMMYFUNCTION("""COMPUTED_VALUE"""),"#VALUE!")</f>
        <v>#VALUE!</v>
      </c>
      <c r="BM592" t="str">
        <f ca="1">IFERROR(__xludf.DUMMYFUNCTION("""COMPUTED_VALUE"""),"#VALUE!")</f>
        <v>#VALUE!</v>
      </c>
      <c r="CS592" t="str">
        <f ca="1">IFERROR(__xludf.DUMMYFUNCTION("""COMPUTED_VALUE"""),"#VALUE!")</f>
        <v>#VALUE!</v>
      </c>
      <c r="CU592" t="str">
        <f ca="1">IFERROR(__xludf.DUMMYFUNCTION("""COMPUTED_VALUE"""),"#VALUE!")</f>
        <v>#VALUE!</v>
      </c>
      <c r="CW592" t="str">
        <f ca="1">IFERROR(__xludf.DUMMYFUNCTION("""COMPUTED_VALUE"""),"#VALUE!")</f>
        <v>#VALUE!</v>
      </c>
      <c r="CY592" t="str">
        <f ca="1">IFERROR(__xludf.DUMMYFUNCTION("""COMPUTED_VALUE"""),"#VALUE!")</f>
        <v>#VALUE!</v>
      </c>
      <c r="DC592" t="str">
        <f ca="1">IFERROR(__xludf.DUMMYFUNCTION("""COMPUTED_VALUE"""),"#VALUE!")</f>
        <v>#VALUE!</v>
      </c>
      <c r="DE592" t="str">
        <f ca="1">IFERROR(__xludf.DUMMYFUNCTION("""COMPUTED_VALUE"""),"#VALUE!")</f>
        <v>#VALUE!</v>
      </c>
    </row>
    <row r="593" spans="1:109" ht="13.2" x14ac:dyDescent="0.25">
      <c r="A593" t="str">
        <f ca="1">IFERROR(__xludf.DUMMYFUNCTION("""COMPUTED_VALUE"""),"P0602")</f>
        <v>P0602</v>
      </c>
      <c r="BC593" t="str">
        <f ca="1">IFERROR(__xludf.DUMMYFUNCTION("""COMPUTED_VALUE"""),"#VALUE!")</f>
        <v>#VALUE!</v>
      </c>
      <c r="BE593" t="str">
        <f ca="1">IFERROR(__xludf.DUMMYFUNCTION("""COMPUTED_VALUE"""),"#VALUE!")</f>
        <v>#VALUE!</v>
      </c>
      <c r="BG593" t="str">
        <f ca="1">IFERROR(__xludf.DUMMYFUNCTION("""COMPUTED_VALUE"""),"#VALUE!")</f>
        <v>#VALUE!</v>
      </c>
      <c r="BI593" t="str">
        <f ca="1">IFERROR(__xludf.DUMMYFUNCTION("""COMPUTED_VALUE"""),"#VALUE!")</f>
        <v>#VALUE!</v>
      </c>
      <c r="BK593" t="str">
        <f ca="1">IFERROR(__xludf.DUMMYFUNCTION("""COMPUTED_VALUE"""),"#VALUE!")</f>
        <v>#VALUE!</v>
      </c>
      <c r="BM593" t="str">
        <f ca="1">IFERROR(__xludf.DUMMYFUNCTION("""COMPUTED_VALUE"""),"#VALUE!")</f>
        <v>#VALUE!</v>
      </c>
      <c r="CS593" t="str">
        <f ca="1">IFERROR(__xludf.DUMMYFUNCTION("""COMPUTED_VALUE"""),"#VALUE!")</f>
        <v>#VALUE!</v>
      </c>
      <c r="CU593" t="str">
        <f ca="1">IFERROR(__xludf.DUMMYFUNCTION("""COMPUTED_VALUE"""),"#VALUE!")</f>
        <v>#VALUE!</v>
      </c>
      <c r="CW593" t="str">
        <f ca="1">IFERROR(__xludf.DUMMYFUNCTION("""COMPUTED_VALUE"""),"#VALUE!")</f>
        <v>#VALUE!</v>
      </c>
      <c r="CY593" t="str">
        <f ca="1">IFERROR(__xludf.DUMMYFUNCTION("""COMPUTED_VALUE"""),"#VALUE!")</f>
        <v>#VALUE!</v>
      </c>
      <c r="DC593" t="str">
        <f ca="1">IFERROR(__xludf.DUMMYFUNCTION("""COMPUTED_VALUE"""),"#VALUE!")</f>
        <v>#VALUE!</v>
      </c>
      <c r="DE593" t="str">
        <f ca="1">IFERROR(__xludf.DUMMYFUNCTION("""COMPUTED_VALUE"""),"#VALUE!")</f>
        <v>#VALUE!</v>
      </c>
    </row>
    <row r="594" spans="1:109" ht="13.2" x14ac:dyDescent="0.25">
      <c r="A594" t="str">
        <f ca="1">IFERROR(__xludf.DUMMYFUNCTION("""COMPUTED_VALUE"""),"P0603")</f>
        <v>P0603</v>
      </c>
      <c r="BC594" t="str">
        <f ca="1">IFERROR(__xludf.DUMMYFUNCTION("""COMPUTED_VALUE"""),"#VALUE!")</f>
        <v>#VALUE!</v>
      </c>
      <c r="BE594" t="str">
        <f ca="1">IFERROR(__xludf.DUMMYFUNCTION("""COMPUTED_VALUE"""),"#VALUE!")</f>
        <v>#VALUE!</v>
      </c>
      <c r="BG594" t="str">
        <f ca="1">IFERROR(__xludf.DUMMYFUNCTION("""COMPUTED_VALUE"""),"#VALUE!")</f>
        <v>#VALUE!</v>
      </c>
      <c r="BI594" t="str">
        <f ca="1">IFERROR(__xludf.DUMMYFUNCTION("""COMPUTED_VALUE"""),"#VALUE!")</f>
        <v>#VALUE!</v>
      </c>
      <c r="BK594" t="str">
        <f ca="1">IFERROR(__xludf.DUMMYFUNCTION("""COMPUTED_VALUE"""),"#VALUE!")</f>
        <v>#VALUE!</v>
      </c>
      <c r="BM594" t="str">
        <f ca="1">IFERROR(__xludf.DUMMYFUNCTION("""COMPUTED_VALUE"""),"#VALUE!")</f>
        <v>#VALUE!</v>
      </c>
      <c r="CS594" t="str">
        <f ca="1">IFERROR(__xludf.DUMMYFUNCTION("""COMPUTED_VALUE"""),"#VALUE!")</f>
        <v>#VALUE!</v>
      </c>
      <c r="CU594" t="str">
        <f ca="1">IFERROR(__xludf.DUMMYFUNCTION("""COMPUTED_VALUE"""),"#VALUE!")</f>
        <v>#VALUE!</v>
      </c>
      <c r="CW594" t="str">
        <f ca="1">IFERROR(__xludf.DUMMYFUNCTION("""COMPUTED_VALUE"""),"#VALUE!")</f>
        <v>#VALUE!</v>
      </c>
      <c r="CY594" t="str">
        <f ca="1">IFERROR(__xludf.DUMMYFUNCTION("""COMPUTED_VALUE"""),"#VALUE!")</f>
        <v>#VALUE!</v>
      </c>
      <c r="DC594" t="str">
        <f ca="1">IFERROR(__xludf.DUMMYFUNCTION("""COMPUTED_VALUE"""),"#VALUE!")</f>
        <v>#VALUE!</v>
      </c>
      <c r="DE594" t="str">
        <f ca="1">IFERROR(__xludf.DUMMYFUNCTION("""COMPUTED_VALUE"""),"#VALUE!")</f>
        <v>#VALUE!</v>
      </c>
    </row>
    <row r="595" spans="1:109" ht="13.2" x14ac:dyDescent="0.25">
      <c r="A595" t="str">
        <f ca="1">IFERROR(__xludf.DUMMYFUNCTION("""COMPUTED_VALUE"""),"P0604")</f>
        <v>P0604</v>
      </c>
      <c r="BC595" t="str">
        <f ca="1">IFERROR(__xludf.DUMMYFUNCTION("""COMPUTED_VALUE"""),"#VALUE!")</f>
        <v>#VALUE!</v>
      </c>
      <c r="BE595" t="str">
        <f ca="1">IFERROR(__xludf.DUMMYFUNCTION("""COMPUTED_VALUE"""),"#VALUE!")</f>
        <v>#VALUE!</v>
      </c>
      <c r="BG595" t="str">
        <f ca="1">IFERROR(__xludf.DUMMYFUNCTION("""COMPUTED_VALUE"""),"#VALUE!")</f>
        <v>#VALUE!</v>
      </c>
      <c r="BI595" t="str">
        <f ca="1">IFERROR(__xludf.DUMMYFUNCTION("""COMPUTED_VALUE"""),"#VALUE!")</f>
        <v>#VALUE!</v>
      </c>
      <c r="BK595" t="str">
        <f ca="1">IFERROR(__xludf.DUMMYFUNCTION("""COMPUTED_VALUE"""),"#VALUE!")</f>
        <v>#VALUE!</v>
      </c>
      <c r="BM595" t="str">
        <f ca="1">IFERROR(__xludf.DUMMYFUNCTION("""COMPUTED_VALUE"""),"#VALUE!")</f>
        <v>#VALUE!</v>
      </c>
      <c r="CS595" t="str">
        <f ca="1">IFERROR(__xludf.DUMMYFUNCTION("""COMPUTED_VALUE"""),"#VALUE!")</f>
        <v>#VALUE!</v>
      </c>
      <c r="CU595" t="str">
        <f ca="1">IFERROR(__xludf.DUMMYFUNCTION("""COMPUTED_VALUE"""),"#VALUE!")</f>
        <v>#VALUE!</v>
      </c>
      <c r="CW595" t="str">
        <f ca="1">IFERROR(__xludf.DUMMYFUNCTION("""COMPUTED_VALUE"""),"#VALUE!")</f>
        <v>#VALUE!</v>
      </c>
      <c r="CY595" t="str">
        <f ca="1">IFERROR(__xludf.DUMMYFUNCTION("""COMPUTED_VALUE"""),"#VALUE!")</f>
        <v>#VALUE!</v>
      </c>
      <c r="DC595" t="str">
        <f ca="1">IFERROR(__xludf.DUMMYFUNCTION("""COMPUTED_VALUE"""),"#VALUE!")</f>
        <v>#VALUE!</v>
      </c>
      <c r="DE595" t="str">
        <f ca="1">IFERROR(__xludf.DUMMYFUNCTION("""COMPUTED_VALUE"""),"#VALUE!")</f>
        <v>#VALUE!</v>
      </c>
    </row>
    <row r="596" spans="1:109" ht="13.2" x14ac:dyDescent="0.25">
      <c r="A596" t="str">
        <f ca="1">IFERROR(__xludf.DUMMYFUNCTION("""COMPUTED_VALUE"""),"P0605")</f>
        <v>P0605</v>
      </c>
      <c r="BC596" t="str">
        <f ca="1">IFERROR(__xludf.DUMMYFUNCTION("""COMPUTED_VALUE"""),"#VALUE!")</f>
        <v>#VALUE!</v>
      </c>
      <c r="BE596" t="str">
        <f ca="1">IFERROR(__xludf.DUMMYFUNCTION("""COMPUTED_VALUE"""),"#VALUE!")</f>
        <v>#VALUE!</v>
      </c>
      <c r="BG596" t="str">
        <f ca="1">IFERROR(__xludf.DUMMYFUNCTION("""COMPUTED_VALUE"""),"#VALUE!")</f>
        <v>#VALUE!</v>
      </c>
      <c r="BI596" t="str">
        <f ca="1">IFERROR(__xludf.DUMMYFUNCTION("""COMPUTED_VALUE"""),"#VALUE!")</f>
        <v>#VALUE!</v>
      </c>
      <c r="BK596" t="str">
        <f ca="1">IFERROR(__xludf.DUMMYFUNCTION("""COMPUTED_VALUE"""),"#VALUE!")</f>
        <v>#VALUE!</v>
      </c>
      <c r="BM596" t="str">
        <f ca="1">IFERROR(__xludf.DUMMYFUNCTION("""COMPUTED_VALUE"""),"#VALUE!")</f>
        <v>#VALUE!</v>
      </c>
      <c r="CS596" t="str">
        <f ca="1">IFERROR(__xludf.DUMMYFUNCTION("""COMPUTED_VALUE"""),"#VALUE!")</f>
        <v>#VALUE!</v>
      </c>
      <c r="CU596" t="str">
        <f ca="1">IFERROR(__xludf.DUMMYFUNCTION("""COMPUTED_VALUE"""),"#VALUE!")</f>
        <v>#VALUE!</v>
      </c>
      <c r="CW596" t="str">
        <f ca="1">IFERROR(__xludf.DUMMYFUNCTION("""COMPUTED_VALUE"""),"#VALUE!")</f>
        <v>#VALUE!</v>
      </c>
      <c r="CY596" t="str">
        <f ca="1">IFERROR(__xludf.DUMMYFUNCTION("""COMPUTED_VALUE"""),"#VALUE!")</f>
        <v>#VALUE!</v>
      </c>
      <c r="DC596" t="str">
        <f ca="1">IFERROR(__xludf.DUMMYFUNCTION("""COMPUTED_VALUE"""),"#VALUE!")</f>
        <v>#VALUE!</v>
      </c>
      <c r="DE596" t="str">
        <f ca="1">IFERROR(__xludf.DUMMYFUNCTION("""COMPUTED_VALUE"""),"#VALUE!")</f>
        <v>#VALUE!</v>
      </c>
    </row>
    <row r="597" spans="1:109" ht="13.2" x14ac:dyDescent="0.25">
      <c r="A597" t="str">
        <f ca="1">IFERROR(__xludf.DUMMYFUNCTION("""COMPUTED_VALUE"""),"P0606")</f>
        <v>P0606</v>
      </c>
      <c r="BC597" t="str">
        <f ca="1">IFERROR(__xludf.DUMMYFUNCTION("""COMPUTED_VALUE"""),"#VALUE!")</f>
        <v>#VALUE!</v>
      </c>
      <c r="BE597" t="str">
        <f ca="1">IFERROR(__xludf.DUMMYFUNCTION("""COMPUTED_VALUE"""),"#VALUE!")</f>
        <v>#VALUE!</v>
      </c>
      <c r="BG597" t="str">
        <f ca="1">IFERROR(__xludf.DUMMYFUNCTION("""COMPUTED_VALUE"""),"#VALUE!")</f>
        <v>#VALUE!</v>
      </c>
      <c r="BI597" t="str">
        <f ca="1">IFERROR(__xludf.DUMMYFUNCTION("""COMPUTED_VALUE"""),"#VALUE!")</f>
        <v>#VALUE!</v>
      </c>
      <c r="BK597" t="str">
        <f ca="1">IFERROR(__xludf.DUMMYFUNCTION("""COMPUTED_VALUE"""),"#VALUE!")</f>
        <v>#VALUE!</v>
      </c>
      <c r="BM597" t="str">
        <f ca="1">IFERROR(__xludf.DUMMYFUNCTION("""COMPUTED_VALUE"""),"#VALUE!")</f>
        <v>#VALUE!</v>
      </c>
      <c r="CS597" t="str">
        <f ca="1">IFERROR(__xludf.DUMMYFUNCTION("""COMPUTED_VALUE"""),"#VALUE!")</f>
        <v>#VALUE!</v>
      </c>
      <c r="CU597" t="str">
        <f ca="1">IFERROR(__xludf.DUMMYFUNCTION("""COMPUTED_VALUE"""),"#VALUE!")</f>
        <v>#VALUE!</v>
      </c>
      <c r="CW597" t="str">
        <f ca="1">IFERROR(__xludf.DUMMYFUNCTION("""COMPUTED_VALUE"""),"#VALUE!")</f>
        <v>#VALUE!</v>
      </c>
      <c r="CY597" t="str">
        <f ca="1">IFERROR(__xludf.DUMMYFUNCTION("""COMPUTED_VALUE"""),"#VALUE!")</f>
        <v>#VALUE!</v>
      </c>
      <c r="DC597" t="str">
        <f ca="1">IFERROR(__xludf.DUMMYFUNCTION("""COMPUTED_VALUE"""),"#VALUE!")</f>
        <v>#VALUE!</v>
      </c>
      <c r="DE597" t="str">
        <f ca="1">IFERROR(__xludf.DUMMYFUNCTION("""COMPUTED_VALUE"""),"#VALUE!")</f>
        <v>#VALUE!</v>
      </c>
    </row>
    <row r="598" spans="1:109" ht="13.2" x14ac:dyDescent="0.25">
      <c r="A598" t="str">
        <f ca="1">IFERROR(__xludf.DUMMYFUNCTION("""COMPUTED_VALUE"""),"P0607")</f>
        <v>P0607</v>
      </c>
      <c r="BC598" t="str">
        <f ca="1">IFERROR(__xludf.DUMMYFUNCTION("""COMPUTED_VALUE"""),"#VALUE!")</f>
        <v>#VALUE!</v>
      </c>
      <c r="BE598" t="str">
        <f ca="1">IFERROR(__xludf.DUMMYFUNCTION("""COMPUTED_VALUE"""),"#VALUE!")</f>
        <v>#VALUE!</v>
      </c>
      <c r="BG598" t="str">
        <f ca="1">IFERROR(__xludf.DUMMYFUNCTION("""COMPUTED_VALUE"""),"#VALUE!")</f>
        <v>#VALUE!</v>
      </c>
      <c r="BI598" t="str">
        <f ca="1">IFERROR(__xludf.DUMMYFUNCTION("""COMPUTED_VALUE"""),"#VALUE!")</f>
        <v>#VALUE!</v>
      </c>
      <c r="BK598" t="str">
        <f ca="1">IFERROR(__xludf.DUMMYFUNCTION("""COMPUTED_VALUE"""),"#VALUE!")</f>
        <v>#VALUE!</v>
      </c>
      <c r="BM598" t="str">
        <f ca="1">IFERROR(__xludf.DUMMYFUNCTION("""COMPUTED_VALUE"""),"#VALUE!")</f>
        <v>#VALUE!</v>
      </c>
      <c r="CS598" t="str">
        <f ca="1">IFERROR(__xludf.DUMMYFUNCTION("""COMPUTED_VALUE"""),"#VALUE!")</f>
        <v>#VALUE!</v>
      </c>
      <c r="CU598" t="str">
        <f ca="1">IFERROR(__xludf.DUMMYFUNCTION("""COMPUTED_VALUE"""),"#VALUE!")</f>
        <v>#VALUE!</v>
      </c>
      <c r="CW598" t="str">
        <f ca="1">IFERROR(__xludf.DUMMYFUNCTION("""COMPUTED_VALUE"""),"#VALUE!")</f>
        <v>#VALUE!</v>
      </c>
      <c r="CY598" t="str">
        <f ca="1">IFERROR(__xludf.DUMMYFUNCTION("""COMPUTED_VALUE"""),"#VALUE!")</f>
        <v>#VALUE!</v>
      </c>
      <c r="DC598" t="str">
        <f ca="1">IFERROR(__xludf.DUMMYFUNCTION("""COMPUTED_VALUE"""),"#VALUE!")</f>
        <v>#VALUE!</v>
      </c>
      <c r="DE598" t="str">
        <f ca="1">IFERROR(__xludf.DUMMYFUNCTION("""COMPUTED_VALUE"""),"#VALUE!")</f>
        <v>#VALUE!</v>
      </c>
    </row>
    <row r="599" spans="1:109" ht="13.2" x14ac:dyDescent="0.25">
      <c r="A599" t="str">
        <f ca="1">IFERROR(__xludf.DUMMYFUNCTION("""COMPUTED_VALUE"""),"P0608")</f>
        <v>P0608</v>
      </c>
      <c r="BC599" t="str">
        <f ca="1">IFERROR(__xludf.DUMMYFUNCTION("""COMPUTED_VALUE"""),"#VALUE!")</f>
        <v>#VALUE!</v>
      </c>
      <c r="BE599" t="str">
        <f ca="1">IFERROR(__xludf.DUMMYFUNCTION("""COMPUTED_VALUE"""),"#VALUE!")</f>
        <v>#VALUE!</v>
      </c>
      <c r="BG599" t="str">
        <f ca="1">IFERROR(__xludf.DUMMYFUNCTION("""COMPUTED_VALUE"""),"#VALUE!")</f>
        <v>#VALUE!</v>
      </c>
      <c r="BI599" t="str">
        <f ca="1">IFERROR(__xludf.DUMMYFUNCTION("""COMPUTED_VALUE"""),"#VALUE!")</f>
        <v>#VALUE!</v>
      </c>
      <c r="BK599" t="str">
        <f ca="1">IFERROR(__xludf.DUMMYFUNCTION("""COMPUTED_VALUE"""),"#VALUE!")</f>
        <v>#VALUE!</v>
      </c>
      <c r="BM599" t="str">
        <f ca="1">IFERROR(__xludf.DUMMYFUNCTION("""COMPUTED_VALUE"""),"#VALUE!")</f>
        <v>#VALUE!</v>
      </c>
      <c r="CS599" t="str">
        <f ca="1">IFERROR(__xludf.DUMMYFUNCTION("""COMPUTED_VALUE"""),"#VALUE!")</f>
        <v>#VALUE!</v>
      </c>
      <c r="CU599" t="str">
        <f ca="1">IFERROR(__xludf.DUMMYFUNCTION("""COMPUTED_VALUE"""),"#VALUE!")</f>
        <v>#VALUE!</v>
      </c>
      <c r="CW599" t="str">
        <f ca="1">IFERROR(__xludf.DUMMYFUNCTION("""COMPUTED_VALUE"""),"#VALUE!")</f>
        <v>#VALUE!</v>
      </c>
      <c r="CY599" t="str">
        <f ca="1">IFERROR(__xludf.DUMMYFUNCTION("""COMPUTED_VALUE"""),"#VALUE!")</f>
        <v>#VALUE!</v>
      </c>
      <c r="DC599" t="str">
        <f ca="1">IFERROR(__xludf.DUMMYFUNCTION("""COMPUTED_VALUE"""),"#VALUE!")</f>
        <v>#VALUE!</v>
      </c>
      <c r="DE599" t="str">
        <f ca="1">IFERROR(__xludf.DUMMYFUNCTION("""COMPUTED_VALUE"""),"#VALUE!")</f>
        <v>#VALUE!</v>
      </c>
    </row>
    <row r="600" spans="1:109" ht="13.2" x14ac:dyDescent="0.25">
      <c r="A600" t="str">
        <f ca="1">IFERROR(__xludf.DUMMYFUNCTION("""COMPUTED_VALUE"""),"P0609")</f>
        <v>P0609</v>
      </c>
      <c r="BC600" t="str">
        <f ca="1">IFERROR(__xludf.DUMMYFUNCTION("""COMPUTED_VALUE"""),"#VALUE!")</f>
        <v>#VALUE!</v>
      </c>
      <c r="BE600" t="str">
        <f ca="1">IFERROR(__xludf.DUMMYFUNCTION("""COMPUTED_VALUE"""),"#VALUE!")</f>
        <v>#VALUE!</v>
      </c>
      <c r="BG600" t="str">
        <f ca="1">IFERROR(__xludf.DUMMYFUNCTION("""COMPUTED_VALUE"""),"#VALUE!")</f>
        <v>#VALUE!</v>
      </c>
      <c r="BI600" t="str">
        <f ca="1">IFERROR(__xludf.DUMMYFUNCTION("""COMPUTED_VALUE"""),"#VALUE!")</f>
        <v>#VALUE!</v>
      </c>
      <c r="BK600" t="str">
        <f ca="1">IFERROR(__xludf.DUMMYFUNCTION("""COMPUTED_VALUE"""),"#VALUE!")</f>
        <v>#VALUE!</v>
      </c>
      <c r="BM600" t="str">
        <f ca="1">IFERROR(__xludf.DUMMYFUNCTION("""COMPUTED_VALUE"""),"#VALUE!")</f>
        <v>#VALUE!</v>
      </c>
      <c r="CS600" t="str">
        <f ca="1">IFERROR(__xludf.DUMMYFUNCTION("""COMPUTED_VALUE"""),"#VALUE!")</f>
        <v>#VALUE!</v>
      </c>
      <c r="CU600" t="str">
        <f ca="1">IFERROR(__xludf.DUMMYFUNCTION("""COMPUTED_VALUE"""),"#VALUE!")</f>
        <v>#VALUE!</v>
      </c>
      <c r="CW600" t="str">
        <f ca="1">IFERROR(__xludf.DUMMYFUNCTION("""COMPUTED_VALUE"""),"#VALUE!")</f>
        <v>#VALUE!</v>
      </c>
      <c r="CY600" t="str">
        <f ca="1">IFERROR(__xludf.DUMMYFUNCTION("""COMPUTED_VALUE"""),"#VALUE!")</f>
        <v>#VALUE!</v>
      </c>
      <c r="DC600" t="str">
        <f ca="1">IFERROR(__xludf.DUMMYFUNCTION("""COMPUTED_VALUE"""),"#VALUE!")</f>
        <v>#VALUE!</v>
      </c>
      <c r="DE600" t="str">
        <f ca="1">IFERROR(__xludf.DUMMYFUNCTION("""COMPUTED_VALUE"""),"#VALUE!")</f>
        <v>#VALUE!</v>
      </c>
    </row>
    <row r="601" spans="1:109" ht="13.2" x14ac:dyDescent="0.25">
      <c r="A601" t="str">
        <f ca="1">IFERROR(__xludf.DUMMYFUNCTION("""COMPUTED_VALUE"""),"P0610")</f>
        <v>P0610</v>
      </c>
      <c r="BC601" t="str">
        <f ca="1">IFERROR(__xludf.DUMMYFUNCTION("""COMPUTED_VALUE"""),"#VALUE!")</f>
        <v>#VALUE!</v>
      </c>
      <c r="BE601" t="str">
        <f ca="1">IFERROR(__xludf.DUMMYFUNCTION("""COMPUTED_VALUE"""),"#VALUE!")</f>
        <v>#VALUE!</v>
      </c>
      <c r="BG601" t="str">
        <f ca="1">IFERROR(__xludf.DUMMYFUNCTION("""COMPUTED_VALUE"""),"#VALUE!")</f>
        <v>#VALUE!</v>
      </c>
      <c r="BI601" t="str">
        <f ca="1">IFERROR(__xludf.DUMMYFUNCTION("""COMPUTED_VALUE"""),"#VALUE!")</f>
        <v>#VALUE!</v>
      </c>
      <c r="BK601" t="str">
        <f ca="1">IFERROR(__xludf.DUMMYFUNCTION("""COMPUTED_VALUE"""),"#VALUE!")</f>
        <v>#VALUE!</v>
      </c>
      <c r="BM601" t="str">
        <f ca="1">IFERROR(__xludf.DUMMYFUNCTION("""COMPUTED_VALUE"""),"#VALUE!")</f>
        <v>#VALUE!</v>
      </c>
      <c r="CS601" t="str">
        <f ca="1">IFERROR(__xludf.DUMMYFUNCTION("""COMPUTED_VALUE"""),"#VALUE!")</f>
        <v>#VALUE!</v>
      </c>
      <c r="CU601" t="str">
        <f ca="1">IFERROR(__xludf.DUMMYFUNCTION("""COMPUTED_VALUE"""),"#VALUE!")</f>
        <v>#VALUE!</v>
      </c>
      <c r="CW601" t="str">
        <f ca="1">IFERROR(__xludf.DUMMYFUNCTION("""COMPUTED_VALUE"""),"#VALUE!")</f>
        <v>#VALUE!</v>
      </c>
      <c r="CY601" t="str">
        <f ca="1">IFERROR(__xludf.DUMMYFUNCTION("""COMPUTED_VALUE"""),"#VALUE!")</f>
        <v>#VALUE!</v>
      </c>
      <c r="DC601" t="str">
        <f ca="1">IFERROR(__xludf.DUMMYFUNCTION("""COMPUTED_VALUE"""),"#VALUE!")</f>
        <v>#VALUE!</v>
      </c>
      <c r="DE601" t="str">
        <f ca="1">IFERROR(__xludf.DUMMYFUNCTION("""COMPUTED_VALUE"""),"#VALUE!")</f>
        <v>#VALUE!</v>
      </c>
    </row>
    <row r="602" spans="1:109" ht="13.2" x14ac:dyDescent="0.25">
      <c r="A602" t="str">
        <f ca="1">IFERROR(__xludf.DUMMYFUNCTION("""COMPUTED_VALUE"""),"P0611")</f>
        <v>P0611</v>
      </c>
      <c r="BC602" t="str">
        <f ca="1">IFERROR(__xludf.DUMMYFUNCTION("""COMPUTED_VALUE"""),"#VALUE!")</f>
        <v>#VALUE!</v>
      </c>
      <c r="BE602" t="str">
        <f ca="1">IFERROR(__xludf.DUMMYFUNCTION("""COMPUTED_VALUE"""),"#VALUE!")</f>
        <v>#VALUE!</v>
      </c>
      <c r="BG602" t="str">
        <f ca="1">IFERROR(__xludf.DUMMYFUNCTION("""COMPUTED_VALUE"""),"#VALUE!")</f>
        <v>#VALUE!</v>
      </c>
      <c r="BI602" t="str">
        <f ca="1">IFERROR(__xludf.DUMMYFUNCTION("""COMPUTED_VALUE"""),"#VALUE!")</f>
        <v>#VALUE!</v>
      </c>
      <c r="BK602" t="str">
        <f ca="1">IFERROR(__xludf.DUMMYFUNCTION("""COMPUTED_VALUE"""),"#VALUE!")</f>
        <v>#VALUE!</v>
      </c>
      <c r="BM602" t="str">
        <f ca="1">IFERROR(__xludf.DUMMYFUNCTION("""COMPUTED_VALUE"""),"#VALUE!")</f>
        <v>#VALUE!</v>
      </c>
      <c r="CS602" t="str">
        <f ca="1">IFERROR(__xludf.DUMMYFUNCTION("""COMPUTED_VALUE"""),"#VALUE!")</f>
        <v>#VALUE!</v>
      </c>
      <c r="CU602" t="str">
        <f ca="1">IFERROR(__xludf.DUMMYFUNCTION("""COMPUTED_VALUE"""),"#VALUE!")</f>
        <v>#VALUE!</v>
      </c>
      <c r="CW602" t="str">
        <f ca="1">IFERROR(__xludf.DUMMYFUNCTION("""COMPUTED_VALUE"""),"#VALUE!")</f>
        <v>#VALUE!</v>
      </c>
      <c r="CY602" t="str">
        <f ca="1">IFERROR(__xludf.DUMMYFUNCTION("""COMPUTED_VALUE"""),"#VALUE!")</f>
        <v>#VALUE!</v>
      </c>
      <c r="DC602" t="str">
        <f ca="1">IFERROR(__xludf.DUMMYFUNCTION("""COMPUTED_VALUE"""),"#VALUE!")</f>
        <v>#VALUE!</v>
      </c>
      <c r="DE602" t="str">
        <f ca="1">IFERROR(__xludf.DUMMYFUNCTION("""COMPUTED_VALUE"""),"#VALUE!")</f>
        <v>#VALUE!</v>
      </c>
    </row>
    <row r="603" spans="1:109" ht="13.2" x14ac:dyDescent="0.25">
      <c r="A603" t="str">
        <f ca="1">IFERROR(__xludf.DUMMYFUNCTION("""COMPUTED_VALUE"""),"P0612")</f>
        <v>P0612</v>
      </c>
      <c r="BC603" t="str">
        <f ca="1">IFERROR(__xludf.DUMMYFUNCTION("""COMPUTED_VALUE"""),"#VALUE!")</f>
        <v>#VALUE!</v>
      </c>
      <c r="BE603" t="str">
        <f ca="1">IFERROR(__xludf.DUMMYFUNCTION("""COMPUTED_VALUE"""),"#VALUE!")</f>
        <v>#VALUE!</v>
      </c>
      <c r="BG603" t="str">
        <f ca="1">IFERROR(__xludf.DUMMYFUNCTION("""COMPUTED_VALUE"""),"#VALUE!")</f>
        <v>#VALUE!</v>
      </c>
      <c r="BI603" t="str">
        <f ca="1">IFERROR(__xludf.DUMMYFUNCTION("""COMPUTED_VALUE"""),"#VALUE!")</f>
        <v>#VALUE!</v>
      </c>
      <c r="BK603" t="str">
        <f ca="1">IFERROR(__xludf.DUMMYFUNCTION("""COMPUTED_VALUE"""),"#VALUE!")</f>
        <v>#VALUE!</v>
      </c>
      <c r="BM603" t="str">
        <f ca="1">IFERROR(__xludf.DUMMYFUNCTION("""COMPUTED_VALUE"""),"#VALUE!")</f>
        <v>#VALUE!</v>
      </c>
      <c r="CS603" t="str">
        <f ca="1">IFERROR(__xludf.DUMMYFUNCTION("""COMPUTED_VALUE"""),"#VALUE!")</f>
        <v>#VALUE!</v>
      </c>
      <c r="CU603" t="str">
        <f ca="1">IFERROR(__xludf.DUMMYFUNCTION("""COMPUTED_VALUE"""),"#VALUE!")</f>
        <v>#VALUE!</v>
      </c>
      <c r="CW603" t="str">
        <f ca="1">IFERROR(__xludf.DUMMYFUNCTION("""COMPUTED_VALUE"""),"#VALUE!")</f>
        <v>#VALUE!</v>
      </c>
      <c r="CY603" t="str">
        <f ca="1">IFERROR(__xludf.DUMMYFUNCTION("""COMPUTED_VALUE"""),"#VALUE!")</f>
        <v>#VALUE!</v>
      </c>
      <c r="DC603" t="str">
        <f ca="1">IFERROR(__xludf.DUMMYFUNCTION("""COMPUTED_VALUE"""),"#VALUE!")</f>
        <v>#VALUE!</v>
      </c>
      <c r="DE603" t="str">
        <f ca="1">IFERROR(__xludf.DUMMYFUNCTION("""COMPUTED_VALUE"""),"#VALUE!")</f>
        <v>#VALUE!</v>
      </c>
    </row>
    <row r="604" spans="1:109" ht="13.2" x14ac:dyDescent="0.25">
      <c r="A604" t="str">
        <f ca="1">IFERROR(__xludf.DUMMYFUNCTION("""COMPUTED_VALUE"""),"P0613")</f>
        <v>P0613</v>
      </c>
      <c r="BC604" t="str">
        <f ca="1">IFERROR(__xludf.DUMMYFUNCTION("""COMPUTED_VALUE"""),"#VALUE!")</f>
        <v>#VALUE!</v>
      </c>
      <c r="BE604" t="str">
        <f ca="1">IFERROR(__xludf.DUMMYFUNCTION("""COMPUTED_VALUE"""),"#VALUE!")</f>
        <v>#VALUE!</v>
      </c>
      <c r="BG604" t="str">
        <f ca="1">IFERROR(__xludf.DUMMYFUNCTION("""COMPUTED_VALUE"""),"#VALUE!")</f>
        <v>#VALUE!</v>
      </c>
      <c r="BI604" t="str">
        <f ca="1">IFERROR(__xludf.DUMMYFUNCTION("""COMPUTED_VALUE"""),"#VALUE!")</f>
        <v>#VALUE!</v>
      </c>
      <c r="BK604" t="str">
        <f ca="1">IFERROR(__xludf.DUMMYFUNCTION("""COMPUTED_VALUE"""),"#VALUE!")</f>
        <v>#VALUE!</v>
      </c>
      <c r="BM604" t="str">
        <f ca="1">IFERROR(__xludf.DUMMYFUNCTION("""COMPUTED_VALUE"""),"#VALUE!")</f>
        <v>#VALUE!</v>
      </c>
      <c r="CS604" t="str">
        <f ca="1">IFERROR(__xludf.DUMMYFUNCTION("""COMPUTED_VALUE"""),"#VALUE!")</f>
        <v>#VALUE!</v>
      </c>
      <c r="CU604" t="str">
        <f ca="1">IFERROR(__xludf.DUMMYFUNCTION("""COMPUTED_VALUE"""),"#VALUE!")</f>
        <v>#VALUE!</v>
      </c>
      <c r="CW604" t="str">
        <f ca="1">IFERROR(__xludf.DUMMYFUNCTION("""COMPUTED_VALUE"""),"#VALUE!")</f>
        <v>#VALUE!</v>
      </c>
      <c r="CY604" t="str">
        <f ca="1">IFERROR(__xludf.DUMMYFUNCTION("""COMPUTED_VALUE"""),"#VALUE!")</f>
        <v>#VALUE!</v>
      </c>
      <c r="DC604" t="str">
        <f ca="1">IFERROR(__xludf.DUMMYFUNCTION("""COMPUTED_VALUE"""),"#VALUE!")</f>
        <v>#VALUE!</v>
      </c>
      <c r="DE604" t="str">
        <f ca="1">IFERROR(__xludf.DUMMYFUNCTION("""COMPUTED_VALUE"""),"#VALUE!")</f>
        <v>#VALUE!</v>
      </c>
    </row>
    <row r="605" spans="1:109" ht="13.2" x14ac:dyDescent="0.25">
      <c r="A605" t="str">
        <f ca="1">IFERROR(__xludf.DUMMYFUNCTION("""COMPUTED_VALUE"""),"P0614")</f>
        <v>P0614</v>
      </c>
      <c r="BC605" t="str">
        <f ca="1">IFERROR(__xludf.DUMMYFUNCTION("""COMPUTED_VALUE"""),"#VALUE!")</f>
        <v>#VALUE!</v>
      </c>
      <c r="BE605" t="str">
        <f ca="1">IFERROR(__xludf.DUMMYFUNCTION("""COMPUTED_VALUE"""),"#VALUE!")</f>
        <v>#VALUE!</v>
      </c>
      <c r="BG605" t="str">
        <f ca="1">IFERROR(__xludf.DUMMYFUNCTION("""COMPUTED_VALUE"""),"#VALUE!")</f>
        <v>#VALUE!</v>
      </c>
      <c r="BI605" t="str">
        <f ca="1">IFERROR(__xludf.DUMMYFUNCTION("""COMPUTED_VALUE"""),"#VALUE!")</f>
        <v>#VALUE!</v>
      </c>
      <c r="BK605" t="str">
        <f ca="1">IFERROR(__xludf.DUMMYFUNCTION("""COMPUTED_VALUE"""),"#VALUE!")</f>
        <v>#VALUE!</v>
      </c>
      <c r="BM605" t="str">
        <f ca="1">IFERROR(__xludf.DUMMYFUNCTION("""COMPUTED_VALUE"""),"#VALUE!")</f>
        <v>#VALUE!</v>
      </c>
      <c r="CS605" t="str">
        <f ca="1">IFERROR(__xludf.DUMMYFUNCTION("""COMPUTED_VALUE"""),"#VALUE!")</f>
        <v>#VALUE!</v>
      </c>
      <c r="CU605" t="str">
        <f ca="1">IFERROR(__xludf.DUMMYFUNCTION("""COMPUTED_VALUE"""),"#VALUE!")</f>
        <v>#VALUE!</v>
      </c>
      <c r="CW605" t="str">
        <f ca="1">IFERROR(__xludf.DUMMYFUNCTION("""COMPUTED_VALUE"""),"#VALUE!")</f>
        <v>#VALUE!</v>
      </c>
      <c r="CY605" t="str">
        <f ca="1">IFERROR(__xludf.DUMMYFUNCTION("""COMPUTED_VALUE"""),"#VALUE!")</f>
        <v>#VALUE!</v>
      </c>
      <c r="DC605" t="str">
        <f ca="1">IFERROR(__xludf.DUMMYFUNCTION("""COMPUTED_VALUE"""),"#VALUE!")</f>
        <v>#VALUE!</v>
      </c>
      <c r="DE605" t="str">
        <f ca="1">IFERROR(__xludf.DUMMYFUNCTION("""COMPUTED_VALUE"""),"#VALUE!")</f>
        <v>#VALUE!</v>
      </c>
    </row>
    <row r="606" spans="1:109" ht="13.2" x14ac:dyDescent="0.25">
      <c r="A606" t="str">
        <f ca="1">IFERROR(__xludf.DUMMYFUNCTION("""COMPUTED_VALUE"""),"P0615")</f>
        <v>P0615</v>
      </c>
      <c r="BC606" t="str">
        <f ca="1">IFERROR(__xludf.DUMMYFUNCTION("""COMPUTED_VALUE"""),"#VALUE!")</f>
        <v>#VALUE!</v>
      </c>
      <c r="BE606" t="str">
        <f ca="1">IFERROR(__xludf.DUMMYFUNCTION("""COMPUTED_VALUE"""),"#VALUE!")</f>
        <v>#VALUE!</v>
      </c>
      <c r="BG606" t="str">
        <f ca="1">IFERROR(__xludf.DUMMYFUNCTION("""COMPUTED_VALUE"""),"#VALUE!")</f>
        <v>#VALUE!</v>
      </c>
      <c r="BI606" t="str">
        <f ca="1">IFERROR(__xludf.DUMMYFUNCTION("""COMPUTED_VALUE"""),"#VALUE!")</f>
        <v>#VALUE!</v>
      </c>
      <c r="BK606" t="str">
        <f ca="1">IFERROR(__xludf.DUMMYFUNCTION("""COMPUTED_VALUE"""),"#VALUE!")</f>
        <v>#VALUE!</v>
      </c>
      <c r="BM606" t="str">
        <f ca="1">IFERROR(__xludf.DUMMYFUNCTION("""COMPUTED_VALUE"""),"#VALUE!")</f>
        <v>#VALUE!</v>
      </c>
      <c r="CS606" t="str">
        <f ca="1">IFERROR(__xludf.DUMMYFUNCTION("""COMPUTED_VALUE"""),"#VALUE!")</f>
        <v>#VALUE!</v>
      </c>
      <c r="CU606" t="str">
        <f ca="1">IFERROR(__xludf.DUMMYFUNCTION("""COMPUTED_VALUE"""),"#VALUE!")</f>
        <v>#VALUE!</v>
      </c>
      <c r="CW606" t="str">
        <f ca="1">IFERROR(__xludf.DUMMYFUNCTION("""COMPUTED_VALUE"""),"#VALUE!")</f>
        <v>#VALUE!</v>
      </c>
      <c r="CY606" t="str">
        <f ca="1">IFERROR(__xludf.DUMMYFUNCTION("""COMPUTED_VALUE"""),"#VALUE!")</f>
        <v>#VALUE!</v>
      </c>
      <c r="DC606" t="str">
        <f ca="1">IFERROR(__xludf.DUMMYFUNCTION("""COMPUTED_VALUE"""),"#VALUE!")</f>
        <v>#VALUE!</v>
      </c>
      <c r="DE606" t="str">
        <f ca="1">IFERROR(__xludf.DUMMYFUNCTION("""COMPUTED_VALUE"""),"#VALUE!")</f>
        <v>#VALUE!</v>
      </c>
    </row>
    <row r="607" spans="1:109" ht="13.2" x14ac:dyDescent="0.25">
      <c r="A607" t="str">
        <f ca="1">IFERROR(__xludf.DUMMYFUNCTION("""COMPUTED_VALUE"""),"P0616")</f>
        <v>P0616</v>
      </c>
      <c r="BC607" t="str">
        <f ca="1">IFERROR(__xludf.DUMMYFUNCTION("""COMPUTED_VALUE"""),"#VALUE!")</f>
        <v>#VALUE!</v>
      </c>
      <c r="BE607" t="str">
        <f ca="1">IFERROR(__xludf.DUMMYFUNCTION("""COMPUTED_VALUE"""),"#VALUE!")</f>
        <v>#VALUE!</v>
      </c>
      <c r="BG607" t="str">
        <f ca="1">IFERROR(__xludf.DUMMYFUNCTION("""COMPUTED_VALUE"""),"#VALUE!")</f>
        <v>#VALUE!</v>
      </c>
      <c r="BI607" t="str">
        <f ca="1">IFERROR(__xludf.DUMMYFUNCTION("""COMPUTED_VALUE"""),"#VALUE!")</f>
        <v>#VALUE!</v>
      </c>
      <c r="BK607" t="str">
        <f ca="1">IFERROR(__xludf.DUMMYFUNCTION("""COMPUTED_VALUE"""),"#VALUE!")</f>
        <v>#VALUE!</v>
      </c>
      <c r="BM607" t="str">
        <f ca="1">IFERROR(__xludf.DUMMYFUNCTION("""COMPUTED_VALUE"""),"#VALUE!")</f>
        <v>#VALUE!</v>
      </c>
      <c r="CS607" t="str">
        <f ca="1">IFERROR(__xludf.DUMMYFUNCTION("""COMPUTED_VALUE"""),"#VALUE!")</f>
        <v>#VALUE!</v>
      </c>
      <c r="CU607" t="str">
        <f ca="1">IFERROR(__xludf.DUMMYFUNCTION("""COMPUTED_VALUE"""),"#VALUE!")</f>
        <v>#VALUE!</v>
      </c>
      <c r="CW607" t="str">
        <f ca="1">IFERROR(__xludf.DUMMYFUNCTION("""COMPUTED_VALUE"""),"#VALUE!")</f>
        <v>#VALUE!</v>
      </c>
      <c r="CY607" t="str">
        <f ca="1">IFERROR(__xludf.DUMMYFUNCTION("""COMPUTED_VALUE"""),"#VALUE!")</f>
        <v>#VALUE!</v>
      </c>
      <c r="DC607" t="str">
        <f ca="1">IFERROR(__xludf.DUMMYFUNCTION("""COMPUTED_VALUE"""),"#VALUE!")</f>
        <v>#VALUE!</v>
      </c>
      <c r="DE607" t="str">
        <f ca="1">IFERROR(__xludf.DUMMYFUNCTION("""COMPUTED_VALUE"""),"#VALUE!")</f>
        <v>#VALUE!</v>
      </c>
    </row>
    <row r="608" spans="1:109" ht="13.2" x14ac:dyDescent="0.25">
      <c r="A608" t="str">
        <f ca="1">IFERROR(__xludf.DUMMYFUNCTION("""COMPUTED_VALUE"""),"P0617")</f>
        <v>P0617</v>
      </c>
      <c r="BC608" t="str">
        <f ca="1">IFERROR(__xludf.DUMMYFUNCTION("""COMPUTED_VALUE"""),"#VALUE!")</f>
        <v>#VALUE!</v>
      </c>
      <c r="BE608" t="str">
        <f ca="1">IFERROR(__xludf.DUMMYFUNCTION("""COMPUTED_VALUE"""),"#VALUE!")</f>
        <v>#VALUE!</v>
      </c>
      <c r="BG608" t="str">
        <f ca="1">IFERROR(__xludf.DUMMYFUNCTION("""COMPUTED_VALUE"""),"#VALUE!")</f>
        <v>#VALUE!</v>
      </c>
      <c r="BI608" t="str">
        <f ca="1">IFERROR(__xludf.DUMMYFUNCTION("""COMPUTED_VALUE"""),"#VALUE!")</f>
        <v>#VALUE!</v>
      </c>
      <c r="BK608" t="str">
        <f ca="1">IFERROR(__xludf.DUMMYFUNCTION("""COMPUTED_VALUE"""),"#VALUE!")</f>
        <v>#VALUE!</v>
      </c>
      <c r="BM608" t="str">
        <f ca="1">IFERROR(__xludf.DUMMYFUNCTION("""COMPUTED_VALUE"""),"#VALUE!")</f>
        <v>#VALUE!</v>
      </c>
      <c r="CS608" t="str">
        <f ca="1">IFERROR(__xludf.DUMMYFUNCTION("""COMPUTED_VALUE"""),"#VALUE!")</f>
        <v>#VALUE!</v>
      </c>
      <c r="CU608" t="str">
        <f ca="1">IFERROR(__xludf.DUMMYFUNCTION("""COMPUTED_VALUE"""),"#VALUE!")</f>
        <v>#VALUE!</v>
      </c>
      <c r="CW608" t="str">
        <f ca="1">IFERROR(__xludf.DUMMYFUNCTION("""COMPUTED_VALUE"""),"#VALUE!")</f>
        <v>#VALUE!</v>
      </c>
      <c r="CY608" t="str">
        <f ca="1">IFERROR(__xludf.DUMMYFUNCTION("""COMPUTED_VALUE"""),"#VALUE!")</f>
        <v>#VALUE!</v>
      </c>
      <c r="DC608" t="str">
        <f ca="1">IFERROR(__xludf.DUMMYFUNCTION("""COMPUTED_VALUE"""),"#VALUE!")</f>
        <v>#VALUE!</v>
      </c>
      <c r="DE608" t="str">
        <f ca="1">IFERROR(__xludf.DUMMYFUNCTION("""COMPUTED_VALUE"""),"#VALUE!")</f>
        <v>#VALUE!</v>
      </c>
    </row>
    <row r="609" spans="1:109" ht="13.2" x14ac:dyDescent="0.25">
      <c r="A609" t="str">
        <f ca="1">IFERROR(__xludf.DUMMYFUNCTION("""COMPUTED_VALUE"""),"P0618")</f>
        <v>P0618</v>
      </c>
      <c r="BC609" t="str">
        <f ca="1">IFERROR(__xludf.DUMMYFUNCTION("""COMPUTED_VALUE"""),"#VALUE!")</f>
        <v>#VALUE!</v>
      </c>
      <c r="BE609" t="str">
        <f ca="1">IFERROR(__xludf.DUMMYFUNCTION("""COMPUTED_VALUE"""),"#VALUE!")</f>
        <v>#VALUE!</v>
      </c>
      <c r="BG609" t="str">
        <f ca="1">IFERROR(__xludf.DUMMYFUNCTION("""COMPUTED_VALUE"""),"#VALUE!")</f>
        <v>#VALUE!</v>
      </c>
      <c r="BI609" t="str">
        <f ca="1">IFERROR(__xludf.DUMMYFUNCTION("""COMPUTED_VALUE"""),"#VALUE!")</f>
        <v>#VALUE!</v>
      </c>
      <c r="BK609" t="str">
        <f ca="1">IFERROR(__xludf.DUMMYFUNCTION("""COMPUTED_VALUE"""),"#VALUE!")</f>
        <v>#VALUE!</v>
      </c>
      <c r="BM609" t="str">
        <f ca="1">IFERROR(__xludf.DUMMYFUNCTION("""COMPUTED_VALUE"""),"#VALUE!")</f>
        <v>#VALUE!</v>
      </c>
      <c r="CS609" t="str">
        <f ca="1">IFERROR(__xludf.DUMMYFUNCTION("""COMPUTED_VALUE"""),"#VALUE!")</f>
        <v>#VALUE!</v>
      </c>
      <c r="CU609" t="str">
        <f ca="1">IFERROR(__xludf.DUMMYFUNCTION("""COMPUTED_VALUE"""),"#VALUE!")</f>
        <v>#VALUE!</v>
      </c>
      <c r="CW609" t="str">
        <f ca="1">IFERROR(__xludf.DUMMYFUNCTION("""COMPUTED_VALUE"""),"#VALUE!")</f>
        <v>#VALUE!</v>
      </c>
      <c r="CY609" t="str">
        <f ca="1">IFERROR(__xludf.DUMMYFUNCTION("""COMPUTED_VALUE"""),"#VALUE!")</f>
        <v>#VALUE!</v>
      </c>
      <c r="DC609" t="str">
        <f ca="1">IFERROR(__xludf.DUMMYFUNCTION("""COMPUTED_VALUE"""),"#VALUE!")</f>
        <v>#VALUE!</v>
      </c>
      <c r="DE609" t="str">
        <f ca="1">IFERROR(__xludf.DUMMYFUNCTION("""COMPUTED_VALUE"""),"#VALUE!")</f>
        <v>#VALUE!</v>
      </c>
    </row>
    <row r="610" spans="1:109" ht="13.2" x14ac:dyDescent="0.25">
      <c r="A610" t="str">
        <f ca="1">IFERROR(__xludf.DUMMYFUNCTION("""COMPUTED_VALUE"""),"P0619")</f>
        <v>P0619</v>
      </c>
      <c r="BC610" t="str">
        <f ca="1">IFERROR(__xludf.DUMMYFUNCTION("""COMPUTED_VALUE"""),"#VALUE!")</f>
        <v>#VALUE!</v>
      </c>
      <c r="BE610" t="str">
        <f ca="1">IFERROR(__xludf.DUMMYFUNCTION("""COMPUTED_VALUE"""),"#VALUE!")</f>
        <v>#VALUE!</v>
      </c>
      <c r="BG610" t="str">
        <f ca="1">IFERROR(__xludf.DUMMYFUNCTION("""COMPUTED_VALUE"""),"#VALUE!")</f>
        <v>#VALUE!</v>
      </c>
      <c r="BI610" t="str">
        <f ca="1">IFERROR(__xludf.DUMMYFUNCTION("""COMPUTED_VALUE"""),"#VALUE!")</f>
        <v>#VALUE!</v>
      </c>
      <c r="BK610" t="str">
        <f ca="1">IFERROR(__xludf.DUMMYFUNCTION("""COMPUTED_VALUE"""),"#VALUE!")</f>
        <v>#VALUE!</v>
      </c>
      <c r="BM610" t="str">
        <f ca="1">IFERROR(__xludf.DUMMYFUNCTION("""COMPUTED_VALUE"""),"#VALUE!")</f>
        <v>#VALUE!</v>
      </c>
      <c r="CS610" t="str">
        <f ca="1">IFERROR(__xludf.DUMMYFUNCTION("""COMPUTED_VALUE"""),"#VALUE!")</f>
        <v>#VALUE!</v>
      </c>
      <c r="CU610" t="str">
        <f ca="1">IFERROR(__xludf.DUMMYFUNCTION("""COMPUTED_VALUE"""),"#VALUE!")</f>
        <v>#VALUE!</v>
      </c>
      <c r="CW610" t="str">
        <f ca="1">IFERROR(__xludf.DUMMYFUNCTION("""COMPUTED_VALUE"""),"#VALUE!")</f>
        <v>#VALUE!</v>
      </c>
      <c r="CY610" t="str">
        <f ca="1">IFERROR(__xludf.DUMMYFUNCTION("""COMPUTED_VALUE"""),"#VALUE!")</f>
        <v>#VALUE!</v>
      </c>
      <c r="DC610" t="str">
        <f ca="1">IFERROR(__xludf.DUMMYFUNCTION("""COMPUTED_VALUE"""),"#VALUE!")</f>
        <v>#VALUE!</v>
      </c>
      <c r="DE610" t="str">
        <f ca="1">IFERROR(__xludf.DUMMYFUNCTION("""COMPUTED_VALUE"""),"#VALUE!")</f>
        <v>#VALUE!</v>
      </c>
    </row>
    <row r="611" spans="1:109" ht="13.2" x14ac:dyDescent="0.25">
      <c r="A611" t="str">
        <f ca="1">IFERROR(__xludf.DUMMYFUNCTION("""COMPUTED_VALUE"""),"P0620")</f>
        <v>P0620</v>
      </c>
      <c r="BC611" t="str">
        <f ca="1">IFERROR(__xludf.DUMMYFUNCTION("""COMPUTED_VALUE"""),"#VALUE!")</f>
        <v>#VALUE!</v>
      </c>
      <c r="BE611" t="str">
        <f ca="1">IFERROR(__xludf.DUMMYFUNCTION("""COMPUTED_VALUE"""),"#VALUE!")</f>
        <v>#VALUE!</v>
      </c>
      <c r="BG611" t="str">
        <f ca="1">IFERROR(__xludf.DUMMYFUNCTION("""COMPUTED_VALUE"""),"#VALUE!")</f>
        <v>#VALUE!</v>
      </c>
      <c r="BI611" t="str">
        <f ca="1">IFERROR(__xludf.DUMMYFUNCTION("""COMPUTED_VALUE"""),"#VALUE!")</f>
        <v>#VALUE!</v>
      </c>
      <c r="BK611" t="str">
        <f ca="1">IFERROR(__xludf.DUMMYFUNCTION("""COMPUTED_VALUE"""),"#VALUE!")</f>
        <v>#VALUE!</v>
      </c>
      <c r="BM611" t="str">
        <f ca="1">IFERROR(__xludf.DUMMYFUNCTION("""COMPUTED_VALUE"""),"#VALUE!")</f>
        <v>#VALUE!</v>
      </c>
      <c r="CS611" t="str">
        <f ca="1">IFERROR(__xludf.DUMMYFUNCTION("""COMPUTED_VALUE"""),"#VALUE!")</f>
        <v>#VALUE!</v>
      </c>
      <c r="CU611" t="str">
        <f ca="1">IFERROR(__xludf.DUMMYFUNCTION("""COMPUTED_VALUE"""),"#VALUE!")</f>
        <v>#VALUE!</v>
      </c>
      <c r="CW611" t="str">
        <f ca="1">IFERROR(__xludf.DUMMYFUNCTION("""COMPUTED_VALUE"""),"#VALUE!")</f>
        <v>#VALUE!</v>
      </c>
      <c r="CY611" t="str">
        <f ca="1">IFERROR(__xludf.DUMMYFUNCTION("""COMPUTED_VALUE"""),"#VALUE!")</f>
        <v>#VALUE!</v>
      </c>
      <c r="DC611" t="str">
        <f ca="1">IFERROR(__xludf.DUMMYFUNCTION("""COMPUTED_VALUE"""),"#VALUE!")</f>
        <v>#VALUE!</v>
      </c>
      <c r="DE611" t="str">
        <f ca="1">IFERROR(__xludf.DUMMYFUNCTION("""COMPUTED_VALUE"""),"#VALUE!")</f>
        <v>#VALUE!</v>
      </c>
    </row>
    <row r="612" spans="1:109" ht="13.2" x14ac:dyDescent="0.25">
      <c r="A612" t="str">
        <f ca="1">IFERROR(__xludf.DUMMYFUNCTION("""COMPUTED_VALUE"""),"P0621")</f>
        <v>P0621</v>
      </c>
      <c r="BC612" t="str">
        <f ca="1">IFERROR(__xludf.DUMMYFUNCTION("""COMPUTED_VALUE"""),"#VALUE!")</f>
        <v>#VALUE!</v>
      </c>
      <c r="BE612" t="str">
        <f ca="1">IFERROR(__xludf.DUMMYFUNCTION("""COMPUTED_VALUE"""),"#VALUE!")</f>
        <v>#VALUE!</v>
      </c>
      <c r="BG612" t="str">
        <f ca="1">IFERROR(__xludf.DUMMYFUNCTION("""COMPUTED_VALUE"""),"#VALUE!")</f>
        <v>#VALUE!</v>
      </c>
      <c r="BI612" t="str">
        <f ca="1">IFERROR(__xludf.DUMMYFUNCTION("""COMPUTED_VALUE"""),"#VALUE!")</f>
        <v>#VALUE!</v>
      </c>
      <c r="BK612" t="str">
        <f ca="1">IFERROR(__xludf.DUMMYFUNCTION("""COMPUTED_VALUE"""),"#VALUE!")</f>
        <v>#VALUE!</v>
      </c>
      <c r="BM612" t="str">
        <f ca="1">IFERROR(__xludf.DUMMYFUNCTION("""COMPUTED_VALUE"""),"#VALUE!")</f>
        <v>#VALUE!</v>
      </c>
      <c r="CS612" t="str">
        <f ca="1">IFERROR(__xludf.DUMMYFUNCTION("""COMPUTED_VALUE"""),"#VALUE!")</f>
        <v>#VALUE!</v>
      </c>
      <c r="CU612" t="str">
        <f ca="1">IFERROR(__xludf.DUMMYFUNCTION("""COMPUTED_VALUE"""),"#VALUE!")</f>
        <v>#VALUE!</v>
      </c>
      <c r="CW612" t="str">
        <f ca="1">IFERROR(__xludf.DUMMYFUNCTION("""COMPUTED_VALUE"""),"#VALUE!")</f>
        <v>#VALUE!</v>
      </c>
      <c r="CY612" t="str">
        <f ca="1">IFERROR(__xludf.DUMMYFUNCTION("""COMPUTED_VALUE"""),"#VALUE!")</f>
        <v>#VALUE!</v>
      </c>
      <c r="DC612" t="str">
        <f ca="1">IFERROR(__xludf.DUMMYFUNCTION("""COMPUTED_VALUE"""),"#VALUE!")</f>
        <v>#VALUE!</v>
      </c>
      <c r="DE612" t="str">
        <f ca="1">IFERROR(__xludf.DUMMYFUNCTION("""COMPUTED_VALUE"""),"#VALUE!")</f>
        <v>#VALUE!</v>
      </c>
    </row>
    <row r="613" spans="1:109" ht="13.2" x14ac:dyDescent="0.25">
      <c r="A613" t="str">
        <f ca="1">IFERROR(__xludf.DUMMYFUNCTION("""COMPUTED_VALUE"""),"P0622")</f>
        <v>P0622</v>
      </c>
      <c r="BC613" t="str">
        <f ca="1">IFERROR(__xludf.DUMMYFUNCTION("""COMPUTED_VALUE"""),"#VALUE!")</f>
        <v>#VALUE!</v>
      </c>
      <c r="BE613" t="str">
        <f ca="1">IFERROR(__xludf.DUMMYFUNCTION("""COMPUTED_VALUE"""),"#VALUE!")</f>
        <v>#VALUE!</v>
      </c>
      <c r="BG613" t="str">
        <f ca="1">IFERROR(__xludf.DUMMYFUNCTION("""COMPUTED_VALUE"""),"#VALUE!")</f>
        <v>#VALUE!</v>
      </c>
      <c r="BI613" t="str">
        <f ca="1">IFERROR(__xludf.DUMMYFUNCTION("""COMPUTED_VALUE"""),"#VALUE!")</f>
        <v>#VALUE!</v>
      </c>
      <c r="BK613" t="str">
        <f ca="1">IFERROR(__xludf.DUMMYFUNCTION("""COMPUTED_VALUE"""),"#VALUE!")</f>
        <v>#VALUE!</v>
      </c>
      <c r="BM613" t="str">
        <f ca="1">IFERROR(__xludf.DUMMYFUNCTION("""COMPUTED_VALUE"""),"#VALUE!")</f>
        <v>#VALUE!</v>
      </c>
      <c r="CS613" t="str">
        <f ca="1">IFERROR(__xludf.DUMMYFUNCTION("""COMPUTED_VALUE"""),"#VALUE!")</f>
        <v>#VALUE!</v>
      </c>
      <c r="CU613" t="str">
        <f ca="1">IFERROR(__xludf.DUMMYFUNCTION("""COMPUTED_VALUE"""),"#VALUE!")</f>
        <v>#VALUE!</v>
      </c>
      <c r="CW613" t="str">
        <f ca="1">IFERROR(__xludf.DUMMYFUNCTION("""COMPUTED_VALUE"""),"#VALUE!")</f>
        <v>#VALUE!</v>
      </c>
      <c r="CY613" t="str">
        <f ca="1">IFERROR(__xludf.DUMMYFUNCTION("""COMPUTED_VALUE"""),"#VALUE!")</f>
        <v>#VALUE!</v>
      </c>
      <c r="DC613" t="str">
        <f ca="1">IFERROR(__xludf.DUMMYFUNCTION("""COMPUTED_VALUE"""),"#VALUE!")</f>
        <v>#VALUE!</v>
      </c>
      <c r="DE613" t="str">
        <f ca="1">IFERROR(__xludf.DUMMYFUNCTION("""COMPUTED_VALUE"""),"#VALUE!")</f>
        <v>#VALUE!</v>
      </c>
    </row>
    <row r="614" spans="1:109" ht="13.2" x14ac:dyDescent="0.25">
      <c r="A614" t="str">
        <f ca="1">IFERROR(__xludf.DUMMYFUNCTION("""COMPUTED_VALUE"""),"P0623")</f>
        <v>P0623</v>
      </c>
      <c r="BC614" t="str">
        <f ca="1">IFERROR(__xludf.DUMMYFUNCTION("""COMPUTED_VALUE"""),"#VALUE!")</f>
        <v>#VALUE!</v>
      </c>
      <c r="BE614" t="str">
        <f ca="1">IFERROR(__xludf.DUMMYFUNCTION("""COMPUTED_VALUE"""),"#VALUE!")</f>
        <v>#VALUE!</v>
      </c>
      <c r="BG614" t="str">
        <f ca="1">IFERROR(__xludf.DUMMYFUNCTION("""COMPUTED_VALUE"""),"#VALUE!")</f>
        <v>#VALUE!</v>
      </c>
      <c r="BI614" t="str">
        <f ca="1">IFERROR(__xludf.DUMMYFUNCTION("""COMPUTED_VALUE"""),"#VALUE!")</f>
        <v>#VALUE!</v>
      </c>
      <c r="BK614" t="str">
        <f ca="1">IFERROR(__xludf.DUMMYFUNCTION("""COMPUTED_VALUE"""),"#VALUE!")</f>
        <v>#VALUE!</v>
      </c>
      <c r="BM614" t="str">
        <f ca="1">IFERROR(__xludf.DUMMYFUNCTION("""COMPUTED_VALUE"""),"#VALUE!")</f>
        <v>#VALUE!</v>
      </c>
      <c r="CS614" t="str">
        <f ca="1">IFERROR(__xludf.DUMMYFUNCTION("""COMPUTED_VALUE"""),"#VALUE!")</f>
        <v>#VALUE!</v>
      </c>
      <c r="CU614" t="str">
        <f ca="1">IFERROR(__xludf.DUMMYFUNCTION("""COMPUTED_VALUE"""),"#VALUE!")</f>
        <v>#VALUE!</v>
      </c>
      <c r="CW614" t="str">
        <f ca="1">IFERROR(__xludf.DUMMYFUNCTION("""COMPUTED_VALUE"""),"#VALUE!")</f>
        <v>#VALUE!</v>
      </c>
      <c r="CY614" t="str">
        <f ca="1">IFERROR(__xludf.DUMMYFUNCTION("""COMPUTED_VALUE"""),"#VALUE!")</f>
        <v>#VALUE!</v>
      </c>
      <c r="DC614" t="str">
        <f ca="1">IFERROR(__xludf.DUMMYFUNCTION("""COMPUTED_VALUE"""),"#VALUE!")</f>
        <v>#VALUE!</v>
      </c>
      <c r="DE614" t="str">
        <f ca="1">IFERROR(__xludf.DUMMYFUNCTION("""COMPUTED_VALUE"""),"#VALUE!")</f>
        <v>#VALUE!</v>
      </c>
    </row>
    <row r="615" spans="1:109" ht="13.2" x14ac:dyDescent="0.25">
      <c r="A615" t="str">
        <f ca="1">IFERROR(__xludf.DUMMYFUNCTION("""COMPUTED_VALUE"""),"P0624")</f>
        <v>P0624</v>
      </c>
      <c r="BC615" t="str">
        <f ca="1">IFERROR(__xludf.DUMMYFUNCTION("""COMPUTED_VALUE"""),"#VALUE!")</f>
        <v>#VALUE!</v>
      </c>
      <c r="BE615" t="str">
        <f ca="1">IFERROR(__xludf.DUMMYFUNCTION("""COMPUTED_VALUE"""),"#VALUE!")</f>
        <v>#VALUE!</v>
      </c>
      <c r="BG615" t="str">
        <f ca="1">IFERROR(__xludf.DUMMYFUNCTION("""COMPUTED_VALUE"""),"#VALUE!")</f>
        <v>#VALUE!</v>
      </c>
      <c r="BI615" t="str">
        <f ca="1">IFERROR(__xludf.DUMMYFUNCTION("""COMPUTED_VALUE"""),"#VALUE!")</f>
        <v>#VALUE!</v>
      </c>
      <c r="BK615" t="str">
        <f ca="1">IFERROR(__xludf.DUMMYFUNCTION("""COMPUTED_VALUE"""),"#VALUE!")</f>
        <v>#VALUE!</v>
      </c>
      <c r="BM615" t="str">
        <f ca="1">IFERROR(__xludf.DUMMYFUNCTION("""COMPUTED_VALUE"""),"#VALUE!")</f>
        <v>#VALUE!</v>
      </c>
      <c r="CS615" t="str">
        <f ca="1">IFERROR(__xludf.DUMMYFUNCTION("""COMPUTED_VALUE"""),"#VALUE!")</f>
        <v>#VALUE!</v>
      </c>
      <c r="CU615" t="str">
        <f ca="1">IFERROR(__xludf.DUMMYFUNCTION("""COMPUTED_VALUE"""),"#VALUE!")</f>
        <v>#VALUE!</v>
      </c>
      <c r="CW615" t="str">
        <f ca="1">IFERROR(__xludf.DUMMYFUNCTION("""COMPUTED_VALUE"""),"#VALUE!")</f>
        <v>#VALUE!</v>
      </c>
      <c r="CY615" t="str">
        <f ca="1">IFERROR(__xludf.DUMMYFUNCTION("""COMPUTED_VALUE"""),"#VALUE!")</f>
        <v>#VALUE!</v>
      </c>
      <c r="DC615" t="str">
        <f ca="1">IFERROR(__xludf.DUMMYFUNCTION("""COMPUTED_VALUE"""),"#VALUE!")</f>
        <v>#VALUE!</v>
      </c>
      <c r="DE615" t="str">
        <f ca="1">IFERROR(__xludf.DUMMYFUNCTION("""COMPUTED_VALUE"""),"#VALUE!")</f>
        <v>#VALUE!</v>
      </c>
    </row>
    <row r="616" spans="1:109" ht="13.2" x14ac:dyDescent="0.25">
      <c r="A616" t="str">
        <f ca="1">IFERROR(__xludf.DUMMYFUNCTION("""COMPUTED_VALUE"""),"P0625")</f>
        <v>P0625</v>
      </c>
      <c r="BC616" t="str">
        <f ca="1">IFERROR(__xludf.DUMMYFUNCTION("""COMPUTED_VALUE"""),"#VALUE!")</f>
        <v>#VALUE!</v>
      </c>
      <c r="BE616" t="str">
        <f ca="1">IFERROR(__xludf.DUMMYFUNCTION("""COMPUTED_VALUE"""),"#VALUE!")</f>
        <v>#VALUE!</v>
      </c>
      <c r="BG616" t="str">
        <f ca="1">IFERROR(__xludf.DUMMYFUNCTION("""COMPUTED_VALUE"""),"#VALUE!")</f>
        <v>#VALUE!</v>
      </c>
      <c r="BI616" t="str">
        <f ca="1">IFERROR(__xludf.DUMMYFUNCTION("""COMPUTED_VALUE"""),"#VALUE!")</f>
        <v>#VALUE!</v>
      </c>
      <c r="BK616" t="str">
        <f ca="1">IFERROR(__xludf.DUMMYFUNCTION("""COMPUTED_VALUE"""),"#VALUE!")</f>
        <v>#VALUE!</v>
      </c>
      <c r="BM616" t="str">
        <f ca="1">IFERROR(__xludf.DUMMYFUNCTION("""COMPUTED_VALUE"""),"#VALUE!")</f>
        <v>#VALUE!</v>
      </c>
      <c r="CS616" t="str">
        <f ca="1">IFERROR(__xludf.DUMMYFUNCTION("""COMPUTED_VALUE"""),"#VALUE!")</f>
        <v>#VALUE!</v>
      </c>
      <c r="CU616" t="str">
        <f ca="1">IFERROR(__xludf.DUMMYFUNCTION("""COMPUTED_VALUE"""),"#VALUE!")</f>
        <v>#VALUE!</v>
      </c>
      <c r="CW616" t="str">
        <f ca="1">IFERROR(__xludf.DUMMYFUNCTION("""COMPUTED_VALUE"""),"#VALUE!")</f>
        <v>#VALUE!</v>
      </c>
      <c r="CY616" t="str">
        <f ca="1">IFERROR(__xludf.DUMMYFUNCTION("""COMPUTED_VALUE"""),"#VALUE!")</f>
        <v>#VALUE!</v>
      </c>
      <c r="DC616" t="str">
        <f ca="1">IFERROR(__xludf.DUMMYFUNCTION("""COMPUTED_VALUE"""),"#VALUE!")</f>
        <v>#VALUE!</v>
      </c>
      <c r="DE616" t="str">
        <f ca="1">IFERROR(__xludf.DUMMYFUNCTION("""COMPUTED_VALUE"""),"#VALUE!")</f>
        <v>#VALUE!</v>
      </c>
    </row>
    <row r="617" spans="1:109" ht="13.2" x14ac:dyDescent="0.25">
      <c r="A617" t="str">
        <f ca="1">IFERROR(__xludf.DUMMYFUNCTION("""COMPUTED_VALUE"""),"P0626")</f>
        <v>P0626</v>
      </c>
      <c r="BC617" t="str">
        <f ca="1">IFERROR(__xludf.DUMMYFUNCTION("""COMPUTED_VALUE"""),"#VALUE!")</f>
        <v>#VALUE!</v>
      </c>
      <c r="BE617" t="str">
        <f ca="1">IFERROR(__xludf.DUMMYFUNCTION("""COMPUTED_VALUE"""),"#VALUE!")</f>
        <v>#VALUE!</v>
      </c>
      <c r="BG617" t="str">
        <f ca="1">IFERROR(__xludf.DUMMYFUNCTION("""COMPUTED_VALUE"""),"#VALUE!")</f>
        <v>#VALUE!</v>
      </c>
      <c r="BI617" t="str">
        <f ca="1">IFERROR(__xludf.DUMMYFUNCTION("""COMPUTED_VALUE"""),"#VALUE!")</f>
        <v>#VALUE!</v>
      </c>
      <c r="BK617" t="str">
        <f ca="1">IFERROR(__xludf.DUMMYFUNCTION("""COMPUTED_VALUE"""),"#VALUE!")</f>
        <v>#VALUE!</v>
      </c>
      <c r="BM617" t="str">
        <f ca="1">IFERROR(__xludf.DUMMYFUNCTION("""COMPUTED_VALUE"""),"#VALUE!")</f>
        <v>#VALUE!</v>
      </c>
      <c r="CS617" t="str">
        <f ca="1">IFERROR(__xludf.DUMMYFUNCTION("""COMPUTED_VALUE"""),"#VALUE!")</f>
        <v>#VALUE!</v>
      </c>
      <c r="CU617" t="str">
        <f ca="1">IFERROR(__xludf.DUMMYFUNCTION("""COMPUTED_VALUE"""),"#VALUE!")</f>
        <v>#VALUE!</v>
      </c>
      <c r="CW617" t="str">
        <f ca="1">IFERROR(__xludf.DUMMYFUNCTION("""COMPUTED_VALUE"""),"#VALUE!")</f>
        <v>#VALUE!</v>
      </c>
      <c r="CY617" t="str">
        <f ca="1">IFERROR(__xludf.DUMMYFUNCTION("""COMPUTED_VALUE"""),"#VALUE!")</f>
        <v>#VALUE!</v>
      </c>
      <c r="DC617" t="str">
        <f ca="1">IFERROR(__xludf.DUMMYFUNCTION("""COMPUTED_VALUE"""),"#VALUE!")</f>
        <v>#VALUE!</v>
      </c>
      <c r="DE617" t="str">
        <f ca="1">IFERROR(__xludf.DUMMYFUNCTION("""COMPUTED_VALUE"""),"#VALUE!")</f>
        <v>#VALUE!</v>
      </c>
    </row>
    <row r="618" spans="1:109" ht="13.2" x14ac:dyDescent="0.25">
      <c r="A618" t="str">
        <f ca="1">IFERROR(__xludf.DUMMYFUNCTION("""COMPUTED_VALUE"""),"P0627")</f>
        <v>P0627</v>
      </c>
      <c r="BC618" t="str">
        <f ca="1">IFERROR(__xludf.DUMMYFUNCTION("""COMPUTED_VALUE"""),"#VALUE!")</f>
        <v>#VALUE!</v>
      </c>
      <c r="BE618" t="str">
        <f ca="1">IFERROR(__xludf.DUMMYFUNCTION("""COMPUTED_VALUE"""),"#VALUE!")</f>
        <v>#VALUE!</v>
      </c>
      <c r="BG618" t="str">
        <f ca="1">IFERROR(__xludf.DUMMYFUNCTION("""COMPUTED_VALUE"""),"#VALUE!")</f>
        <v>#VALUE!</v>
      </c>
      <c r="BI618" t="str">
        <f ca="1">IFERROR(__xludf.DUMMYFUNCTION("""COMPUTED_VALUE"""),"#VALUE!")</f>
        <v>#VALUE!</v>
      </c>
      <c r="BK618" t="str">
        <f ca="1">IFERROR(__xludf.DUMMYFUNCTION("""COMPUTED_VALUE"""),"#VALUE!")</f>
        <v>#VALUE!</v>
      </c>
      <c r="BM618" t="str">
        <f ca="1">IFERROR(__xludf.DUMMYFUNCTION("""COMPUTED_VALUE"""),"#VALUE!")</f>
        <v>#VALUE!</v>
      </c>
      <c r="CS618" t="str">
        <f ca="1">IFERROR(__xludf.DUMMYFUNCTION("""COMPUTED_VALUE"""),"#VALUE!")</f>
        <v>#VALUE!</v>
      </c>
      <c r="CU618" t="str">
        <f ca="1">IFERROR(__xludf.DUMMYFUNCTION("""COMPUTED_VALUE"""),"#VALUE!")</f>
        <v>#VALUE!</v>
      </c>
      <c r="CW618" t="str">
        <f ca="1">IFERROR(__xludf.DUMMYFUNCTION("""COMPUTED_VALUE"""),"#VALUE!")</f>
        <v>#VALUE!</v>
      </c>
      <c r="CY618" t="str">
        <f ca="1">IFERROR(__xludf.DUMMYFUNCTION("""COMPUTED_VALUE"""),"#VALUE!")</f>
        <v>#VALUE!</v>
      </c>
      <c r="DC618" t="str">
        <f ca="1">IFERROR(__xludf.DUMMYFUNCTION("""COMPUTED_VALUE"""),"#VALUE!")</f>
        <v>#VALUE!</v>
      </c>
      <c r="DE618" t="str">
        <f ca="1">IFERROR(__xludf.DUMMYFUNCTION("""COMPUTED_VALUE"""),"#VALUE!")</f>
        <v>#VALUE!</v>
      </c>
    </row>
    <row r="619" spans="1:109" ht="13.2" x14ac:dyDescent="0.25">
      <c r="A619" t="str">
        <f ca="1">IFERROR(__xludf.DUMMYFUNCTION("""COMPUTED_VALUE"""),"P0628")</f>
        <v>P0628</v>
      </c>
      <c r="BC619" t="str">
        <f ca="1">IFERROR(__xludf.DUMMYFUNCTION("""COMPUTED_VALUE"""),"#VALUE!")</f>
        <v>#VALUE!</v>
      </c>
      <c r="BE619" t="str">
        <f ca="1">IFERROR(__xludf.DUMMYFUNCTION("""COMPUTED_VALUE"""),"#VALUE!")</f>
        <v>#VALUE!</v>
      </c>
      <c r="BG619" t="str">
        <f ca="1">IFERROR(__xludf.DUMMYFUNCTION("""COMPUTED_VALUE"""),"#VALUE!")</f>
        <v>#VALUE!</v>
      </c>
      <c r="BI619" t="str">
        <f ca="1">IFERROR(__xludf.DUMMYFUNCTION("""COMPUTED_VALUE"""),"#VALUE!")</f>
        <v>#VALUE!</v>
      </c>
      <c r="BK619" t="str">
        <f ca="1">IFERROR(__xludf.DUMMYFUNCTION("""COMPUTED_VALUE"""),"#VALUE!")</f>
        <v>#VALUE!</v>
      </c>
      <c r="BM619" t="str">
        <f ca="1">IFERROR(__xludf.DUMMYFUNCTION("""COMPUTED_VALUE"""),"#VALUE!")</f>
        <v>#VALUE!</v>
      </c>
      <c r="CS619" t="str">
        <f ca="1">IFERROR(__xludf.DUMMYFUNCTION("""COMPUTED_VALUE"""),"#VALUE!")</f>
        <v>#VALUE!</v>
      </c>
      <c r="CU619" t="str">
        <f ca="1">IFERROR(__xludf.DUMMYFUNCTION("""COMPUTED_VALUE"""),"#VALUE!")</f>
        <v>#VALUE!</v>
      </c>
      <c r="CW619" t="str">
        <f ca="1">IFERROR(__xludf.DUMMYFUNCTION("""COMPUTED_VALUE"""),"#VALUE!")</f>
        <v>#VALUE!</v>
      </c>
      <c r="CY619" t="str">
        <f ca="1">IFERROR(__xludf.DUMMYFUNCTION("""COMPUTED_VALUE"""),"#VALUE!")</f>
        <v>#VALUE!</v>
      </c>
      <c r="DC619" t="str">
        <f ca="1">IFERROR(__xludf.DUMMYFUNCTION("""COMPUTED_VALUE"""),"#VALUE!")</f>
        <v>#VALUE!</v>
      </c>
      <c r="DE619" t="str">
        <f ca="1">IFERROR(__xludf.DUMMYFUNCTION("""COMPUTED_VALUE"""),"#VALUE!")</f>
        <v>#VALUE!</v>
      </c>
    </row>
    <row r="620" spans="1:109" ht="13.2" x14ac:dyDescent="0.25">
      <c r="A620" t="str">
        <f ca="1">IFERROR(__xludf.DUMMYFUNCTION("""COMPUTED_VALUE"""),"P0629")</f>
        <v>P0629</v>
      </c>
      <c r="BC620" t="str">
        <f ca="1">IFERROR(__xludf.DUMMYFUNCTION("""COMPUTED_VALUE"""),"#VALUE!")</f>
        <v>#VALUE!</v>
      </c>
      <c r="BE620" t="str">
        <f ca="1">IFERROR(__xludf.DUMMYFUNCTION("""COMPUTED_VALUE"""),"#VALUE!")</f>
        <v>#VALUE!</v>
      </c>
      <c r="BG620" t="str">
        <f ca="1">IFERROR(__xludf.DUMMYFUNCTION("""COMPUTED_VALUE"""),"#VALUE!")</f>
        <v>#VALUE!</v>
      </c>
      <c r="BI620" t="str">
        <f ca="1">IFERROR(__xludf.DUMMYFUNCTION("""COMPUTED_VALUE"""),"#VALUE!")</f>
        <v>#VALUE!</v>
      </c>
      <c r="BK620" t="str">
        <f ca="1">IFERROR(__xludf.DUMMYFUNCTION("""COMPUTED_VALUE"""),"#VALUE!")</f>
        <v>#VALUE!</v>
      </c>
      <c r="BM620" t="str">
        <f ca="1">IFERROR(__xludf.DUMMYFUNCTION("""COMPUTED_VALUE"""),"#VALUE!")</f>
        <v>#VALUE!</v>
      </c>
      <c r="CS620" t="str">
        <f ca="1">IFERROR(__xludf.DUMMYFUNCTION("""COMPUTED_VALUE"""),"#VALUE!")</f>
        <v>#VALUE!</v>
      </c>
      <c r="CU620" t="str">
        <f ca="1">IFERROR(__xludf.DUMMYFUNCTION("""COMPUTED_VALUE"""),"#VALUE!")</f>
        <v>#VALUE!</v>
      </c>
      <c r="CW620" t="str">
        <f ca="1">IFERROR(__xludf.DUMMYFUNCTION("""COMPUTED_VALUE"""),"#VALUE!")</f>
        <v>#VALUE!</v>
      </c>
      <c r="CY620" t="str">
        <f ca="1">IFERROR(__xludf.DUMMYFUNCTION("""COMPUTED_VALUE"""),"#VALUE!")</f>
        <v>#VALUE!</v>
      </c>
      <c r="DC620" t="str">
        <f ca="1">IFERROR(__xludf.DUMMYFUNCTION("""COMPUTED_VALUE"""),"#VALUE!")</f>
        <v>#VALUE!</v>
      </c>
      <c r="DE620" t="str">
        <f ca="1">IFERROR(__xludf.DUMMYFUNCTION("""COMPUTED_VALUE"""),"#VALUE!")</f>
        <v>#VALUE!</v>
      </c>
    </row>
    <row r="621" spans="1:109" ht="13.2" x14ac:dyDescent="0.25">
      <c r="A621" t="str">
        <f ca="1">IFERROR(__xludf.DUMMYFUNCTION("""COMPUTED_VALUE"""),"P0630")</f>
        <v>P0630</v>
      </c>
      <c r="BC621" t="str">
        <f ca="1">IFERROR(__xludf.DUMMYFUNCTION("""COMPUTED_VALUE"""),"#VALUE!")</f>
        <v>#VALUE!</v>
      </c>
      <c r="BE621" t="str">
        <f ca="1">IFERROR(__xludf.DUMMYFUNCTION("""COMPUTED_VALUE"""),"#VALUE!")</f>
        <v>#VALUE!</v>
      </c>
      <c r="BG621" t="str">
        <f ca="1">IFERROR(__xludf.DUMMYFUNCTION("""COMPUTED_VALUE"""),"#VALUE!")</f>
        <v>#VALUE!</v>
      </c>
      <c r="BI621" t="str">
        <f ca="1">IFERROR(__xludf.DUMMYFUNCTION("""COMPUTED_VALUE"""),"#VALUE!")</f>
        <v>#VALUE!</v>
      </c>
      <c r="BK621" t="str">
        <f ca="1">IFERROR(__xludf.DUMMYFUNCTION("""COMPUTED_VALUE"""),"#VALUE!")</f>
        <v>#VALUE!</v>
      </c>
      <c r="BM621" t="str">
        <f ca="1">IFERROR(__xludf.DUMMYFUNCTION("""COMPUTED_VALUE"""),"#VALUE!")</f>
        <v>#VALUE!</v>
      </c>
      <c r="CS621" t="str">
        <f ca="1">IFERROR(__xludf.DUMMYFUNCTION("""COMPUTED_VALUE"""),"#VALUE!")</f>
        <v>#VALUE!</v>
      </c>
      <c r="CU621" t="str">
        <f ca="1">IFERROR(__xludf.DUMMYFUNCTION("""COMPUTED_VALUE"""),"#VALUE!")</f>
        <v>#VALUE!</v>
      </c>
      <c r="CW621" t="str">
        <f ca="1">IFERROR(__xludf.DUMMYFUNCTION("""COMPUTED_VALUE"""),"#VALUE!")</f>
        <v>#VALUE!</v>
      </c>
      <c r="CY621" t="str">
        <f ca="1">IFERROR(__xludf.DUMMYFUNCTION("""COMPUTED_VALUE"""),"#VALUE!")</f>
        <v>#VALUE!</v>
      </c>
      <c r="DC621" t="str">
        <f ca="1">IFERROR(__xludf.DUMMYFUNCTION("""COMPUTED_VALUE"""),"#VALUE!")</f>
        <v>#VALUE!</v>
      </c>
      <c r="DE621" t="str">
        <f ca="1">IFERROR(__xludf.DUMMYFUNCTION("""COMPUTED_VALUE"""),"#VALUE!")</f>
        <v>#VALUE!</v>
      </c>
    </row>
    <row r="622" spans="1:109" ht="13.2" x14ac:dyDescent="0.25">
      <c r="A622" t="str">
        <f ca="1">IFERROR(__xludf.DUMMYFUNCTION("""COMPUTED_VALUE"""),"P0631")</f>
        <v>P0631</v>
      </c>
      <c r="BC622" t="str">
        <f ca="1">IFERROR(__xludf.DUMMYFUNCTION("""COMPUTED_VALUE"""),"#VALUE!")</f>
        <v>#VALUE!</v>
      </c>
      <c r="BE622" t="str">
        <f ca="1">IFERROR(__xludf.DUMMYFUNCTION("""COMPUTED_VALUE"""),"#VALUE!")</f>
        <v>#VALUE!</v>
      </c>
      <c r="BG622" t="str">
        <f ca="1">IFERROR(__xludf.DUMMYFUNCTION("""COMPUTED_VALUE"""),"#VALUE!")</f>
        <v>#VALUE!</v>
      </c>
      <c r="BI622" t="str">
        <f ca="1">IFERROR(__xludf.DUMMYFUNCTION("""COMPUTED_VALUE"""),"#VALUE!")</f>
        <v>#VALUE!</v>
      </c>
      <c r="BK622" t="str">
        <f ca="1">IFERROR(__xludf.DUMMYFUNCTION("""COMPUTED_VALUE"""),"#VALUE!")</f>
        <v>#VALUE!</v>
      </c>
      <c r="BM622" t="str">
        <f ca="1">IFERROR(__xludf.DUMMYFUNCTION("""COMPUTED_VALUE"""),"#VALUE!")</f>
        <v>#VALUE!</v>
      </c>
      <c r="CS622" t="str">
        <f ca="1">IFERROR(__xludf.DUMMYFUNCTION("""COMPUTED_VALUE"""),"#VALUE!")</f>
        <v>#VALUE!</v>
      </c>
      <c r="CU622" t="str">
        <f ca="1">IFERROR(__xludf.DUMMYFUNCTION("""COMPUTED_VALUE"""),"#VALUE!")</f>
        <v>#VALUE!</v>
      </c>
      <c r="CW622" t="str">
        <f ca="1">IFERROR(__xludf.DUMMYFUNCTION("""COMPUTED_VALUE"""),"#VALUE!")</f>
        <v>#VALUE!</v>
      </c>
      <c r="CY622" t="str">
        <f ca="1">IFERROR(__xludf.DUMMYFUNCTION("""COMPUTED_VALUE"""),"#VALUE!")</f>
        <v>#VALUE!</v>
      </c>
      <c r="DC622" t="str">
        <f ca="1">IFERROR(__xludf.DUMMYFUNCTION("""COMPUTED_VALUE"""),"#VALUE!")</f>
        <v>#VALUE!</v>
      </c>
      <c r="DE622" t="str">
        <f ca="1">IFERROR(__xludf.DUMMYFUNCTION("""COMPUTED_VALUE"""),"#VALUE!")</f>
        <v>#VALUE!</v>
      </c>
    </row>
    <row r="623" spans="1:109" ht="13.2" x14ac:dyDescent="0.25">
      <c r="A623" t="str">
        <f ca="1">IFERROR(__xludf.DUMMYFUNCTION("""COMPUTED_VALUE"""),"P0632")</f>
        <v>P0632</v>
      </c>
      <c r="BC623" t="str">
        <f ca="1">IFERROR(__xludf.DUMMYFUNCTION("""COMPUTED_VALUE"""),"#VALUE!")</f>
        <v>#VALUE!</v>
      </c>
      <c r="BE623" t="str">
        <f ca="1">IFERROR(__xludf.DUMMYFUNCTION("""COMPUTED_VALUE"""),"#VALUE!")</f>
        <v>#VALUE!</v>
      </c>
      <c r="BG623" t="str">
        <f ca="1">IFERROR(__xludf.DUMMYFUNCTION("""COMPUTED_VALUE"""),"#VALUE!")</f>
        <v>#VALUE!</v>
      </c>
      <c r="BI623" t="str">
        <f ca="1">IFERROR(__xludf.DUMMYFUNCTION("""COMPUTED_VALUE"""),"#VALUE!")</f>
        <v>#VALUE!</v>
      </c>
      <c r="BK623" t="str">
        <f ca="1">IFERROR(__xludf.DUMMYFUNCTION("""COMPUTED_VALUE"""),"#VALUE!")</f>
        <v>#VALUE!</v>
      </c>
      <c r="BM623" t="str">
        <f ca="1">IFERROR(__xludf.DUMMYFUNCTION("""COMPUTED_VALUE"""),"#VALUE!")</f>
        <v>#VALUE!</v>
      </c>
      <c r="CS623" t="str">
        <f ca="1">IFERROR(__xludf.DUMMYFUNCTION("""COMPUTED_VALUE"""),"#VALUE!")</f>
        <v>#VALUE!</v>
      </c>
      <c r="CU623" t="str">
        <f ca="1">IFERROR(__xludf.DUMMYFUNCTION("""COMPUTED_VALUE"""),"#VALUE!")</f>
        <v>#VALUE!</v>
      </c>
      <c r="CW623" t="str">
        <f ca="1">IFERROR(__xludf.DUMMYFUNCTION("""COMPUTED_VALUE"""),"#VALUE!")</f>
        <v>#VALUE!</v>
      </c>
      <c r="CY623" t="str">
        <f ca="1">IFERROR(__xludf.DUMMYFUNCTION("""COMPUTED_VALUE"""),"#VALUE!")</f>
        <v>#VALUE!</v>
      </c>
      <c r="DC623" t="str">
        <f ca="1">IFERROR(__xludf.DUMMYFUNCTION("""COMPUTED_VALUE"""),"#VALUE!")</f>
        <v>#VALUE!</v>
      </c>
      <c r="DE623" t="str">
        <f ca="1">IFERROR(__xludf.DUMMYFUNCTION("""COMPUTED_VALUE"""),"#VALUE!")</f>
        <v>#VALUE!</v>
      </c>
    </row>
    <row r="624" spans="1:109" ht="13.2" x14ac:dyDescent="0.25">
      <c r="A624" t="str">
        <f ca="1">IFERROR(__xludf.DUMMYFUNCTION("""COMPUTED_VALUE"""),"P0633")</f>
        <v>P0633</v>
      </c>
      <c r="BC624" t="str">
        <f ca="1">IFERROR(__xludf.DUMMYFUNCTION("""COMPUTED_VALUE"""),"#VALUE!")</f>
        <v>#VALUE!</v>
      </c>
      <c r="BE624" t="str">
        <f ca="1">IFERROR(__xludf.DUMMYFUNCTION("""COMPUTED_VALUE"""),"#VALUE!")</f>
        <v>#VALUE!</v>
      </c>
      <c r="BG624" t="str">
        <f ca="1">IFERROR(__xludf.DUMMYFUNCTION("""COMPUTED_VALUE"""),"#VALUE!")</f>
        <v>#VALUE!</v>
      </c>
      <c r="BI624" t="str">
        <f ca="1">IFERROR(__xludf.DUMMYFUNCTION("""COMPUTED_VALUE"""),"#VALUE!")</f>
        <v>#VALUE!</v>
      </c>
      <c r="BK624" t="str">
        <f ca="1">IFERROR(__xludf.DUMMYFUNCTION("""COMPUTED_VALUE"""),"#VALUE!")</f>
        <v>#VALUE!</v>
      </c>
      <c r="BM624" t="str">
        <f ca="1">IFERROR(__xludf.DUMMYFUNCTION("""COMPUTED_VALUE"""),"#VALUE!")</f>
        <v>#VALUE!</v>
      </c>
      <c r="CS624" t="str">
        <f ca="1">IFERROR(__xludf.DUMMYFUNCTION("""COMPUTED_VALUE"""),"#VALUE!")</f>
        <v>#VALUE!</v>
      </c>
      <c r="CU624" t="str">
        <f ca="1">IFERROR(__xludf.DUMMYFUNCTION("""COMPUTED_VALUE"""),"#VALUE!")</f>
        <v>#VALUE!</v>
      </c>
      <c r="CW624" t="str">
        <f ca="1">IFERROR(__xludf.DUMMYFUNCTION("""COMPUTED_VALUE"""),"#VALUE!")</f>
        <v>#VALUE!</v>
      </c>
      <c r="CY624" t="str">
        <f ca="1">IFERROR(__xludf.DUMMYFUNCTION("""COMPUTED_VALUE"""),"#VALUE!")</f>
        <v>#VALUE!</v>
      </c>
      <c r="DC624" t="str">
        <f ca="1">IFERROR(__xludf.DUMMYFUNCTION("""COMPUTED_VALUE"""),"#VALUE!")</f>
        <v>#VALUE!</v>
      </c>
      <c r="DE624" t="str">
        <f ca="1">IFERROR(__xludf.DUMMYFUNCTION("""COMPUTED_VALUE"""),"#VALUE!")</f>
        <v>#VALUE!</v>
      </c>
    </row>
    <row r="625" spans="1:109" ht="13.2" x14ac:dyDescent="0.25">
      <c r="A625" t="str">
        <f ca="1">IFERROR(__xludf.DUMMYFUNCTION("""COMPUTED_VALUE"""),"P0634")</f>
        <v>P0634</v>
      </c>
      <c r="BC625" t="str">
        <f ca="1">IFERROR(__xludf.DUMMYFUNCTION("""COMPUTED_VALUE"""),"#VALUE!")</f>
        <v>#VALUE!</v>
      </c>
      <c r="BE625" t="str">
        <f ca="1">IFERROR(__xludf.DUMMYFUNCTION("""COMPUTED_VALUE"""),"#VALUE!")</f>
        <v>#VALUE!</v>
      </c>
      <c r="BG625" t="str">
        <f ca="1">IFERROR(__xludf.DUMMYFUNCTION("""COMPUTED_VALUE"""),"#VALUE!")</f>
        <v>#VALUE!</v>
      </c>
      <c r="BI625" t="str">
        <f ca="1">IFERROR(__xludf.DUMMYFUNCTION("""COMPUTED_VALUE"""),"#VALUE!")</f>
        <v>#VALUE!</v>
      </c>
      <c r="BK625" t="str">
        <f ca="1">IFERROR(__xludf.DUMMYFUNCTION("""COMPUTED_VALUE"""),"#VALUE!")</f>
        <v>#VALUE!</v>
      </c>
      <c r="BM625" t="str">
        <f ca="1">IFERROR(__xludf.DUMMYFUNCTION("""COMPUTED_VALUE"""),"#VALUE!")</f>
        <v>#VALUE!</v>
      </c>
      <c r="CS625" t="str">
        <f ca="1">IFERROR(__xludf.DUMMYFUNCTION("""COMPUTED_VALUE"""),"#VALUE!")</f>
        <v>#VALUE!</v>
      </c>
      <c r="CU625" t="str">
        <f ca="1">IFERROR(__xludf.DUMMYFUNCTION("""COMPUTED_VALUE"""),"#VALUE!")</f>
        <v>#VALUE!</v>
      </c>
      <c r="CW625" t="str">
        <f ca="1">IFERROR(__xludf.DUMMYFUNCTION("""COMPUTED_VALUE"""),"#VALUE!")</f>
        <v>#VALUE!</v>
      </c>
      <c r="CY625" t="str">
        <f ca="1">IFERROR(__xludf.DUMMYFUNCTION("""COMPUTED_VALUE"""),"#VALUE!")</f>
        <v>#VALUE!</v>
      </c>
      <c r="DC625" t="str">
        <f ca="1">IFERROR(__xludf.DUMMYFUNCTION("""COMPUTED_VALUE"""),"#VALUE!")</f>
        <v>#VALUE!</v>
      </c>
      <c r="DE625" t="str">
        <f ca="1">IFERROR(__xludf.DUMMYFUNCTION("""COMPUTED_VALUE"""),"#VALUE!")</f>
        <v>#VALUE!</v>
      </c>
    </row>
    <row r="626" spans="1:109" ht="13.2" x14ac:dyDescent="0.25">
      <c r="A626" t="str">
        <f ca="1">IFERROR(__xludf.DUMMYFUNCTION("""COMPUTED_VALUE"""),"P0635")</f>
        <v>P0635</v>
      </c>
      <c r="BC626" t="str">
        <f ca="1">IFERROR(__xludf.DUMMYFUNCTION("""COMPUTED_VALUE"""),"#VALUE!")</f>
        <v>#VALUE!</v>
      </c>
      <c r="BE626" t="str">
        <f ca="1">IFERROR(__xludf.DUMMYFUNCTION("""COMPUTED_VALUE"""),"#VALUE!")</f>
        <v>#VALUE!</v>
      </c>
      <c r="BG626" t="str">
        <f ca="1">IFERROR(__xludf.DUMMYFUNCTION("""COMPUTED_VALUE"""),"#VALUE!")</f>
        <v>#VALUE!</v>
      </c>
      <c r="BI626" t="str">
        <f ca="1">IFERROR(__xludf.DUMMYFUNCTION("""COMPUTED_VALUE"""),"#VALUE!")</f>
        <v>#VALUE!</v>
      </c>
      <c r="BK626" t="str">
        <f ca="1">IFERROR(__xludf.DUMMYFUNCTION("""COMPUTED_VALUE"""),"#VALUE!")</f>
        <v>#VALUE!</v>
      </c>
      <c r="BM626" t="str">
        <f ca="1">IFERROR(__xludf.DUMMYFUNCTION("""COMPUTED_VALUE"""),"#VALUE!")</f>
        <v>#VALUE!</v>
      </c>
      <c r="CS626" t="str">
        <f ca="1">IFERROR(__xludf.DUMMYFUNCTION("""COMPUTED_VALUE"""),"#VALUE!")</f>
        <v>#VALUE!</v>
      </c>
      <c r="CU626" t="str">
        <f ca="1">IFERROR(__xludf.DUMMYFUNCTION("""COMPUTED_VALUE"""),"#VALUE!")</f>
        <v>#VALUE!</v>
      </c>
      <c r="CW626" t="str">
        <f ca="1">IFERROR(__xludf.DUMMYFUNCTION("""COMPUTED_VALUE"""),"#VALUE!")</f>
        <v>#VALUE!</v>
      </c>
      <c r="CY626" t="str">
        <f ca="1">IFERROR(__xludf.DUMMYFUNCTION("""COMPUTED_VALUE"""),"#VALUE!")</f>
        <v>#VALUE!</v>
      </c>
      <c r="DC626" t="str">
        <f ca="1">IFERROR(__xludf.DUMMYFUNCTION("""COMPUTED_VALUE"""),"#VALUE!")</f>
        <v>#VALUE!</v>
      </c>
      <c r="DE626" t="str">
        <f ca="1">IFERROR(__xludf.DUMMYFUNCTION("""COMPUTED_VALUE"""),"#VALUE!")</f>
        <v>#VALUE!</v>
      </c>
    </row>
    <row r="627" spans="1:109" ht="13.2" x14ac:dyDescent="0.25">
      <c r="A627" t="str">
        <f ca="1">IFERROR(__xludf.DUMMYFUNCTION("""COMPUTED_VALUE"""),"P0636")</f>
        <v>P0636</v>
      </c>
      <c r="BC627" t="str">
        <f ca="1">IFERROR(__xludf.DUMMYFUNCTION("""COMPUTED_VALUE"""),"#VALUE!")</f>
        <v>#VALUE!</v>
      </c>
      <c r="BE627" t="str">
        <f ca="1">IFERROR(__xludf.DUMMYFUNCTION("""COMPUTED_VALUE"""),"#VALUE!")</f>
        <v>#VALUE!</v>
      </c>
      <c r="BG627" t="str">
        <f ca="1">IFERROR(__xludf.DUMMYFUNCTION("""COMPUTED_VALUE"""),"#VALUE!")</f>
        <v>#VALUE!</v>
      </c>
      <c r="BI627" t="str">
        <f ca="1">IFERROR(__xludf.DUMMYFUNCTION("""COMPUTED_VALUE"""),"#VALUE!")</f>
        <v>#VALUE!</v>
      </c>
      <c r="BK627" t="str">
        <f ca="1">IFERROR(__xludf.DUMMYFUNCTION("""COMPUTED_VALUE"""),"#VALUE!")</f>
        <v>#VALUE!</v>
      </c>
      <c r="BM627" t="str">
        <f ca="1">IFERROR(__xludf.DUMMYFUNCTION("""COMPUTED_VALUE"""),"#VALUE!")</f>
        <v>#VALUE!</v>
      </c>
      <c r="CS627" t="str">
        <f ca="1">IFERROR(__xludf.DUMMYFUNCTION("""COMPUTED_VALUE"""),"#VALUE!")</f>
        <v>#VALUE!</v>
      </c>
      <c r="CU627" t="str">
        <f ca="1">IFERROR(__xludf.DUMMYFUNCTION("""COMPUTED_VALUE"""),"#VALUE!")</f>
        <v>#VALUE!</v>
      </c>
      <c r="CW627" t="str">
        <f ca="1">IFERROR(__xludf.DUMMYFUNCTION("""COMPUTED_VALUE"""),"#VALUE!")</f>
        <v>#VALUE!</v>
      </c>
      <c r="CY627" t="str">
        <f ca="1">IFERROR(__xludf.DUMMYFUNCTION("""COMPUTED_VALUE"""),"#VALUE!")</f>
        <v>#VALUE!</v>
      </c>
      <c r="DC627" t="str">
        <f ca="1">IFERROR(__xludf.DUMMYFUNCTION("""COMPUTED_VALUE"""),"#VALUE!")</f>
        <v>#VALUE!</v>
      </c>
      <c r="DE627" t="str">
        <f ca="1">IFERROR(__xludf.DUMMYFUNCTION("""COMPUTED_VALUE"""),"#VALUE!")</f>
        <v>#VALUE!</v>
      </c>
    </row>
    <row r="628" spans="1:109" ht="13.2" x14ac:dyDescent="0.25">
      <c r="A628" t="str">
        <f ca="1">IFERROR(__xludf.DUMMYFUNCTION("""COMPUTED_VALUE"""),"P0637")</f>
        <v>P0637</v>
      </c>
      <c r="BC628" t="str">
        <f ca="1">IFERROR(__xludf.DUMMYFUNCTION("""COMPUTED_VALUE"""),"#VALUE!")</f>
        <v>#VALUE!</v>
      </c>
      <c r="BE628" t="str">
        <f ca="1">IFERROR(__xludf.DUMMYFUNCTION("""COMPUTED_VALUE"""),"#VALUE!")</f>
        <v>#VALUE!</v>
      </c>
      <c r="BG628" t="str">
        <f ca="1">IFERROR(__xludf.DUMMYFUNCTION("""COMPUTED_VALUE"""),"#VALUE!")</f>
        <v>#VALUE!</v>
      </c>
      <c r="BI628" t="str">
        <f ca="1">IFERROR(__xludf.DUMMYFUNCTION("""COMPUTED_VALUE"""),"#VALUE!")</f>
        <v>#VALUE!</v>
      </c>
      <c r="BK628" t="str">
        <f ca="1">IFERROR(__xludf.DUMMYFUNCTION("""COMPUTED_VALUE"""),"#VALUE!")</f>
        <v>#VALUE!</v>
      </c>
      <c r="BM628" t="str">
        <f ca="1">IFERROR(__xludf.DUMMYFUNCTION("""COMPUTED_VALUE"""),"#VALUE!")</f>
        <v>#VALUE!</v>
      </c>
      <c r="CS628" t="str">
        <f ca="1">IFERROR(__xludf.DUMMYFUNCTION("""COMPUTED_VALUE"""),"#VALUE!")</f>
        <v>#VALUE!</v>
      </c>
      <c r="CU628" t="str">
        <f ca="1">IFERROR(__xludf.DUMMYFUNCTION("""COMPUTED_VALUE"""),"#VALUE!")</f>
        <v>#VALUE!</v>
      </c>
      <c r="CW628" t="str">
        <f ca="1">IFERROR(__xludf.DUMMYFUNCTION("""COMPUTED_VALUE"""),"#VALUE!")</f>
        <v>#VALUE!</v>
      </c>
      <c r="CY628" t="str">
        <f ca="1">IFERROR(__xludf.DUMMYFUNCTION("""COMPUTED_VALUE"""),"#VALUE!")</f>
        <v>#VALUE!</v>
      </c>
      <c r="DC628" t="str">
        <f ca="1">IFERROR(__xludf.DUMMYFUNCTION("""COMPUTED_VALUE"""),"#VALUE!")</f>
        <v>#VALUE!</v>
      </c>
      <c r="DE628" t="str">
        <f ca="1">IFERROR(__xludf.DUMMYFUNCTION("""COMPUTED_VALUE"""),"#VALUE!")</f>
        <v>#VALUE!</v>
      </c>
    </row>
    <row r="629" spans="1:109" ht="13.2" x14ac:dyDescent="0.25">
      <c r="A629" t="str">
        <f ca="1">IFERROR(__xludf.DUMMYFUNCTION("""COMPUTED_VALUE"""),"P0638")</f>
        <v>P0638</v>
      </c>
      <c r="BC629" t="str">
        <f ca="1">IFERROR(__xludf.DUMMYFUNCTION("""COMPUTED_VALUE"""),"#VALUE!")</f>
        <v>#VALUE!</v>
      </c>
      <c r="BE629" t="str">
        <f ca="1">IFERROR(__xludf.DUMMYFUNCTION("""COMPUTED_VALUE"""),"#VALUE!")</f>
        <v>#VALUE!</v>
      </c>
      <c r="BG629" t="str">
        <f ca="1">IFERROR(__xludf.DUMMYFUNCTION("""COMPUTED_VALUE"""),"#VALUE!")</f>
        <v>#VALUE!</v>
      </c>
      <c r="BI629" t="str">
        <f ca="1">IFERROR(__xludf.DUMMYFUNCTION("""COMPUTED_VALUE"""),"#VALUE!")</f>
        <v>#VALUE!</v>
      </c>
      <c r="BK629" t="str">
        <f ca="1">IFERROR(__xludf.DUMMYFUNCTION("""COMPUTED_VALUE"""),"#VALUE!")</f>
        <v>#VALUE!</v>
      </c>
      <c r="BM629" t="str">
        <f ca="1">IFERROR(__xludf.DUMMYFUNCTION("""COMPUTED_VALUE"""),"#VALUE!")</f>
        <v>#VALUE!</v>
      </c>
      <c r="CS629" t="str">
        <f ca="1">IFERROR(__xludf.DUMMYFUNCTION("""COMPUTED_VALUE"""),"#VALUE!")</f>
        <v>#VALUE!</v>
      </c>
      <c r="CU629" t="str">
        <f ca="1">IFERROR(__xludf.DUMMYFUNCTION("""COMPUTED_VALUE"""),"#VALUE!")</f>
        <v>#VALUE!</v>
      </c>
      <c r="CW629" t="str">
        <f ca="1">IFERROR(__xludf.DUMMYFUNCTION("""COMPUTED_VALUE"""),"#VALUE!")</f>
        <v>#VALUE!</v>
      </c>
      <c r="CY629" t="str">
        <f ca="1">IFERROR(__xludf.DUMMYFUNCTION("""COMPUTED_VALUE"""),"#VALUE!")</f>
        <v>#VALUE!</v>
      </c>
      <c r="DC629" t="str">
        <f ca="1">IFERROR(__xludf.DUMMYFUNCTION("""COMPUTED_VALUE"""),"#VALUE!")</f>
        <v>#VALUE!</v>
      </c>
      <c r="DE629" t="str">
        <f ca="1">IFERROR(__xludf.DUMMYFUNCTION("""COMPUTED_VALUE"""),"#VALUE!")</f>
        <v>#VALUE!</v>
      </c>
    </row>
    <row r="630" spans="1:109" ht="13.2" x14ac:dyDescent="0.25">
      <c r="A630" t="str">
        <f ca="1">IFERROR(__xludf.DUMMYFUNCTION("""COMPUTED_VALUE"""),"P0639")</f>
        <v>P0639</v>
      </c>
      <c r="BC630" t="str">
        <f ca="1">IFERROR(__xludf.DUMMYFUNCTION("""COMPUTED_VALUE"""),"#VALUE!")</f>
        <v>#VALUE!</v>
      </c>
      <c r="BE630" t="str">
        <f ca="1">IFERROR(__xludf.DUMMYFUNCTION("""COMPUTED_VALUE"""),"#VALUE!")</f>
        <v>#VALUE!</v>
      </c>
      <c r="BG630" t="str">
        <f ca="1">IFERROR(__xludf.DUMMYFUNCTION("""COMPUTED_VALUE"""),"#VALUE!")</f>
        <v>#VALUE!</v>
      </c>
      <c r="BI630" t="str">
        <f ca="1">IFERROR(__xludf.DUMMYFUNCTION("""COMPUTED_VALUE"""),"#VALUE!")</f>
        <v>#VALUE!</v>
      </c>
      <c r="BK630" t="str">
        <f ca="1">IFERROR(__xludf.DUMMYFUNCTION("""COMPUTED_VALUE"""),"#VALUE!")</f>
        <v>#VALUE!</v>
      </c>
      <c r="BM630" t="str">
        <f ca="1">IFERROR(__xludf.DUMMYFUNCTION("""COMPUTED_VALUE"""),"#VALUE!")</f>
        <v>#VALUE!</v>
      </c>
      <c r="CS630" t="str">
        <f ca="1">IFERROR(__xludf.DUMMYFUNCTION("""COMPUTED_VALUE"""),"#VALUE!")</f>
        <v>#VALUE!</v>
      </c>
      <c r="CU630" t="str">
        <f ca="1">IFERROR(__xludf.DUMMYFUNCTION("""COMPUTED_VALUE"""),"#VALUE!")</f>
        <v>#VALUE!</v>
      </c>
      <c r="CW630" t="str">
        <f ca="1">IFERROR(__xludf.DUMMYFUNCTION("""COMPUTED_VALUE"""),"#VALUE!")</f>
        <v>#VALUE!</v>
      </c>
      <c r="CY630" t="str">
        <f ca="1">IFERROR(__xludf.DUMMYFUNCTION("""COMPUTED_VALUE"""),"#VALUE!")</f>
        <v>#VALUE!</v>
      </c>
      <c r="DC630" t="str">
        <f ca="1">IFERROR(__xludf.DUMMYFUNCTION("""COMPUTED_VALUE"""),"#VALUE!")</f>
        <v>#VALUE!</v>
      </c>
      <c r="DE630" t="str">
        <f ca="1">IFERROR(__xludf.DUMMYFUNCTION("""COMPUTED_VALUE"""),"#VALUE!")</f>
        <v>#VALUE!</v>
      </c>
    </row>
    <row r="631" spans="1:109" ht="13.2" x14ac:dyDescent="0.25">
      <c r="A631" t="str">
        <f ca="1">IFERROR(__xludf.DUMMYFUNCTION("""COMPUTED_VALUE"""),"P0640")</f>
        <v>P0640</v>
      </c>
      <c r="BC631" t="str">
        <f ca="1">IFERROR(__xludf.DUMMYFUNCTION("""COMPUTED_VALUE"""),"#VALUE!")</f>
        <v>#VALUE!</v>
      </c>
      <c r="BE631" t="str">
        <f ca="1">IFERROR(__xludf.DUMMYFUNCTION("""COMPUTED_VALUE"""),"#VALUE!")</f>
        <v>#VALUE!</v>
      </c>
      <c r="BG631" t="str">
        <f ca="1">IFERROR(__xludf.DUMMYFUNCTION("""COMPUTED_VALUE"""),"#VALUE!")</f>
        <v>#VALUE!</v>
      </c>
      <c r="BI631" t="str">
        <f ca="1">IFERROR(__xludf.DUMMYFUNCTION("""COMPUTED_VALUE"""),"#VALUE!")</f>
        <v>#VALUE!</v>
      </c>
      <c r="BK631" t="str">
        <f ca="1">IFERROR(__xludf.DUMMYFUNCTION("""COMPUTED_VALUE"""),"#VALUE!")</f>
        <v>#VALUE!</v>
      </c>
      <c r="BM631" t="str">
        <f ca="1">IFERROR(__xludf.DUMMYFUNCTION("""COMPUTED_VALUE"""),"#VALUE!")</f>
        <v>#VALUE!</v>
      </c>
      <c r="CS631" t="str">
        <f ca="1">IFERROR(__xludf.DUMMYFUNCTION("""COMPUTED_VALUE"""),"#VALUE!")</f>
        <v>#VALUE!</v>
      </c>
      <c r="CU631" t="str">
        <f ca="1">IFERROR(__xludf.DUMMYFUNCTION("""COMPUTED_VALUE"""),"#VALUE!")</f>
        <v>#VALUE!</v>
      </c>
      <c r="CW631" t="str">
        <f ca="1">IFERROR(__xludf.DUMMYFUNCTION("""COMPUTED_VALUE"""),"#VALUE!")</f>
        <v>#VALUE!</v>
      </c>
      <c r="CY631" t="str">
        <f ca="1">IFERROR(__xludf.DUMMYFUNCTION("""COMPUTED_VALUE"""),"#VALUE!")</f>
        <v>#VALUE!</v>
      </c>
      <c r="DC631" t="str">
        <f ca="1">IFERROR(__xludf.DUMMYFUNCTION("""COMPUTED_VALUE"""),"#VALUE!")</f>
        <v>#VALUE!</v>
      </c>
      <c r="DE631" t="str">
        <f ca="1">IFERROR(__xludf.DUMMYFUNCTION("""COMPUTED_VALUE"""),"#VALUE!")</f>
        <v>#VALUE!</v>
      </c>
    </row>
    <row r="632" spans="1:109" ht="13.2" x14ac:dyDescent="0.25">
      <c r="A632" t="str">
        <f ca="1">IFERROR(__xludf.DUMMYFUNCTION("""COMPUTED_VALUE"""),"P0641")</f>
        <v>P0641</v>
      </c>
      <c r="BC632" t="str">
        <f ca="1">IFERROR(__xludf.DUMMYFUNCTION("""COMPUTED_VALUE"""),"#VALUE!")</f>
        <v>#VALUE!</v>
      </c>
      <c r="BE632" t="str">
        <f ca="1">IFERROR(__xludf.DUMMYFUNCTION("""COMPUTED_VALUE"""),"#VALUE!")</f>
        <v>#VALUE!</v>
      </c>
      <c r="BG632" t="str">
        <f ca="1">IFERROR(__xludf.DUMMYFUNCTION("""COMPUTED_VALUE"""),"#VALUE!")</f>
        <v>#VALUE!</v>
      </c>
      <c r="BI632" t="str">
        <f ca="1">IFERROR(__xludf.DUMMYFUNCTION("""COMPUTED_VALUE"""),"#VALUE!")</f>
        <v>#VALUE!</v>
      </c>
      <c r="BK632" t="str">
        <f ca="1">IFERROR(__xludf.DUMMYFUNCTION("""COMPUTED_VALUE"""),"#VALUE!")</f>
        <v>#VALUE!</v>
      </c>
      <c r="BM632" t="str">
        <f ca="1">IFERROR(__xludf.DUMMYFUNCTION("""COMPUTED_VALUE"""),"#VALUE!")</f>
        <v>#VALUE!</v>
      </c>
      <c r="CS632" t="str">
        <f ca="1">IFERROR(__xludf.DUMMYFUNCTION("""COMPUTED_VALUE"""),"#VALUE!")</f>
        <v>#VALUE!</v>
      </c>
      <c r="CU632" t="str">
        <f ca="1">IFERROR(__xludf.DUMMYFUNCTION("""COMPUTED_VALUE"""),"#VALUE!")</f>
        <v>#VALUE!</v>
      </c>
      <c r="CW632" t="str">
        <f ca="1">IFERROR(__xludf.DUMMYFUNCTION("""COMPUTED_VALUE"""),"#VALUE!")</f>
        <v>#VALUE!</v>
      </c>
      <c r="CY632" t="str">
        <f ca="1">IFERROR(__xludf.DUMMYFUNCTION("""COMPUTED_VALUE"""),"#VALUE!")</f>
        <v>#VALUE!</v>
      </c>
      <c r="DC632" t="str">
        <f ca="1">IFERROR(__xludf.DUMMYFUNCTION("""COMPUTED_VALUE"""),"#VALUE!")</f>
        <v>#VALUE!</v>
      </c>
      <c r="DE632" t="str">
        <f ca="1">IFERROR(__xludf.DUMMYFUNCTION("""COMPUTED_VALUE"""),"#VALUE!")</f>
        <v>#VALUE!</v>
      </c>
    </row>
    <row r="633" spans="1:109" ht="13.2" x14ac:dyDescent="0.25">
      <c r="A633" t="str">
        <f ca="1">IFERROR(__xludf.DUMMYFUNCTION("""COMPUTED_VALUE"""),"P0642")</f>
        <v>P0642</v>
      </c>
      <c r="BC633" t="str">
        <f ca="1">IFERROR(__xludf.DUMMYFUNCTION("""COMPUTED_VALUE"""),"#VALUE!")</f>
        <v>#VALUE!</v>
      </c>
      <c r="BE633" t="str">
        <f ca="1">IFERROR(__xludf.DUMMYFUNCTION("""COMPUTED_VALUE"""),"#VALUE!")</f>
        <v>#VALUE!</v>
      </c>
      <c r="BG633" t="str">
        <f ca="1">IFERROR(__xludf.DUMMYFUNCTION("""COMPUTED_VALUE"""),"#VALUE!")</f>
        <v>#VALUE!</v>
      </c>
      <c r="BI633" t="str">
        <f ca="1">IFERROR(__xludf.DUMMYFUNCTION("""COMPUTED_VALUE"""),"#VALUE!")</f>
        <v>#VALUE!</v>
      </c>
      <c r="BK633" t="str">
        <f ca="1">IFERROR(__xludf.DUMMYFUNCTION("""COMPUTED_VALUE"""),"#VALUE!")</f>
        <v>#VALUE!</v>
      </c>
      <c r="BM633" t="str">
        <f ca="1">IFERROR(__xludf.DUMMYFUNCTION("""COMPUTED_VALUE"""),"#VALUE!")</f>
        <v>#VALUE!</v>
      </c>
      <c r="CS633" t="str">
        <f ca="1">IFERROR(__xludf.DUMMYFUNCTION("""COMPUTED_VALUE"""),"#VALUE!")</f>
        <v>#VALUE!</v>
      </c>
      <c r="CU633" t="str">
        <f ca="1">IFERROR(__xludf.DUMMYFUNCTION("""COMPUTED_VALUE"""),"#VALUE!")</f>
        <v>#VALUE!</v>
      </c>
      <c r="CW633" t="str">
        <f ca="1">IFERROR(__xludf.DUMMYFUNCTION("""COMPUTED_VALUE"""),"#VALUE!")</f>
        <v>#VALUE!</v>
      </c>
      <c r="CY633" t="str">
        <f ca="1">IFERROR(__xludf.DUMMYFUNCTION("""COMPUTED_VALUE"""),"#VALUE!")</f>
        <v>#VALUE!</v>
      </c>
      <c r="DC633" t="str">
        <f ca="1">IFERROR(__xludf.DUMMYFUNCTION("""COMPUTED_VALUE"""),"#VALUE!")</f>
        <v>#VALUE!</v>
      </c>
      <c r="DE633" t="str">
        <f ca="1">IFERROR(__xludf.DUMMYFUNCTION("""COMPUTED_VALUE"""),"#VALUE!")</f>
        <v>#VALUE!</v>
      </c>
    </row>
    <row r="634" spans="1:109" ht="13.2" x14ac:dyDescent="0.25">
      <c r="A634" t="str">
        <f ca="1">IFERROR(__xludf.DUMMYFUNCTION("""COMPUTED_VALUE"""),"P0643")</f>
        <v>P0643</v>
      </c>
      <c r="BC634" t="str">
        <f ca="1">IFERROR(__xludf.DUMMYFUNCTION("""COMPUTED_VALUE"""),"#VALUE!")</f>
        <v>#VALUE!</v>
      </c>
      <c r="BE634" t="str">
        <f ca="1">IFERROR(__xludf.DUMMYFUNCTION("""COMPUTED_VALUE"""),"#VALUE!")</f>
        <v>#VALUE!</v>
      </c>
      <c r="BG634" t="str">
        <f ca="1">IFERROR(__xludf.DUMMYFUNCTION("""COMPUTED_VALUE"""),"#VALUE!")</f>
        <v>#VALUE!</v>
      </c>
      <c r="BI634" t="str">
        <f ca="1">IFERROR(__xludf.DUMMYFUNCTION("""COMPUTED_VALUE"""),"#VALUE!")</f>
        <v>#VALUE!</v>
      </c>
      <c r="BK634" t="str">
        <f ca="1">IFERROR(__xludf.DUMMYFUNCTION("""COMPUTED_VALUE"""),"#VALUE!")</f>
        <v>#VALUE!</v>
      </c>
      <c r="BM634" t="str">
        <f ca="1">IFERROR(__xludf.DUMMYFUNCTION("""COMPUTED_VALUE"""),"#VALUE!")</f>
        <v>#VALUE!</v>
      </c>
      <c r="CS634" t="str">
        <f ca="1">IFERROR(__xludf.DUMMYFUNCTION("""COMPUTED_VALUE"""),"#VALUE!")</f>
        <v>#VALUE!</v>
      </c>
      <c r="CU634" t="str">
        <f ca="1">IFERROR(__xludf.DUMMYFUNCTION("""COMPUTED_VALUE"""),"#VALUE!")</f>
        <v>#VALUE!</v>
      </c>
      <c r="CW634" t="str">
        <f ca="1">IFERROR(__xludf.DUMMYFUNCTION("""COMPUTED_VALUE"""),"#VALUE!")</f>
        <v>#VALUE!</v>
      </c>
      <c r="CY634" t="str">
        <f ca="1">IFERROR(__xludf.DUMMYFUNCTION("""COMPUTED_VALUE"""),"#VALUE!")</f>
        <v>#VALUE!</v>
      </c>
      <c r="DC634" t="str">
        <f ca="1">IFERROR(__xludf.DUMMYFUNCTION("""COMPUTED_VALUE"""),"#VALUE!")</f>
        <v>#VALUE!</v>
      </c>
      <c r="DE634" t="str">
        <f ca="1">IFERROR(__xludf.DUMMYFUNCTION("""COMPUTED_VALUE"""),"#VALUE!")</f>
        <v>#VALUE!</v>
      </c>
    </row>
    <row r="635" spans="1:109" ht="13.2" x14ac:dyDescent="0.25">
      <c r="A635" t="str">
        <f ca="1">IFERROR(__xludf.DUMMYFUNCTION("""COMPUTED_VALUE"""),"P0644")</f>
        <v>P0644</v>
      </c>
      <c r="BC635" t="str">
        <f ca="1">IFERROR(__xludf.DUMMYFUNCTION("""COMPUTED_VALUE"""),"#VALUE!")</f>
        <v>#VALUE!</v>
      </c>
      <c r="BE635" t="str">
        <f ca="1">IFERROR(__xludf.DUMMYFUNCTION("""COMPUTED_VALUE"""),"#VALUE!")</f>
        <v>#VALUE!</v>
      </c>
      <c r="BG635" t="str">
        <f ca="1">IFERROR(__xludf.DUMMYFUNCTION("""COMPUTED_VALUE"""),"#VALUE!")</f>
        <v>#VALUE!</v>
      </c>
      <c r="BI635" t="str">
        <f ca="1">IFERROR(__xludf.DUMMYFUNCTION("""COMPUTED_VALUE"""),"#VALUE!")</f>
        <v>#VALUE!</v>
      </c>
      <c r="BK635" t="str">
        <f ca="1">IFERROR(__xludf.DUMMYFUNCTION("""COMPUTED_VALUE"""),"#VALUE!")</f>
        <v>#VALUE!</v>
      </c>
      <c r="BM635" t="str">
        <f ca="1">IFERROR(__xludf.DUMMYFUNCTION("""COMPUTED_VALUE"""),"#VALUE!")</f>
        <v>#VALUE!</v>
      </c>
      <c r="CS635" t="str">
        <f ca="1">IFERROR(__xludf.DUMMYFUNCTION("""COMPUTED_VALUE"""),"#VALUE!")</f>
        <v>#VALUE!</v>
      </c>
      <c r="CU635" t="str">
        <f ca="1">IFERROR(__xludf.DUMMYFUNCTION("""COMPUTED_VALUE"""),"#VALUE!")</f>
        <v>#VALUE!</v>
      </c>
      <c r="CW635" t="str">
        <f ca="1">IFERROR(__xludf.DUMMYFUNCTION("""COMPUTED_VALUE"""),"#VALUE!")</f>
        <v>#VALUE!</v>
      </c>
      <c r="CY635" t="str">
        <f ca="1">IFERROR(__xludf.DUMMYFUNCTION("""COMPUTED_VALUE"""),"#VALUE!")</f>
        <v>#VALUE!</v>
      </c>
      <c r="DC635" t="str">
        <f ca="1">IFERROR(__xludf.DUMMYFUNCTION("""COMPUTED_VALUE"""),"#VALUE!")</f>
        <v>#VALUE!</v>
      </c>
      <c r="DE635" t="str">
        <f ca="1">IFERROR(__xludf.DUMMYFUNCTION("""COMPUTED_VALUE"""),"#VALUE!")</f>
        <v>#VALUE!</v>
      </c>
    </row>
    <row r="636" spans="1:109" ht="13.2" x14ac:dyDescent="0.25">
      <c r="A636" t="str">
        <f ca="1">IFERROR(__xludf.DUMMYFUNCTION("""COMPUTED_VALUE"""),"P0645")</f>
        <v>P0645</v>
      </c>
      <c r="BC636" t="str">
        <f ca="1">IFERROR(__xludf.DUMMYFUNCTION("""COMPUTED_VALUE"""),"#VALUE!")</f>
        <v>#VALUE!</v>
      </c>
      <c r="BE636" t="str">
        <f ca="1">IFERROR(__xludf.DUMMYFUNCTION("""COMPUTED_VALUE"""),"#VALUE!")</f>
        <v>#VALUE!</v>
      </c>
      <c r="BG636" t="str">
        <f ca="1">IFERROR(__xludf.DUMMYFUNCTION("""COMPUTED_VALUE"""),"#VALUE!")</f>
        <v>#VALUE!</v>
      </c>
      <c r="BI636" t="str">
        <f ca="1">IFERROR(__xludf.DUMMYFUNCTION("""COMPUTED_VALUE"""),"#VALUE!")</f>
        <v>#VALUE!</v>
      </c>
      <c r="BK636" t="str">
        <f ca="1">IFERROR(__xludf.DUMMYFUNCTION("""COMPUTED_VALUE"""),"#VALUE!")</f>
        <v>#VALUE!</v>
      </c>
      <c r="BM636" t="str">
        <f ca="1">IFERROR(__xludf.DUMMYFUNCTION("""COMPUTED_VALUE"""),"#VALUE!")</f>
        <v>#VALUE!</v>
      </c>
      <c r="CS636" t="str">
        <f ca="1">IFERROR(__xludf.DUMMYFUNCTION("""COMPUTED_VALUE"""),"#VALUE!")</f>
        <v>#VALUE!</v>
      </c>
      <c r="CU636" t="str">
        <f ca="1">IFERROR(__xludf.DUMMYFUNCTION("""COMPUTED_VALUE"""),"#VALUE!")</f>
        <v>#VALUE!</v>
      </c>
      <c r="CW636" t="str">
        <f ca="1">IFERROR(__xludf.DUMMYFUNCTION("""COMPUTED_VALUE"""),"#VALUE!")</f>
        <v>#VALUE!</v>
      </c>
      <c r="CY636" t="str">
        <f ca="1">IFERROR(__xludf.DUMMYFUNCTION("""COMPUTED_VALUE"""),"#VALUE!")</f>
        <v>#VALUE!</v>
      </c>
      <c r="DC636" t="str">
        <f ca="1">IFERROR(__xludf.DUMMYFUNCTION("""COMPUTED_VALUE"""),"#VALUE!")</f>
        <v>#VALUE!</v>
      </c>
      <c r="DE636" t="str">
        <f ca="1">IFERROR(__xludf.DUMMYFUNCTION("""COMPUTED_VALUE"""),"#VALUE!")</f>
        <v>#VALUE!</v>
      </c>
    </row>
    <row r="637" spans="1:109" ht="13.2" x14ac:dyDescent="0.25">
      <c r="A637" t="str">
        <f ca="1">IFERROR(__xludf.DUMMYFUNCTION("""COMPUTED_VALUE"""),"P0646")</f>
        <v>P0646</v>
      </c>
      <c r="BC637" t="str">
        <f ca="1">IFERROR(__xludf.DUMMYFUNCTION("""COMPUTED_VALUE"""),"#VALUE!")</f>
        <v>#VALUE!</v>
      </c>
      <c r="BE637" t="str">
        <f ca="1">IFERROR(__xludf.DUMMYFUNCTION("""COMPUTED_VALUE"""),"#VALUE!")</f>
        <v>#VALUE!</v>
      </c>
      <c r="BG637" t="str">
        <f ca="1">IFERROR(__xludf.DUMMYFUNCTION("""COMPUTED_VALUE"""),"#VALUE!")</f>
        <v>#VALUE!</v>
      </c>
      <c r="BI637" t="str">
        <f ca="1">IFERROR(__xludf.DUMMYFUNCTION("""COMPUTED_VALUE"""),"#VALUE!")</f>
        <v>#VALUE!</v>
      </c>
      <c r="BK637" t="str">
        <f ca="1">IFERROR(__xludf.DUMMYFUNCTION("""COMPUTED_VALUE"""),"#VALUE!")</f>
        <v>#VALUE!</v>
      </c>
      <c r="BM637" t="str">
        <f ca="1">IFERROR(__xludf.DUMMYFUNCTION("""COMPUTED_VALUE"""),"#VALUE!")</f>
        <v>#VALUE!</v>
      </c>
      <c r="CS637" t="str">
        <f ca="1">IFERROR(__xludf.DUMMYFUNCTION("""COMPUTED_VALUE"""),"#VALUE!")</f>
        <v>#VALUE!</v>
      </c>
      <c r="CU637" t="str">
        <f ca="1">IFERROR(__xludf.DUMMYFUNCTION("""COMPUTED_VALUE"""),"#VALUE!")</f>
        <v>#VALUE!</v>
      </c>
      <c r="CW637" t="str">
        <f ca="1">IFERROR(__xludf.DUMMYFUNCTION("""COMPUTED_VALUE"""),"#VALUE!")</f>
        <v>#VALUE!</v>
      </c>
      <c r="CY637" t="str">
        <f ca="1">IFERROR(__xludf.DUMMYFUNCTION("""COMPUTED_VALUE"""),"#VALUE!")</f>
        <v>#VALUE!</v>
      </c>
      <c r="DC637" t="str">
        <f ca="1">IFERROR(__xludf.DUMMYFUNCTION("""COMPUTED_VALUE"""),"#VALUE!")</f>
        <v>#VALUE!</v>
      </c>
      <c r="DE637" t="str">
        <f ca="1">IFERROR(__xludf.DUMMYFUNCTION("""COMPUTED_VALUE"""),"#VALUE!")</f>
        <v>#VALUE!</v>
      </c>
    </row>
    <row r="638" spans="1:109" ht="13.2" x14ac:dyDescent="0.25">
      <c r="A638" t="str">
        <f ca="1">IFERROR(__xludf.DUMMYFUNCTION("""COMPUTED_VALUE"""),"P0647")</f>
        <v>P0647</v>
      </c>
      <c r="BC638" t="str">
        <f ca="1">IFERROR(__xludf.DUMMYFUNCTION("""COMPUTED_VALUE"""),"#VALUE!")</f>
        <v>#VALUE!</v>
      </c>
      <c r="BE638" t="str">
        <f ca="1">IFERROR(__xludf.DUMMYFUNCTION("""COMPUTED_VALUE"""),"#VALUE!")</f>
        <v>#VALUE!</v>
      </c>
      <c r="BG638" t="str">
        <f ca="1">IFERROR(__xludf.DUMMYFUNCTION("""COMPUTED_VALUE"""),"#VALUE!")</f>
        <v>#VALUE!</v>
      </c>
      <c r="BI638" t="str">
        <f ca="1">IFERROR(__xludf.DUMMYFUNCTION("""COMPUTED_VALUE"""),"#VALUE!")</f>
        <v>#VALUE!</v>
      </c>
      <c r="BK638" t="str">
        <f ca="1">IFERROR(__xludf.DUMMYFUNCTION("""COMPUTED_VALUE"""),"#VALUE!")</f>
        <v>#VALUE!</v>
      </c>
      <c r="BM638" t="str">
        <f ca="1">IFERROR(__xludf.DUMMYFUNCTION("""COMPUTED_VALUE"""),"#VALUE!")</f>
        <v>#VALUE!</v>
      </c>
      <c r="CS638" t="str">
        <f ca="1">IFERROR(__xludf.DUMMYFUNCTION("""COMPUTED_VALUE"""),"#VALUE!")</f>
        <v>#VALUE!</v>
      </c>
      <c r="CU638" t="str">
        <f ca="1">IFERROR(__xludf.DUMMYFUNCTION("""COMPUTED_VALUE"""),"#VALUE!")</f>
        <v>#VALUE!</v>
      </c>
      <c r="CW638" t="str">
        <f ca="1">IFERROR(__xludf.DUMMYFUNCTION("""COMPUTED_VALUE"""),"#VALUE!")</f>
        <v>#VALUE!</v>
      </c>
      <c r="CY638" t="str">
        <f ca="1">IFERROR(__xludf.DUMMYFUNCTION("""COMPUTED_VALUE"""),"#VALUE!")</f>
        <v>#VALUE!</v>
      </c>
      <c r="DC638" t="str">
        <f ca="1">IFERROR(__xludf.DUMMYFUNCTION("""COMPUTED_VALUE"""),"#VALUE!")</f>
        <v>#VALUE!</v>
      </c>
      <c r="DE638" t="str">
        <f ca="1">IFERROR(__xludf.DUMMYFUNCTION("""COMPUTED_VALUE"""),"#VALUE!")</f>
        <v>#VALUE!</v>
      </c>
    </row>
    <row r="639" spans="1:109" ht="13.2" x14ac:dyDescent="0.25">
      <c r="A639" t="str">
        <f ca="1">IFERROR(__xludf.DUMMYFUNCTION("""COMPUTED_VALUE"""),"P0648")</f>
        <v>P0648</v>
      </c>
      <c r="BC639" t="str">
        <f ca="1">IFERROR(__xludf.DUMMYFUNCTION("""COMPUTED_VALUE"""),"#VALUE!")</f>
        <v>#VALUE!</v>
      </c>
      <c r="BE639" t="str">
        <f ca="1">IFERROR(__xludf.DUMMYFUNCTION("""COMPUTED_VALUE"""),"#VALUE!")</f>
        <v>#VALUE!</v>
      </c>
      <c r="BG639" t="str">
        <f ca="1">IFERROR(__xludf.DUMMYFUNCTION("""COMPUTED_VALUE"""),"#VALUE!")</f>
        <v>#VALUE!</v>
      </c>
      <c r="BI639" t="str">
        <f ca="1">IFERROR(__xludf.DUMMYFUNCTION("""COMPUTED_VALUE"""),"#VALUE!")</f>
        <v>#VALUE!</v>
      </c>
      <c r="BK639" t="str">
        <f ca="1">IFERROR(__xludf.DUMMYFUNCTION("""COMPUTED_VALUE"""),"#VALUE!")</f>
        <v>#VALUE!</v>
      </c>
      <c r="BM639" t="str">
        <f ca="1">IFERROR(__xludf.DUMMYFUNCTION("""COMPUTED_VALUE"""),"#VALUE!")</f>
        <v>#VALUE!</v>
      </c>
      <c r="CS639" t="str">
        <f ca="1">IFERROR(__xludf.DUMMYFUNCTION("""COMPUTED_VALUE"""),"#VALUE!")</f>
        <v>#VALUE!</v>
      </c>
      <c r="CU639" t="str">
        <f ca="1">IFERROR(__xludf.DUMMYFUNCTION("""COMPUTED_VALUE"""),"#VALUE!")</f>
        <v>#VALUE!</v>
      </c>
      <c r="CW639" t="str">
        <f ca="1">IFERROR(__xludf.DUMMYFUNCTION("""COMPUTED_VALUE"""),"#VALUE!")</f>
        <v>#VALUE!</v>
      </c>
      <c r="CY639" t="str">
        <f ca="1">IFERROR(__xludf.DUMMYFUNCTION("""COMPUTED_VALUE"""),"#VALUE!")</f>
        <v>#VALUE!</v>
      </c>
      <c r="DC639" t="str">
        <f ca="1">IFERROR(__xludf.DUMMYFUNCTION("""COMPUTED_VALUE"""),"#VALUE!")</f>
        <v>#VALUE!</v>
      </c>
      <c r="DE639" t="str">
        <f ca="1">IFERROR(__xludf.DUMMYFUNCTION("""COMPUTED_VALUE"""),"#VALUE!")</f>
        <v>#VALUE!</v>
      </c>
    </row>
    <row r="640" spans="1:109" ht="13.2" x14ac:dyDescent="0.25">
      <c r="A640" t="str">
        <f ca="1">IFERROR(__xludf.DUMMYFUNCTION("""COMPUTED_VALUE"""),"P0649")</f>
        <v>P0649</v>
      </c>
      <c r="BC640" t="str">
        <f ca="1">IFERROR(__xludf.DUMMYFUNCTION("""COMPUTED_VALUE"""),"#VALUE!")</f>
        <v>#VALUE!</v>
      </c>
      <c r="BE640" t="str">
        <f ca="1">IFERROR(__xludf.DUMMYFUNCTION("""COMPUTED_VALUE"""),"#VALUE!")</f>
        <v>#VALUE!</v>
      </c>
      <c r="BG640" t="str">
        <f ca="1">IFERROR(__xludf.DUMMYFUNCTION("""COMPUTED_VALUE"""),"#VALUE!")</f>
        <v>#VALUE!</v>
      </c>
      <c r="BI640" t="str">
        <f ca="1">IFERROR(__xludf.DUMMYFUNCTION("""COMPUTED_VALUE"""),"#VALUE!")</f>
        <v>#VALUE!</v>
      </c>
      <c r="BK640" t="str">
        <f ca="1">IFERROR(__xludf.DUMMYFUNCTION("""COMPUTED_VALUE"""),"#VALUE!")</f>
        <v>#VALUE!</v>
      </c>
      <c r="BM640" t="str">
        <f ca="1">IFERROR(__xludf.DUMMYFUNCTION("""COMPUTED_VALUE"""),"#VALUE!")</f>
        <v>#VALUE!</v>
      </c>
      <c r="CS640" t="str">
        <f ca="1">IFERROR(__xludf.DUMMYFUNCTION("""COMPUTED_VALUE"""),"#VALUE!")</f>
        <v>#VALUE!</v>
      </c>
      <c r="CU640" t="str">
        <f ca="1">IFERROR(__xludf.DUMMYFUNCTION("""COMPUTED_VALUE"""),"#VALUE!")</f>
        <v>#VALUE!</v>
      </c>
      <c r="CW640" t="str">
        <f ca="1">IFERROR(__xludf.DUMMYFUNCTION("""COMPUTED_VALUE"""),"#VALUE!")</f>
        <v>#VALUE!</v>
      </c>
      <c r="CY640" t="str">
        <f ca="1">IFERROR(__xludf.DUMMYFUNCTION("""COMPUTED_VALUE"""),"#VALUE!")</f>
        <v>#VALUE!</v>
      </c>
      <c r="DC640" t="str">
        <f ca="1">IFERROR(__xludf.DUMMYFUNCTION("""COMPUTED_VALUE"""),"#VALUE!")</f>
        <v>#VALUE!</v>
      </c>
      <c r="DE640" t="str">
        <f ca="1">IFERROR(__xludf.DUMMYFUNCTION("""COMPUTED_VALUE"""),"#VALUE!")</f>
        <v>#VALUE!</v>
      </c>
    </row>
    <row r="641" spans="1:109" ht="13.2" x14ac:dyDescent="0.25">
      <c r="A641" t="str">
        <f ca="1">IFERROR(__xludf.DUMMYFUNCTION("""COMPUTED_VALUE"""),"P0650")</f>
        <v>P0650</v>
      </c>
      <c r="BC641" t="str">
        <f ca="1">IFERROR(__xludf.DUMMYFUNCTION("""COMPUTED_VALUE"""),"#VALUE!")</f>
        <v>#VALUE!</v>
      </c>
      <c r="BE641" t="str">
        <f ca="1">IFERROR(__xludf.DUMMYFUNCTION("""COMPUTED_VALUE"""),"#VALUE!")</f>
        <v>#VALUE!</v>
      </c>
      <c r="BG641" t="str">
        <f ca="1">IFERROR(__xludf.DUMMYFUNCTION("""COMPUTED_VALUE"""),"#VALUE!")</f>
        <v>#VALUE!</v>
      </c>
      <c r="BI641" t="str">
        <f ca="1">IFERROR(__xludf.DUMMYFUNCTION("""COMPUTED_VALUE"""),"#VALUE!")</f>
        <v>#VALUE!</v>
      </c>
      <c r="BK641" t="str">
        <f ca="1">IFERROR(__xludf.DUMMYFUNCTION("""COMPUTED_VALUE"""),"#VALUE!")</f>
        <v>#VALUE!</v>
      </c>
      <c r="BM641" t="str">
        <f ca="1">IFERROR(__xludf.DUMMYFUNCTION("""COMPUTED_VALUE"""),"#VALUE!")</f>
        <v>#VALUE!</v>
      </c>
      <c r="CS641" t="str">
        <f ca="1">IFERROR(__xludf.DUMMYFUNCTION("""COMPUTED_VALUE"""),"#VALUE!")</f>
        <v>#VALUE!</v>
      </c>
      <c r="CU641" t="str">
        <f ca="1">IFERROR(__xludf.DUMMYFUNCTION("""COMPUTED_VALUE"""),"#VALUE!")</f>
        <v>#VALUE!</v>
      </c>
      <c r="CW641" t="str">
        <f ca="1">IFERROR(__xludf.DUMMYFUNCTION("""COMPUTED_VALUE"""),"#VALUE!")</f>
        <v>#VALUE!</v>
      </c>
      <c r="CY641" t="str">
        <f ca="1">IFERROR(__xludf.DUMMYFUNCTION("""COMPUTED_VALUE"""),"#VALUE!")</f>
        <v>#VALUE!</v>
      </c>
      <c r="DC641" t="str">
        <f ca="1">IFERROR(__xludf.DUMMYFUNCTION("""COMPUTED_VALUE"""),"#VALUE!")</f>
        <v>#VALUE!</v>
      </c>
      <c r="DE641" t="str">
        <f ca="1">IFERROR(__xludf.DUMMYFUNCTION("""COMPUTED_VALUE"""),"#VALUE!")</f>
        <v>#VALUE!</v>
      </c>
    </row>
    <row r="642" spans="1:109" ht="13.2" x14ac:dyDescent="0.25">
      <c r="A642" t="str">
        <f ca="1">IFERROR(__xludf.DUMMYFUNCTION("""COMPUTED_VALUE"""),"P0651")</f>
        <v>P0651</v>
      </c>
      <c r="BC642" t="str">
        <f ca="1">IFERROR(__xludf.DUMMYFUNCTION("""COMPUTED_VALUE"""),"#VALUE!")</f>
        <v>#VALUE!</v>
      </c>
      <c r="BE642" t="str">
        <f ca="1">IFERROR(__xludf.DUMMYFUNCTION("""COMPUTED_VALUE"""),"#VALUE!")</f>
        <v>#VALUE!</v>
      </c>
      <c r="BG642" t="str">
        <f ca="1">IFERROR(__xludf.DUMMYFUNCTION("""COMPUTED_VALUE"""),"#VALUE!")</f>
        <v>#VALUE!</v>
      </c>
      <c r="BI642" t="str">
        <f ca="1">IFERROR(__xludf.DUMMYFUNCTION("""COMPUTED_VALUE"""),"#VALUE!")</f>
        <v>#VALUE!</v>
      </c>
      <c r="BK642" t="str">
        <f ca="1">IFERROR(__xludf.DUMMYFUNCTION("""COMPUTED_VALUE"""),"#VALUE!")</f>
        <v>#VALUE!</v>
      </c>
      <c r="BM642" t="str">
        <f ca="1">IFERROR(__xludf.DUMMYFUNCTION("""COMPUTED_VALUE"""),"#VALUE!")</f>
        <v>#VALUE!</v>
      </c>
      <c r="CS642" t="str">
        <f ca="1">IFERROR(__xludf.DUMMYFUNCTION("""COMPUTED_VALUE"""),"#VALUE!")</f>
        <v>#VALUE!</v>
      </c>
      <c r="CU642" t="str">
        <f ca="1">IFERROR(__xludf.DUMMYFUNCTION("""COMPUTED_VALUE"""),"#VALUE!")</f>
        <v>#VALUE!</v>
      </c>
      <c r="CW642" t="str">
        <f ca="1">IFERROR(__xludf.DUMMYFUNCTION("""COMPUTED_VALUE"""),"#VALUE!")</f>
        <v>#VALUE!</v>
      </c>
      <c r="CY642" t="str">
        <f ca="1">IFERROR(__xludf.DUMMYFUNCTION("""COMPUTED_VALUE"""),"#VALUE!")</f>
        <v>#VALUE!</v>
      </c>
      <c r="DC642" t="str">
        <f ca="1">IFERROR(__xludf.DUMMYFUNCTION("""COMPUTED_VALUE"""),"#VALUE!")</f>
        <v>#VALUE!</v>
      </c>
      <c r="DE642" t="str">
        <f ca="1">IFERROR(__xludf.DUMMYFUNCTION("""COMPUTED_VALUE"""),"#VALUE!")</f>
        <v>#VALUE!</v>
      </c>
    </row>
    <row r="643" spans="1:109" ht="13.2" x14ac:dyDescent="0.25">
      <c r="A643" t="str">
        <f ca="1">IFERROR(__xludf.DUMMYFUNCTION("""COMPUTED_VALUE"""),"P0652")</f>
        <v>P0652</v>
      </c>
      <c r="BC643" t="str">
        <f ca="1">IFERROR(__xludf.DUMMYFUNCTION("""COMPUTED_VALUE"""),"#VALUE!")</f>
        <v>#VALUE!</v>
      </c>
      <c r="BE643" t="str">
        <f ca="1">IFERROR(__xludf.DUMMYFUNCTION("""COMPUTED_VALUE"""),"#VALUE!")</f>
        <v>#VALUE!</v>
      </c>
      <c r="BG643" t="str">
        <f ca="1">IFERROR(__xludf.DUMMYFUNCTION("""COMPUTED_VALUE"""),"#VALUE!")</f>
        <v>#VALUE!</v>
      </c>
      <c r="BI643" t="str">
        <f ca="1">IFERROR(__xludf.DUMMYFUNCTION("""COMPUTED_VALUE"""),"#VALUE!")</f>
        <v>#VALUE!</v>
      </c>
      <c r="BK643" t="str">
        <f ca="1">IFERROR(__xludf.DUMMYFUNCTION("""COMPUTED_VALUE"""),"#VALUE!")</f>
        <v>#VALUE!</v>
      </c>
      <c r="BM643" t="str">
        <f ca="1">IFERROR(__xludf.DUMMYFUNCTION("""COMPUTED_VALUE"""),"#VALUE!")</f>
        <v>#VALUE!</v>
      </c>
      <c r="CS643" t="str">
        <f ca="1">IFERROR(__xludf.DUMMYFUNCTION("""COMPUTED_VALUE"""),"#VALUE!")</f>
        <v>#VALUE!</v>
      </c>
      <c r="CU643" t="str">
        <f ca="1">IFERROR(__xludf.DUMMYFUNCTION("""COMPUTED_VALUE"""),"#VALUE!")</f>
        <v>#VALUE!</v>
      </c>
      <c r="CW643" t="str">
        <f ca="1">IFERROR(__xludf.DUMMYFUNCTION("""COMPUTED_VALUE"""),"#VALUE!")</f>
        <v>#VALUE!</v>
      </c>
      <c r="CY643" t="str">
        <f ca="1">IFERROR(__xludf.DUMMYFUNCTION("""COMPUTED_VALUE"""),"#VALUE!")</f>
        <v>#VALUE!</v>
      </c>
      <c r="DC643" t="str">
        <f ca="1">IFERROR(__xludf.DUMMYFUNCTION("""COMPUTED_VALUE"""),"#VALUE!")</f>
        <v>#VALUE!</v>
      </c>
      <c r="DE643" t="str">
        <f ca="1">IFERROR(__xludf.DUMMYFUNCTION("""COMPUTED_VALUE"""),"#VALUE!")</f>
        <v>#VALUE!</v>
      </c>
    </row>
    <row r="644" spans="1:109" ht="13.2" x14ac:dyDescent="0.25">
      <c r="A644" t="str">
        <f ca="1">IFERROR(__xludf.DUMMYFUNCTION("""COMPUTED_VALUE"""),"P0653")</f>
        <v>P0653</v>
      </c>
      <c r="BC644" t="str">
        <f ca="1">IFERROR(__xludf.DUMMYFUNCTION("""COMPUTED_VALUE"""),"#VALUE!")</f>
        <v>#VALUE!</v>
      </c>
      <c r="BE644" t="str">
        <f ca="1">IFERROR(__xludf.DUMMYFUNCTION("""COMPUTED_VALUE"""),"#VALUE!")</f>
        <v>#VALUE!</v>
      </c>
      <c r="BG644" t="str">
        <f ca="1">IFERROR(__xludf.DUMMYFUNCTION("""COMPUTED_VALUE"""),"#VALUE!")</f>
        <v>#VALUE!</v>
      </c>
      <c r="BI644" t="str">
        <f ca="1">IFERROR(__xludf.DUMMYFUNCTION("""COMPUTED_VALUE"""),"#VALUE!")</f>
        <v>#VALUE!</v>
      </c>
      <c r="BK644" t="str">
        <f ca="1">IFERROR(__xludf.DUMMYFUNCTION("""COMPUTED_VALUE"""),"#VALUE!")</f>
        <v>#VALUE!</v>
      </c>
      <c r="BM644" t="str">
        <f ca="1">IFERROR(__xludf.DUMMYFUNCTION("""COMPUTED_VALUE"""),"#VALUE!")</f>
        <v>#VALUE!</v>
      </c>
      <c r="CS644" t="str">
        <f ca="1">IFERROR(__xludf.DUMMYFUNCTION("""COMPUTED_VALUE"""),"#VALUE!")</f>
        <v>#VALUE!</v>
      </c>
      <c r="CU644" t="str">
        <f ca="1">IFERROR(__xludf.DUMMYFUNCTION("""COMPUTED_VALUE"""),"#VALUE!")</f>
        <v>#VALUE!</v>
      </c>
      <c r="CW644" t="str">
        <f ca="1">IFERROR(__xludf.DUMMYFUNCTION("""COMPUTED_VALUE"""),"#VALUE!")</f>
        <v>#VALUE!</v>
      </c>
      <c r="CY644" t="str">
        <f ca="1">IFERROR(__xludf.DUMMYFUNCTION("""COMPUTED_VALUE"""),"#VALUE!")</f>
        <v>#VALUE!</v>
      </c>
      <c r="DC644" t="str">
        <f ca="1">IFERROR(__xludf.DUMMYFUNCTION("""COMPUTED_VALUE"""),"#VALUE!")</f>
        <v>#VALUE!</v>
      </c>
      <c r="DE644" t="str">
        <f ca="1">IFERROR(__xludf.DUMMYFUNCTION("""COMPUTED_VALUE"""),"#VALUE!")</f>
        <v>#VALUE!</v>
      </c>
    </row>
    <row r="645" spans="1:109" ht="13.2" x14ac:dyDescent="0.25">
      <c r="A645" t="str">
        <f ca="1">IFERROR(__xludf.DUMMYFUNCTION("""COMPUTED_VALUE"""),"P0654")</f>
        <v>P0654</v>
      </c>
      <c r="BC645" t="str">
        <f ca="1">IFERROR(__xludf.DUMMYFUNCTION("""COMPUTED_VALUE"""),"#VALUE!")</f>
        <v>#VALUE!</v>
      </c>
      <c r="BE645" t="str">
        <f ca="1">IFERROR(__xludf.DUMMYFUNCTION("""COMPUTED_VALUE"""),"#VALUE!")</f>
        <v>#VALUE!</v>
      </c>
      <c r="BG645" t="str">
        <f ca="1">IFERROR(__xludf.DUMMYFUNCTION("""COMPUTED_VALUE"""),"#VALUE!")</f>
        <v>#VALUE!</v>
      </c>
      <c r="BI645" t="str">
        <f ca="1">IFERROR(__xludf.DUMMYFUNCTION("""COMPUTED_VALUE"""),"#VALUE!")</f>
        <v>#VALUE!</v>
      </c>
      <c r="BK645" t="str">
        <f ca="1">IFERROR(__xludf.DUMMYFUNCTION("""COMPUTED_VALUE"""),"#VALUE!")</f>
        <v>#VALUE!</v>
      </c>
      <c r="BM645" t="str">
        <f ca="1">IFERROR(__xludf.DUMMYFUNCTION("""COMPUTED_VALUE"""),"#VALUE!")</f>
        <v>#VALUE!</v>
      </c>
      <c r="CS645" t="str">
        <f ca="1">IFERROR(__xludf.DUMMYFUNCTION("""COMPUTED_VALUE"""),"#VALUE!")</f>
        <v>#VALUE!</v>
      </c>
      <c r="CU645" t="str">
        <f ca="1">IFERROR(__xludf.DUMMYFUNCTION("""COMPUTED_VALUE"""),"#VALUE!")</f>
        <v>#VALUE!</v>
      </c>
      <c r="CW645" t="str">
        <f ca="1">IFERROR(__xludf.DUMMYFUNCTION("""COMPUTED_VALUE"""),"#VALUE!")</f>
        <v>#VALUE!</v>
      </c>
      <c r="CY645" t="str">
        <f ca="1">IFERROR(__xludf.DUMMYFUNCTION("""COMPUTED_VALUE"""),"#VALUE!")</f>
        <v>#VALUE!</v>
      </c>
      <c r="DC645" t="str">
        <f ca="1">IFERROR(__xludf.DUMMYFUNCTION("""COMPUTED_VALUE"""),"#VALUE!")</f>
        <v>#VALUE!</v>
      </c>
      <c r="DE645" t="str">
        <f ca="1">IFERROR(__xludf.DUMMYFUNCTION("""COMPUTED_VALUE"""),"#VALUE!")</f>
        <v>#VALUE!</v>
      </c>
    </row>
    <row r="646" spans="1:109" ht="13.2" x14ac:dyDescent="0.25">
      <c r="A646" t="str">
        <f ca="1">IFERROR(__xludf.DUMMYFUNCTION("""COMPUTED_VALUE"""),"P0655")</f>
        <v>P0655</v>
      </c>
      <c r="BC646" t="str">
        <f ca="1">IFERROR(__xludf.DUMMYFUNCTION("""COMPUTED_VALUE"""),"#VALUE!")</f>
        <v>#VALUE!</v>
      </c>
      <c r="BE646" t="str">
        <f ca="1">IFERROR(__xludf.DUMMYFUNCTION("""COMPUTED_VALUE"""),"#VALUE!")</f>
        <v>#VALUE!</v>
      </c>
      <c r="BG646" t="str">
        <f ca="1">IFERROR(__xludf.DUMMYFUNCTION("""COMPUTED_VALUE"""),"#VALUE!")</f>
        <v>#VALUE!</v>
      </c>
      <c r="BI646" t="str">
        <f ca="1">IFERROR(__xludf.DUMMYFUNCTION("""COMPUTED_VALUE"""),"#VALUE!")</f>
        <v>#VALUE!</v>
      </c>
      <c r="BK646" t="str">
        <f ca="1">IFERROR(__xludf.DUMMYFUNCTION("""COMPUTED_VALUE"""),"#VALUE!")</f>
        <v>#VALUE!</v>
      </c>
      <c r="BM646" t="str">
        <f ca="1">IFERROR(__xludf.DUMMYFUNCTION("""COMPUTED_VALUE"""),"#VALUE!")</f>
        <v>#VALUE!</v>
      </c>
      <c r="CS646" t="str">
        <f ca="1">IFERROR(__xludf.DUMMYFUNCTION("""COMPUTED_VALUE"""),"#VALUE!")</f>
        <v>#VALUE!</v>
      </c>
      <c r="CU646" t="str">
        <f ca="1">IFERROR(__xludf.DUMMYFUNCTION("""COMPUTED_VALUE"""),"#VALUE!")</f>
        <v>#VALUE!</v>
      </c>
      <c r="CW646" t="str">
        <f ca="1">IFERROR(__xludf.DUMMYFUNCTION("""COMPUTED_VALUE"""),"#VALUE!")</f>
        <v>#VALUE!</v>
      </c>
      <c r="CY646" t="str">
        <f ca="1">IFERROR(__xludf.DUMMYFUNCTION("""COMPUTED_VALUE"""),"#VALUE!")</f>
        <v>#VALUE!</v>
      </c>
      <c r="DC646" t="str">
        <f ca="1">IFERROR(__xludf.DUMMYFUNCTION("""COMPUTED_VALUE"""),"#VALUE!")</f>
        <v>#VALUE!</v>
      </c>
      <c r="DE646" t="str">
        <f ca="1">IFERROR(__xludf.DUMMYFUNCTION("""COMPUTED_VALUE"""),"#VALUE!")</f>
        <v>#VALUE!</v>
      </c>
    </row>
    <row r="647" spans="1:109" ht="13.2" x14ac:dyDescent="0.25">
      <c r="A647" t="str">
        <f ca="1">IFERROR(__xludf.DUMMYFUNCTION("""COMPUTED_VALUE"""),"P0656")</f>
        <v>P0656</v>
      </c>
      <c r="BC647" t="str">
        <f ca="1">IFERROR(__xludf.DUMMYFUNCTION("""COMPUTED_VALUE"""),"#VALUE!")</f>
        <v>#VALUE!</v>
      </c>
      <c r="BE647" t="str">
        <f ca="1">IFERROR(__xludf.DUMMYFUNCTION("""COMPUTED_VALUE"""),"#VALUE!")</f>
        <v>#VALUE!</v>
      </c>
      <c r="BG647" t="str">
        <f ca="1">IFERROR(__xludf.DUMMYFUNCTION("""COMPUTED_VALUE"""),"#VALUE!")</f>
        <v>#VALUE!</v>
      </c>
      <c r="BI647" t="str">
        <f ca="1">IFERROR(__xludf.DUMMYFUNCTION("""COMPUTED_VALUE"""),"#VALUE!")</f>
        <v>#VALUE!</v>
      </c>
      <c r="BK647" t="str">
        <f ca="1">IFERROR(__xludf.DUMMYFUNCTION("""COMPUTED_VALUE"""),"#VALUE!")</f>
        <v>#VALUE!</v>
      </c>
      <c r="BM647" t="str">
        <f ca="1">IFERROR(__xludf.DUMMYFUNCTION("""COMPUTED_VALUE"""),"#VALUE!")</f>
        <v>#VALUE!</v>
      </c>
      <c r="CS647" t="str">
        <f ca="1">IFERROR(__xludf.DUMMYFUNCTION("""COMPUTED_VALUE"""),"#VALUE!")</f>
        <v>#VALUE!</v>
      </c>
      <c r="CU647" t="str">
        <f ca="1">IFERROR(__xludf.DUMMYFUNCTION("""COMPUTED_VALUE"""),"#VALUE!")</f>
        <v>#VALUE!</v>
      </c>
      <c r="CW647" t="str">
        <f ca="1">IFERROR(__xludf.DUMMYFUNCTION("""COMPUTED_VALUE"""),"#VALUE!")</f>
        <v>#VALUE!</v>
      </c>
      <c r="CY647" t="str">
        <f ca="1">IFERROR(__xludf.DUMMYFUNCTION("""COMPUTED_VALUE"""),"#VALUE!")</f>
        <v>#VALUE!</v>
      </c>
      <c r="DC647" t="str">
        <f ca="1">IFERROR(__xludf.DUMMYFUNCTION("""COMPUTED_VALUE"""),"#VALUE!")</f>
        <v>#VALUE!</v>
      </c>
      <c r="DE647" t="str">
        <f ca="1">IFERROR(__xludf.DUMMYFUNCTION("""COMPUTED_VALUE"""),"#VALUE!")</f>
        <v>#VALUE!</v>
      </c>
    </row>
    <row r="648" spans="1:109" ht="13.2" x14ac:dyDescent="0.25">
      <c r="A648" t="str">
        <f ca="1">IFERROR(__xludf.DUMMYFUNCTION("""COMPUTED_VALUE"""),"P0657")</f>
        <v>P0657</v>
      </c>
      <c r="BC648" t="str">
        <f ca="1">IFERROR(__xludf.DUMMYFUNCTION("""COMPUTED_VALUE"""),"#VALUE!")</f>
        <v>#VALUE!</v>
      </c>
      <c r="BE648" t="str">
        <f ca="1">IFERROR(__xludf.DUMMYFUNCTION("""COMPUTED_VALUE"""),"#VALUE!")</f>
        <v>#VALUE!</v>
      </c>
      <c r="BG648" t="str">
        <f ca="1">IFERROR(__xludf.DUMMYFUNCTION("""COMPUTED_VALUE"""),"#VALUE!")</f>
        <v>#VALUE!</v>
      </c>
      <c r="BI648" t="str">
        <f ca="1">IFERROR(__xludf.DUMMYFUNCTION("""COMPUTED_VALUE"""),"#VALUE!")</f>
        <v>#VALUE!</v>
      </c>
      <c r="BK648" t="str">
        <f ca="1">IFERROR(__xludf.DUMMYFUNCTION("""COMPUTED_VALUE"""),"#VALUE!")</f>
        <v>#VALUE!</v>
      </c>
      <c r="BM648" t="str">
        <f ca="1">IFERROR(__xludf.DUMMYFUNCTION("""COMPUTED_VALUE"""),"#VALUE!")</f>
        <v>#VALUE!</v>
      </c>
      <c r="CS648" t="str">
        <f ca="1">IFERROR(__xludf.DUMMYFUNCTION("""COMPUTED_VALUE"""),"#VALUE!")</f>
        <v>#VALUE!</v>
      </c>
      <c r="CU648" t="str">
        <f ca="1">IFERROR(__xludf.DUMMYFUNCTION("""COMPUTED_VALUE"""),"#VALUE!")</f>
        <v>#VALUE!</v>
      </c>
      <c r="CW648" t="str">
        <f ca="1">IFERROR(__xludf.DUMMYFUNCTION("""COMPUTED_VALUE"""),"#VALUE!")</f>
        <v>#VALUE!</v>
      </c>
      <c r="CY648" t="str">
        <f ca="1">IFERROR(__xludf.DUMMYFUNCTION("""COMPUTED_VALUE"""),"#VALUE!")</f>
        <v>#VALUE!</v>
      </c>
      <c r="DC648" t="str">
        <f ca="1">IFERROR(__xludf.DUMMYFUNCTION("""COMPUTED_VALUE"""),"#VALUE!")</f>
        <v>#VALUE!</v>
      </c>
      <c r="DE648" t="str">
        <f ca="1">IFERROR(__xludf.DUMMYFUNCTION("""COMPUTED_VALUE"""),"#VALUE!")</f>
        <v>#VALUE!</v>
      </c>
    </row>
    <row r="649" spans="1:109" ht="13.2" x14ac:dyDescent="0.25">
      <c r="A649" t="str">
        <f ca="1">IFERROR(__xludf.DUMMYFUNCTION("""COMPUTED_VALUE"""),"P0658")</f>
        <v>P0658</v>
      </c>
      <c r="BC649" t="str">
        <f ca="1">IFERROR(__xludf.DUMMYFUNCTION("""COMPUTED_VALUE"""),"#VALUE!")</f>
        <v>#VALUE!</v>
      </c>
      <c r="BE649" t="str">
        <f ca="1">IFERROR(__xludf.DUMMYFUNCTION("""COMPUTED_VALUE"""),"#VALUE!")</f>
        <v>#VALUE!</v>
      </c>
      <c r="BG649" t="str">
        <f ca="1">IFERROR(__xludf.DUMMYFUNCTION("""COMPUTED_VALUE"""),"#VALUE!")</f>
        <v>#VALUE!</v>
      </c>
      <c r="BI649" t="str">
        <f ca="1">IFERROR(__xludf.DUMMYFUNCTION("""COMPUTED_VALUE"""),"#VALUE!")</f>
        <v>#VALUE!</v>
      </c>
      <c r="BK649" t="str">
        <f ca="1">IFERROR(__xludf.DUMMYFUNCTION("""COMPUTED_VALUE"""),"#VALUE!")</f>
        <v>#VALUE!</v>
      </c>
      <c r="BM649" t="str">
        <f ca="1">IFERROR(__xludf.DUMMYFUNCTION("""COMPUTED_VALUE"""),"#VALUE!")</f>
        <v>#VALUE!</v>
      </c>
      <c r="CS649" t="str">
        <f ca="1">IFERROR(__xludf.DUMMYFUNCTION("""COMPUTED_VALUE"""),"#VALUE!")</f>
        <v>#VALUE!</v>
      </c>
      <c r="CU649" t="str">
        <f ca="1">IFERROR(__xludf.DUMMYFUNCTION("""COMPUTED_VALUE"""),"#VALUE!")</f>
        <v>#VALUE!</v>
      </c>
      <c r="CW649" t="str">
        <f ca="1">IFERROR(__xludf.DUMMYFUNCTION("""COMPUTED_VALUE"""),"#VALUE!")</f>
        <v>#VALUE!</v>
      </c>
      <c r="CY649" t="str">
        <f ca="1">IFERROR(__xludf.DUMMYFUNCTION("""COMPUTED_VALUE"""),"#VALUE!")</f>
        <v>#VALUE!</v>
      </c>
      <c r="DC649" t="str">
        <f ca="1">IFERROR(__xludf.DUMMYFUNCTION("""COMPUTED_VALUE"""),"#VALUE!")</f>
        <v>#VALUE!</v>
      </c>
      <c r="DE649" t="str">
        <f ca="1">IFERROR(__xludf.DUMMYFUNCTION("""COMPUTED_VALUE"""),"#VALUE!")</f>
        <v>#VALUE!</v>
      </c>
    </row>
    <row r="650" spans="1:109" ht="13.2" x14ac:dyDescent="0.25">
      <c r="A650" t="str">
        <f ca="1">IFERROR(__xludf.DUMMYFUNCTION("""COMPUTED_VALUE"""),"P0659")</f>
        <v>P0659</v>
      </c>
      <c r="BC650" t="str">
        <f ca="1">IFERROR(__xludf.DUMMYFUNCTION("""COMPUTED_VALUE"""),"#VALUE!")</f>
        <v>#VALUE!</v>
      </c>
      <c r="BE650" t="str">
        <f ca="1">IFERROR(__xludf.DUMMYFUNCTION("""COMPUTED_VALUE"""),"#VALUE!")</f>
        <v>#VALUE!</v>
      </c>
      <c r="BG650" t="str">
        <f ca="1">IFERROR(__xludf.DUMMYFUNCTION("""COMPUTED_VALUE"""),"#VALUE!")</f>
        <v>#VALUE!</v>
      </c>
      <c r="BI650" t="str">
        <f ca="1">IFERROR(__xludf.DUMMYFUNCTION("""COMPUTED_VALUE"""),"#VALUE!")</f>
        <v>#VALUE!</v>
      </c>
      <c r="BK650" t="str">
        <f ca="1">IFERROR(__xludf.DUMMYFUNCTION("""COMPUTED_VALUE"""),"#VALUE!")</f>
        <v>#VALUE!</v>
      </c>
      <c r="BM650" t="str">
        <f ca="1">IFERROR(__xludf.DUMMYFUNCTION("""COMPUTED_VALUE"""),"#VALUE!")</f>
        <v>#VALUE!</v>
      </c>
      <c r="CS650" t="str">
        <f ca="1">IFERROR(__xludf.DUMMYFUNCTION("""COMPUTED_VALUE"""),"#VALUE!")</f>
        <v>#VALUE!</v>
      </c>
      <c r="CU650" t="str">
        <f ca="1">IFERROR(__xludf.DUMMYFUNCTION("""COMPUTED_VALUE"""),"#VALUE!")</f>
        <v>#VALUE!</v>
      </c>
      <c r="CW650" t="str">
        <f ca="1">IFERROR(__xludf.DUMMYFUNCTION("""COMPUTED_VALUE"""),"#VALUE!")</f>
        <v>#VALUE!</v>
      </c>
      <c r="CY650" t="str">
        <f ca="1">IFERROR(__xludf.DUMMYFUNCTION("""COMPUTED_VALUE"""),"#VALUE!")</f>
        <v>#VALUE!</v>
      </c>
      <c r="DC650" t="str">
        <f ca="1">IFERROR(__xludf.DUMMYFUNCTION("""COMPUTED_VALUE"""),"#VALUE!")</f>
        <v>#VALUE!</v>
      </c>
      <c r="DE650" t="str">
        <f ca="1">IFERROR(__xludf.DUMMYFUNCTION("""COMPUTED_VALUE"""),"#VALUE!")</f>
        <v>#VALUE!</v>
      </c>
    </row>
    <row r="651" spans="1:109" ht="13.2" x14ac:dyDescent="0.25">
      <c r="A651" t="str">
        <f ca="1">IFERROR(__xludf.DUMMYFUNCTION("""COMPUTED_VALUE"""),"P0660")</f>
        <v>P0660</v>
      </c>
      <c r="BC651" t="str">
        <f ca="1">IFERROR(__xludf.DUMMYFUNCTION("""COMPUTED_VALUE"""),"#VALUE!")</f>
        <v>#VALUE!</v>
      </c>
      <c r="BE651" t="str">
        <f ca="1">IFERROR(__xludf.DUMMYFUNCTION("""COMPUTED_VALUE"""),"#VALUE!")</f>
        <v>#VALUE!</v>
      </c>
      <c r="BG651" t="str">
        <f ca="1">IFERROR(__xludf.DUMMYFUNCTION("""COMPUTED_VALUE"""),"#VALUE!")</f>
        <v>#VALUE!</v>
      </c>
      <c r="BI651" t="str">
        <f ca="1">IFERROR(__xludf.DUMMYFUNCTION("""COMPUTED_VALUE"""),"#VALUE!")</f>
        <v>#VALUE!</v>
      </c>
      <c r="BK651" t="str">
        <f ca="1">IFERROR(__xludf.DUMMYFUNCTION("""COMPUTED_VALUE"""),"#VALUE!")</f>
        <v>#VALUE!</v>
      </c>
      <c r="BM651" t="str">
        <f ca="1">IFERROR(__xludf.DUMMYFUNCTION("""COMPUTED_VALUE"""),"#VALUE!")</f>
        <v>#VALUE!</v>
      </c>
      <c r="CS651" t="str">
        <f ca="1">IFERROR(__xludf.DUMMYFUNCTION("""COMPUTED_VALUE"""),"#VALUE!")</f>
        <v>#VALUE!</v>
      </c>
      <c r="CU651" t="str">
        <f ca="1">IFERROR(__xludf.DUMMYFUNCTION("""COMPUTED_VALUE"""),"#VALUE!")</f>
        <v>#VALUE!</v>
      </c>
      <c r="CW651" t="str">
        <f ca="1">IFERROR(__xludf.DUMMYFUNCTION("""COMPUTED_VALUE"""),"#VALUE!")</f>
        <v>#VALUE!</v>
      </c>
      <c r="CY651" t="str">
        <f ca="1">IFERROR(__xludf.DUMMYFUNCTION("""COMPUTED_VALUE"""),"#VALUE!")</f>
        <v>#VALUE!</v>
      </c>
      <c r="DC651" t="str">
        <f ca="1">IFERROR(__xludf.DUMMYFUNCTION("""COMPUTED_VALUE"""),"#VALUE!")</f>
        <v>#VALUE!</v>
      </c>
      <c r="DE651" t="str">
        <f ca="1">IFERROR(__xludf.DUMMYFUNCTION("""COMPUTED_VALUE"""),"#VALUE!")</f>
        <v>#VALUE!</v>
      </c>
    </row>
    <row r="652" spans="1:109" ht="13.2" x14ac:dyDescent="0.25">
      <c r="A652" t="str">
        <f ca="1">IFERROR(__xludf.DUMMYFUNCTION("""COMPUTED_VALUE"""),"P0661")</f>
        <v>P0661</v>
      </c>
      <c r="BC652" t="str">
        <f ca="1">IFERROR(__xludf.DUMMYFUNCTION("""COMPUTED_VALUE"""),"#VALUE!")</f>
        <v>#VALUE!</v>
      </c>
      <c r="BE652" t="str">
        <f ca="1">IFERROR(__xludf.DUMMYFUNCTION("""COMPUTED_VALUE"""),"#VALUE!")</f>
        <v>#VALUE!</v>
      </c>
      <c r="BG652" t="str">
        <f ca="1">IFERROR(__xludf.DUMMYFUNCTION("""COMPUTED_VALUE"""),"#VALUE!")</f>
        <v>#VALUE!</v>
      </c>
      <c r="BI652" t="str">
        <f ca="1">IFERROR(__xludf.DUMMYFUNCTION("""COMPUTED_VALUE"""),"#VALUE!")</f>
        <v>#VALUE!</v>
      </c>
      <c r="BK652" t="str">
        <f ca="1">IFERROR(__xludf.DUMMYFUNCTION("""COMPUTED_VALUE"""),"#VALUE!")</f>
        <v>#VALUE!</v>
      </c>
      <c r="BM652" t="str">
        <f ca="1">IFERROR(__xludf.DUMMYFUNCTION("""COMPUTED_VALUE"""),"#VALUE!")</f>
        <v>#VALUE!</v>
      </c>
      <c r="CS652" t="str">
        <f ca="1">IFERROR(__xludf.DUMMYFUNCTION("""COMPUTED_VALUE"""),"#VALUE!")</f>
        <v>#VALUE!</v>
      </c>
      <c r="CU652" t="str">
        <f ca="1">IFERROR(__xludf.DUMMYFUNCTION("""COMPUTED_VALUE"""),"#VALUE!")</f>
        <v>#VALUE!</v>
      </c>
      <c r="CW652" t="str">
        <f ca="1">IFERROR(__xludf.DUMMYFUNCTION("""COMPUTED_VALUE"""),"#VALUE!")</f>
        <v>#VALUE!</v>
      </c>
      <c r="CY652" t="str">
        <f ca="1">IFERROR(__xludf.DUMMYFUNCTION("""COMPUTED_VALUE"""),"#VALUE!")</f>
        <v>#VALUE!</v>
      </c>
      <c r="DC652" t="str">
        <f ca="1">IFERROR(__xludf.DUMMYFUNCTION("""COMPUTED_VALUE"""),"#VALUE!")</f>
        <v>#VALUE!</v>
      </c>
      <c r="DE652" t="str">
        <f ca="1">IFERROR(__xludf.DUMMYFUNCTION("""COMPUTED_VALUE"""),"#VALUE!")</f>
        <v>#VALUE!</v>
      </c>
    </row>
    <row r="653" spans="1:109" ht="13.2" x14ac:dyDescent="0.25">
      <c r="A653" t="str">
        <f ca="1">IFERROR(__xludf.DUMMYFUNCTION("""COMPUTED_VALUE"""),"P0662")</f>
        <v>P0662</v>
      </c>
      <c r="BC653" t="str">
        <f ca="1">IFERROR(__xludf.DUMMYFUNCTION("""COMPUTED_VALUE"""),"#VALUE!")</f>
        <v>#VALUE!</v>
      </c>
      <c r="BE653" t="str">
        <f ca="1">IFERROR(__xludf.DUMMYFUNCTION("""COMPUTED_VALUE"""),"#VALUE!")</f>
        <v>#VALUE!</v>
      </c>
      <c r="BG653" t="str">
        <f ca="1">IFERROR(__xludf.DUMMYFUNCTION("""COMPUTED_VALUE"""),"#VALUE!")</f>
        <v>#VALUE!</v>
      </c>
      <c r="BI653" t="str">
        <f ca="1">IFERROR(__xludf.DUMMYFUNCTION("""COMPUTED_VALUE"""),"#VALUE!")</f>
        <v>#VALUE!</v>
      </c>
      <c r="BK653" t="str">
        <f ca="1">IFERROR(__xludf.DUMMYFUNCTION("""COMPUTED_VALUE"""),"#VALUE!")</f>
        <v>#VALUE!</v>
      </c>
      <c r="BM653" t="str">
        <f ca="1">IFERROR(__xludf.DUMMYFUNCTION("""COMPUTED_VALUE"""),"#VALUE!")</f>
        <v>#VALUE!</v>
      </c>
      <c r="CS653" t="str">
        <f ca="1">IFERROR(__xludf.DUMMYFUNCTION("""COMPUTED_VALUE"""),"#VALUE!")</f>
        <v>#VALUE!</v>
      </c>
      <c r="CU653" t="str">
        <f ca="1">IFERROR(__xludf.DUMMYFUNCTION("""COMPUTED_VALUE"""),"#VALUE!")</f>
        <v>#VALUE!</v>
      </c>
      <c r="CW653" t="str">
        <f ca="1">IFERROR(__xludf.DUMMYFUNCTION("""COMPUTED_VALUE"""),"#VALUE!")</f>
        <v>#VALUE!</v>
      </c>
      <c r="CY653" t="str">
        <f ca="1">IFERROR(__xludf.DUMMYFUNCTION("""COMPUTED_VALUE"""),"#VALUE!")</f>
        <v>#VALUE!</v>
      </c>
      <c r="DC653" t="str">
        <f ca="1">IFERROR(__xludf.DUMMYFUNCTION("""COMPUTED_VALUE"""),"#VALUE!")</f>
        <v>#VALUE!</v>
      </c>
      <c r="DE653" t="str">
        <f ca="1">IFERROR(__xludf.DUMMYFUNCTION("""COMPUTED_VALUE"""),"#VALUE!")</f>
        <v>#VALUE!</v>
      </c>
    </row>
    <row r="654" spans="1:109" ht="13.2" x14ac:dyDescent="0.25">
      <c r="A654" t="str">
        <f ca="1">IFERROR(__xludf.DUMMYFUNCTION("""COMPUTED_VALUE"""),"P0663")</f>
        <v>P0663</v>
      </c>
      <c r="BC654" t="str">
        <f ca="1">IFERROR(__xludf.DUMMYFUNCTION("""COMPUTED_VALUE"""),"#VALUE!")</f>
        <v>#VALUE!</v>
      </c>
      <c r="BE654" t="str">
        <f ca="1">IFERROR(__xludf.DUMMYFUNCTION("""COMPUTED_VALUE"""),"#VALUE!")</f>
        <v>#VALUE!</v>
      </c>
      <c r="BG654" t="str">
        <f ca="1">IFERROR(__xludf.DUMMYFUNCTION("""COMPUTED_VALUE"""),"#VALUE!")</f>
        <v>#VALUE!</v>
      </c>
      <c r="BI654" t="str">
        <f ca="1">IFERROR(__xludf.DUMMYFUNCTION("""COMPUTED_VALUE"""),"#VALUE!")</f>
        <v>#VALUE!</v>
      </c>
      <c r="BK654" t="str">
        <f ca="1">IFERROR(__xludf.DUMMYFUNCTION("""COMPUTED_VALUE"""),"#VALUE!")</f>
        <v>#VALUE!</v>
      </c>
      <c r="BM654" t="str">
        <f ca="1">IFERROR(__xludf.DUMMYFUNCTION("""COMPUTED_VALUE"""),"#VALUE!")</f>
        <v>#VALUE!</v>
      </c>
      <c r="CS654" t="str">
        <f ca="1">IFERROR(__xludf.DUMMYFUNCTION("""COMPUTED_VALUE"""),"#VALUE!")</f>
        <v>#VALUE!</v>
      </c>
      <c r="CU654" t="str">
        <f ca="1">IFERROR(__xludf.DUMMYFUNCTION("""COMPUTED_VALUE"""),"#VALUE!")</f>
        <v>#VALUE!</v>
      </c>
      <c r="CW654" t="str">
        <f ca="1">IFERROR(__xludf.DUMMYFUNCTION("""COMPUTED_VALUE"""),"#VALUE!")</f>
        <v>#VALUE!</v>
      </c>
      <c r="CY654" t="str">
        <f ca="1">IFERROR(__xludf.DUMMYFUNCTION("""COMPUTED_VALUE"""),"#VALUE!")</f>
        <v>#VALUE!</v>
      </c>
      <c r="DC654" t="str">
        <f ca="1">IFERROR(__xludf.DUMMYFUNCTION("""COMPUTED_VALUE"""),"#VALUE!")</f>
        <v>#VALUE!</v>
      </c>
      <c r="DE654" t="str">
        <f ca="1">IFERROR(__xludf.DUMMYFUNCTION("""COMPUTED_VALUE"""),"#VALUE!")</f>
        <v>#VALUE!</v>
      </c>
    </row>
    <row r="655" spans="1:109" ht="13.2" x14ac:dyDescent="0.25">
      <c r="A655" t="str">
        <f ca="1">IFERROR(__xludf.DUMMYFUNCTION("""COMPUTED_VALUE"""),"P0664")</f>
        <v>P0664</v>
      </c>
      <c r="BC655" t="str">
        <f ca="1">IFERROR(__xludf.DUMMYFUNCTION("""COMPUTED_VALUE"""),"#VALUE!")</f>
        <v>#VALUE!</v>
      </c>
      <c r="BE655" t="str">
        <f ca="1">IFERROR(__xludf.DUMMYFUNCTION("""COMPUTED_VALUE"""),"#VALUE!")</f>
        <v>#VALUE!</v>
      </c>
      <c r="BG655" t="str">
        <f ca="1">IFERROR(__xludf.DUMMYFUNCTION("""COMPUTED_VALUE"""),"#VALUE!")</f>
        <v>#VALUE!</v>
      </c>
      <c r="BI655" t="str">
        <f ca="1">IFERROR(__xludf.DUMMYFUNCTION("""COMPUTED_VALUE"""),"#VALUE!")</f>
        <v>#VALUE!</v>
      </c>
      <c r="BK655" t="str">
        <f ca="1">IFERROR(__xludf.DUMMYFUNCTION("""COMPUTED_VALUE"""),"#VALUE!")</f>
        <v>#VALUE!</v>
      </c>
      <c r="BM655" t="str">
        <f ca="1">IFERROR(__xludf.DUMMYFUNCTION("""COMPUTED_VALUE"""),"#VALUE!")</f>
        <v>#VALUE!</v>
      </c>
      <c r="CS655" t="str">
        <f ca="1">IFERROR(__xludf.DUMMYFUNCTION("""COMPUTED_VALUE"""),"#VALUE!")</f>
        <v>#VALUE!</v>
      </c>
      <c r="CU655" t="str">
        <f ca="1">IFERROR(__xludf.DUMMYFUNCTION("""COMPUTED_VALUE"""),"#VALUE!")</f>
        <v>#VALUE!</v>
      </c>
      <c r="CW655" t="str">
        <f ca="1">IFERROR(__xludf.DUMMYFUNCTION("""COMPUTED_VALUE"""),"#VALUE!")</f>
        <v>#VALUE!</v>
      </c>
      <c r="CY655" t="str">
        <f ca="1">IFERROR(__xludf.DUMMYFUNCTION("""COMPUTED_VALUE"""),"#VALUE!")</f>
        <v>#VALUE!</v>
      </c>
      <c r="DC655" t="str">
        <f ca="1">IFERROR(__xludf.DUMMYFUNCTION("""COMPUTED_VALUE"""),"#VALUE!")</f>
        <v>#VALUE!</v>
      </c>
      <c r="DE655" t="str">
        <f ca="1">IFERROR(__xludf.DUMMYFUNCTION("""COMPUTED_VALUE"""),"#VALUE!")</f>
        <v>#VALUE!</v>
      </c>
    </row>
    <row r="656" spans="1:109" ht="13.2" x14ac:dyDescent="0.25">
      <c r="A656" t="str">
        <f ca="1">IFERROR(__xludf.DUMMYFUNCTION("""COMPUTED_VALUE"""),"P0665")</f>
        <v>P0665</v>
      </c>
      <c r="BC656" t="str">
        <f ca="1">IFERROR(__xludf.DUMMYFUNCTION("""COMPUTED_VALUE"""),"#VALUE!")</f>
        <v>#VALUE!</v>
      </c>
      <c r="BE656" t="str">
        <f ca="1">IFERROR(__xludf.DUMMYFUNCTION("""COMPUTED_VALUE"""),"#VALUE!")</f>
        <v>#VALUE!</v>
      </c>
      <c r="BG656" t="str">
        <f ca="1">IFERROR(__xludf.DUMMYFUNCTION("""COMPUTED_VALUE"""),"#VALUE!")</f>
        <v>#VALUE!</v>
      </c>
      <c r="BI656" t="str">
        <f ca="1">IFERROR(__xludf.DUMMYFUNCTION("""COMPUTED_VALUE"""),"#VALUE!")</f>
        <v>#VALUE!</v>
      </c>
      <c r="BK656" t="str">
        <f ca="1">IFERROR(__xludf.DUMMYFUNCTION("""COMPUTED_VALUE"""),"#VALUE!")</f>
        <v>#VALUE!</v>
      </c>
      <c r="BM656" t="str">
        <f ca="1">IFERROR(__xludf.DUMMYFUNCTION("""COMPUTED_VALUE"""),"#VALUE!")</f>
        <v>#VALUE!</v>
      </c>
      <c r="CS656" t="str">
        <f ca="1">IFERROR(__xludf.DUMMYFUNCTION("""COMPUTED_VALUE"""),"#VALUE!")</f>
        <v>#VALUE!</v>
      </c>
      <c r="CU656" t="str">
        <f ca="1">IFERROR(__xludf.DUMMYFUNCTION("""COMPUTED_VALUE"""),"#VALUE!")</f>
        <v>#VALUE!</v>
      </c>
      <c r="CW656" t="str">
        <f ca="1">IFERROR(__xludf.DUMMYFUNCTION("""COMPUTED_VALUE"""),"#VALUE!")</f>
        <v>#VALUE!</v>
      </c>
      <c r="CY656" t="str">
        <f ca="1">IFERROR(__xludf.DUMMYFUNCTION("""COMPUTED_VALUE"""),"#VALUE!")</f>
        <v>#VALUE!</v>
      </c>
      <c r="DC656" t="str">
        <f ca="1">IFERROR(__xludf.DUMMYFUNCTION("""COMPUTED_VALUE"""),"#VALUE!")</f>
        <v>#VALUE!</v>
      </c>
      <c r="DE656" t="str">
        <f ca="1">IFERROR(__xludf.DUMMYFUNCTION("""COMPUTED_VALUE"""),"#VALUE!")</f>
        <v>#VALUE!</v>
      </c>
    </row>
    <row r="657" spans="1:109" ht="13.2" x14ac:dyDescent="0.25">
      <c r="A657" t="str">
        <f ca="1">IFERROR(__xludf.DUMMYFUNCTION("""COMPUTED_VALUE"""),"P0666")</f>
        <v>P0666</v>
      </c>
      <c r="BC657" t="str">
        <f ca="1">IFERROR(__xludf.DUMMYFUNCTION("""COMPUTED_VALUE"""),"#VALUE!")</f>
        <v>#VALUE!</v>
      </c>
      <c r="BE657" t="str">
        <f ca="1">IFERROR(__xludf.DUMMYFUNCTION("""COMPUTED_VALUE"""),"#VALUE!")</f>
        <v>#VALUE!</v>
      </c>
      <c r="BG657" t="str">
        <f ca="1">IFERROR(__xludf.DUMMYFUNCTION("""COMPUTED_VALUE"""),"#VALUE!")</f>
        <v>#VALUE!</v>
      </c>
      <c r="BI657" t="str">
        <f ca="1">IFERROR(__xludf.DUMMYFUNCTION("""COMPUTED_VALUE"""),"#VALUE!")</f>
        <v>#VALUE!</v>
      </c>
      <c r="BK657" t="str">
        <f ca="1">IFERROR(__xludf.DUMMYFUNCTION("""COMPUTED_VALUE"""),"#VALUE!")</f>
        <v>#VALUE!</v>
      </c>
      <c r="BM657" t="str">
        <f ca="1">IFERROR(__xludf.DUMMYFUNCTION("""COMPUTED_VALUE"""),"#VALUE!")</f>
        <v>#VALUE!</v>
      </c>
      <c r="CS657" t="str">
        <f ca="1">IFERROR(__xludf.DUMMYFUNCTION("""COMPUTED_VALUE"""),"#VALUE!")</f>
        <v>#VALUE!</v>
      </c>
      <c r="CU657" t="str">
        <f ca="1">IFERROR(__xludf.DUMMYFUNCTION("""COMPUTED_VALUE"""),"#VALUE!")</f>
        <v>#VALUE!</v>
      </c>
      <c r="CW657" t="str">
        <f ca="1">IFERROR(__xludf.DUMMYFUNCTION("""COMPUTED_VALUE"""),"#VALUE!")</f>
        <v>#VALUE!</v>
      </c>
      <c r="CY657" t="str">
        <f ca="1">IFERROR(__xludf.DUMMYFUNCTION("""COMPUTED_VALUE"""),"#VALUE!")</f>
        <v>#VALUE!</v>
      </c>
      <c r="DC657" t="str">
        <f ca="1">IFERROR(__xludf.DUMMYFUNCTION("""COMPUTED_VALUE"""),"#VALUE!")</f>
        <v>#VALUE!</v>
      </c>
      <c r="DE657" t="str">
        <f ca="1">IFERROR(__xludf.DUMMYFUNCTION("""COMPUTED_VALUE"""),"#VALUE!")</f>
        <v>#VALUE!</v>
      </c>
    </row>
    <row r="658" spans="1:109" ht="13.2" x14ac:dyDescent="0.25">
      <c r="A658" t="str">
        <f ca="1">IFERROR(__xludf.DUMMYFUNCTION("""COMPUTED_VALUE"""),"P0667")</f>
        <v>P0667</v>
      </c>
      <c r="BC658" t="str">
        <f ca="1">IFERROR(__xludf.DUMMYFUNCTION("""COMPUTED_VALUE"""),"#VALUE!")</f>
        <v>#VALUE!</v>
      </c>
      <c r="BE658" t="str">
        <f ca="1">IFERROR(__xludf.DUMMYFUNCTION("""COMPUTED_VALUE"""),"#VALUE!")</f>
        <v>#VALUE!</v>
      </c>
      <c r="BG658" t="str">
        <f ca="1">IFERROR(__xludf.DUMMYFUNCTION("""COMPUTED_VALUE"""),"#VALUE!")</f>
        <v>#VALUE!</v>
      </c>
      <c r="BI658" t="str">
        <f ca="1">IFERROR(__xludf.DUMMYFUNCTION("""COMPUTED_VALUE"""),"#VALUE!")</f>
        <v>#VALUE!</v>
      </c>
      <c r="BK658" t="str">
        <f ca="1">IFERROR(__xludf.DUMMYFUNCTION("""COMPUTED_VALUE"""),"#VALUE!")</f>
        <v>#VALUE!</v>
      </c>
      <c r="BM658" t="str">
        <f ca="1">IFERROR(__xludf.DUMMYFUNCTION("""COMPUTED_VALUE"""),"#VALUE!")</f>
        <v>#VALUE!</v>
      </c>
      <c r="CS658" t="str">
        <f ca="1">IFERROR(__xludf.DUMMYFUNCTION("""COMPUTED_VALUE"""),"#VALUE!")</f>
        <v>#VALUE!</v>
      </c>
      <c r="CU658" t="str">
        <f ca="1">IFERROR(__xludf.DUMMYFUNCTION("""COMPUTED_VALUE"""),"#VALUE!")</f>
        <v>#VALUE!</v>
      </c>
      <c r="CW658" t="str">
        <f ca="1">IFERROR(__xludf.DUMMYFUNCTION("""COMPUTED_VALUE"""),"#VALUE!")</f>
        <v>#VALUE!</v>
      </c>
      <c r="CY658" t="str">
        <f ca="1">IFERROR(__xludf.DUMMYFUNCTION("""COMPUTED_VALUE"""),"#VALUE!")</f>
        <v>#VALUE!</v>
      </c>
      <c r="DC658" t="str">
        <f ca="1">IFERROR(__xludf.DUMMYFUNCTION("""COMPUTED_VALUE"""),"#VALUE!")</f>
        <v>#VALUE!</v>
      </c>
      <c r="DE658" t="str">
        <f ca="1">IFERROR(__xludf.DUMMYFUNCTION("""COMPUTED_VALUE"""),"#VALUE!")</f>
        <v>#VALUE!</v>
      </c>
    </row>
    <row r="659" spans="1:109" ht="13.2" x14ac:dyDescent="0.25">
      <c r="A659" t="str">
        <f ca="1">IFERROR(__xludf.DUMMYFUNCTION("""COMPUTED_VALUE"""),"P0668")</f>
        <v>P0668</v>
      </c>
      <c r="BC659" t="str">
        <f ca="1">IFERROR(__xludf.DUMMYFUNCTION("""COMPUTED_VALUE"""),"#VALUE!")</f>
        <v>#VALUE!</v>
      </c>
      <c r="BE659" t="str">
        <f ca="1">IFERROR(__xludf.DUMMYFUNCTION("""COMPUTED_VALUE"""),"#VALUE!")</f>
        <v>#VALUE!</v>
      </c>
      <c r="BG659" t="str">
        <f ca="1">IFERROR(__xludf.DUMMYFUNCTION("""COMPUTED_VALUE"""),"#VALUE!")</f>
        <v>#VALUE!</v>
      </c>
      <c r="BI659" t="str">
        <f ca="1">IFERROR(__xludf.DUMMYFUNCTION("""COMPUTED_VALUE"""),"#VALUE!")</f>
        <v>#VALUE!</v>
      </c>
      <c r="BK659" t="str">
        <f ca="1">IFERROR(__xludf.DUMMYFUNCTION("""COMPUTED_VALUE"""),"#VALUE!")</f>
        <v>#VALUE!</v>
      </c>
      <c r="BM659" t="str">
        <f ca="1">IFERROR(__xludf.DUMMYFUNCTION("""COMPUTED_VALUE"""),"#VALUE!")</f>
        <v>#VALUE!</v>
      </c>
      <c r="CS659" t="str">
        <f ca="1">IFERROR(__xludf.DUMMYFUNCTION("""COMPUTED_VALUE"""),"#VALUE!")</f>
        <v>#VALUE!</v>
      </c>
      <c r="CU659" t="str">
        <f ca="1">IFERROR(__xludf.DUMMYFUNCTION("""COMPUTED_VALUE"""),"#VALUE!")</f>
        <v>#VALUE!</v>
      </c>
      <c r="CW659" t="str">
        <f ca="1">IFERROR(__xludf.DUMMYFUNCTION("""COMPUTED_VALUE"""),"#VALUE!")</f>
        <v>#VALUE!</v>
      </c>
      <c r="CY659" t="str">
        <f ca="1">IFERROR(__xludf.DUMMYFUNCTION("""COMPUTED_VALUE"""),"#VALUE!")</f>
        <v>#VALUE!</v>
      </c>
      <c r="DC659" t="str">
        <f ca="1">IFERROR(__xludf.DUMMYFUNCTION("""COMPUTED_VALUE"""),"#VALUE!")</f>
        <v>#VALUE!</v>
      </c>
      <c r="DE659" t="str">
        <f ca="1">IFERROR(__xludf.DUMMYFUNCTION("""COMPUTED_VALUE"""),"#VALUE!")</f>
        <v>#VALUE!</v>
      </c>
    </row>
    <row r="660" spans="1:109" ht="13.2" x14ac:dyDescent="0.25">
      <c r="A660" t="str">
        <f ca="1">IFERROR(__xludf.DUMMYFUNCTION("""COMPUTED_VALUE"""),"P0669")</f>
        <v>P0669</v>
      </c>
      <c r="BC660" t="str">
        <f ca="1">IFERROR(__xludf.DUMMYFUNCTION("""COMPUTED_VALUE"""),"#VALUE!")</f>
        <v>#VALUE!</v>
      </c>
      <c r="BE660" t="str">
        <f ca="1">IFERROR(__xludf.DUMMYFUNCTION("""COMPUTED_VALUE"""),"#VALUE!")</f>
        <v>#VALUE!</v>
      </c>
      <c r="BG660" t="str">
        <f ca="1">IFERROR(__xludf.DUMMYFUNCTION("""COMPUTED_VALUE"""),"#VALUE!")</f>
        <v>#VALUE!</v>
      </c>
      <c r="BI660" t="str">
        <f ca="1">IFERROR(__xludf.DUMMYFUNCTION("""COMPUTED_VALUE"""),"#VALUE!")</f>
        <v>#VALUE!</v>
      </c>
      <c r="BK660" t="str">
        <f ca="1">IFERROR(__xludf.DUMMYFUNCTION("""COMPUTED_VALUE"""),"#VALUE!")</f>
        <v>#VALUE!</v>
      </c>
      <c r="BM660" t="str">
        <f ca="1">IFERROR(__xludf.DUMMYFUNCTION("""COMPUTED_VALUE"""),"#VALUE!")</f>
        <v>#VALUE!</v>
      </c>
      <c r="CS660" t="str">
        <f ca="1">IFERROR(__xludf.DUMMYFUNCTION("""COMPUTED_VALUE"""),"#VALUE!")</f>
        <v>#VALUE!</v>
      </c>
      <c r="CU660" t="str">
        <f ca="1">IFERROR(__xludf.DUMMYFUNCTION("""COMPUTED_VALUE"""),"#VALUE!")</f>
        <v>#VALUE!</v>
      </c>
      <c r="CW660" t="str">
        <f ca="1">IFERROR(__xludf.DUMMYFUNCTION("""COMPUTED_VALUE"""),"#VALUE!")</f>
        <v>#VALUE!</v>
      </c>
      <c r="CY660" t="str">
        <f ca="1">IFERROR(__xludf.DUMMYFUNCTION("""COMPUTED_VALUE"""),"#VALUE!")</f>
        <v>#VALUE!</v>
      </c>
      <c r="DC660" t="str">
        <f ca="1">IFERROR(__xludf.DUMMYFUNCTION("""COMPUTED_VALUE"""),"#VALUE!")</f>
        <v>#VALUE!</v>
      </c>
      <c r="DE660" t="str">
        <f ca="1">IFERROR(__xludf.DUMMYFUNCTION("""COMPUTED_VALUE"""),"#VALUE!")</f>
        <v>#VALUE!</v>
      </c>
    </row>
    <row r="661" spans="1:109" ht="13.2" x14ac:dyDescent="0.25">
      <c r="A661" t="str">
        <f ca="1">IFERROR(__xludf.DUMMYFUNCTION("""COMPUTED_VALUE"""),"P0670")</f>
        <v>P0670</v>
      </c>
      <c r="BC661" t="str">
        <f ca="1">IFERROR(__xludf.DUMMYFUNCTION("""COMPUTED_VALUE"""),"#VALUE!")</f>
        <v>#VALUE!</v>
      </c>
      <c r="BE661" t="str">
        <f ca="1">IFERROR(__xludf.DUMMYFUNCTION("""COMPUTED_VALUE"""),"#VALUE!")</f>
        <v>#VALUE!</v>
      </c>
      <c r="BG661" t="str">
        <f ca="1">IFERROR(__xludf.DUMMYFUNCTION("""COMPUTED_VALUE"""),"#VALUE!")</f>
        <v>#VALUE!</v>
      </c>
      <c r="BI661" t="str">
        <f ca="1">IFERROR(__xludf.DUMMYFUNCTION("""COMPUTED_VALUE"""),"#VALUE!")</f>
        <v>#VALUE!</v>
      </c>
      <c r="BK661" t="str">
        <f ca="1">IFERROR(__xludf.DUMMYFUNCTION("""COMPUTED_VALUE"""),"#VALUE!")</f>
        <v>#VALUE!</v>
      </c>
      <c r="BM661" t="str">
        <f ca="1">IFERROR(__xludf.DUMMYFUNCTION("""COMPUTED_VALUE"""),"#VALUE!")</f>
        <v>#VALUE!</v>
      </c>
      <c r="CS661" t="str">
        <f ca="1">IFERROR(__xludf.DUMMYFUNCTION("""COMPUTED_VALUE"""),"#VALUE!")</f>
        <v>#VALUE!</v>
      </c>
      <c r="CU661" t="str">
        <f ca="1">IFERROR(__xludf.DUMMYFUNCTION("""COMPUTED_VALUE"""),"#VALUE!")</f>
        <v>#VALUE!</v>
      </c>
      <c r="CW661" t="str">
        <f ca="1">IFERROR(__xludf.DUMMYFUNCTION("""COMPUTED_VALUE"""),"#VALUE!")</f>
        <v>#VALUE!</v>
      </c>
      <c r="CY661" t="str">
        <f ca="1">IFERROR(__xludf.DUMMYFUNCTION("""COMPUTED_VALUE"""),"#VALUE!")</f>
        <v>#VALUE!</v>
      </c>
      <c r="DC661" t="str">
        <f ca="1">IFERROR(__xludf.DUMMYFUNCTION("""COMPUTED_VALUE"""),"#VALUE!")</f>
        <v>#VALUE!</v>
      </c>
      <c r="DE661" t="str">
        <f ca="1">IFERROR(__xludf.DUMMYFUNCTION("""COMPUTED_VALUE"""),"#VALUE!")</f>
        <v>#VALUE!</v>
      </c>
    </row>
    <row r="662" spans="1:109" ht="13.2" x14ac:dyDescent="0.25">
      <c r="A662" t="str">
        <f ca="1">IFERROR(__xludf.DUMMYFUNCTION("""COMPUTED_VALUE"""),"P0671")</f>
        <v>P0671</v>
      </c>
      <c r="BC662" t="str">
        <f ca="1">IFERROR(__xludf.DUMMYFUNCTION("""COMPUTED_VALUE"""),"#VALUE!")</f>
        <v>#VALUE!</v>
      </c>
      <c r="BE662" t="str">
        <f ca="1">IFERROR(__xludf.DUMMYFUNCTION("""COMPUTED_VALUE"""),"#VALUE!")</f>
        <v>#VALUE!</v>
      </c>
      <c r="BG662" t="str">
        <f ca="1">IFERROR(__xludf.DUMMYFUNCTION("""COMPUTED_VALUE"""),"#VALUE!")</f>
        <v>#VALUE!</v>
      </c>
      <c r="BI662" t="str">
        <f ca="1">IFERROR(__xludf.DUMMYFUNCTION("""COMPUTED_VALUE"""),"#VALUE!")</f>
        <v>#VALUE!</v>
      </c>
      <c r="BK662" t="str">
        <f ca="1">IFERROR(__xludf.DUMMYFUNCTION("""COMPUTED_VALUE"""),"#VALUE!")</f>
        <v>#VALUE!</v>
      </c>
      <c r="BM662" t="str">
        <f ca="1">IFERROR(__xludf.DUMMYFUNCTION("""COMPUTED_VALUE"""),"#VALUE!")</f>
        <v>#VALUE!</v>
      </c>
      <c r="CS662" t="str">
        <f ca="1">IFERROR(__xludf.DUMMYFUNCTION("""COMPUTED_VALUE"""),"#VALUE!")</f>
        <v>#VALUE!</v>
      </c>
      <c r="CU662" t="str">
        <f ca="1">IFERROR(__xludf.DUMMYFUNCTION("""COMPUTED_VALUE"""),"#VALUE!")</f>
        <v>#VALUE!</v>
      </c>
      <c r="CW662" t="str">
        <f ca="1">IFERROR(__xludf.DUMMYFUNCTION("""COMPUTED_VALUE"""),"#VALUE!")</f>
        <v>#VALUE!</v>
      </c>
      <c r="CY662" t="str">
        <f ca="1">IFERROR(__xludf.DUMMYFUNCTION("""COMPUTED_VALUE"""),"#VALUE!")</f>
        <v>#VALUE!</v>
      </c>
      <c r="DC662" t="str">
        <f ca="1">IFERROR(__xludf.DUMMYFUNCTION("""COMPUTED_VALUE"""),"#VALUE!")</f>
        <v>#VALUE!</v>
      </c>
      <c r="DE662" t="str">
        <f ca="1">IFERROR(__xludf.DUMMYFUNCTION("""COMPUTED_VALUE"""),"#VALUE!")</f>
        <v>#VALUE!</v>
      </c>
    </row>
    <row r="663" spans="1:109" ht="13.2" x14ac:dyDescent="0.25">
      <c r="A663" t="str">
        <f ca="1">IFERROR(__xludf.DUMMYFUNCTION("""COMPUTED_VALUE"""),"P0672")</f>
        <v>P0672</v>
      </c>
      <c r="BC663" t="str">
        <f ca="1">IFERROR(__xludf.DUMMYFUNCTION("""COMPUTED_VALUE"""),"#VALUE!")</f>
        <v>#VALUE!</v>
      </c>
      <c r="BE663" t="str">
        <f ca="1">IFERROR(__xludf.DUMMYFUNCTION("""COMPUTED_VALUE"""),"#VALUE!")</f>
        <v>#VALUE!</v>
      </c>
      <c r="BG663" t="str">
        <f ca="1">IFERROR(__xludf.DUMMYFUNCTION("""COMPUTED_VALUE"""),"#VALUE!")</f>
        <v>#VALUE!</v>
      </c>
      <c r="BI663" t="str">
        <f ca="1">IFERROR(__xludf.DUMMYFUNCTION("""COMPUTED_VALUE"""),"#VALUE!")</f>
        <v>#VALUE!</v>
      </c>
      <c r="BK663" t="str">
        <f ca="1">IFERROR(__xludf.DUMMYFUNCTION("""COMPUTED_VALUE"""),"#VALUE!")</f>
        <v>#VALUE!</v>
      </c>
      <c r="BM663" t="str">
        <f ca="1">IFERROR(__xludf.DUMMYFUNCTION("""COMPUTED_VALUE"""),"#VALUE!")</f>
        <v>#VALUE!</v>
      </c>
      <c r="CS663" t="str">
        <f ca="1">IFERROR(__xludf.DUMMYFUNCTION("""COMPUTED_VALUE"""),"#VALUE!")</f>
        <v>#VALUE!</v>
      </c>
      <c r="CU663" t="str">
        <f ca="1">IFERROR(__xludf.DUMMYFUNCTION("""COMPUTED_VALUE"""),"#VALUE!")</f>
        <v>#VALUE!</v>
      </c>
      <c r="CW663" t="str">
        <f ca="1">IFERROR(__xludf.DUMMYFUNCTION("""COMPUTED_VALUE"""),"#VALUE!")</f>
        <v>#VALUE!</v>
      </c>
      <c r="CY663" t="str">
        <f ca="1">IFERROR(__xludf.DUMMYFUNCTION("""COMPUTED_VALUE"""),"#VALUE!")</f>
        <v>#VALUE!</v>
      </c>
      <c r="DC663" t="str">
        <f ca="1">IFERROR(__xludf.DUMMYFUNCTION("""COMPUTED_VALUE"""),"#VALUE!")</f>
        <v>#VALUE!</v>
      </c>
      <c r="DE663" t="str">
        <f ca="1">IFERROR(__xludf.DUMMYFUNCTION("""COMPUTED_VALUE"""),"#VALUE!")</f>
        <v>#VALUE!</v>
      </c>
    </row>
    <row r="664" spans="1:109" ht="13.2" x14ac:dyDescent="0.25">
      <c r="A664" t="str">
        <f ca="1">IFERROR(__xludf.DUMMYFUNCTION("""COMPUTED_VALUE"""),"P0673")</f>
        <v>P0673</v>
      </c>
      <c r="BC664" t="str">
        <f ca="1">IFERROR(__xludf.DUMMYFUNCTION("""COMPUTED_VALUE"""),"#VALUE!")</f>
        <v>#VALUE!</v>
      </c>
      <c r="BE664" t="str">
        <f ca="1">IFERROR(__xludf.DUMMYFUNCTION("""COMPUTED_VALUE"""),"#VALUE!")</f>
        <v>#VALUE!</v>
      </c>
      <c r="BG664" t="str">
        <f ca="1">IFERROR(__xludf.DUMMYFUNCTION("""COMPUTED_VALUE"""),"#VALUE!")</f>
        <v>#VALUE!</v>
      </c>
      <c r="BI664" t="str">
        <f ca="1">IFERROR(__xludf.DUMMYFUNCTION("""COMPUTED_VALUE"""),"#VALUE!")</f>
        <v>#VALUE!</v>
      </c>
      <c r="BK664" t="str">
        <f ca="1">IFERROR(__xludf.DUMMYFUNCTION("""COMPUTED_VALUE"""),"#VALUE!")</f>
        <v>#VALUE!</v>
      </c>
      <c r="BM664" t="str">
        <f ca="1">IFERROR(__xludf.DUMMYFUNCTION("""COMPUTED_VALUE"""),"#VALUE!")</f>
        <v>#VALUE!</v>
      </c>
      <c r="CS664" t="str">
        <f ca="1">IFERROR(__xludf.DUMMYFUNCTION("""COMPUTED_VALUE"""),"#VALUE!")</f>
        <v>#VALUE!</v>
      </c>
      <c r="CU664" t="str">
        <f ca="1">IFERROR(__xludf.DUMMYFUNCTION("""COMPUTED_VALUE"""),"#VALUE!")</f>
        <v>#VALUE!</v>
      </c>
      <c r="CW664" t="str">
        <f ca="1">IFERROR(__xludf.DUMMYFUNCTION("""COMPUTED_VALUE"""),"#VALUE!")</f>
        <v>#VALUE!</v>
      </c>
      <c r="CY664" t="str">
        <f ca="1">IFERROR(__xludf.DUMMYFUNCTION("""COMPUTED_VALUE"""),"#VALUE!")</f>
        <v>#VALUE!</v>
      </c>
      <c r="DC664" t="str">
        <f ca="1">IFERROR(__xludf.DUMMYFUNCTION("""COMPUTED_VALUE"""),"#VALUE!")</f>
        <v>#VALUE!</v>
      </c>
      <c r="DE664" t="str">
        <f ca="1">IFERROR(__xludf.DUMMYFUNCTION("""COMPUTED_VALUE"""),"#VALUE!")</f>
        <v>#VALUE!</v>
      </c>
    </row>
    <row r="665" spans="1:109" ht="13.2" x14ac:dyDescent="0.25">
      <c r="A665" t="str">
        <f ca="1">IFERROR(__xludf.DUMMYFUNCTION("""COMPUTED_VALUE"""),"P0674")</f>
        <v>P0674</v>
      </c>
      <c r="BC665" t="str">
        <f ca="1">IFERROR(__xludf.DUMMYFUNCTION("""COMPUTED_VALUE"""),"#VALUE!")</f>
        <v>#VALUE!</v>
      </c>
      <c r="BE665" t="str">
        <f ca="1">IFERROR(__xludf.DUMMYFUNCTION("""COMPUTED_VALUE"""),"#VALUE!")</f>
        <v>#VALUE!</v>
      </c>
      <c r="BG665" t="str">
        <f ca="1">IFERROR(__xludf.DUMMYFUNCTION("""COMPUTED_VALUE"""),"#VALUE!")</f>
        <v>#VALUE!</v>
      </c>
      <c r="BI665" t="str">
        <f ca="1">IFERROR(__xludf.DUMMYFUNCTION("""COMPUTED_VALUE"""),"#VALUE!")</f>
        <v>#VALUE!</v>
      </c>
      <c r="BK665" t="str">
        <f ca="1">IFERROR(__xludf.DUMMYFUNCTION("""COMPUTED_VALUE"""),"#VALUE!")</f>
        <v>#VALUE!</v>
      </c>
      <c r="BM665" t="str">
        <f ca="1">IFERROR(__xludf.DUMMYFUNCTION("""COMPUTED_VALUE"""),"#VALUE!")</f>
        <v>#VALUE!</v>
      </c>
      <c r="CS665" t="str">
        <f ca="1">IFERROR(__xludf.DUMMYFUNCTION("""COMPUTED_VALUE"""),"#VALUE!")</f>
        <v>#VALUE!</v>
      </c>
      <c r="CU665" t="str">
        <f ca="1">IFERROR(__xludf.DUMMYFUNCTION("""COMPUTED_VALUE"""),"#VALUE!")</f>
        <v>#VALUE!</v>
      </c>
      <c r="CW665" t="str">
        <f ca="1">IFERROR(__xludf.DUMMYFUNCTION("""COMPUTED_VALUE"""),"#VALUE!")</f>
        <v>#VALUE!</v>
      </c>
      <c r="CY665" t="str">
        <f ca="1">IFERROR(__xludf.DUMMYFUNCTION("""COMPUTED_VALUE"""),"#VALUE!")</f>
        <v>#VALUE!</v>
      </c>
      <c r="DC665" t="str">
        <f ca="1">IFERROR(__xludf.DUMMYFUNCTION("""COMPUTED_VALUE"""),"#VALUE!")</f>
        <v>#VALUE!</v>
      </c>
      <c r="DE665" t="str">
        <f ca="1">IFERROR(__xludf.DUMMYFUNCTION("""COMPUTED_VALUE"""),"#VALUE!")</f>
        <v>#VALUE!</v>
      </c>
    </row>
    <row r="666" spans="1:109" ht="13.2" x14ac:dyDescent="0.25">
      <c r="A666" t="str">
        <f ca="1">IFERROR(__xludf.DUMMYFUNCTION("""COMPUTED_VALUE"""),"P0675")</f>
        <v>P0675</v>
      </c>
      <c r="BC666" t="str">
        <f ca="1">IFERROR(__xludf.DUMMYFUNCTION("""COMPUTED_VALUE"""),"#VALUE!")</f>
        <v>#VALUE!</v>
      </c>
      <c r="BE666" t="str">
        <f ca="1">IFERROR(__xludf.DUMMYFUNCTION("""COMPUTED_VALUE"""),"#VALUE!")</f>
        <v>#VALUE!</v>
      </c>
      <c r="BG666" t="str">
        <f ca="1">IFERROR(__xludf.DUMMYFUNCTION("""COMPUTED_VALUE"""),"#VALUE!")</f>
        <v>#VALUE!</v>
      </c>
      <c r="BI666" t="str">
        <f ca="1">IFERROR(__xludf.DUMMYFUNCTION("""COMPUTED_VALUE"""),"#VALUE!")</f>
        <v>#VALUE!</v>
      </c>
      <c r="BK666" t="str">
        <f ca="1">IFERROR(__xludf.DUMMYFUNCTION("""COMPUTED_VALUE"""),"#VALUE!")</f>
        <v>#VALUE!</v>
      </c>
      <c r="BM666" t="str">
        <f ca="1">IFERROR(__xludf.DUMMYFUNCTION("""COMPUTED_VALUE"""),"#VALUE!")</f>
        <v>#VALUE!</v>
      </c>
      <c r="CS666" t="str">
        <f ca="1">IFERROR(__xludf.DUMMYFUNCTION("""COMPUTED_VALUE"""),"#VALUE!")</f>
        <v>#VALUE!</v>
      </c>
      <c r="CU666" t="str">
        <f ca="1">IFERROR(__xludf.DUMMYFUNCTION("""COMPUTED_VALUE"""),"#VALUE!")</f>
        <v>#VALUE!</v>
      </c>
      <c r="CW666" t="str">
        <f ca="1">IFERROR(__xludf.DUMMYFUNCTION("""COMPUTED_VALUE"""),"#VALUE!")</f>
        <v>#VALUE!</v>
      </c>
      <c r="CY666" t="str">
        <f ca="1">IFERROR(__xludf.DUMMYFUNCTION("""COMPUTED_VALUE"""),"#VALUE!")</f>
        <v>#VALUE!</v>
      </c>
      <c r="DC666" t="str">
        <f ca="1">IFERROR(__xludf.DUMMYFUNCTION("""COMPUTED_VALUE"""),"#VALUE!")</f>
        <v>#VALUE!</v>
      </c>
      <c r="DE666" t="str">
        <f ca="1">IFERROR(__xludf.DUMMYFUNCTION("""COMPUTED_VALUE"""),"#VALUE!")</f>
        <v>#VALUE!</v>
      </c>
    </row>
    <row r="667" spans="1:109" ht="13.2" x14ac:dyDescent="0.25">
      <c r="A667" t="str">
        <f ca="1">IFERROR(__xludf.DUMMYFUNCTION("""COMPUTED_VALUE"""),"P0676")</f>
        <v>P0676</v>
      </c>
      <c r="BC667" t="str">
        <f ca="1">IFERROR(__xludf.DUMMYFUNCTION("""COMPUTED_VALUE"""),"#VALUE!")</f>
        <v>#VALUE!</v>
      </c>
      <c r="BE667" t="str">
        <f ca="1">IFERROR(__xludf.DUMMYFUNCTION("""COMPUTED_VALUE"""),"#VALUE!")</f>
        <v>#VALUE!</v>
      </c>
      <c r="BG667" t="str">
        <f ca="1">IFERROR(__xludf.DUMMYFUNCTION("""COMPUTED_VALUE"""),"#VALUE!")</f>
        <v>#VALUE!</v>
      </c>
      <c r="BI667" t="str">
        <f ca="1">IFERROR(__xludf.DUMMYFUNCTION("""COMPUTED_VALUE"""),"#VALUE!")</f>
        <v>#VALUE!</v>
      </c>
      <c r="BK667" t="str">
        <f ca="1">IFERROR(__xludf.DUMMYFUNCTION("""COMPUTED_VALUE"""),"#VALUE!")</f>
        <v>#VALUE!</v>
      </c>
      <c r="BM667" t="str">
        <f ca="1">IFERROR(__xludf.DUMMYFUNCTION("""COMPUTED_VALUE"""),"#VALUE!")</f>
        <v>#VALUE!</v>
      </c>
      <c r="CS667" t="str">
        <f ca="1">IFERROR(__xludf.DUMMYFUNCTION("""COMPUTED_VALUE"""),"#VALUE!")</f>
        <v>#VALUE!</v>
      </c>
      <c r="CU667" t="str">
        <f ca="1">IFERROR(__xludf.DUMMYFUNCTION("""COMPUTED_VALUE"""),"#VALUE!")</f>
        <v>#VALUE!</v>
      </c>
      <c r="CW667" t="str">
        <f ca="1">IFERROR(__xludf.DUMMYFUNCTION("""COMPUTED_VALUE"""),"#VALUE!")</f>
        <v>#VALUE!</v>
      </c>
      <c r="CY667" t="str">
        <f ca="1">IFERROR(__xludf.DUMMYFUNCTION("""COMPUTED_VALUE"""),"#VALUE!")</f>
        <v>#VALUE!</v>
      </c>
      <c r="DC667" t="str">
        <f ca="1">IFERROR(__xludf.DUMMYFUNCTION("""COMPUTED_VALUE"""),"#VALUE!")</f>
        <v>#VALUE!</v>
      </c>
      <c r="DE667" t="str">
        <f ca="1">IFERROR(__xludf.DUMMYFUNCTION("""COMPUTED_VALUE"""),"#VALUE!")</f>
        <v>#VALUE!</v>
      </c>
    </row>
    <row r="668" spans="1:109" ht="13.2" x14ac:dyDescent="0.25">
      <c r="A668" t="str">
        <f ca="1">IFERROR(__xludf.DUMMYFUNCTION("""COMPUTED_VALUE"""),"P0677")</f>
        <v>P0677</v>
      </c>
      <c r="BC668" t="str">
        <f ca="1">IFERROR(__xludf.DUMMYFUNCTION("""COMPUTED_VALUE"""),"#VALUE!")</f>
        <v>#VALUE!</v>
      </c>
      <c r="BE668" t="str">
        <f ca="1">IFERROR(__xludf.DUMMYFUNCTION("""COMPUTED_VALUE"""),"#VALUE!")</f>
        <v>#VALUE!</v>
      </c>
      <c r="BG668" t="str">
        <f ca="1">IFERROR(__xludf.DUMMYFUNCTION("""COMPUTED_VALUE"""),"#VALUE!")</f>
        <v>#VALUE!</v>
      </c>
      <c r="BI668" t="str">
        <f ca="1">IFERROR(__xludf.DUMMYFUNCTION("""COMPUTED_VALUE"""),"#VALUE!")</f>
        <v>#VALUE!</v>
      </c>
      <c r="BK668" t="str">
        <f ca="1">IFERROR(__xludf.DUMMYFUNCTION("""COMPUTED_VALUE"""),"#VALUE!")</f>
        <v>#VALUE!</v>
      </c>
      <c r="BM668" t="str">
        <f ca="1">IFERROR(__xludf.DUMMYFUNCTION("""COMPUTED_VALUE"""),"#VALUE!")</f>
        <v>#VALUE!</v>
      </c>
      <c r="CS668" t="str">
        <f ca="1">IFERROR(__xludf.DUMMYFUNCTION("""COMPUTED_VALUE"""),"#VALUE!")</f>
        <v>#VALUE!</v>
      </c>
      <c r="CU668" t="str">
        <f ca="1">IFERROR(__xludf.DUMMYFUNCTION("""COMPUTED_VALUE"""),"#VALUE!")</f>
        <v>#VALUE!</v>
      </c>
      <c r="CW668" t="str">
        <f ca="1">IFERROR(__xludf.DUMMYFUNCTION("""COMPUTED_VALUE"""),"#VALUE!")</f>
        <v>#VALUE!</v>
      </c>
      <c r="CY668" t="str">
        <f ca="1">IFERROR(__xludf.DUMMYFUNCTION("""COMPUTED_VALUE"""),"#VALUE!")</f>
        <v>#VALUE!</v>
      </c>
      <c r="DC668" t="str">
        <f ca="1">IFERROR(__xludf.DUMMYFUNCTION("""COMPUTED_VALUE"""),"#VALUE!")</f>
        <v>#VALUE!</v>
      </c>
      <c r="DE668" t="str">
        <f ca="1">IFERROR(__xludf.DUMMYFUNCTION("""COMPUTED_VALUE"""),"#VALUE!")</f>
        <v>#VALUE!</v>
      </c>
    </row>
    <row r="669" spans="1:109" ht="13.2" x14ac:dyDescent="0.25">
      <c r="A669" t="str">
        <f ca="1">IFERROR(__xludf.DUMMYFUNCTION("""COMPUTED_VALUE"""),"P0678")</f>
        <v>P0678</v>
      </c>
      <c r="BC669" t="str">
        <f ca="1">IFERROR(__xludf.DUMMYFUNCTION("""COMPUTED_VALUE"""),"#VALUE!")</f>
        <v>#VALUE!</v>
      </c>
      <c r="BE669" t="str">
        <f ca="1">IFERROR(__xludf.DUMMYFUNCTION("""COMPUTED_VALUE"""),"#VALUE!")</f>
        <v>#VALUE!</v>
      </c>
      <c r="BG669" t="str">
        <f ca="1">IFERROR(__xludf.DUMMYFUNCTION("""COMPUTED_VALUE"""),"#VALUE!")</f>
        <v>#VALUE!</v>
      </c>
      <c r="BI669" t="str">
        <f ca="1">IFERROR(__xludf.DUMMYFUNCTION("""COMPUTED_VALUE"""),"#VALUE!")</f>
        <v>#VALUE!</v>
      </c>
      <c r="BK669" t="str">
        <f ca="1">IFERROR(__xludf.DUMMYFUNCTION("""COMPUTED_VALUE"""),"#VALUE!")</f>
        <v>#VALUE!</v>
      </c>
      <c r="BM669" t="str">
        <f ca="1">IFERROR(__xludf.DUMMYFUNCTION("""COMPUTED_VALUE"""),"#VALUE!")</f>
        <v>#VALUE!</v>
      </c>
      <c r="CS669" t="str">
        <f ca="1">IFERROR(__xludf.DUMMYFUNCTION("""COMPUTED_VALUE"""),"#VALUE!")</f>
        <v>#VALUE!</v>
      </c>
      <c r="CU669" t="str">
        <f ca="1">IFERROR(__xludf.DUMMYFUNCTION("""COMPUTED_VALUE"""),"#VALUE!")</f>
        <v>#VALUE!</v>
      </c>
      <c r="CW669" t="str">
        <f ca="1">IFERROR(__xludf.DUMMYFUNCTION("""COMPUTED_VALUE"""),"#VALUE!")</f>
        <v>#VALUE!</v>
      </c>
      <c r="CY669" t="str">
        <f ca="1">IFERROR(__xludf.DUMMYFUNCTION("""COMPUTED_VALUE"""),"#VALUE!")</f>
        <v>#VALUE!</v>
      </c>
      <c r="DC669" t="str">
        <f ca="1">IFERROR(__xludf.DUMMYFUNCTION("""COMPUTED_VALUE"""),"#VALUE!")</f>
        <v>#VALUE!</v>
      </c>
      <c r="DE669" t="str">
        <f ca="1">IFERROR(__xludf.DUMMYFUNCTION("""COMPUTED_VALUE"""),"#VALUE!")</f>
        <v>#VALUE!</v>
      </c>
    </row>
    <row r="670" spans="1:109" ht="13.2" x14ac:dyDescent="0.25">
      <c r="A670" t="str">
        <f ca="1">IFERROR(__xludf.DUMMYFUNCTION("""COMPUTED_VALUE"""),"P0679")</f>
        <v>P0679</v>
      </c>
      <c r="BC670" t="str">
        <f ca="1">IFERROR(__xludf.DUMMYFUNCTION("""COMPUTED_VALUE"""),"#VALUE!")</f>
        <v>#VALUE!</v>
      </c>
      <c r="BE670" t="str">
        <f ca="1">IFERROR(__xludf.DUMMYFUNCTION("""COMPUTED_VALUE"""),"#VALUE!")</f>
        <v>#VALUE!</v>
      </c>
      <c r="BG670" t="str">
        <f ca="1">IFERROR(__xludf.DUMMYFUNCTION("""COMPUTED_VALUE"""),"#VALUE!")</f>
        <v>#VALUE!</v>
      </c>
      <c r="BI670" t="str">
        <f ca="1">IFERROR(__xludf.DUMMYFUNCTION("""COMPUTED_VALUE"""),"#VALUE!")</f>
        <v>#VALUE!</v>
      </c>
      <c r="BK670" t="str">
        <f ca="1">IFERROR(__xludf.DUMMYFUNCTION("""COMPUTED_VALUE"""),"#VALUE!")</f>
        <v>#VALUE!</v>
      </c>
      <c r="BM670" t="str">
        <f ca="1">IFERROR(__xludf.DUMMYFUNCTION("""COMPUTED_VALUE"""),"#VALUE!")</f>
        <v>#VALUE!</v>
      </c>
      <c r="CS670" t="str">
        <f ca="1">IFERROR(__xludf.DUMMYFUNCTION("""COMPUTED_VALUE"""),"#VALUE!")</f>
        <v>#VALUE!</v>
      </c>
      <c r="CU670" t="str">
        <f ca="1">IFERROR(__xludf.DUMMYFUNCTION("""COMPUTED_VALUE"""),"#VALUE!")</f>
        <v>#VALUE!</v>
      </c>
      <c r="CW670" t="str">
        <f ca="1">IFERROR(__xludf.DUMMYFUNCTION("""COMPUTED_VALUE"""),"#VALUE!")</f>
        <v>#VALUE!</v>
      </c>
      <c r="CY670" t="str">
        <f ca="1">IFERROR(__xludf.DUMMYFUNCTION("""COMPUTED_VALUE"""),"#VALUE!")</f>
        <v>#VALUE!</v>
      </c>
      <c r="DC670" t="str">
        <f ca="1">IFERROR(__xludf.DUMMYFUNCTION("""COMPUTED_VALUE"""),"#VALUE!")</f>
        <v>#VALUE!</v>
      </c>
      <c r="DE670" t="str">
        <f ca="1">IFERROR(__xludf.DUMMYFUNCTION("""COMPUTED_VALUE"""),"#VALUE!")</f>
        <v>#VALUE!</v>
      </c>
    </row>
    <row r="671" spans="1:109" ht="13.2" x14ac:dyDescent="0.25">
      <c r="A671" t="str">
        <f ca="1">IFERROR(__xludf.DUMMYFUNCTION("""COMPUTED_VALUE"""),"P0680")</f>
        <v>P0680</v>
      </c>
      <c r="BC671" t="str">
        <f ca="1">IFERROR(__xludf.DUMMYFUNCTION("""COMPUTED_VALUE"""),"#VALUE!")</f>
        <v>#VALUE!</v>
      </c>
      <c r="BE671" t="str">
        <f ca="1">IFERROR(__xludf.DUMMYFUNCTION("""COMPUTED_VALUE"""),"#VALUE!")</f>
        <v>#VALUE!</v>
      </c>
      <c r="BG671" t="str">
        <f ca="1">IFERROR(__xludf.DUMMYFUNCTION("""COMPUTED_VALUE"""),"#VALUE!")</f>
        <v>#VALUE!</v>
      </c>
      <c r="BI671" t="str">
        <f ca="1">IFERROR(__xludf.DUMMYFUNCTION("""COMPUTED_VALUE"""),"#VALUE!")</f>
        <v>#VALUE!</v>
      </c>
      <c r="BK671" t="str">
        <f ca="1">IFERROR(__xludf.DUMMYFUNCTION("""COMPUTED_VALUE"""),"#VALUE!")</f>
        <v>#VALUE!</v>
      </c>
      <c r="BM671" t="str">
        <f ca="1">IFERROR(__xludf.DUMMYFUNCTION("""COMPUTED_VALUE"""),"#VALUE!")</f>
        <v>#VALUE!</v>
      </c>
      <c r="CS671" t="str">
        <f ca="1">IFERROR(__xludf.DUMMYFUNCTION("""COMPUTED_VALUE"""),"#VALUE!")</f>
        <v>#VALUE!</v>
      </c>
      <c r="CU671" t="str">
        <f ca="1">IFERROR(__xludf.DUMMYFUNCTION("""COMPUTED_VALUE"""),"#VALUE!")</f>
        <v>#VALUE!</v>
      </c>
      <c r="CW671" t="str">
        <f ca="1">IFERROR(__xludf.DUMMYFUNCTION("""COMPUTED_VALUE"""),"#VALUE!")</f>
        <v>#VALUE!</v>
      </c>
      <c r="CY671" t="str">
        <f ca="1">IFERROR(__xludf.DUMMYFUNCTION("""COMPUTED_VALUE"""),"#VALUE!")</f>
        <v>#VALUE!</v>
      </c>
      <c r="DC671" t="str">
        <f ca="1">IFERROR(__xludf.DUMMYFUNCTION("""COMPUTED_VALUE"""),"#VALUE!")</f>
        <v>#VALUE!</v>
      </c>
      <c r="DE671" t="str">
        <f ca="1">IFERROR(__xludf.DUMMYFUNCTION("""COMPUTED_VALUE"""),"#VALUE!")</f>
        <v>#VALUE!</v>
      </c>
    </row>
    <row r="672" spans="1:109" ht="13.2" x14ac:dyDescent="0.25">
      <c r="A672" t="str">
        <f ca="1">IFERROR(__xludf.DUMMYFUNCTION("""COMPUTED_VALUE"""),"P0681")</f>
        <v>P0681</v>
      </c>
      <c r="BC672" t="str">
        <f ca="1">IFERROR(__xludf.DUMMYFUNCTION("""COMPUTED_VALUE"""),"#VALUE!")</f>
        <v>#VALUE!</v>
      </c>
      <c r="BE672" t="str">
        <f ca="1">IFERROR(__xludf.DUMMYFUNCTION("""COMPUTED_VALUE"""),"#VALUE!")</f>
        <v>#VALUE!</v>
      </c>
      <c r="BG672" t="str">
        <f ca="1">IFERROR(__xludf.DUMMYFUNCTION("""COMPUTED_VALUE"""),"#VALUE!")</f>
        <v>#VALUE!</v>
      </c>
      <c r="BI672" t="str">
        <f ca="1">IFERROR(__xludf.DUMMYFUNCTION("""COMPUTED_VALUE"""),"#VALUE!")</f>
        <v>#VALUE!</v>
      </c>
      <c r="BK672" t="str">
        <f ca="1">IFERROR(__xludf.DUMMYFUNCTION("""COMPUTED_VALUE"""),"#VALUE!")</f>
        <v>#VALUE!</v>
      </c>
      <c r="BM672" t="str">
        <f ca="1">IFERROR(__xludf.DUMMYFUNCTION("""COMPUTED_VALUE"""),"#VALUE!")</f>
        <v>#VALUE!</v>
      </c>
      <c r="CS672" t="str">
        <f ca="1">IFERROR(__xludf.DUMMYFUNCTION("""COMPUTED_VALUE"""),"#VALUE!")</f>
        <v>#VALUE!</v>
      </c>
      <c r="CU672" t="str">
        <f ca="1">IFERROR(__xludf.DUMMYFUNCTION("""COMPUTED_VALUE"""),"#VALUE!")</f>
        <v>#VALUE!</v>
      </c>
      <c r="CW672" t="str">
        <f ca="1">IFERROR(__xludf.DUMMYFUNCTION("""COMPUTED_VALUE"""),"#VALUE!")</f>
        <v>#VALUE!</v>
      </c>
      <c r="CY672" t="str">
        <f ca="1">IFERROR(__xludf.DUMMYFUNCTION("""COMPUTED_VALUE"""),"#VALUE!")</f>
        <v>#VALUE!</v>
      </c>
      <c r="DC672" t="str">
        <f ca="1">IFERROR(__xludf.DUMMYFUNCTION("""COMPUTED_VALUE"""),"#VALUE!")</f>
        <v>#VALUE!</v>
      </c>
      <c r="DE672" t="str">
        <f ca="1">IFERROR(__xludf.DUMMYFUNCTION("""COMPUTED_VALUE"""),"#VALUE!")</f>
        <v>#VALUE!</v>
      </c>
    </row>
    <row r="673" spans="1:109" ht="13.2" x14ac:dyDescent="0.25">
      <c r="A673" t="str">
        <f ca="1">IFERROR(__xludf.DUMMYFUNCTION("""COMPUTED_VALUE"""),"P0682")</f>
        <v>P0682</v>
      </c>
      <c r="BC673" t="str">
        <f ca="1">IFERROR(__xludf.DUMMYFUNCTION("""COMPUTED_VALUE"""),"#VALUE!")</f>
        <v>#VALUE!</v>
      </c>
      <c r="BE673" t="str">
        <f ca="1">IFERROR(__xludf.DUMMYFUNCTION("""COMPUTED_VALUE"""),"#VALUE!")</f>
        <v>#VALUE!</v>
      </c>
      <c r="BG673" t="str">
        <f ca="1">IFERROR(__xludf.DUMMYFUNCTION("""COMPUTED_VALUE"""),"#VALUE!")</f>
        <v>#VALUE!</v>
      </c>
      <c r="BI673" t="str">
        <f ca="1">IFERROR(__xludf.DUMMYFUNCTION("""COMPUTED_VALUE"""),"#VALUE!")</f>
        <v>#VALUE!</v>
      </c>
      <c r="BK673" t="str">
        <f ca="1">IFERROR(__xludf.DUMMYFUNCTION("""COMPUTED_VALUE"""),"#VALUE!")</f>
        <v>#VALUE!</v>
      </c>
      <c r="BM673" t="str">
        <f ca="1">IFERROR(__xludf.DUMMYFUNCTION("""COMPUTED_VALUE"""),"#VALUE!")</f>
        <v>#VALUE!</v>
      </c>
      <c r="CS673" t="str">
        <f ca="1">IFERROR(__xludf.DUMMYFUNCTION("""COMPUTED_VALUE"""),"#VALUE!")</f>
        <v>#VALUE!</v>
      </c>
      <c r="CU673" t="str">
        <f ca="1">IFERROR(__xludf.DUMMYFUNCTION("""COMPUTED_VALUE"""),"#VALUE!")</f>
        <v>#VALUE!</v>
      </c>
      <c r="CW673" t="str">
        <f ca="1">IFERROR(__xludf.DUMMYFUNCTION("""COMPUTED_VALUE"""),"#VALUE!")</f>
        <v>#VALUE!</v>
      </c>
      <c r="CY673" t="str">
        <f ca="1">IFERROR(__xludf.DUMMYFUNCTION("""COMPUTED_VALUE"""),"#VALUE!")</f>
        <v>#VALUE!</v>
      </c>
      <c r="DC673" t="str">
        <f ca="1">IFERROR(__xludf.DUMMYFUNCTION("""COMPUTED_VALUE"""),"#VALUE!")</f>
        <v>#VALUE!</v>
      </c>
      <c r="DE673" t="str">
        <f ca="1">IFERROR(__xludf.DUMMYFUNCTION("""COMPUTED_VALUE"""),"#VALUE!")</f>
        <v>#VALUE!</v>
      </c>
    </row>
    <row r="674" spans="1:109" ht="13.2" x14ac:dyDescent="0.25">
      <c r="A674" t="str">
        <f ca="1">IFERROR(__xludf.DUMMYFUNCTION("""COMPUTED_VALUE"""),"P0683")</f>
        <v>P0683</v>
      </c>
      <c r="BC674" t="str">
        <f ca="1">IFERROR(__xludf.DUMMYFUNCTION("""COMPUTED_VALUE"""),"#VALUE!")</f>
        <v>#VALUE!</v>
      </c>
      <c r="BE674" t="str">
        <f ca="1">IFERROR(__xludf.DUMMYFUNCTION("""COMPUTED_VALUE"""),"#VALUE!")</f>
        <v>#VALUE!</v>
      </c>
      <c r="BG674" t="str">
        <f ca="1">IFERROR(__xludf.DUMMYFUNCTION("""COMPUTED_VALUE"""),"#VALUE!")</f>
        <v>#VALUE!</v>
      </c>
      <c r="BI674" t="str">
        <f ca="1">IFERROR(__xludf.DUMMYFUNCTION("""COMPUTED_VALUE"""),"#VALUE!")</f>
        <v>#VALUE!</v>
      </c>
      <c r="BK674" t="str">
        <f ca="1">IFERROR(__xludf.DUMMYFUNCTION("""COMPUTED_VALUE"""),"#VALUE!")</f>
        <v>#VALUE!</v>
      </c>
      <c r="BM674" t="str">
        <f ca="1">IFERROR(__xludf.DUMMYFUNCTION("""COMPUTED_VALUE"""),"#VALUE!")</f>
        <v>#VALUE!</v>
      </c>
      <c r="CS674" t="str">
        <f ca="1">IFERROR(__xludf.DUMMYFUNCTION("""COMPUTED_VALUE"""),"#VALUE!")</f>
        <v>#VALUE!</v>
      </c>
      <c r="CU674" t="str">
        <f ca="1">IFERROR(__xludf.DUMMYFUNCTION("""COMPUTED_VALUE"""),"#VALUE!")</f>
        <v>#VALUE!</v>
      </c>
      <c r="CW674" t="str">
        <f ca="1">IFERROR(__xludf.DUMMYFUNCTION("""COMPUTED_VALUE"""),"#VALUE!")</f>
        <v>#VALUE!</v>
      </c>
      <c r="CY674" t="str">
        <f ca="1">IFERROR(__xludf.DUMMYFUNCTION("""COMPUTED_VALUE"""),"#VALUE!")</f>
        <v>#VALUE!</v>
      </c>
      <c r="DC674" t="str">
        <f ca="1">IFERROR(__xludf.DUMMYFUNCTION("""COMPUTED_VALUE"""),"#VALUE!")</f>
        <v>#VALUE!</v>
      </c>
      <c r="DE674" t="str">
        <f ca="1">IFERROR(__xludf.DUMMYFUNCTION("""COMPUTED_VALUE"""),"#VALUE!")</f>
        <v>#VALUE!</v>
      </c>
    </row>
    <row r="675" spans="1:109" ht="13.2" x14ac:dyDescent="0.25">
      <c r="A675" t="str">
        <f ca="1">IFERROR(__xludf.DUMMYFUNCTION("""COMPUTED_VALUE"""),"P0684")</f>
        <v>P0684</v>
      </c>
      <c r="BC675" t="str">
        <f ca="1">IFERROR(__xludf.DUMMYFUNCTION("""COMPUTED_VALUE"""),"#VALUE!")</f>
        <v>#VALUE!</v>
      </c>
      <c r="BE675" t="str">
        <f ca="1">IFERROR(__xludf.DUMMYFUNCTION("""COMPUTED_VALUE"""),"#VALUE!")</f>
        <v>#VALUE!</v>
      </c>
      <c r="BG675" t="str">
        <f ca="1">IFERROR(__xludf.DUMMYFUNCTION("""COMPUTED_VALUE"""),"#VALUE!")</f>
        <v>#VALUE!</v>
      </c>
      <c r="BI675" t="str">
        <f ca="1">IFERROR(__xludf.DUMMYFUNCTION("""COMPUTED_VALUE"""),"#VALUE!")</f>
        <v>#VALUE!</v>
      </c>
      <c r="BK675" t="str">
        <f ca="1">IFERROR(__xludf.DUMMYFUNCTION("""COMPUTED_VALUE"""),"#VALUE!")</f>
        <v>#VALUE!</v>
      </c>
      <c r="BM675" t="str">
        <f ca="1">IFERROR(__xludf.DUMMYFUNCTION("""COMPUTED_VALUE"""),"#VALUE!")</f>
        <v>#VALUE!</v>
      </c>
      <c r="CS675" t="str">
        <f ca="1">IFERROR(__xludf.DUMMYFUNCTION("""COMPUTED_VALUE"""),"#VALUE!")</f>
        <v>#VALUE!</v>
      </c>
      <c r="CU675" t="str">
        <f ca="1">IFERROR(__xludf.DUMMYFUNCTION("""COMPUTED_VALUE"""),"#VALUE!")</f>
        <v>#VALUE!</v>
      </c>
      <c r="CW675" t="str">
        <f ca="1">IFERROR(__xludf.DUMMYFUNCTION("""COMPUTED_VALUE"""),"#VALUE!")</f>
        <v>#VALUE!</v>
      </c>
      <c r="CY675" t="str">
        <f ca="1">IFERROR(__xludf.DUMMYFUNCTION("""COMPUTED_VALUE"""),"#VALUE!")</f>
        <v>#VALUE!</v>
      </c>
      <c r="DC675" t="str">
        <f ca="1">IFERROR(__xludf.DUMMYFUNCTION("""COMPUTED_VALUE"""),"#VALUE!")</f>
        <v>#VALUE!</v>
      </c>
      <c r="DE675" t="str">
        <f ca="1">IFERROR(__xludf.DUMMYFUNCTION("""COMPUTED_VALUE"""),"#VALUE!")</f>
        <v>#VALUE!</v>
      </c>
    </row>
    <row r="676" spans="1:109" ht="13.2" x14ac:dyDescent="0.25">
      <c r="A676" t="str">
        <f ca="1">IFERROR(__xludf.DUMMYFUNCTION("""COMPUTED_VALUE"""),"P0685")</f>
        <v>P0685</v>
      </c>
      <c r="BC676" t="str">
        <f ca="1">IFERROR(__xludf.DUMMYFUNCTION("""COMPUTED_VALUE"""),"#VALUE!")</f>
        <v>#VALUE!</v>
      </c>
      <c r="BE676" t="str">
        <f ca="1">IFERROR(__xludf.DUMMYFUNCTION("""COMPUTED_VALUE"""),"#VALUE!")</f>
        <v>#VALUE!</v>
      </c>
      <c r="BG676" t="str">
        <f ca="1">IFERROR(__xludf.DUMMYFUNCTION("""COMPUTED_VALUE"""),"#VALUE!")</f>
        <v>#VALUE!</v>
      </c>
      <c r="BI676" t="str">
        <f ca="1">IFERROR(__xludf.DUMMYFUNCTION("""COMPUTED_VALUE"""),"#VALUE!")</f>
        <v>#VALUE!</v>
      </c>
      <c r="BK676" t="str">
        <f ca="1">IFERROR(__xludf.DUMMYFUNCTION("""COMPUTED_VALUE"""),"#VALUE!")</f>
        <v>#VALUE!</v>
      </c>
      <c r="BM676" t="str">
        <f ca="1">IFERROR(__xludf.DUMMYFUNCTION("""COMPUTED_VALUE"""),"#VALUE!")</f>
        <v>#VALUE!</v>
      </c>
      <c r="CS676" t="str">
        <f ca="1">IFERROR(__xludf.DUMMYFUNCTION("""COMPUTED_VALUE"""),"#VALUE!")</f>
        <v>#VALUE!</v>
      </c>
      <c r="CU676" t="str">
        <f ca="1">IFERROR(__xludf.DUMMYFUNCTION("""COMPUTED_VALUE"""),"#VALUE!")</f>
        <v>#VALUE!</v>
      </c>
      <c r="CW676" t="str">
        <f ca="1">IFERROR(__xludf.DUMMYFUNCTION("""COMPUTED_VALUE"""),"#VALUE!")</f>
        <v>#VALUE!</v>
      </c>
      <c r="CY676" t="str">
        <f ca="1">IFERROR(__xludf.DUMMYFUNCTION("""COMPUTED_VALUE"""),"#VALUE!")</f>
        <v>#VALUE!</v>
      </c>
      <c r="DC676" t="str">
        <f ca="1">IFERROR(__xludf.DUMMYFUNCTION("""COMPUTED_VALUE"""),"#VALUE!")</f>
        <v>#VALUE!</v>
      </c>
      <c r="DE676" t="str">
        <f ca="1">IFERROR(__xludf.DUMMYFUNCTION("""COMPUTED_VALUE"""),"#VALUE!")</f>
        <v>#VALUE!</v>
      </c>
    </row>
    <row r="677" spans="1:109" ht="13.2" x14ac:dyDescent="0.25">
      <c r="A677" t="str">
        <f ca="1">IFERROR(__xludf.DUMMYFUNCTION("""COMPUTED_VALUE"""),"P0686")</f>
        <v>P0686</v>
      </c>
      <c r="BC677" t="str">
        <f ca="1">IFERROR(__xludf.DUMMYFUNCTION("""COMPUTED_VALUE"""),"#VALUE!")</f>
        <v>#VALUE!</v>
      </c>
      <c r="BE677" t="str">
        <f ca="1">IFERROR(__xludf.DUMMYFUNCTION("""COMPUTED_VALUE"""),"#VALUE!")</f>
        <v>#VALUE!</v>
      </c>
      <c r="BG677" t="str">
        <f ca="1">IFERROR(__xludf.DUMMYFUNCTION("""COMPUTED_VALUE"""),"#VALUE!")</f>
        <v>#VALUE!</v>
      </c>
      <c r="BI677" t="str">
        <f ca="1">IFERROR(__xludf.DUMMYFUNCTION("""COMPUTED_VALUE"""),"#VALUE!")</f>
        <v>#VALUE!</v>
      </c>
      <c r="BK677" t="str">
        <f ca="1">IFERROR(__xludf.DUMMYFUNCTION("""COMPUTED_VALUE"""),"#VALUE!")</f>
        <v>#VALUE!</v>
      </c>
      <c r="BM677" t="str">
        <f ca="1">IFERROR(__xludf.DUMMYFUNCTION("""COMPUTED_VALUE"""),"#VALUE!")</f>
        <v>#VALUE!</v>
      </c>
      <c r="CS677" t="str">
        <f ca="1">IFERROR(__xludf.DUMMYFUNCTION("""COMPUTED_VALUE"""),"#VALUE!")</f>
        <v>#VALUE!</v>
      </c>
      <c r="CU677" t="str">
        <f ca="1">IFERROR(__xludf.DUMMYFUNCTION("""COMPUTED_VALUE"""),"#VALUE!")</f>
        <v>#VALUE!</v>
      </c>
      <c r="CW677" t="str">
        <f ca="1">IFERROR(__xludf.DUMMYFUNCTION("""COMPUTED_VALUE"""),"#VALUE!")</f>
        <v>#VALUE!</v>
      </c>
      <c r="CY677" t="str">
        <f ca="1">IFERROR(__xludf.DUMMYFUNCTION("""COMPUTED_VALUE"""),"#VALUE!")</f>
        <v>#VALUE!</v>
      </c>
      <c r="DC677" t="str">
        <f ca="1">IFERROR(__xludf.DUMMYFUNCTION("""COMPUTED_VALUE"""),"#VALUE!")</f>
        <v>#VALUE!</v>
      </c>
      <c r="DE677" t="str">
        <f ca="1">IFERROR(__xludf.DUMMYFUNCTION("""COMPUTED_VALUE"""),"#VALUE!")</f>
        <v>#VALUE!</v>
      </c>
    </row>
    <row r="678" spans="1:109" ht="13.2" x14ac:dyDescent="0.25">
      <c r="A678" t="str">
        <f ca="1">IFERROR(__xludf.DUMMYFUNCTION("""COMPUTED_VALUE"""),"P0687")</f>
        <v>P0687</v>
      </c>
      <c r="BC678" t="str">
        <f ca="1">IFERROR(__xludf.DUMMYFUNCTION("""COMPUTED_VALUE"""),"#VALUE!")</f>
        <v>#VALUE!</v>
      </c>
      <c r="BE678" t="str">
        <f ca="1">IFERROR(__xludf.DUMMYFUNCTION("""COMPUTED_VALUE"""),"#VALUE!")</f>
        <v>#VALUE!</v>
      </c>
      <c r="BG678" t="str">
        <f ca="1">IFERROR(__xludf.DUMMYFUNCTION("""COMPUTED_VALUE"""),"#VALUE!")</f>
        <v>#VALUE!</v>
      </c>
      <c r="BI678" t="str">
        <f ca="1">IFERROR(__xludf.DUMMYFUNCTION("""COMPUTED_VALUE"""),"#VALUE!")</f>
        <v>#VALUE!</v>
      </c>
      <c r="BK678" t="str">
        <f ca="1">IFERROR(__xludf.DUMMYFUNCTION("""COMPUTED_VALUE"""),"#VALUE!")</f>
        <v>#VALUE!</v>
      </c>
      <c r="BM678" t="str">
        <f ca="1">IFERROR(__xludf.DUMMYFUNCTION("""COMPUTED_VALUE"""),"#VALUE!")</f>
        <v>#VALUE!</v>
      </c>
      <c r="CS678" t="str">
        <f ca="1">IFERROR(__xludf.DUMMYFUNCTION("""COMPUTED_VALUE"""),"#VALUE!")</f>
        <v>#VALUE!</v>
      </c>
      <c r="CU678" t="str">
        <f ca="1">IFERROR(__xludf.DUMMYFUNCTION("""COMPUTED_VALUE"""),"#VALUE!")</f>
        <v>#VALUE!</v>
      </c>
      <c r="CW678" t="str">
        <f ca="1">IFERROR(__xludf.DUMMYFUNCTION("""COMPUTED_VALUE"""),"#VALUE!")</f>
        <v>#VALUE!</v>
      </c>
      <c r="CY678" t="str">
        <f ca="1">IFERROR(__xludf.DUMMYFUNCTION("""COMPUTED_VALUE"""),"#VALUE!")</f>
        <v>#VALUE!</v>
      </c>
      <c r="DC678" t="str">
        <f ca="1">IFERROR(__xludf.DUMMYFUNCTION("""COMPUTED_VALUE"""),"#VALUE!")</f>
        <v>#VALUE!</v>
      </c>
      <c r="DE678" t="str">
        <f ca="1">IFERROR(__xludf.DUMMYFUNCTION("""COMPUTED_VALUE"""),"#VALUE!")</f>
        <v>#VALUE!</v>
      </c>
    </row>
    <row r="679" spans="1:109" ht="13.2" x14ac:dyDescent="0.25">
      <c r="A679" t="str">
        <f ca="1">IFERROR(__xludf.DUMMYFUNCTION("""COMPUTED_VALUE"""),"P0688")</f>
        <v>P0688</v>
      </c>
      <c r="BC679" t="str">
        <f ca="1">IFERROR(__xludf.DUMMYFUNCTION("""COMPUTED_VALUE"""),"#VALUE!")</f>
        <v>#VALUE!</v>
      </c>
      <c r="BE679" t="str">
        <f ca="1">IFERROR(__xludf.DUMMYFUNCTION("""COMPUTED_VALUE"""),"#VALUE!")</f>
        <v>#VALUE!</v>
      </c>
      <c r="BG679" t="str">
        <f ca="1">IFERROR(__xludf.DUMMYFUNCTION("""COMPUTED_VALUE"""),"#VALUE!")</f>
        <v>#VALUE!</v>
      </c>
      <c r="BI679" t="str">
        <f ca="1">IFERROR(__xludf.DUMMYFUNCTION("""COMPUTED_VALUE"""),"#VALUE!")</f>
        <v>#VALUE!</v>
      </c>
      <c r="BK679" t="str">
        <f ca="1">IFERROR(__xludf.DUMMYFUNCTION("""COMPUTED_VALUE"""),"#VALUE!")</f>
        <v>#VALUE!</v>
      </c>
      <c r="BM679" t="str">
        <f ca="1">IFERROR(__xludf.DUMMYFUNCTION("""COMPUTED_VALUE"""),"#VALUE!")</f>
        <v>#VALUE!</v>
      </c>
      <c r="CS679" t="str">
        <f ca="1">IFERROR(__xludf.DUMMYFUNCTION("""COMPUTED_VALUE"""),"#VALUE!")</f>
        <v>#VALUE!</v>
      </c>
      <c r="CU679" t="str">
        <f ca="1">IFERROR(__xludf.DUMMYFUNCTION("""COMPUTED_VALUE"""),"#VALUE!")</f>
        <v>#VALUE!</v>
      </c>
      <c r="CW679" t="str">
        <f ca="1">IFERROR(__xludf.DUMMYFUNCTION("""COMPUTED_VALUE"""),"#VALUE!")</f>
        <v>#VALUE!</v>
      </c>
      <c r="CY679" t="str">
        <f ca="1">IFERROR(__xludf.DUMMYFUNCTION("""COMPUTED_VALUE"""),"#VALUE!")</f>
        <v>#VALUE!</v>
      </c>
      <c r="DC679" t="str">
        <f ca="1">IFERROR(__xludf.DUMMYFUNCTION("""COMPUTED_VALUE"""),"#VALUE!")</f>
        <v>#VALUE!</v>
      </c>
      <c r="DE679" t="str">
        <f ca="1">IFERROR(__xludf.DUMMYFUNCTION("""COMPUTED_VALUE"""),"#VALUE!")</f>
        <v>#VALUE!</v>
      </c>
    </row>
    <row r="680" spans="1:109" ht="13.2" x14ac:dyDescent="0.25">
      <c r="A680" t="str">
        <f ca="1">IFERROR(__xludf.DUMMYFUNCTION("""COMPUTED_VALUE"""),"P0689")</f>
        <v>P0689</v>
      </c>
      <c r="BC680" t="str">
        <f ca="1">IFERROR(__xludf.DUMMYFUNCTION("""COMPUTED_VALUE"""),"#VALUE!")</f>
        <v>#VALUE!</v>
      </c>
      <c r="BE680" t="str">
        <f ca="1">IFERROR(__xludf.DUMMYFUNCTION("""COMPUTED_VALUE"""),"#VALUE!")</f>
        <v>#VALUE!</v>
      </c>
      <c r="BG680" t="str">
        <f ca="1">IFERROR(__xludf.DUMMYFUNCTION("""COMPUTED_VALUE"""),"#VALUE!")</f>
        <v>#VALUE!</v>
      </c>
      <c r="BI680" t="str">
        <f ca="1">IFERROR(__xludf.DUMMYFUNCTION("""COMPUTED_VALUE"""),"#VALUE!")</f>
        <v>#VALUE!</v>
      </c>
      <c r="BK680" t="str">
        <f ca="1">IFERROR(__xludf.DUMMYFUNCTION("""COMPUTED_VALUE"""),"#VALUE!")</f>
        <v>#VALUE!</v>
      </c>
      <c r="BM680" t="str">
        <f ca="1">IFERROR(__xludf.DUMMYFUNCTION("""COMPUTED_VALUE"""),"#VALUE!")</f>
        <v>#VALUE!</v>
      </c>
      <c r="CS680" t="str">
        <f ca="1">IFERROR(__xludf.DUMMYFUNCTION("""COMPUTED_VALUE"""),"#VALUE!")</f>
        <v>#VALUE!</v>
      </c>
      <c r="CU680" t="str">
        <f ca="1">IFERROR(__xludf.DUMMYFUNCTION("""COMPUTED_VALUE"""),"#VALUE!")</f>
        <v>#VALUE!</v>
      </c>
      <c r="CW680" t="str">
        <f ca="1">IFERROR(__xludf.DUMMYFUNCTION("""COMPUTED_VALUE"""),"#VALUE!")</f>
        <v>#VALUE!</v>
      </c>
      <c r="CY680" t="str">
        <f ca="1">IFERROR(__xludf.DUMMYFUNCTION("""COMPUTED_VALUE"""),"#VALUE!")</f>
        <v>#VALUE!</v>
      </c>
      <c r="DC680" t="str">
        <f ca="1">IFERROR(__xludf.DUMMYFUNCTION("""COMPUTED_VALUE"""),"#VALUE!")</f>
        <v>#VALUE!</v>
      </c>
      <c r="DE680" t="str">
        <f ca="1">IFERROR(__xludf.DUMMYFUNCTION("""COMPUTED_VALUE"""),"#VALUE!")</f>
        <v>#VALUE!</v>
      </c>
    </row>
    <row r="681" spans="1:109" ht="13.2" x14ac:dyDescent="0.25">
      <c r="A681" t="str">
        <f ca="1">IFERROR(__xludf.DUMMYFUNCTION("""COMPUTED_VALUE"""),"P0690")</f>
        <v>P0690</v>
      </c>
      <c r="BC681" t="str">
        <f ca="1">IFERROR(__xludf.DUMMYFUNCTION("""COMPUTED_VALUE"""),"#VALUE!")</f>
        <v>#VALUE!</v>
      </c>
      <c r="BE681" t="str">
        <f ca="1">IFERROR(__xludf.DUMMYFUNCTION("""COMPUTED_VALUE"""),"#VALUE!")</f>
        <v>#VALUE!</v>
      </c>
      <c r="BG681" t="str">
        <f ca="1">IFERROR(__xludf.DUMMYFUNCTION("""COMPUTED_VALUE"""),"#VALUE!")</f>
        <v>#VALUE!</v>
      </c>
      <c r="BI681" t="str">
        <f ca="1">IFERROR(__xludf.DUMMYFUNCTION("""COMPUTED_VALUE"""),"#VALUE!")</f>
        <v>#VALUE!</v>
      </c>
      <c r="BK681" t="str">
        <f ca="1">IFERROR(__xludf.DUMMYFUNCTION("""COMPUTED_VALUE"""),"#VALUE!")</f>
        <v>#VALUE!</v>
      </c>
      <c r="BM681" t="str">
        <f ca="1">IFERROR(__xludf.DUMMYFUNCTION("""COMPUTED_VALUE"""),"#VALUE!")</f>
        <v>#VALUE!</v>
      </c>
      <c r="CS681" t="str">
        <f ca="1">IFERROR(__xludf.DUMMYFUNCTION("""COMPUTED_VALUE"""),"#VALUE!")</f>
        <v>#VALUE!</v>
      </c>
      <c r="CU681" t="str">
        <f ca="1">IFERROR(__xludf.DUMMYFUNCTION("""COMPUTED_VALUE"""),"#VALUE!")</f>
        <v>#VALUE!</v>
      </c>
      <c r="CW681" t="str">
        <f ca="1">IFERROR(__xludf.DUMMYFUNCTION("""COMPUTED_VALUE"""),"#VALUE!")</f>
        <v>#VALUE!</v>
      </c>
      <c r="CY681" t="str">
        <f ca="1">IFERROR(__xludf.DUMMYFUNCTION("""COMPUTED_VALUE"""),"#VALUE!")</f>
        <v>#VALUE!</v>
      </c>
      <c r="DC681" t="str">
        <f ca="1">IFERROR(__xludf.DUMMYFUNCTION("""COMPUTED_VALUE"""),"#VALUE!")</f>
        <v>#VALUE!</v>
      </c>
      <c r="DE681" t="str">
        <f ca="1">IFERROR(__xludf.DUMMYFUNCTION("""COMPUTED_VALUE"""),"#VALUE!")</f>
        <v>#VALUE!</v>
      </c>
    </row>
    <row r="682" spans="1:109" ht="13.2" x14ac:dyDescent="0.25">
      <c r="A682" t="str">
        <f ca="1">IFERROR(__xludf.DUMMYFUNCTION("""COMPUTED_VALUE"""),"P0691")</f>
        <v>P0691</v>
      </c>
      <c r="BC682" t="str">
        <f ca="1">IFERROR(__xludf.DUMMYFUNCTION("""COMPUTED_VALUE"""),"#VALUE!")</f>
        <v>#VALUE!</v>
      </c>
      <c r="BE682" t="str">
        <f ca="1">IFERROR(__xludf.DUMMYFUNCTION("""COMPUTED_VALUE"""),"#VALUE!")</f>
        <v>#VALUE!</v>
      </c>
      <c r="BG682" t="str">
        <f ca="1">IFERROR(__xludf.DUMMYFUNCTION("""COMPUTED_VALUE"""),"#VALUE!")</f>
        <v>#VALUE!</v>
      </c>
      <c r="BI682" t="str">
        <f ca="1">IFERROR(__xludf.DUMMYFUNCTION("""COMPUTED_VALUE"""),"#VALUE!")</f>
        <v>#VALUE!</v>
      </c>
      <c r="BK682" t="str">
        <f ca="1">IFERROR(__xludf.DUMMYFUNCTION("""COMPUTED_VALUE"""),"#VALUE!")</f>
        <v>#VALUE!</v>
      </c>
      <c r="BM682" t="str">
        <f ca="1">IFERROR(__xludf.DUMMYFUNCTION("""COMPUTED_VALUE"""),"#VALUE!")</f>
        <v>#VALUE!</v>
      </c>
      <c r="CS682" t="str">
        <f ca="1">IFERROR(__xludf.DUMMYFUNCTION("""COMPUTED_VALUE"""),"#VALUE!")</f>
        <v>#VALUE!</v>
      </c>
      <c r="CU682" t="str">
        <f ca="1">IFERROR(__xludf.DUMMYFUNCTION("""COMPUTED_VALUE"""),"#VALUE!")</f>
        <v>#VALUE!</v>
      </c>
      <c r="CW682" t="str">
        <f ca="1">IFERROR(__xludf.DUMMYFUNCTION("""COMPUTED_VALUE"""),"#VALUE!")</f>
        <v>#VALUE!</v>
      </c>
      <c r="CY682" t="str">
        <f ca="1">IFERROR(__xludf.DUMMYFUNCTION("""COMPUTED_VALUE"""),"#VALUE!")</f>
        <v>#VALUE!</v>
      </c>
      <c r="DC682" t="str">
        <f ca="1">IFERROR(__xludf.DUMMYFUNCTION("""COMPUTED_VALUE"""),"#VALUE!")</f>
        <v>#VALUE!</v>
      </c>
      <c r="DE682" t="str">
        <f ca="1">IFERROR(__xludf.DUMMYFUNCTION("""COMPUTED_VALUE"""),"#VALUE!")</f>
        <v>#VALUE!</v>
      </c>
    </row>
    <row r="683" spans="1:109" ht="13.2" x14ac:dyDescent="0.25">
      <c r="A683" t="str">
        <f ca="1">IFERROR(__xludf.DUMMYFUNCTION("""COMPUTED_VALUE"""),"P0692")</f>
        <v>P0692</v>
      </c>
      <c r="BC683" t="str">
        <f ca="1">IFERROR(__xludf.DUMMYFUNCTION("""COMPUTED_VALUE"""),"#VALUE!")</f>
        <v>#VALUE!</v>
      </c>
      <c r="BE683" t="str">
        <f ca="1">IFERROR(__xludf.DUMMYFUNCTION("""COMPUTED_VALUE"""),"#VALUE!")</f>
        <v>#VALUE!</v>
      </c>
      <c r="BG683" t="str">
        <f ca="1">IFERROR(__xludf.DUMMYFUNCTION("""COMPUTED_VALUE"""),"#VALUE!")</f>
        <v>#VALUE!</v>
      </c>
      <c r="BI683" t="str">
        <f ca="1">IFERROR(__xludf.DUMMYFUNCTION("""COMPUTED_VALUE"""),"#VALUE!")</f>
        <v>#VALUE!</v>
      </c>
      <c r="BK683" t="str">
        <f ca="1">IFERROR(__xludf.DUMMYFUNCTION("""COMPUTED_VALUE"""),"#VALUE!")</f>
        <v>#VALUE!</v>
      </c>
      <c r="BM683" t="str">
        <f ca="1">IFERROR(__xludf.DUMMYFUNCTION("""COMPUTED_VALUE"""),"#VALUE!")</f>
        <v>#VALUE!</v>
      </c>
      <c r="CS683" t="str">
        <f ca="1">IFERROR(__xludf.DUMMYFUNCTION("""COMPUTED_VALUE"""),"#VALUE!")</f>
        <v>#VALUE!</v>
      </c>
      <c r="CU683" t="str">
        <f ca="1">IFERROR(__xludf.DUMMYFUNCTION("""COMPUTED_VALUE"""),"#VALUE!")</f>
        <v>#VALUE!</v>
      </c>
      <c r="CW683" t="str">
        <f ca="1">IFERROR(__xludf.DUMMYFUNCTION("""COMPUTED_VALUE"""),"#VALUE!")</f>
        <v>#VALUE!</v>
      </c>
      <c r="CY683" t="str">
        <f ca="1">IFERROR(__xludf.DUMMYFUNCTION("""COMPUTED_VALUE"""),"#VALUE!")</f>
        <v>#VALUE!</v>
      </c>
      <c r="DC683" t="str">
        <f ca="1">IFERROR(__xludf.DUMMYFUNCTION("""COMPUTED_VALUE"""),"#VALUE!")</f>
        <v>#VALUE!</v>
      </c>
      <c r="DE683" t="str">
        <f ca="1">IFERROR(__xludf.DUMMYFUNCTION("""COMPUTED_VALUE"""),"#VALUE!")</f>
        <v>#VALUE!</v>
      </c>
    </row>
    <row r="684" spans="1:109" ht="13.2" x14ac:dyDescent="0.25">
      <c r="A684" t="str">
        <f ca="1">IFERROR(__xludf.DUMMYFUNCTION("""COMPUTED_VALUE"""),"P0693")</f>
        <v>P0693</v>
      </c>
      <c r="BC684" t="str">
        <f ca="1">IFERROR(__xludf.DUMMYFUNCTION("""COMPUTED_VALUE"""),"#VALUE!")</f>
        <v>#VALUE!</v>
      </c>
      <c r="BE684" t="str">
        <f ca="1">IFERROR(__xludf.DUMMYFUNCTION("""COMPUTED_VALUE"""),"#VALUE!")</f>
        <v>#VALUE!</v>
      </c>
      <c r="BG684" t="str">
        <f ca="1">IFERROR(__xludf.DUMMYFUNCTION("""COMPUTED_VALUE"""),"#VALUE!")</f>
        <v>#VALUE!</v>
      </c>
      <c r="BI684" t="str">
        <f ca="1">IFERROR(__xludf.DUMMYFUNCTION("""COMPUTED_VALUE"""),"#VALUE!")</f>
        <v>#VALUE!</v>
      </c>
      <c r="BK684" t="str">
        <f ca="1">IFERROR(__xludf.DUMMYFUNCTION("""COMPUTED_VALUE"""),"#VALUE!")</f>
        <v>#VALUE!</v>
      </c>
      <c r="BM684" t="str">
        <f ca="1">IFERROR(__xludf.DUMMYFUNCTION("""COMPUTED_VALUE"""),"#VALUE!")</f>
        <v>#VALUE!</v>
      </c>
      <c r="CS684" t="str">
        <f ca="1">IFERROR(__xludf.DUMMYFUNCTION("""COMPUTED_VALUE"""),"#VALUE!")</f>
        <v>#VALUE!</v>
      </c>
      <c r="CU684" t="str">
        <f ca="1">IFERROR(__xludf.DUMMYFUNCTION("""COMPUTED_VALUE"""),"#VALUE!")</f>
        <v>#VALUE!</v>
      </c>
      <c r="CW684" t="str">
        <f ca="1">IFERROR(__xludf.DUMMYFUNCTION("""COMPUTED_VALUE"""),"#VALUE!")</f>
        <v>#VALUE!</v>
      </c>
      <c r="CY684" t="str">
        <f ca="1">IFERROR(__xludf.DUMMYFUNCTION("""COMPUTED_VALUE"""),"#VALUE!")</f>
        <v>#VALUE!</v>
      </c>
      <c r="DC684" t="str">
        <f ca="1">IFERROR(__xludf.DUMMYFUNCTION("""COMPUTED_VALUE"""),"#VALUE!")</f>
        <v>#VALUE!</v>
      </c>
      <c r="DE684" t="str">
        <f ca="1">IFERROR(__xludf.DUMMYFUNCTION("""COMPUTED_VALUE"""),"#VALUE!")</f>
        <v>#VALUE!</v>
      </c>
    </row>
    <row r="685" spans="1:109" ht="13.2" x14ac:dyDescent="0.25">
      <c r="A685" t="str">
        <f ca="1">IFERROR(__xludf.DUMMYFUNCTION("""COMPUTED_VALUE"""),"P0694")</f>
        <v>P0694</v>
      </c>
      <c r="BC685" t="str">
        <f ca="1">IFERROR(__xludf.DUMMYFUNCTION("""COMPUTED_VALUE"""),"#VALUE!")</f>
        <v>#VALUE!</v>
      </c>
      <c r="BE685" t="str">
        <f ca="1">IFERROR(__xludf.DUMMYFUNCTION("""COMPUTED_VALUE"""),"#VALUE!")</f>
        <v>#VALUE!</v>
      </c>
      <c r="BG685" t="str">
        <f ca="1">IFERROR(__xludf.DUMMYFUNCTION("""COMPUTED_VALUE"""),"#VALUE!")</f>
        <v>#VALUE!</v>
      </c>
      <c r="BI685" t="str">
        <f ca="1">IFERROR(__xludf.DUMMYFUNCTION("""COMPUTED_VALUE"""),"#VALUE!")</f>
        <v>#VALUE!</v>
      </c>
      <c r="BK685" t="str">
        <f ca="1">IFERROR(__xludf.DUMMYFUNCTION("""COMPUTED_VALUE"""),"#VALUE!")</f>
        <v>#VALUE!</v>
      </c>
      <c r="BM685" t="str">
        <f ca="1">IFERROR(__xludf.DUMMYFUNCTION("""COMPUTED_VALUE"""),"#VALUE!")</f>
        <v>#VALUE!</v>
      </c>
      <c r="CS685" t="str">
        <f ca="1">IFERROR(__xludf.DUMMYFUNCTION("""COMPUTED_VALUE"""),"#VALUE!")</f>
        <v>#VALUE!</v>
      </c>
      <c r="CU685" t="str">
        <f ca="1">IFERROR(__xludf.DUMMYFUNCTION("""COMPUTED_VALUE"""),"#VALUE!")</f>
        <v>#VALUE!</v>
      </c>
      <c r="CW685" t="str">
        <f ca="1">IFERROR(__xludf.DUMMYFUNCTION("""COMPUTED_VALUE"""),"#VALUE!")</f>
        <v>#VALUE!</v>
      </c>
      <c r="CY685" t="str">
        <f ca="1">IFERROR(__xludf.DUMMYFUNCTION("""COMPUTED_VALUE"""),"#VALUE!")</f>
        <v>#VALUE!</v>
      </c>
      <c r="DC685" t="str">
        <f ca="1">IFERROR(__xludf.DUMMYFUNCTION("""COMPUTED_VALUE"""),"#VALUE!")</f>
        <v>#VALUE!</v>
      </c>
      <c r="DE685" t="str">
        <f ca="1">IFERROR(__xludf.DUMMYFUNCTION("""COMPUTED_VALUE"""),"#VALUE!")</f>
        <v>#VALUE!</v>
      </c>
    </row>
    <row r="686" spans="1:109" ht="13.2" x14ac:dyDescent="0.25">
      <c r="A686" t="str">
        <f ca="1">IFERROR(__xludf.DUMMYFUNCTION("""COMPUTED_VALUE"""),"P0695")</f>
        <v>P0695</v>
      </c>
      <c r="BC686" t="str">
        <f ca="1">IFERROR(__xludf.DUMMYFUNCTION("""COMPUTED_VALUE"""),"#VALUE!")</f>
        <v>#VALUE!</v>
      </c>
      <c r="BE686" t="str">
        <f ca="1">IFERROR(__xludf.DUMMYFUNCTION("""COMPUTED_VALUE"""),"#VALUE!")</f>
        <v>#VALUE!</v>
      </c>
      <c r="BG686" t="str">
        <f ca="1">IFERROR(__xludf.DUMMYFUNCTION("""COMPUTED_VALUE"""),"#VALUE!")</f>
        <v>#VALUE!</v>
      </c>
      <c r="BI686" t="str">
        <f ca="1">IFERROR(__xludf.DUMMYFUNCTION("""COMPUTED_VALUE"""),"#VALUE!")</f>
        <v>#VALUE!</v>
      </c>
      <c r="BK686" t="str">
        <f ca="1">IFERROR(__xludf.DUMMYFUNCTION("""COMPUTED_VALUE"""),"#VALUE!")</f>
        <v>#VALUE!</v>
      </c>
      <c r="BM686" t="str">
        <f ca="1">IFERROR(__xludf.DUMMYFUNCTION("""COMPUTED_VALUE"""),"#VALUE!")</f>
        <v>#VALUE!</v>
      </c>
      <c r="CS686" t="str">
        <f ca="1">IFERROR(__xludf.DUMMYFUNCTION("""COMPUTED_VALUE"""),"#VALUE!")</f>
        <v>#VALUE!</v>
      </c>
      <c r="CU686" t="str">
        <f ca="1">IFERROR(__xludf.DUMMYFUNCTION("""COMPUTED_VALUE"""),"#VALUE!")</f>
        <v>#VALUE!</v>
      </c>
      <c r="CW686" t="str">
        <f ca="1">IFERROR(__xludf.DUMMYFUNCTION("""COMPUTED_VALUE"""),"#VALUE!")</f>
        <v>#VALUE!</v>
      </c>
      <c r="CY686" t="str">
        <f ca="1">IFERROR(__xludf.DUMMYFUNCTION("""COMPUTED_VALUE"""),"#VALUE!")</f>
        <v>#VALUE!</v>
      </c>
      <c r="DC686" t="str">
        <f ca="1">IFERROR(__xludf.DUMMYFUNCTION("""COMPUTED_VALUE"""),"#VALUE!")</f>
        <v>#VALUE!</v>
      </c>
      <c r="DE686" t="str">
        <f ca="1">IFERROR(__xludf.DUMMYFUNCTION("""COMPUTED_VALUE"""),"#VALUE!")</f>
        <v>#VALUE!</v>
      </c>
    </row>
    <row r="687" spans="1:109" ht="13.2" x14ac:dyDescent="0.25">
      <c r="A687" t="str">
        <f ca="1">IFERROR(__xludf.DUMMYFUNCTION("""COMPUTED_VALUE"""),"P0696")</f>
        <v>P0696</v>
      </c>
      <c r="BC687" t="str">
        <f ca="1">IFERROR(__xludf.DUMMYFUNCTION("""COMPUTED_VALUE"""),"#VALUE!")</f>
        <v>#VALUE!</v>
      </c>
      <c r="BE687" t="str">
        <f ca="1">IFERROR(__xludf.DUMMYFUNCTION("""COMPUTED_VALUE"""),"#VALUE!")</f>
        <v>#VALUE!</v>
      </c>
      <c r="BG687" t="str">
        <f ca="1">IFERROR(__xludf.DUMMYFUNCTION("""COMPUTED_VALUE"""),"#VALUE!")</f>
        <v>#VALUE!</v>
      </c>
      <c r="BI687" t="str">
        <f ca="1">IFERROR(__xludf.DUMMYFUNCTION("""COMPUTED_VALUE"""),"#VALUE!")</f>
        <v>#VALUE!</v>
      </c>
      <c r="BK687" t="str">
        <f ca="1">IFERROR(__xludf.DUMMYFUNCTION("""COMPUTED_VALUE"""),"#VALUE!")</f>
        <v>#VALUE!</v>
      </c>
      <c r="BM687" t="str">
        <f ca="1">IFERROR(__xludf.DUMMYFUNCTION("""COMPUTED_VALUE"""),"#VALUE!")</f>
        <v>#VALUE!</v>
      </c>
      <c r="CS687" t="str">
        <f ca="1">IFERROR(__xludf.DUMMYFUNCTION("""COMPUTED_VALUE"""),"#VALUE!")</f>
        <v>#VALUE!</v>
      </c>
      <c r="CU687" t="str">
        <f ca="1">IFERROR(__xludf.DUMMYFUNCTION("""COMPUTED_VALUE"""),"#VALUE!")</f>
        <v>#VALUE!</v>
      </c>
      <c r="CW687" t="str">
        <f ca="1">IFERROR(__xludf.DUMMYFUNCTION("""COMPUTED_VALUE"""),"#VALUE!")</f>
        <v>#VALUE!</v>
      </c>
      <c r="CY687" t="str">
        <f ca="1">IFERROR(__xludf.DUMMYFUNCTION("""COMPUTED_VALUE"""),"#VALUE!")</f>
        <v>#VALUE!</v>
      </c>
      <c r="DC687" t="str">
        <f ca="1">IFERROR(__xludf.DUMMYFUNCTION("""COMPUTED_VALUE"""),"#VALUE!")</f>
        <v>#VALUE!</v>
      </c>
      <c r="DE687" t="str">
        <f ca="1">IFERROR(__xludf.DUMMYFUNCTION("""COMPUTED_VALUE"""),"#VALUE!")</f>
        <v>#VALUE!</v>
      </c>
    </row>
    <row r="688" spans="1:109" ht="13.2" x14ac:dyDescent="0.25">
      <c r="A688" t="str">
        <f ca="1">IFERROR(__xludf.DUMMYFUNCTION("""COMPUTED_VALUE"""),"P0697")</f>
        <v>P0697</v>
      </c>
      <c r="BC688" t="str">
        <f ca="1">IFERROR(__xludf.DUMMYFUNCTION("""COMPUTED_VALUE"""),"#VALUE!")</f>
        <v>#VALUE!</v>
      </c>
      <c r="BE688" t="str">
        <f ca="1">IFERROR(__xludf.DUMMYFUNCTION("""COMPUTED_VALUE"""),"#VALUE!")</f>
        <v>#VALUE!</v>
      </c>
      <c r="BG688" t="str">
        <f ca="1">IFERROR(__xludf.DUMMYFUNCTION("""COMPUTED_VALUE"""),"#VALUE!")</f>
        <v>#VALUE!</v>
      </c>
      <c r="BI688" t="str">
        <f ca="1">IFERROR(__xludf.DUMMYFUNCTION("""COMPUTED_VALUE"""),"#VALUE!")</f>
        <v>#VALUE!</v>
      </c>
      <c r="BK688" t="str">
        <f ca="1">IFERROR(__xludf.DUMMYFUNCTION("""COMPUTED_VALUE"""),"#VALUE!")</f>
        <v>#VALUE!</v>
      </c>
      <c r="BM688" t="str">
        <f ca="1">IFERROR(__xludf.DUMMYFUNCTION("""COMPUTED_VALUE"""),"#VALUE!")</f>
        <v>#VALUE!</v>
      </c>
      <c r="CS688" t="str">
        <f ca="1">IFERROR(__xludf.DUMMYFUNCTION("""COMPUTED_VALUE"""),"#VALUE!")</f>
        <v>#VALUE!</v>
      </c>
      <c r="CU688" t="str">
        <f ca="1">IFERROR(__xludf.DUMMYFUNCTION("""COMPUTED_VALUE"""),"#VALUE!")</f>
        <v>#VALUE!</v>
      </c>
      <c r="CW688" t="str">
        <f ca="1">IFERROR(__xludf.DUMMYFUNCTION("""COMPUTED_VALUE"""),"#VALUE!")</f>
        <v>#VALUE!</v>
      </c>
      <c r="CY688" t="str">
        <f ca="1">IFERROR(__xludf.DUMMYFUNCTION("""COMPUTED_VALUE"""),"#VALUE!")</f>
        <v>#VALUE!</v>
      </c>
      <c r="DC688" t="str">
        <f ca="1">IFERROR(__xludf.DUMMYFUNCTION("""COMPUTED_VALUE"""),"#VALUE!")</f>
        <v>#VALUE!</v>
      </c>
      <c r="DE688" t="str">
        <f ca="1">IFERROR(__xludf.DUMMYFUNCTION("""COMPUTED_VALUE"""),"#VALUE!")</f>
        <v>#VALUE!</v>
      </c>
    </row>
    <row r="689" spans="1:109" ht="13.2" x14ac:dyDescent="0.25">
      <c r="A689" t="str">
        <f ca="1">IFERROR(__xludf.DUMMYFUNCTION("""COMPUTED_VALUE"""),"P0698")</f>
        <v>P0698</v>
      </c>
      <c r="BC689" t="str">
        <f ca="1">IFERROR(__xludf.DUMMYFUNCTION("""COMPUTED_VALUE"""),"#VALUE!")</f>
        <v>#VALUE!</v>
      </c>
      <c r="BE689" t="str">
        <f ca="1">IFERROR(__xludf.DUMMYFUNCTION("""COMPUTED_VALUE"""),"#VALUE!")</f>
        <v>#VALUE!</v>
      </c>
      <c r="BG689" t="str">
        <f ca="1">IFERROR(__xludf.DUMMYFUNCTION("""COMPUTED_VALUE"""),"#VALUE!")</f>
        <v>#VALUE!</v>
      </c>
      <c r="BI689" t="str">
        <f ca="1">IFERROR(__xludf.DUMMYFUNCTION("""COMPUTED_VALUE"""),"#VALUE!")</f>
        <v>#VALUE!</v>
      </c>
      <c r="BK689" t="str">
        <f ca="1">IFERROR(__xludf.DUMMYFUNCTION("""COMPUTED_VALUE"""),"#VALUE!")</f>
        <v>#VALUE!</v>
      </c>
      <c r="BM689" t="str">
        <f ca="1">IFERROR(__xludf.DUMMYFUNCTION("""COMPUTED_VALUE"""),"#VALUE!")</f>
        <v>#VALUE!</v>
      </c>
      <c r="CS689" t="str">
        <f ca="1">IFERROR(__xludf.DUMMYFUNCTION("""COMPUTED_VALUE"""),"#VALUE!")</f>
        <v>#VALUE!</v>
      </c>
      <c r="CU689" t="str">
        <f ca="1">IFERROR(__xludf.DUMMYFUNCTION("""COMPUTED_VALUE"""),"#VALUE!")</f>
        <v>#VALUE!</v>
      </c>
      <c r="CW689" t="str">
        <f ca="1">IFERROR(__xludf.DUMMYFUNCTION("""COMPUTED_VALUE"""),"#VALUE!")</f>
        <v>#VALUE!</v>
      </c>
      <c r="CY689" t="str">
        <f ca="1">IFERROR(__xludf.DUMMYFUNCTION("""COMPUTED_VALUE"""),"#VALUE!")</f>
        <v>#VALUE!</v>
      </c>
      <c r="DC689" t="str">
        <f ca="1">IFERROR(__xludf.DUMMYFUNCTION("""COMPUTED_VALUE"""),"#VALUE!")</f>
        <v>#VALUE!</v>
      </c>
      <c r="DE689" t="str">
        <f ca="1">IFERROR(__xludf.DUMMYFUNCTION("""COMPUTED_VALUE"""),"#VALUE!")</f>
        <v>#VALUE!</v>
      </c>
    </row>
    <row r="690" spans="1:109" ht="13.2" x14ac:dyDescent="0.25">
      <c r="A690" t="str">
        <f ca="1">IFERROR(__xludf.DUMMYFUNCTION("""COMPUTED_VALUE"""),"P0699")</f>
        <v>P0699</v>
      </c>
      <c r="BC690" t="str">
        <f ca="1">IFERROR(__xludf.DUMMYFUNCTION("""COMPUTED_VALUE"""),"#VALUE!")</f>
        <v>#VALUE!</v>
      </c>
      <c r="BE690" t="str">
        <f ca="1">IFERROR(__xludf.DUMMYFUNCTION("""COMPUTED_VALUE"""),"#VALUE!")</f>
        <v>#VALUE!</v>
      </c>
      <c r="BG690" t="str">
        <f ca="1">IFERROR(__xludf.DUMMYFUNCTION("""COMPUTED_VALUE"""),"#VALUE!")</f>
        <v>#VALUE!</v>
      </c>
      <c r="BI690" t="str">
        <f ca="1">IFERROR(__xludf.DUMMYFUNCTION("""COMPUTED_VALUE"""),"#VALUE!")</f>
        <v>#VALUE!</v>
      </c>
      <c r="BK690" t="str">
        <f ca="1">IFERROR(__xludf.DUMMYFUNCTION("""COMPUTED_VALUE"""),"#VALUE!")</f>
        <v>#VALUE!</v>
      </c>
      <c r="BM690" t="str">
        <f ca="1">IFERROR(__xludf.DUMMYFUNCTION("""COMPUTED_VALUE"""),"#VALUE!")</f>
        <v>#VALUE!</v>
      </c>
      <c r="CS690" t="str">
        <f ca="1">IFERROR(__xludf.DUMMYFUNCTION("""COMPUTED_VALUE"""),"#VALUE!")</f>
        <v>#VALUE!</v>
      </c>
      <c r="CU690" t="str">
        <f ca="1">IFERROR(__xludf.DUMMYFUNCTION("""COMPUTED_VALUE"""),"#VALUE!")</f>
        <v>#VALUE!</v>
      </c>
      <c r="CW690" t="str">
        <f ca="1">IFERROR(__xludf.DUMMYFUNCTION("""COMPUTED_VALUE"""),"#VALUE!")</f>
        <v>#VALUE!</v>
      </c>
      <c r="CY690" t="str">
        <f ca="1">IFERROR(__xludf.DUMMYFUNCTION("""COMPUTED_VALUE"""),"#VALUE!")</f>
        <v>#VALUE!</v>
      </c>
      <c r="DC690" t="str">
        <f ca="1">IFERROR(__xludf.DUMMYFUNCTION("""COMPUTED_VALUE"""),"#VALUE!")</f>
        <v>#VALUE!</v>
      </c>
      <c r="DE690" t="str">
        <f ca="1">IFERROR(__xludf.DUMMYFUNCTION("""COMPUTED_VALUE"""),"#VALUE!")</f>
        <v>#VALUE!</v>
      </c>
    </row>
    <row r="691" spans="1:109" ht="13.2" x14ac:dyDescent="0.25">
      <c r="A691" t="str">
        <f ca="1">IFERROR(__xludf.DUMMYFUNCTION("""COMPUTED_VALUE"""),"P0700")</f>
        <v>P0700</v>
      </c>
      <c r="BC691" t="str">
        <f ca="1">IFERROR(__xludf.DUMMYFUNCTION("""COMPUTED_VALUE"""),"#VALUE!")</f>
        <v>#VALUE!</v>
      </c>
      <c r="BE691" t="str">
        <f ca="1">IFERROR(__xludf.DUMMYFUNCTION("""COMPUTED_VALUE"""),"#VALUE!")</f>
        <v>#VALUE!</v>
      </c>
      <c r="BG691" t="str">
        <f ca="1">IFERROR(__xludf.DUMMYFUNCTION("""COMPUTED_VALUE"""),"#VALUE!")</f>
        <v>#VALUE!</v>
      </c>
      <c r="BI691" t="str">
        <f ca="1">IFERROR(__xludf.DUMMYFUNCTION("""COMPUTED_VALUE"""),"#VALUE!")</f>
        <v>#VALUE!</v>
      </c>
      <c r="BK691" t="str">
        <f ca="1">IFERROR(__xludf.DUMMYFUNCTION("""COMPUTED_VALUE"""),"#VALUE!")</f>
        <v>#VALUE!</v>
      </c>
      <c r="BM691" t="str">
        <f ca="1">IFERROR(__xludf.DUMMYFUNCTION("""COMPUTED_VALUE"""),"#VALUE!")</f>
        <v>#VALUE!</v>
      </c>
      <c r="CS691" t="str">
        <f ca="1">IFERROR(__xludf.DUMMYFUNCTION("""COMPUTED_VALUE"""),"#VALUE!")</f>
        <v>#VALUE!</v>
      </c>
      <c r="CU691" t="str">
        <f ca="1">IFERROR(__xludf.DUMMYFUNCTION("""COMPUTED_VALUE"""),"#VALUE!")</f>
        <v>#VALUE!</v>
      </c>
      <c r="CW691" t="str">
        <f ca="1">IFERROR(__xludf.DUMMYFUNCTION("""COMPUTED_VALUE"""),"#VALUE!")</f>
        <v>#VALUE!</v>
      </c>
      <c r="CY691" t="str">
        <f ca="1">IFERROR(__xludf.DUMMYFUNCTION("""COMPUTED_VALUE"""),"#VALUE!")</f>
        <v>#VALUE!</v>
      </c>
      <c r="DC691" t="str">
        <f ca="1">IFERROR(__xludf.DUMMYFUNCTION("""COMPUTED_VALUE"""),"#VALUE!")</f>
        <v>#VALUE!</v>
      </c>
      <c r="DE691" t="str">
        <f ca="1">IFERROR(__xludf.DUMMYFUNCTION("""COMPUTED_VALUE"""),"#VALUE!")</f>
        <v>#VALUE!</v>
      </c>
    </row>
    <row r="692" spans="1:109" ht="13.2" x14ac:dyDescent="0.25">
      <c r="A692" t="str">
        <f ca="1">IFERROR(__xludf.DUMMYFUNCTION("""COMPUTED_VALUE"""),"P0701")</f>
        <v>P0701</v>
      </c>
      <c r="BC692" t="str">
        <f ca="1">IFERROR(__xludf.DUMMYFUNCTION("""COMPUTED_VALUE"""),"#VALUE!")</f>
        <v>#VALUE!</v>
      </c>
      <c r="BE692" t="str">
        <f ca="1">IFERROR(__xludf.DUMMYFUNCTION("""COMPUTED_VALUE"""),"#VALUE!")</f>
        <v>#VALUE!</v>
      </c>
      <c r="BG692" t="str">
        <f ca="1">IFERROR(__xludf.DUMMYFUNCTION("""COMPUTED_VALUE"""),"#VALUE!")</f>
        <v>#VALUE!</v>
      </c>
      <c r="BI692" t="str">
        <f ca="1">IFERROR(__xludf.DUMMYFUNCTION("""COMPUTED_VALUE"""),"#VALUE!")</f>
        <v>#VALUE!</v>
      </c>
      <c r="BK692" t="str">
        <f ca="1">IFERROR(__xludf.DUMMYFUNCTION("""COMPUTED_VALUE"""),"#VALUE!")</f>
        <v>#VALUE!</v>
      </c>
      <c r="BM692" t="str">
        <f ca="1">IFERROR(__xludf.DUMMYFUNCTION("""COMPUTED_VALUE"""),"#VALUE!")</f>
        <v>#VALUE!</v>
      </c>
      <c r="CS692" t="str">
        <f ca="1">IFERROR(__xludf.DUMMYFUNCTION("""COMPUTED_VALUE"""),"#VALUE!")</f>
        <v>#VALUE!</v>
      </c>
      <c r="CU692" t="str">
        <f ca="1">IFERROR(__xludf.DUMMYFUNCTION("""COMPUTED_VALUE"""),"#VALUE!")</f>
        <v>#VALUE!</v>
      </c>
      <c r="CW692" t="str">
        <f ca="1">IFERROR(__xludf.DUMMYFUNCTION("""COMPUTED_VALUE"""),"#VALUE!")</f>
        <v>#VALUE!</v>
      </c>
      <c r="CY692" t="str">
        <f ca="1">IFERROR(__xludf.DUMMYFUNCTION("""COMPUTED_VALUE"""),"#VALUE!")</f>
        <v>#VALUE!</v>
      </c>
      <c r="DC692" t="str">
        <f ca="1">IFERROR(__xludf.DUMMYFUNCTION("""COMPUTED_VALUE"""),"#VALUE!")</f>
        <v>#VALUE!</v>
      </c>
      <c r="DE692" t="str">
        <f ca="1">IFERROR(__xludf.DUMMYFUNCTION("""COMPUTED_VALUE"""),"#VALUE!")</f>
        <v>#VALUE!</v>
      </c>
    </row>
    <row r="693" spans="1:109" ht="13.2" x14ac:dyDescent="0.25">
      <c r="A693" t="str">
        <f ca="1">IFERROR(__xludf.DUMMYFUNCTION("""COMPUTED_VALUE"""),"P0702")</f>
        <v>P0702</v>
      </c>
      <c r="BC693" t="str">
        <f ca="1">IFERROR(__xludf.DUMMYFUNCTION("""COMPUTED_VALUE"""),"#VALUE!")</f>
        <v>#VALUE!</v>
      </c>
      <c r="BE693" t="str">
        <f ca="1">IFERROR(__xludf.DUMMYFUNCTION("""COMPUTED_VALUE"""),"#VALUE!")</f>
        <v>#VALUE!</v>
      </c>
      <c r="BG693" t="str">
        <f ca="1">IFERROR(__xludf.DUMMYFUNCTION("""COMPUTED_VALUE"""),"#VALUE!")</f>
        <v>#VALUE!</v>
      </c>
      <c r="BI693" t="str">
        <f ca="1">IFERROR(__xludf.DUMMYFUNCTION("""COMPUTED_VALUE"""),"#VALUE!")</f>
        <v>#VALUE!</v>
      </c>
      <c r="BK693" t="str">
        <f ca="1">IFERROR(__xludf.DUMMYFUNCTION("""COMPUTED_VALUE"""),"#VALUE!")</f>
        <v>#VALUE!</v>
      </c>
      <c r="BM693" t="str">
        <f ca="1">IFERROR(__xludf.DUMMYFUNCTION("""COMPUTED_VALUE"""),"#VALUE!")</f>
        <v>#VALUE!</v>
      </c>
      <c r="CS693" t="str">
        <f ca="1">IFERROR(__xludf.DUMMYFUNCTION("""COMPUTED_VALUE"""),"#VALUE!")</f>
        <v>#VALUE!</v>
      </c>
      <c r="CU693" t="str">
        <f ca="1">IFERROR(__xludf.DUMMYFUNCTION("""COMPUTED_VALUE"""),"#VALUE!")</f>
        <v>#VALUE!</v>
      </c>
      <c r="CW693" t="str">
        <f ca="1">IFERROR(__xludf.DUMMYFUNCTION("""COMPUTED_VALUE"""),"#VALUE!")</f>
        <v>#VALUE!</v>
      </c>
      <c r="CY693" t="str">
        <f ca="1">IFERROR(__xludf.DUMMYFUNCTION("""COMPUTED_VALUE"""),"#VALUE!")</f>
        <v>#VALUE!</v>
      </c>
      <c r="DC693" t="str">
        <f ca="1">IFERROR(__xludf.DUMMYFUNCTION("""COMPUTED_VALUE"""),"#VALUE!")</f>
        <v>#VALUE!</v>
      </c>
      <c r="DE693" t="str">
        <f ca="1">IFERROR(__xludf.DUMMYFUNCTION("""COMPUTED_VALUE"""),"#VALUE!")</f>
        <v>#VALUE!</v>
      </c>
    </row>
    <row r="694" spans="1:109" ht="13.2" x14ac:dyDescent="0.25">
      <c r="A694" t="str">
        <f ca="1">IFERROR(__xludf.DUMMYFUNCTION("""COMPUTED_VALUE"""),"P0703")</f>
        <v>P0703</v>
      </c>
      <c r="BC694" t="str">
        <f ca="1">IFERROR(__xludf.DUMMYFUNCTION("""COMPUTED_VALUE"""),"#VALUE!")</f>
        <v>#VALUE!</v>
      </c>
      <c r="BE694" t="str">
        <f ca="1">IFERROR(__xludf.DUMMYFUNCTION("""COMPUTED_VALUE"""),"#VALUE!")</f>
        <v>#VALUE!</v>
      </c>
      <c r="BG694" t="str">
        <f ca="1">IFERROR(__xludf.DUMMYFUNCTION("""COMPUTED_VALUE"""),"#VALUE!")</f>
        <v>#VALUE!</v>
      </c>
      <c r="BI694" t="str">
        <f ca="1">IFERROR(__xludf.DUMMYFUNCTION("""COMPUTED_VALUE"""),"#VALUE!")</f>
        <v>#VALUE!</v>
      </c>
      <c r="BK694" t="str">
        <f ca="1">IFERROR(__xludf.DUMMYFUNCTION("""COMPUTED_VALUE"""),"#VALUE!")</f>
        <v>#VALUE!</v>
      </c>
      <c r="BM694" t="str">
        <f ca="1">IFERROR(__xludf.DUMMYFUNCTION("""COMPUTED_VALUE"""),"#VALUE!")</f>
        <v>#VALUE!</v>
      </c>
      <c r="CS694" t="str">
        <f ca="1">IFERROR(__xludf.DUMMYFUNCTION("""COMPUTED_VALUE"""),"#VALUE!")</f>
        <v>#VALUE!</v>
      </c>
      <c r="CU694" t="str">
        <f ca="1">IFERROR(__xludf.DUMMYFUNCTION("""COMPUTED_VALUE"""),"#VALUE!")</f>
        <v>#VALUE!</v>
      </c>
      <c r="CW694" t="str">
        <f ca="1">IFERROR(__xludf.DUMMYFUNCTION("""COMPUTED_VALUE"""),"#VALUE!")</f>
        <v>#VALUE!</v>
      </c>
      <c r="CY694" t="str">
        <f ca="1">IFERROR(__xludf.DUMMYFUNCTION("""COMPUTED_VALUE"""),"#VALUE!")</f>
        <v>#VALUE!</v>
      </c>
      <c r="DC694" t="str">
        <f ca="1">IFERROR(__xludf.DUMMYFUNCTION("""COMPUTED_VALUE"""),"#VALUE!")</f>
        <v>#VALUE!</v>
      </c>
      <c r="DE694" t="str">
        <f ca="1">IFERROR(__xludf.DUMMYFUNCTION("""COMPUTED_VALUE"""),"#VALUE!")</f>
        <v>#VALUE!</v>
      </c>
    </row>
    <row r="695" spans="1:109" ht="13.2" x14ac:dyDescent="0.25">
      <c r="A695" t="str">
        <f ca="1">IFERROR(__xludf.DUMMYFUNCTION("""COMPUTED_VALUE"""),"P0704")</f>
        <v>P0704</v>
      </c>
      <c r="BC695" t="str">
        <f ca="1">IFERROR(__xludf.DUMMYFUNCTION("""COMPUTED_VALUE"""),"#VALUE!")</f>
        <v>#VALUE!</v>
      </c>
      <c r="BE695" t="str">
        <f ca="1">IFERROR(__xludf.DUMMYFUNCTION("""COMPUTED_VALUE"""),"#VALUE!")</f>
        <v>#VALUE!</v>
      </c>
      <c r="BG695" t="str">
        <f ca="1">IFERROR(__xludf.DUMMYFUNCTION("""COMPUTED_VALUE"""),"#VALUE!")</f>
        <v>#VALUE!</v>
      </c>
      <c r="BI695" t="str">
        <f ca="1">IFERROR(__xludf.DUMMYFUNCTION("""COMPUTED_VALUE"""),"#VALUE!")</f>
        <v>#VALUE!</v>
      </c>
      <c r="BK695" t="str">
        <f ca="1">IFERROR(__xludf.DUMMYFUNCTION("""COMPUTED_VALUE"""),"#VALUE!")</f>
        <v>#VALUE!</v>
      </c>
      <c r="BM695" t="str">
        <f ca="1">IFERROR(__xludf.DUMMYFUNCTION("""COMPUTED_VALUE"""),"#VALUE!")</f>
        <v>#VALUE!</v>
      </c>
      <c r="CS695" t="str">
        <f ca="1">IFERROR(__xludf.DUMMYFUNCTION("""COMPUTED_VALUE"""),"#VALUE!")</f>
        <v>#VALUE!</v>
      </c>
      <c r="CU695" t="str">
        <f ca="1">IFERROR(__xludf.DUMMYFUNCTION("""COMPUTED_VALUE"""),"#VALUE!")</f>
        <v>#VALUE!</v>
      </c>
      <c r="CW695" t="str">
        <f ca="1">IFERROR(__xludf.DUMMYFUNCTION("""COMPUTED_VALUE"""),"#VALUE!")</f>
        <v>#VALUE!</v>
      </c>
      <c r="CY695" t="str">
        <f ca="1">IFERROR(__xludf.DUMMYFUNCTION("""COMPUTED_VALUE"""),"#VALUE!")</f>
        <v>#VALUE!</v>
      </c>
      <c r="DC695" t="str">
        <f ca="1">IFERROR(__xludf.DUMMYFUNCTION("""COMPUTED_VALUE"""),"#VALUE!")</f>
        <v>#VALUE!</v>
      </c>
      <c r="DE695" t="str">
        <f ca="1">IFERROR(__xludf.DUMMYFUNCTION("""COMPUTED_VALUE"""),"#VALUE!")</f>
        <v>#VALUE!</v>
      </c>
    </row>
    <row r="696" spans="1:109" ht="13.2" x14ac:dyDescent="0.25">
      <c r="A696" t="str">
        <f ca="1">IFERROR(__xludf.DUMMYFUNCTION("""COMPUTED_VALUE"""),"P0705")</f>
        <v>P0705</v>
      </c>
      <c r="BC696" t="str">
        <f ca="1">IFERROR(__xludf.DUMMYFUNCTION("""COMPUTED_VALUE"""),"#VALUE!")</f>
        <v>#VALUE!</v>
      </c>
      <c r="BE696" t="str">
        <f ca="1">IFERROR(__xludf.DUMMYFUNCTION("""COMPUTED_VALUE"""),"#VALUE!")</f>
        <v>#VALUE!</v>
      </c>
      <c r="BG696" t="str">
        <f ca="1">IFERROR(__xludf.DUMMYFUNCTION("""COMPUTED_VALUE"""),"#VALUE!")</f>
        <v>#VALUE!</v>
      </c>
      <c r="BI696" t="str">
        <f ca="1">IFERROR(__xludf.DUMMYFUNCTION("""COMPUTED_VALUE"""),"#VALUE!")</f>
        <v>#VALUE!</v>
      </c>
      <c r="BK696" t="str">
        <f ca="1">IFERROR(__xludf.DUMMYFUNCTION("""COMPUTED_VALUE"""),"#VALUE!")</f>
        <v>#VALUE!</v>
      </c>
      <c r="BM696" t="str">
        <f ca="1">IFERROR(__xludf.DUMMYFUNCTION("""COMPUTED_VALUE"""),"#VALUE!")</f>
        <v>#VALUE!</v>
      </c>
      <c r="CS696" t="str">
        <f ca="1">IFERROR(__xludf.DUMMYFUNCTION("""COMPUTED_VALUE"""),"#VALUE!")</f>
        <v>#VALUE!</v>
      </c>
      <c r="CU696" t="str">
        <f ca="1">IFERROR(__xludf.DUMMYFUNCTION("""COMPUTED_VALUE"""),"#VALUE!")</f>
        <v>#VALUE!</v>
      </c>
      <c r="CW696" t="str">
        <f ca="1">IFERROR(__xludf.DUMMYFUNCTION("""COMPUTED_VALUE"""),"#VALUE!")</f>
        <v>#VALUE!</v>
      </c>
      <c r="CY696" t="str">
        <f ca="1">IFERROR(__xludf.DUMMYFUNCTION("""COMPUTED_VALUE"""),"#VALUE!")</f>
        <v>#VALUE!</v>
      </c>
      <c r="DC696" t="str">
        <f ca="1">IFERROR(__xludf.DUMMYFUNCTION("""COMPUTED_VALUE"""),"#VALUE!")</f>
        <v>#VALUE!</v>
      </c>
      <c r="DE696" t="str">
        <f ca="1">IFERROR(__xludf.DUMMYFUNCTION("""COMPUTED_VALUE"""),"#VALUE!")</f>
        <v>#VALUE!</v>
      </c>
    </row>
    <row r="697" spans="1:109" ht="13.2" x14ac:dyDescent="0.25">
      <c r="A697" t="str">
        <f ca="1">IFERROR(__xludf.DUMMYFUNCTION("""COMPUTED_VALUE"""),"P0706")</f>
        <v>P0706</v>
      </c>
      <c r="BC697" t="str">
        <f ca="1">IFERROR(__xludf.DUMMYFUNCTION("""COMPUTED_VALUE"""),"#VALUE!")</f>
        <v>#VALUE!</v>
      </c>
      <c r="BE697" t="str">
        <f ca="1">IFERROR(__xludf.DUMMYFUNCTION("""COMPUTED_VALUE"""),"#VALUE!")</f>
        <v>#VALUE!</v>
      </c>
      <c r="BG697" t="str">
        <f ca="1">IFERROR(__xludf.DUMMYFUNCTION("""COMPUTED_VALUE"""),"#VALUE!")</f>
        <v>#VALUE!</v>
      </c>
      <c r="BI697" t="str">
        <f ca="1">IFERROR(__xludf.DUMMYFUNCTION("""COMPUTED_VALUE"""),"#VALUE!")</f>
        <v>#VALUE!</v>
      </c>
      <c r="BK697" t="str">
        <f ca="1">IFERROR(__xludf.DUMMYFUNCTION("""COMPUTED_VALUE"""),"#VALUE!")</f>
        <v>#VALUE!</v>
      </c>
      <c r="BM697" t="str">
        <f ca="1">IFERROR(__xludf.DUMMYFUNCTION("""COMPUTED_VALUE"""),"#VALUE!")</f>
        <v>#VALUE!</v>
      </c>
      <c r="CS697" t="str">
        <f ca="1">IFERROR(__xludf.DUMMYFUNCTION("""COMPUTED_VALUE"""),"#VALUE!")</f>
        <v>#VALUE!</v>
      </c>
      <c r="CU697" t="str">
        <f ca="1">IFERROR(__xludf.DUMMYFUNCTION("""COMPUTED_VALUE"""),"#VALUE!")</f>
        <v>#VALUE!</v>
      </c>
      <c r="CW697" t="str">
        <f ca="1">IFERROR(__xludf.DUMMYFUNCTION("""COMPUTED_VALUE"""),"#VALUE!")</f>
        <v>#VALUE!</v>
      </c>
      <c r="CY697" t="str">
        <f ca="1">IFERROR(__xludf.DUMMYFUNCTION("""COMPUTED_VALUE"""),"#VALUE!")</f>
        <v>#VALUE!</v>
      </c>
      <c r="DC697" t="str">
        <f ca="1">IFERROR(__xludf.DUMMYFUNCTION("""COMPUTED_VALUE"""),"#VALUE!")</f>
        <v>#VALUE!</v>
      </c>
      <c r="DE697" t="str">
        <f ca="1">IFERROR(__xludf.DUMMYFUNCTION("""COMPUTED_VALUE"""),"#VALUE!")</f>
        <v>#VALUE!</v>
      </c>
    </row>
    <row r="698" spans="1:109" ht="13.2" x14ac:dyDescent="0.25">
      <c r="A698" t="str">
        <f ca="1">IFERROR(__xludf.DUMMYFUNCTION("""COMPUTED_VALUE"""),"P0707")</f>
        <v>P0707</v>
      </c>
      <c r="BC698" t="str">
        <f ca="1">IFERROR(__xludf.DUMMYFUNCTION("""COMPUTED_VALUE"""),"#VALUE!")</f>
        <v>#VALUE!</v>
      </c>
      <c r="BE698" t="str">
        <f ca="1">IFERROR(__xludf.DUMMYFUNCTION("""COMPUTED_VALUE"""),"#VALUE!")</f>
        <v>#VALUE!</v>
      </c>
      <c r="BG698" t="str">
        <f ca="1">IFERROR(__xludf.DUMMYFUNCTION("""COMPUTED_VALUE"""),"#VALUE!")</f>
        <v>#VALUE!</v>
      </c>
      <c r="BI698" t="str">
        <f ca="1">IFERROR(__xludf.DUMMYFUNCTION("""COMPUTED_VALUE"""),"#VALUE!")</f>
        <v>#VALUE!</v>
      </c>
      <c r="BK698" t="str">
        <f ca="1">IFERROR(__xludf.DUMMYFUNCTION("""COMPUTED_VALUE"""),"#VALUE!")</f>
        <v>#VALUE!</v>
      </c>
      <c r="BM698" t="str">
        <f ca="1">IFERROR(__xludf.DUMMYFUNCTION("""COMPUTED_VALUE"""),"#VALUE!")</f>
        <v>#VALUE!</v>
      </c>
      <c r="CS698" t="str">
        <f ca="1">IFERROR(__xludf.DUMMYFUNCTION("""COMPUTED_VALUE"""),"#VALUE!")</f>
        <v>#VALUE!</v>
      </c>
      <c r="CU698" t="str">
        <f ca="1">IFERROR(__xludf.DUMMYFUNCTION("""COMPUTED_VALUE"""),"#VALUE!")</f>
        <v>#VALUE!</v>
      </c>
      <c r="CW698" t="str">
        <f ca="1">IFERROR(__xludf.DUMMYFUNCTION("""COMPUTED_VALUE"""),"#VALUE!")</f>
        <v>#VALUE!</v>
      </c>
      <c r="CY698" t="str">
        <f ca="1">IFERROR(__xludf.DUMMYFUNCTION("""COMPUTED_VALUE"""),"#VALUE!")</f>
        <v>#VALUE!</v>
      </c>
      <c r="DC698" t="str">
        <f ca="1">IFERROR(__xludf.DUMMYFUNCTION("""COMPUTED_VALUE"""),"#VALUE!")</f>
        <v>#VALUE!</v>
      </c>
      <c r="DE698" t="str">
        <f ca="1">IFERROR(__xludf.DUMMYFUNCTION("""COMPUTED_VALUE"""),"#VALUE!")</f>
        <v>#VALUE!</v>
      </c>
    </row>
    <row r="699" spans="1:109" ht="13.2" x14ac:dyDescent="0.25">
      <c r="A699" t="str">
        <f ca="1">IFERROR(__xludf.DUMMYFUNCTION("""COMPUTED_VALUE"""),"P0708")</f>
        <v>P0708</v>
      </c>
      <c r="BC699" t="str">
        <f ca="1">IFERROR(__xludf.DUMMYFUNCTION("""COMPUTED_VALUE"""),"#VALUE!")</f>
        <v>#VALUE!</v>
      </c>
      <c r="BE699" t="str">
        <f ca="1">IFERROR(__xludf.DUMMYFUNCTION("""COMPUTED_VALUE"""),"#VALUE!")</f>
        <v>#VALUE!</v>
      </c>
      <c r="BG699" t="str">
        <f ca="1">IFERROR(__xludf.DUMMYFUNCTION("""COMPUTED_VALUE"""),"#VALUE!")</f>
        <v>#VALUE!</v>
      </c>
      <c r="BI699" t="str">
        <f ca="1">IFERROR(__xludf.DUMMYFUNCTION("""COMPUTED_VALUE"""),"#VALUE!")</f>
        <v>#VALUE!</v>
      </c>
      <c r="BK699" t="str">
        <f ca="1">IFERROR(__xludf.DUMMYFUNCTION("""COMPUTED_VALUE"""),"#VALUE!")</f>
        <v>#VALUE!</v>
      </c>
      <c r="BM699" t="str">
        <f ca="1">IFERROR(__xludf.DUMMYFUNCTION("""COMPUTED_VALUE"""),"#VALUE!")</f>
        <v>#VALUE!</v>
      </c>
      <c r="CS699" t="str">
        <f ca="1">IFERROR(__xludf.DUMMYFUNCTION("""COMPUTED_VALUE"""),"#VALUE!")</f>
        <v>#VALUE!</v>
      </c>
      <c r="CU699" t="str">
        <f ca="1">IFERROR(__xludf.DUMMYFUNCTION("""COMPUTED_VALUE"""),"#VALUE!")</f>
        <v>#VALUE!</v>
      </c>
      <c r="CW699" t="str">
        <f ca="1">IFERROR(__xludf.DUMMYFUNCTION("""COMPUTED_VALUE"""),"#VALUE!")</f>
        <v>#VALUE!</v>
      </c>
      <c r="CY699" t="str">
        <f ca="1">IFERROR(__xludf.DUMMYFUNCTION("""COMPUTED_VALUE"""),"#VALUE!")</f>
        <v>#VALUE!</v>
      </c>
      <c r="DC699" t="str">
        <f ca="1">IFERROR(__xludf.DUMMYFUNCTION("""COMPUTED_VALUE"""),"#VALUE!")</f>
        <v>#VALUE!</v>
      </c>
      <c r="DE699" t="str">
        <f ca="1">IFERROR(__xludf.DUMMYFUNCTION("""COMPUTED_VALUE"""),"#VALUE!")</f>
        <v>#VALUE!</v>
      </c>
    </row>
    <row r="700" spans="1:109" ht="13.2" x14ac:dyDescent="0.25">
      <c r="A700" t="str">
        <f ca="1">IFERROR(__xludf.DUMMYFUNCTION("""COMPUTED_VALUE"""),"P0709")</f>
        <v>P0709</v>
      </c>
      <c r="BC700" t="str">
        <f ca="1">IFERROR(__xludf.DUMMYFUNCTION("""COMPUTED_VALUE"""),"#VALUE!")</f>
        <v>#VALUE!</v>
      </c>
      <c r="BE700" t="str">
        <f ca="1">IFERROR(__xludf.DUMMYFUNCTION("""COMPUTED_VALUE"""),"#VALUE!")</f>
        <v>#VALUE!</v>
      </c>
      <c r="BG700" t="str">
        <f ca="1">IFERROR(__xludf.DUMMYFUNCTION("""COMPUTED_VALUE"""),"#VALUE!")</f>
        <v>#VALUE!</v>
      </c>
      <c r="BI700" t="str">
        <f ca="1">IFERROR(__xludf.DUMMYFUNCTION("""COMPUTED_VALUE"""),"#VALUE!")</f>
        <v>#VALUE!</v>
      </c>
      <c r="BK700" t="str">
        <f ca="1">IFERROR(__xludf.DUMMYFUNCTION("""COMPUTED_VALUE"""),"#VALUE!")</f>
        <v>#VALUE!</v>
      </c>
      <c r="BM700" t="str">
        <f ca="1">IFERROR(__xludf.DUMMYFUNCTION("""COMPUTED_VALUE"""),"#VALUE!")</f>
        <v>#VALUE!</v>
      </c>
      <c r="CS700" t="str">
        <f ca="1">IFERROR(__xludf.DUMMYFUNCTION("""COMPUTED_VALUE"""),"#VALUE!")</f>
        <v>#VALUE!</v>
      </c>
      <c r="CU700" t="str">
        <f ca="1">IFERROR(__xludf.DUMMYFUNCTION("""COMPUTED_VALUE"""),"#VALUE!")</f>
        <v>#VALUE!</v>
      </c>
      <c r="CW700" t="str">
        <f ca="1">IFERROR(__xludf.DUMMYFUNCTION("""COMPUTED_VALUE"""),"#VALUE!")</f>
        <v>#VALUE!</v>
      </c>
      <c r="CY700" t="str">
        <f ca="1">IFERROR(__xludf.DUMMYFUNCTION("""COMPUTED_VALUE"""),"#VALUE!")</f>
        <v>#VALUE!</v>
      </c>
      <c r="DC700" t="str">
        <f ca="1">IFERROR(__xludf.DUMMYFUNCTION("""COMPUTED_VALUE"""),"#VALUE!")</f>
        <v>#VALUE!</v>
      </c>
      <c r="DE700" t="str">
        <f ca="1">IFERROR(__xludf.DUMMYFUNCTION("""COMPUTED_VALUE"""),"#VALUE!")</f>
        <v>#VALUE!</v>
      </c>
    </row>
    <row r="701" spans="1:109" ht="13.2" x14ac:dyDescent="0.25">
      <c r="A701" t="str">
        <f ca="1">IFERROR(__xludf.DUMMYFUNCTION("""COMPUTED_VALUE"""),"P0710")</f>
        <v>P0710</v>
      </c>
      <c r="BC701" t="str">
        <f ca="1">IFERROR(__xludf.DUMMYFUNCTION("""COMPUTED_VALUE"""),"#VALUE!")</f>
        <v>#VALUE!</v>
      </c>
      <c r="BE701" t="str">
        <f ca="1">IFERROR(__xludf.DUMMYFUNCTION("""COMPUTED_VALUE"""),"#VALUE!")</f>
        <v>#VALUE!</v>
      </c>
      <c r="BG701" t="str">
        <f ca="1">IFERROR(__xludf.DUMMYFUNCTION("""COMPUTED_VALUE"""),"#VALUE!")</f>
        <v>#VALUE!</v>
      </c>
      <c r="BI701" t="str">
        <f ca="1">IFERROR(__xludf.DUMMYFUNCTION("""COMPUTED_VALUE"""),"#VALUE!")</f>
        <v>#VALUE!</v>
      </c>
      <c r="BK701" t="str">
        <f ca="1">IFERROR(__xludf.DUMMYFUNCTION("""COMPUTED_VALUE"""),"#VALUE!")</f>
        <v>#VALUE!</v>
      </c>
      <c r="BM701" t="str">
        <f ca="1">IFERROR(__xludf.DUMMYFUNCTION("""COMPUTED_VALUE"""),"#VALUE!")</f>
        <v>#VALUE!</v>
      </c>
      <c r="CS701" t="str">
        <f ca="1">IFERROR(__xludf.DUMMYFUNCTION("""COMPUTED_VALUE"""),"#VALUE!")</f>
        <v>#VALUE!</v>
      </c>
      <c r="CU701" t="str">
        <f ca="1">IFERROR(__xludf.DUMMYFUNCTION("""COMPUTED_VALUE"""),"#VALUE!")</f>
        <v>#VALUE!</v>
      </c>
      <c r="CW701" t="str">
        <f ca="1">IFERROR(__xludf.DUMMYFUNCTION("""COMPUTED_VALUE"""),"#VALUE!")</f>
        <v>#VALUE!</v>
      </c>
      <c r="CY701" t="str">
        <f ca="1">IFERROR(__xludf.DUMMYFUNCTION("""COMPUTED_VALUE"""),"#VALUE!")</f>
        <v>#VALUE!</v>
      </c>
      <c r="DC701" t="str">
        <f ca="1">IFERROR(__xludf.DUMMYFUNCTION("""COMPUTED_VALUE"""),"#VALUE!")</f>
        <v>#VALUE!</v>
      </c>
      <c r="DE701" t="str">
        <f ca="1">IFERROR(__xludf.DUMMYFUNCTION("""COMPUTED_VALUE"""),"#VALUE!")</f>
        <v>#VALUE!</v>
      </c>
    </row>
    <row r="702" spans="1:109" ht="13.2" x14ac:dyDescent="0.25">
      <c r="A702" t="str">
        <f ca="1">IFERROR(__xludf.DUMMYFUNCTION("""COMPUTED_VALUE"""),"P0711")</f>
        <v>P0711</v>
      </c>
      <c r="BC702" t="str">
        <f ca="1">IFERROR(__xludf.DUMMYFUNCTION("""COMPUTED_VALUE"""),"#VALUE!")</f>
        <v>#VALUE!</v>
      </c>
      <c r="BE702" t="str">
        <f ca="1">IFERROR(__xludf.DUMMYFUNCTION("""COMPUTED_VALUE"""),"#VALUE!")</f>
        <v>#VALUE!</v>
      </c>
      <c r="BG702" t="str">
        <f ca="1">IFERROR(__xludf.DUMMYFUNCTION("""COMPUTED_VALUE"""),"#VALUE!")</f>
        <v>#VALUE!</v>
      </c>
      <c r="BI702" t="str">
        <f ca="1">IFERROR(__xludf.DUMMYFUNCTION("""COMPUTED_VALUE"""),"#VALUE!")</f>
        <v>#VALUE!</v>
      </c>
      <c r="BK702" t="str">
        <f ca="1">IFERROR(__xludf.DUMMYFUNCTION("""COMPUTED_VALUE"""),"#VALUE!")</f>
        <v>#VALUE!</v>
      </c>
      <c r="BM702" t="str">
        <f ca="1">IFERROR(__xludf.DUMMYFUNCTION("""COMPUTED_VALUE"""),"#VALUE!")</f>
        <v>#VALUE!</v>
      </c>
      <c r="CS702" t="str">
        <f ca="1">IFERROR(__xludf.DUMMYFUNCTION("""COMPUTED_VALUE"""),"#VALUE!")</f>
        <v>#VALUE!</v>
      </c>
      <c r="CU702" t="str">
        <f ca="1">IFERROR(__xludf.DUMMYFUNCTION("""COMPUTED_VALUE"""),"#VALUE!")</f>
        <v>#VALUE!</v>
      </c>
      <c r="CW702" t="str">
        <f ca="1">IFERROR(__xludf.DUMMYFUNCTION("""COMPUTED_VALUE"""),"#VALUE!")</f>
        <v>#VALUE!</v>
      </c>
      <c r="CY702" t="str">
        <f ca="1">IFERROR(__xludf.DUMMYFUNCTION("""COMPUTED_VALUE"""),"#VALUE!")</f>
        <v>#VALUE!</v>
      </c>
      <c r="DC702" t="str">
        <f ca="1">IFERROR(__xludf.DUMMYFUNCTION("""COMPUTED_VALUE"""),"#VALUE!")</f>
        <v>#VALUE!</v>
      </c>
      <c r="DE702" t="str">
        <f ca="1">IFERROR(__xludf.DUMMYFUNCTION("""COMPUTED_VALUE"""),"#VALUE!")</f>
        <v>#VALUE!</v>
      </c>
    </row>
    <row r="703" spans="1:109" ht="13.2" x14ac:dyDescent="0.25">
      <c r="A703" t="str">
        <f ca="1">IFERROR(__xludf.DUMMYFUNCTION("""COMPUTED_VALUE"""),"P0712")</f>
        <v>P0712</v>
      </c>
      <c r="BC703" t="str">
        <f ca="1">IFERROR(__xludf.DUMMYFUNCTION("""COMPUTED_VALUE"""),"#VALUE!")</f>
        <v>#VALUE!</v>
      </c>
      <c r="BE703" t="str">
        <f ca="1">IFERROR(__xludf.DUMMYFUNCTION("""COMPUTED_VALUE"""),"#VALUE!")</f>
        <v>#VALUE!</v>
      </c>
      <c r="BG703" t="str">
        <f ca="1">IFERROR(__xludf.DUMMYFUNCTION("""COMPUTED_VALUE"""),"#VALUE!")</f>
        <v>#VALUE!</v>
      </c>
      <c r="BI703" t="str">
        <f ca="1">IFERROR(__xludf.DUMMYFUNCTION("""COMPUTED_VALUE"""),"#VALUE!")</f>
        <v>#VALUE!</v>
      </c>
      <c r="BK703" t="str">
        <f ca="1">IFERROR(__xludf.DUMMYFUNCTION("""COMPUTED_VALUE"""),"#VALUE!")</f>
        <v>#VALUE!</v>
      </c>
      <c r="BM703" t="str">
        <f ca="1">IFERROR(__xludf.DUMMYFUNCTION("""COMPUTED_VALUE"""),"#VALUE!")</f>
        <v>#VALUE!</v>
      </c>
      <c r="CS703" t="str">
        <f ca="1">IFERROR(__xludf.DUMMYFUNCTION("""COMPUTED_VALUE"""),"#VALUE!")</f>
        <v>#VALUE!</v>
      </c>
      <c r="CU703" t="str">
        <f ca="1">IFERROR(__xludf.DUMMYFUNCTION("""COMPUTED_VALUE"""),"#VALUE!")</f>
        <v>#VALUE!</v>
      </c>
      <c r="CW703" t="str">
        <f ca="1">IFERROR(__xludf.DUMMYFUNCTION("""COMPUTED_VALUE"""),"#VALUE!")</f>
        <v>#VALUE!</v>
      </c>
      <c r="CY703" t="str">
        <f ca="1">IFERROR(__xludf.DUMMYFUNCTION("""COMPUTED_VALUE"""),"#VALUE!")</f>
        <v>#VALUE!</v>
      </c>
      <c r="DC703" t="str">
        <f ca="1">IFERROR(__xludf.DUMMYFUNCTION("""COMPUTED_VALUE"""),"#VALUE!")</f>
        <v>#VALUE!</v>
      </c>
      <c r="DE703" t="str">
        <f ca="1">IFERROR(__xludf.DUMMYFUNCTION("""COMPUTED_VALUE"""),"#VALUE!")</f>
        <v>#VALUE!</v>
      </c>
    </row>
    <row r="704" spans="1:109" ht="13.2" x14ac:dyDescent="0.25">
      <c r="A704" t="str">
        <f ca="1">IFERROR(__xludf.DUMMYFUNCTION("""COMPUTED_VALUE"""),"P0713")</f>
        <v>P0713</v>
      </c>
      <c r="BC704" t="str">
        <f ca="1">IFERROR(__xludf.DUMMYFUNCTION("""COMPUTED_VALUE"""),"#VALUE!")</f>
        <v>#VALUE!</v>
      </c>
      <c r="BE704" t="str">
        <f ca="1">IFERROR(__xludf.DUMMYFUNCTION("""COMPUTED_VALUE"""),"#VALUE!")</f>
        <v>#VALUE!</v>
      </c>
      <c r="BG704" t="str">
        <f ca="1">IFERROR(__xludf.DUMMYFUNCTION("""COMPUTED_VALUE"""),"#VALUE!")</f>
        <v>#VALUE!</v>
      </c>
      <c r="BI704" t="str">
        <f ca="1">IFERROR(__xludf.DUMMYFUNCTION("""COMPUTED_VALUE"""),"#VALUE!")</f>
        <v>#VALUE!</v>
      </c>
      <c r="BK704" t="str">
        <f ca="1">IFERROR(__xludf.DUMMYFUNCTION("""COMPUTED_VALUE"""),"#VALUE!")</f>
        <v>#VALUE!</v>
      </c>
      <c r="BM704" t="str">
        <f ca="1">IFERROR(__xludf.DUMMYFUNCTION("""COMPUTED_VALUE"""),"#VALUE!")</f>
        <v>#VALUE!</v>
      </c>
      <c r="CS704" t="str">
        <f ca="1">IFERROR(__xludf.DUMMYFUNCTION("""COMPUTED_VALUE"""),"#VALUE!")</f>
        <v>#VALUE!</v>
      </c>
      <c r="CU704" t="str">
        <f ca="1">IFERROR(__xludf.DUMMYFUNCTION("""COMPUTED_VALUE"""),"#VALUE!")</f>
        <v>#VALUE!</v>
      </c>
      <c r="CW704" t="str">
        <f ca="1">IFERROR(__xludf.DUMMYFUNCTION("""COMPUTED_VALUE"""),"#VALUE!")</f>
        <v>#VALUE!</v>
      </c>
      <c r="CY704" t="str">
        <f ca="1">IFERROR(__xludf.DUMMYFUNCTION("""COMPUTED_VALUE"""),"#VALUE!")</f>
        <v>#VALUE!</v>
      </c>
      <c r="DC704" t="str">
        <f ca="1">IFERROR(__xludf.DUMMYFUNCTION("""COMPUTED_VALUE"""),"#VALUE!")</f>
        <v>#VALUE!</v>
      </c>
      <c r="DE704" t="str">
        <f ca="1">IFERROR(__xludf.DUMMYFUNCTION("""COMPUTED_VALUE"""),"#VALUE!")</f>
        <v>#VALUE!</v>
      </c>
    </row>
    <row r="705" spans="1:109" ht="13.2" x14ac:dyDescent="0.25">
      <c r="A705" t="str">
        <f ca="1">IFERROR(__xludf.DUMMYFUNCTION("""COMPUTED_VALUE"""),"P0714")</f>
        <v>P0714</v>
      </c>
      <c r="BC705" t="str">
        <f ca="1">IFERROR(__xludf.DUMMYFUNCTION("""COMPUTED_VALUE"""),"#VALUE!")</f>
        <v>#VALUE!</v>
      </c>
      <c r="BE705" t="str">
        <f ca="1">IFERROR(__xludf.DUMMYFUNCTION("""COMPUTED_VALUE"""),"#VALUE!")</f>
        <v>#VALUE!</v>
      </c>
      <c r="BG705" t="str">
        <f ca="1">IFERROR(__xludf.DUMMYFUNCTION("""COMPUTED_VALUE"""),"#VALUE!")</f>
        <v>#VALUE!</v>
      </c>
      <c r="BI705" t="str">
        <f ca="1">IFERROR(__xludf.DUMMYFUNCTION("""COMPUTED_VALUE"""),"#VALUE!")</f>
        <v>#VALUE!</v>
      </c>
      <c r="BK705" t="str">
        <f ca="1">IFERROR(__xludf.DUMMYFUNCTION("""COMPUTED_VALUE"""),"#VALUE!")</f>
        <v>#VALUE!</v>
      </c>
      <c r="BM705" t="str">
        <f ca="1">IFERROR(__xludf.DUMMYFUNCTION("""COMPUTED_VALUE"""),"#VALUE!")</f>
        <v>#VALUE!</v>
      </c>
      <c r="CS705" t="str">
        <f ca="1">IFERROR(__xludf.DUMMYFUNCTION("""COMPUTED_VALUE"""),"#VALUE!")</f>
        <v>#VALUE!</v>
      </c>
      <c r="CU705" t="str">
        <f ca="1">IFERROR(__xludf.DUMMYFUNCTION("""COMPUTED_VALUE"""),"#VALUE!")</f>
        <v>#VALUE!</v>
      </c>
      <c r="CW705" t="str">
        <f ca="1">IFERROR(__xludf.DUMMYFUNCTION("""COMPUTED_VALUE"""),"#VALUE!")</f>
        <v>#VALUE!</v>
      </c>
      <c r="CY705" t="str">
        <f ca="1">IFERROR(__xludf.DUMMYFUNCTION("""COMPUTED_VALUE"""),"#VALUE!")</f>
        <v>#VALUE!</v>
      </c>
      <c r="DC705" t="str">
        <f ca="1">IFERROR(__xludf.DUMMYFUNCTION("""COMPUTED_VALUE"""),"#VALUE!")</f>
        <v>#VALUE!</v>
      </c>
      <c r="DE705" t="str">
        <f ca="1">IFERROR(__xludf.DUMMYFUNCTION("""COMPUTED_VALUE"""),"#VALUE!")</f>
        <v>#VALUE!</v>
      </c>
    </row>
    <row r="706" spans="1:109" ht="13.2" x14ac:dyDescent="0.25">
      <c r="A706" t="str">
        <f ca="1">IFERROR(__xludf.DUMMYFUNCTION("""COMPUTED_VALUE"""),"P0715")</f>
        <v>P0715</v>
      </c>
      <c r="BC706" t="str">
        <f ca="1">IFERROR(__xludf.DUMMYFUNCTION("""COMPUTED_VALUE"""),"#VALUE!")</f>
        <v>#VALUE!</v>
      </c>
      <c r="BE706" t="str">
        <f ca="1">IFERROR(__xludf.DUMMYFUNCTION("""COMPUTED_VALUE"""),"#VALUE!")</f>
        <v>#VALUE!</v>
      </c>
      <c r="BG706" t="str">
        <f ca="1">IFERROR(__xludf.DUMMYFUNCTION("""COMPUTED_VALUE"""),"#VALUE!")</f>
        <v>#VALUE!</v>
      </c>
      <c r="BI706" t="str">
        <f ca="1">IFERROR(__xludf.DUMMYFUNCTION("""COMPUTED_VALUE"""),"#VALUE!")</f>
        <v>#VALUE!</v>
      </c>
      <c r="BK706" t="str">
        <f ca="1">IFERROR(__xludf.DUMMYFUNCTION("""COMPUTED_VALUE"""),"#VALUE!")</f>
        <v>#VALUE!</v>
      </c>
      <c r="BM706" t="str">
        <f ca="1">IFERROR(__xludf.DUMMYFUNCTION("""COMPUTED_VALUE"""),"#VALUE!")</f>
        <v>#VALUE!</v>
      </c>
      <c r="CS706" t="str">
        <f ca="1">IFERROR(__xludf.DUMMYFUNCTION("""COMPUTED_VALUE"""),"#VALUE!")</f>
        <v>#VALUE!</v>
      </c>
      <c r="CU706" t="str">
        <f ca="1">IFERROR(__xludf.DUMMYFUNCTION("""COMPUTED_VALUE"""),"#VALUE!")</f>
        <v>#VALUE!</v>
      </c>
      <c r="CW706" t="str">
        <f ca="1">IFERROR(__xludf.DUMMYFUNCTION("""COMPUTED_VALUE"""),"#VALUE!")</f>
        <v>#VALUE!</v>
      </c>
      <c r="CY706" t="str">
        <f ca="1">IFERROR(__xludf.DUMMYFUNCTION("""COMPUTED_VALUE"""),"#VALUE!")</f>
        <v>#VALUE!</v>
      </c>
      <c r="DC706" t="str">
        <f ca="1">IFERROR(__xludf.DUMMYFUNCTION("""COMPUTED_VALUE"""),"#VALUE!")</f>
        <v>#VALUE!</v>
      </c>
      <c r="DE706" t="str">
        <f ca="1">IFERROR(__xludf.DUMMYFUNCTION("""COMPUTED_VALUE"""),"#VALUE!")</f>
        <v>#VALUE!</v>
      </c>
    </row>
    <row r="707" spans="1:109" ht="13.2" x14ac:dyDescent="0.25">
      <c r="A707" t="str">
        <f ca="1">IFERROR(__xludf.DUMMYFUNCTION("""COMPUTED_VALUE"""),"P0716")</f>
        <v>P0716</v>
      </c>
      <c r="BC707" t="str">
        <f ca="1">IFERROR(__xludf.DUMMYFUNCTION("""COMPUTED_VALUE"""),"#VALUE!")</f>
        <v>#VALUE!</v>
      </c>
      <c r="BE707" t="str">
        <f ca="1">IFERROR(__xludf.DUMMYFUNCTION("""COMPUTED_VALUE"""),"#VALUE!")</f>
        <v>#VALUE!</v>
      </c>
      <c r="BG707" t="str">
        <f ca="1">IFERROR(__xludf.DUMMYFUNCTION("""COMPUTED_VALUE"""),"#VALUE!")</f>
        <v>#VALUE!</v>
      </c>
      <c r="BI707" t="str">
        <f ca="1">IFERROR(__xludf.DUMMYFUNCTION("""COMPUTED_VALUE"""),"#VALUE!")</f>
        <v>#VALUE!</v>
      </c>
      <c r="BK707" t="str">
        <f ca="1">IFERROR(__xludf.DUMMYFUNCTION("""COMPUTED_VALUE"""),"#VALUE!")</f>
        <v>#VALUE!</v>
      </c>
      <c r="BM707" t="str">
        <f ca="1">IFERROR(__xludf.DUMMYFUNCTION("""COMPUTED_VALUE"""),"#VALUE!")</f>
        <v>#VALUE!</v>
      </c>
      <c r="CS707" t="str">
        <f ca="1">IFERROR(__xludf.DUMMYFUNCTION("""COMPUTED_VALUE"""),"#VALUE!")</f>
        <v>#VALUE!</v>
      </c>
      <c r="CU707" t="str">
        <f ca="1">IFERROR(__xludf.DUMMYFUNCTION("""COMPUTED_VALUE"""),"#VALUE!")</f>
        <v>#VALUE!</v>
      </c>
      <c r="CW707" t="str">
        <f ca="1">IFERROR(__xludf.DUMMYFUNCTION("""COMPUTED_VALUE"""),"#VALUE!")</f>
        <v>#VALUE!</v>
      </c>
      <c r="CY707" t="str">
        <f ca="1">IFERROR(__xludf.DUMMYFUNCTION("""COMPUTED_VALUE"""),"#VALUE!")</f>
        <v>#VALUE!</v>
      </c>
      <c r="DC707" t="str">
        <f ca="1">IFERROR(__xludf.DUMMYFUNCTION("""COMPUTED_VALUE"""),"#VALUE!")</f>
        <v>#VALUE!</v>
      </c>
      <c r="DE707" t="str">
        <f ca="1">IFERROR(__xludf.DUMMYFUNCTION("""COMPUTED_VALUE"""),"#VALUE!")</f>
        <v>#VALUE!</v>
      </c>
    </row>
    <row r="708" spans="1:109" ht="13.2" x14ac:dyDescent="0.25">
      <c r="A708" t="str">
        <f ca="1">IFERROR(__xludf.DUMMYFUNCTION("""COMPUTED_VALUE"""),"P0717")</f>
        <v>P0717</v>
      </c>
      <c r="BC708" t="str">
        <f ca="1">IFERROR(__xludf.DUMMYFUNCTION("""COMPUTED_VALUE"""),"#VALUE!")</f>
        <v>#VALUE!</v>
      </c>
      <c r="BE708" t="str">
        <f ca="1">IFERROR(__xludf.DUMMYFUNCTION("""COMPUTED_VALUE"""),"#VALUE!")</f>
        <v>#VALUE!</v>
      </c>
      <c r="BG708" t="str">
        <f ca="1">IFERROR(__xludf.DUMMYFUNCTION("""COMPUTED_VALUE"""),"#VALUE!")</f>
        <v>#VALUE!</v>
      </c>
      <c r="BI708" t="str">
        <f ca="1">IFERROR(__xludf.DUMMYFUNCTION("""COMPUTED_VALUE"""),"#VALUE!")</f>
        <v>#VALUE!</v>
      </c>
      <c r="BK708" t="str">
        <f ca="1">IFERROR(__xludf.DUMMYFUNCTION("""COMPUTED_VALUE"""),"#VALUE!")</f>
        <v>#VALUE!</v>
      </c>
      <c r="BM708" t="str">
        <f ca="1">IFERROR(__xludf.DUMMYFUNCTION("""COMPUTED_VALUE"""),"#VALUE!")</f>
        <v>#VALUE!</v>
      </c>
      <c r="CS708" t="str">
        <f ca="1">IFERROR(__xludf.DUMMYFUNCTION("""COMPUTED_VALUE"""),"#VALUE!")</f>
        <v>#VALUE!</v>
      </c>
      <c r="CU708" t="str">
        <f ca="1">IFERROR(__xludf.DUMMYFUNCTION("""COMPUTED_VALUE"""),"#VALUE!")</f>
        <v>#VALUE!</v>
      </c>
      <c r="CW708" t="str">
        <f ca="1">IFERROR(__xludf.DUMMYFUNCTION("""COMPUTED_VALUE"""),"#VALUE!")</f>
        <v>#VALUE!</v>
      </c>
      <c r="CY708" t="str">
        <f ca="1">IFERROR(__xludf.DUMMYFUNCTION("""COMPUTED_VALUE"""),"#VALUE!")</f>
        <v>#VALUE!</v>
      </c>
      <c r="DC708" t="str">
        <f ca="1">IFERROR(__xludf.DUMMYFUNCTION("""COMPUTED_VALUE"""),"#VALUE!")</f>
        <v>#VALUE!</v>
      </c>
      <c r="DE708" t="str">
        <f ca="1">IFERROR(__xludf.DUMMYFUNCTION("""COMPUTED_VALUE"""),"#VALUE!")</f>
        <v>#VALUE!</v>
      </c>
    </row>
    <row r="709" spans="1:109" ht="13.2" x14ac:dyDescent="0.25">
      <c r="A709" t="str">
        <f ca="1">IFERROR(__xludf.DUMMYFUNCTION("""COMPUTED_VALUE"""),"P0718")</f>
        <v>P0718</v>
      </c>
      <c r="BC709" t="str">
        <f ca="1">IFERROR(__xludf.DUMMYFUNCTION("""COMPUTED_VALUE"""),"#VALUE!")</f>
        <v>#VALUE!</v>
      </c>
      <c r="BE709" t="str">
        <f ca="1">IFERROR(__xludf.DUMMYFUNCTION("""COMPUTED_VALUE"""),"#VALUE!")</f>
        <v>#VALUE!</v>
      </c>
      <c r="BG709" t="str">
        <f ca="1">IFERROR(__xludf.DUMMYFUNCTION("""COMPUTED_VALUE"""),"#VALUE!")</f>
        <v>#VALUE!</v>
      </c>
      <c r="BI709" t="str">
        <f ca="1">IFERROR(__xludf.DUMMYFUNCTION("""COMPUTED_VALUE"""),"#VALUE!")</f>
        <v>#VALUE!</v>
      </c>
      <c r="BK709" t="str">
        <f ca="1">IFERROR(__xludf.DUMMYFUNCTION("""COMPUTED_VALUE"""),"#VALUE!")</f>
        <v>#VALUE!</v>
      </c>
      <c r="BM709" t="str">
        <f ca="1">IFERROR(__xludf.DUMMYFUNCTION("""COMPUTED_VALUE"""),"#VALUE!")</f>
        <v>#VALUE!</v>
      </c>
      <c r="CS709" t="str">
        <f ca="1">IFERROR(__xludf.DUMMYFUNCTION("""COMPUTED_VALUE"""),"#VALUE!")</f>
        <v>#VALUE!</v>
      </c>
      <c r="CU709" t="str">
        <f ca="1">IFERROR(__xludf.DUMMYFUNCTION("""COMPUTED_VALUE"""),"#VALUE!")</f>
        <v>#VALUE!</v>
      </c>
      <c r="CW709" t="str">
        <f ca="1">IFERROR(__xludf.DUMMYFUNCTION("""COMPUTED_VALUE"""),"#VALUE!")</f>
        <v>#VALUE!</v>
      </c>
      <c r="CY709" t="str">
        <f ca="1">IFERROR(__xludf.DUMMYFUNCTION("""COMPUTED_VALUE"""),"#VALUE!")</f>
        <v>#VALUE!</v>
      </c>
      <c r="DC709" t="str">
        <f ca="1">IFERROR(__xludf.DUMMYFUNCTION("""COMPUTED_VALUE"""),"#VALUE!")</f>
        <v>#VALUE!</v>
      </c>
      <c r="DE709" t="str">
        <f ca="1">IFERROR(__xludf.DUMMYFUNCTION("""COMPUTED_VALUE"""),"#VALUE!")</f>
        <v>#VALUE!</v>
      </c>
    </row>
    <row r="710" spans="1:109" ht="13.2" x14ac:dyDescent="0.25">
      <c r="A710" t="str">
        <f ca="1">IFERROR(__xludf.DUMMYFUNCTION("""COMPUTED_VALUE"""),"P0719")</f>
        <v>P0719</v>
      </c>
      <c r="BC710" t="str">
        <f ca="1">IFERROR(__xludf.DUMMYFUNCTION("""COMPUTED_VALUE"""),"#VALUE!")</f>
        <v>#VALUE!</v>
      </c>
      <c r="BE710" t="str">
        <f ca="1">IFERROR(__xludf.DUMMYFUNCTION("""COMPUTED_VALUE"""),"#VALUE!")</f>
        <v>#VALUE!</v>
      </c>
      <c r="BG710" t="str">
        <f ca="1">IFERROR(__xludf.DUMMYFUNCTION("""COMPUTED_VALUE"""),"#VALUE!")</f>
        <v>#VALUE!</v>
      </c>
      <c r="BI710" t="str">
        <f ca="1">IFERROR(__xludf.DUMMYFUNCTION("""COMPUTED_VALUE"""),"#VALUE!")</f>
        <v>#VALUE!</v>
      </c>
      <c r="BK710" t="str">
        <f ca="1">IFERROR(__xludf.DUMMYFUNCTION("""COMPUTED_VALUE"""),"#VALUE!")</f>
        <v>#VALUE!</v>
      </c>
      <c r="BM710" t="str">
        <f ca="1">IFERROR(__xludf.DUMMYFUNCTION("""COMPUTED_VALUE"""),"#VALUE!")</f>
        <v>#VALUE!</v>
      </c>
      <c r="CS710" t="str">
        <f ca="1">IFERROR(__xludf.DUMMYFUNCTION("""COMPUTED_VALUE"""),"#VALUE!")</f>
        <v>#VALUE!</v>
      </c>
      <c r="CU710" t="str">
        <f ca="1">IFERROR(__xludf.DUMMYFUNCTION("""COMPUTED_VALUE"""),"#VALUE!")</f>
        <v>#VALUE!</v>
      </c>
      <c r="CW710" t="str">
        <f ca="1">IFERROR(__xludf.DUMMYFUNCTION("""COMPUTED_VALUE"""),"#VALUE!")</f>
        <v>#VALUE!</v>
      </c>
      <c r="CY710" t="str">
        <f ca="1">IFERROR(__xludf.DUMMYFUNCTION("""COMPUTED_VALUE"""),"#VALUE!")</f>
        <v>#VALUE!</v>
      </c>
      <c r="DC710" t="str">
        <f ca="1">IFERROR(__xludf.DUMMYFUNCTION("""COMPUTED_VALUE"""),"#VALUE!")</f>
        <v>#VALUE!</v>
      </c>
      <c r="DE710" t="str">
        <f ca="1">IFERROR(__xludf.DUMMYFUNCTION("""COMPUTED_VALUE"""),"#VALUE!")</f>
        <v>#VALUE!</v>
      </c>
    </row>
    <row r="711" spans="1:109" ht="13.2" x14ac:dyDescent="0.25">
      <c r="A711" t="str">
        <f ca="1">IFERROR(__xludf.DUMMYFUNCTION("""COMPUTED_VALUE"""),"P0720")</f>
        <v>P0720</v>
      </c>
      <c r="BC711" t="str">
        <f ca="1">IFERROR(__xludf.DUMMYFUNCTION("""COMPUTED_VALUE"""),"#VALUE!")</f>
        <v>#VALUE!</v>
      </c>
      <c r="BE711" t="str">
        <f ca="1">IFERROR(__xludf.DUMMYFUNCTION("""COMPUTED_VALUE"""),"#VALUE!")</f>
        <v>#VALUE!</v>
      </c>
      <c r="BG711" t="str">
        <f ca="1">IFERROR(__xludf.DUMMYFUNCTION("""COMPUTED_VALUE"""),"#VALUE!")</f>
        <v>#VALUE!</v>
      </c>
      <c r="BI711" t="str">
        <f ca="1">IFERROR(__xludf.DUMMYFUNCTION("""COMPUTED_VALUE"""),"#VALUE!")</f>
        <v>#VALUE!</v>
      </c>
      <c r="BK711" t="str">
        <f ca="1">IFERROR(__xludf.DUMMYFUNCTION("""COMPUTED_VALUE"""),"#VALUE!")</f>
        <v>#VALUE!</v>
      </c>
      <c r="BM711" t="str">
        <f ca="1">IFERROR(__xludf.DUMMYFUNCTION("""COMPUTED_VALUE"""),"#VALUE!")</f>
        <v>#VALUE!</v>
      </c>
      <c r="CS711" t="str">
        <f ca="1">IFERROR(__xludf.DUMMYFUNCTION("""COMPUTED_VALUE"""),"#VALUE!")</f>
        <v>#VALUE!</v>
      </c>
      <c r="CU711" t="str">
        <f ca="1">IFERROR(__xludf.DUMMYFUNCTION("""COMPUTED_VALUE"""),"#VALUE!")</f>
        <v>#VALUE!</v>
      </c>
      <c r="CW711" t="str">
        <f ca="1">IFERROR(__xludf.DUMMYFUNCTION("""COMPUTED_VALUE"""),"#VALUE!")</f>
        <v>#VALUE!</v>
      </c>
      <c r="CY711" t="str">
        <f ca="1">IFERROR(__xludf.DUMMYFUNCTION("""COMPUTED_VALUE"""),"#VALUE!")</f>
        <v>#VALUE!</v>
      </c>
      <c r="DC711" t="str">
        <f ca="1">IFERROR(__xludf.DUMMYFUNCTION("""COMPUTED_VALUE"""),"#VALUE!")</f>
        <v>#VALUE!</v>
      </c>
      <c r="DE711" t="str">
        <f ca="1">IFERROR(__xludf.DUMMYFUNCTION("""COMPUTED_VALUE"""),"#VALUE!")</f>
        <v>#VALUE!</v>
      </c>
    </row>
    <row r="712" spans="1:109" ht="13.2" x14ac:dyDescent="0.25">
      <c r="A712" t="str">
        <f ca="1">IFERROR(__xludf.DUMMYFUNCTION("""COMPUTED_VALUE"""),"P0721")</f>
        <v>P0721</v>
      </c>
      <c r="BC712" t="str">
        <f ca="1">IFERROR(__xludf.DUMMYFUNCTION("""COMPUTED_VALUE"""),"#VALUE!")</f>
        <v>#VALUE!</v>
      </c>
      <c r="BE712" t="str">
        <f ca="1">IFERROR(__xludf.DUMMYFUNCTION("""COMPUTED_VALUE"""),"#VALUE!")</f>
        <v>#VALUE!</v>
      </c>
      <c r="BG712" t="str">
        <f ca="1">IFERROR(__xludf.DUMMYFUNCTION("""COMPUTED_VALUE"""),"#VALUE!")</f>
        <v>#VALUE!</v>
      </c>
      <c r="BI712" t="str">
        <f ca="1">IFERROR(__xludf.DUMMYFUNCTION("""COMPUTED_VALUE"""),"#VALUE!")</f>
        <v>#VALUE!</v>
      </c>
      <c r="BK712" t="str">
        <f ca="1">IFERROR(__xludf.DUMMYFUNCTION("""COMPUTED_VALUE"""),"#VALUE!")</f>
        <v>#VALUE!</v>
      </c>
      <c r="BM712" t="str">
        <f ca="1">IFERROR(__xludf.DUMMYFUNCTION("""COMPUTED_VALUE"""),"#VALUE!")</f>
        <v>#VALUE!</v>
      </c>
      <c r="CS712" t="str">
        <f ca="1">IFERROR(__xludf.DUMMYFUNCTION("""COMPUTED_VALUE"""),"#VALUE!")</f>
        <v>#VALUE!</v>
      </c>
      <c r="CU712" t="str">
        <f ca="1">IFERROR(__xludf.DUMMYFUNCTION("""COMPUTED_VALUE"""),"#VALUE!")</f>
        <v>#VALUE!</v>
      </c>
      <c r="CW712" t="str">
        <f ca="1">IFERROR(__xludf.DUMMYFUNCTION("""COMPUTED_VALUE"""),"#VALUE!")</f>
        <v>#VALUE!</v>
      </c>
      <c r="CY712" t="str">
        <f ca="1">IFERROR(__xludf.DUMMYFUNCTION("""COMPUTED_VALUE"""),"#VALUE!")</f>
        <v>#VALUE!</v>
      </c>
      <c r="DC712" t="str">
        <f ca="1">IFERROR(__xludf.DUMMYFUNCTION("""COMPUTED_VALUE"""),"#VALUE!")</f>
        <v>#VALUE!</v>
      </c>
      <c r="DE712" t="str">
        <f ca="1">IFERROR(__xludf.DUMMYFUNCTION("""COMPUTED_VALUE"""),"#VALUE!")</f>
        <v>#VALUE!</v>
      </c>
    </row>
    <row r="713" spans="1:109" ht="13.2" x14ac:dyDescent="0.25">
      <c r="A713" t="str">
        <f ca="1">IFERROR(__xludf.DUMMYFUNCTION("""COMPUTED_VALUE"""),"P0722")</f>
        <v>P0722</v>
      </c>
      <c r="BC713" t="str">
        <f ca="1">IFERROR(__xludf.DUMMYFUNCTION("""COMPUTED_VALUE"""),"#VALUE!")</f>
        <v>#VALUE!</v>
      </c>
      <c r="BE713" t="str">
        <f ca="1">IFERROR(__xludf.DUMMYFUNCTION("""COMPUTED_VALUE"""),"#VALUE!")</f>
        <v>#VALUE!</v>
      </c>
      <c r="BG713" t="str">
        <f ca="1">IFERROR(__xludf.DUMMYFUNCTION("""COMPUTED_VALUE"""),"#VALUE!")</f>
        <v>#VALUE!</v>
      </c>
      <c r="BI713" t="str">
        <f ca="1">IFERROR(__xludf.DUMMYFUNCTION("""COMPUTED_VALUE"""),"#VALUE!")</f>
        <v>#VALUE!</v>
      </c>
      <c r="BK713" t="str">
        <f ca="1">IFERROR(__xludf.DUMMYFUNCTION("""COMPUTED_VALUE"""),"#VALUE!")</f>
        <v>#VALUE!</v>
      </c>
      <c r="BM713" t="str">
        <f ca="1">IFERROR(__xludf.DUMMYFUNCTION("""COMPUTED_VALUE"""),"#VALUE!")</f>
        <v>#VALUE!</v>
      </c>
      <c r="CS713" t="str">
        <f ca="1">IFERROR(__xludf.DUMMYFUNCTION("""COMPUTED_VALUE"""),"#VALUE!")</f>
        <v>#VALUE!</v>
      </c>
      <c r="CU713" t="str">
        <f ca="1">IFERROR(__xludf.DUMMYFUNCTION("""COMPUTED_VALUE"""),"#VALUE!")</f>
        <v>#VALUE!</v>
      </c>
      <c r="CW713" t="str">
        <f ca="1">IFERROR(__xludf.DUMMYFUNCTION("""COMPUTED_VALUE"""),"#VALUE!")</f>
        <v>#VALUE!</v>
      </c>
      <c r="CY713" t="str">
        <f ca="1">IFERROR(__xludf.DUMMYFUNCTION("""COMPUTED_VALUE"""),"#VALUE!")</f>
        <v>#VALUE!</v>
      </c>
      <c r="DC713" t="str">
        <f ca="1">IFERROR(__xludf.DUMMYFUNCTION("""COMPUTED_VALUE"""),"#VALUE!")</f>
        <v>#VALUE!</v>
      </c>
      <c r="DE713" t="str">
        <f ca="1">IFERROR(__xludf.DUMMYFUNCTION("""COMPUTED_VALUE"""),"#VALUE!")</f>
        <v>#VALUE!</v>
      </c>
    </row>
    <row r="714" spans="1:109" ht="13.2" x14ac:dyDescent="0.25">
      <c r="A714" t="str">
        <f ca="1">IFERROR(__xludf.DUMMYFUNCTION("""COMPUTED_VALUE"""),"P0723")</f>
        <v>P0723</v>
      </c>
      <c r="BC714" t="str">
        <f ca="1">IFERROR(__xludf.DUMMYFUNCTION("""COMPUTED_VALUE"""),"#VALUE!")</f>
        <v>#VALUE!</v>
      </c>
      <c r="BE714" t="str">
        <f ca="1">IFERROR(__xludf.DUMMYFUNCTION("""COMPUTED_VALUE"""),"#VALUE!")</f>
        <v>#VALUE!</v>
      </c>
      <c r="BG714" t="str">
        <f ca="1">IFERROR(__xludf.DUMMYFUNCTION("""COMPUTED_VALUE"""),"#VALUE!")</f>
        <v>#VALUE!</v>
      </c>
      <c r="BI714" t="str">
        <f ca="1">IFERROR(__xludf.DUMMYFUNCTION("""COMPUTED_VALUE"""),"#VALUE!")</f>
        <v>#VALUE!</v>
      </c>
      <c r="BK714" t="str">
        <f ca="1">IFERROR(__xludf.DUMMYFUNCTION("""COMPUTED_VALUE"""),"#VALUE!")</f>
        <v>#VALUE!</v>
      </c>
      <c r="BM714" t="str">
        <f ca="1">IFERROR(__xludf.DUMMYFUNCTION("""COMPUTED_VALUE"""),"#VALUE!")</f>
        <v>#VALUE!</v>
      </c>
      <c r="CS714" t="str">
        <f ca="1">IFERROR(__xludf.DUMMYFUNCTION("""COMPUTED_VALUE"""),"#VALUE!")</f>
        <v>#VALUE!</v>
      </c>
      <c r="CU714" t="str">
        <f ca="1">IFERROR(__xludf.DUMMYFUNCTION("""COMPUTED_VALUE"""),"#VALUE!")</f>
        <v>#VALUE!</v>
      </c>
      <c r="CW714" t="str">
        <f ca="1">IFERROR(__xludf.DUMMYFUNCTION("""COMPUTED_VALUE"""),"#VALUE!")</f>
        <v>#VALUE!</v>
      </c>
      <c r="CY714" t="str">
        <f ca="1">IFERROR(__xludf.DUMMYFUNCTION("""COMPUTED_VALUE"""),"#VALUE!")</f>
        <v>#VALUE!</v>
      </c>
      <c r="DC714" t="str">
        <f ca="1">IFERROR(__xludf.DUMMYFUNCTION("""COMPUTED_VALUE"""),"#VALUE!")</f>
        <v>#VALUE!</v>
      </c>
      <c r="DE714" t="str">
        <f ca="1">IFERROR(__xludf.DUMMYFUNCTION("""COMPUTED_VALUE"""),"#VALUE!")</f>
        <v>#VALUE!</v>
      </c>
    </row>
    <row r="715" spans="1:109" ht="13.2" x14ac:dyDescent="0.25">
      <c r="A715" t="str">
        <f ca="1">IFERROR(__xludf.DUMMYFUNCTION("""COMPUTED_VALUE"""),"P0724")</f>
        <v>P0724</v>
      </c>
      <c r="BC715" t="str">
        <f ca="1">IFERROR(__xludf.DUMMYFUNCTION("""COMPUTED_VALUE"""),"#VALUE!")</f>
        <v>#VALUE!</v>
      </c>
      <c r="BE715" t="str">
        <f ca="1">IFERROR(__xludf.DUMMYFUNCTION("""COMPUTED_VALUE"""),"#VALUE!")</f>
        <v>#VALUE!</v>
      </c>
      <c r="BG715" t="str">
        <f ca="1">IFERROR(__xludf.DUMMYFUNCTION("""COMPUTED_VALUE"""),"#VALUE!")</f>
        <v>#VALUE!</v>
      </c>
      <c r="BI715" t="str">
        <f ca="1">IFERROR(__xludf.DUMMYFUNCTION("""COMPUTED_VALUE"""),"#VALUE!")</f>
        <v>#VALUE!</v>
      </c>
      <c r="BK715" t="str">
        <f ca="1">IFERROR(__xludf.DUMMYFUNCTION("""COMPUTED_VALUE"""),"#VALUE!")</f>
        <v>#VALUE!</v>
      </c>
      <c r="BM715" t="str">
        <f ca="1">IFERROR(__xludf.DUMMYFUNCTION("""COMPUTED_VALUE"""),"#VALUE!")</f>
        <v>#VALUE!</v>
      </c>
      <c r="CS715" t="str">
        <f ca="1">IFERROR(__xludf.DUMMYFUNCTION("""COMPUTED_VALUE"""),"#VALUE!")</f>
        <v>#VALUE!</v>
      </c>
      <c r="CU715" t="str">
        <f ca="1">IFERROR(__xludf.DUMMYFUNCTION("""COMPUTED_VALUE"""),"#VALUE!")</f>
        <v>#VALUE!</v>
      </c>
      <c r="CW715" t="str">
        <f ca="1">IFERROR(__xludf.DUMMYFUNCTION("""COMPUTED_VALUE"""),"#VALUE!")</f>
        <v>#VALUE!</v>
      </c>
      <c r="CY715" t="str">
        <f ca="1">IFERROR(__xludf.DUMMYFUNCTION("""COMPUTED_VALUE"""),"#VALUE!")</f>
        <v>#VALUE!</v>
      </c>
      <c r="DC715" t="str">
        <f ca="1">IFERROR(__xludf.DUMMYFUNCTION("""COMPUTED_VALUE"""),"#VALUE!")</f>
        <v>#VALUE!</v>
      </c>
      <c r="DE715" t="str">
        <f ca="1">IFERROR(__xludf.DUMMYFUNCTION("""COMPUTED_VALUE"""),"#VALUE!")</f>
        <v>#VALUE!</v>
      </c>
    </row>
    <row r="716" spans="1:109" ht="13.2" x14ac:dyDescent="0.25">
      <c r="A716" t="str">
        <f ca="1">IFERROR(__xludf.DUMMYFUNCTION("""COMPUTED_VALUE"""),"P0725")</f>
        <v>P0725</v>
      </c>
      <c r="BC716" t="str">
        <f ca="1">IFERROR(__xludf.DUMMYFUNCTION("""COMPUTED_VALUE"""),"#VALUE!")</f>
        <v>#VALUE!</v>
      </c>
      <c r="BE716" t="str">
        <f ca="1">IFERROR(__xludf.DUMMYFUNCTION("""COMPUTED_VALUE"""),"#VALUE!")</f>
        <v>#VALUE!</v>
      </c>
      <c r="BG716" t="str">
        <f ca="1">IFERROR(__xludf.DUMMYFUNCTION("""COMPUTED_VALUE"""),"#VALUE!")</f>
        <v>#VALUE!</v>
      </c>
      <c r="BI716" t="str">
        <f ca="1">IFERROR(__xludf.DUMMYFUNCTION("""COMPUTED_VALUE"""),"#VALUE!")</f>
        <v>#VALUE!</v>
      </c>
      <c r="BK716" t="str">
        <f ca="1">IFERROR(__xludf.DUMMYFUNCTION("""COMPUTED_VALUE"""),"#VALUE!")</f>
        <v>#VALUE!</v>
      </c>
      <c r="BM716" t="str">
        <f ca="1">IFERROR(__xludf.DUMMYFUNCTION("""COMPUTED_VALUE"""),"#VALUE!")</f>
        <v>#VALUE!</v>
      </c>
      <c r="CS716" t="str">
        <f ca="1">IFERROR(__xludf.DUMMYFUNCTION("""COMPUTED_VALUE"""),"#VALUE!")</f>
        <v>#VALUE!</v>
      </c>
      <c r="CU716" t="str">
        <f ca="1">IFERROR(__xludf.DUMMYFUNCTION("""COMPUTED_VALUE"""),"#VALUE!")</f>
        <v>#VALUE!</v>
      </c>
      <c r="CW716" t="str">
        <f ca="1">IFERROR(__xludf.DUMMYFUNCTION("""COMPUTED_VALUE"""),"#VALUE!")</f>
        <v>#VALUE!</v>
      </c>
      <c r="CY716" t="str">
        <f ca="1">IFERROR(__xludf.DUMMYFUNCTION("""COMPUTED_VALUE"""),"#VALUE!")</f>
        <v>#VALUE!</v>
      </c>
      <c r="DC716" t="str">
        <f ca="1">IFERROR(__xludf.DUMMYFUNCTION("""COMPUTED_VALUE"""),"#VALUE!")</f>
        <v>#VALUE!</v>
      </c>
      <c r="DE716" t="str">
        <f ca="1">IFERROR(__xludf.DUMMYFUNCTION("""COMPUTED_VALUE"""),"#VALUE!")</f>
        <v>#VALUE!</v>
      </c>
    </row>
    <row r="717" spans="1:109" ht="13.2" x14ac:dyDescent="0.25">
      <c r="A717" t="str">
        <f ca="1">IFERROR(__xludf.DUMMYFUNCTION("""COMPUTED_VALUE"""),"P0726")</f>
        <v>P0726</v>
      </c>
      <c r="BC717" t="str">
        <f ca="1">IFERROR(__xludf.DUMMYFUNCTION("""COMPUTED_VALUE"""),"#VALUE!")</f>
        <v>#VALUE!</v>
      </c>
      <c r="BE717" t="str">
        <f ca="1">IFERROR(__xludf.DUMMYFUNCTION("""COMPUTED_VALUE"""),"#VALUE!")</f>
        <v>#VALUE!</v>
      </c>
      <c r="BG717" t="str">
        <f ca="1">IFERROR(__xludf.DUMMYFUNCTION("""COMPUTED_VALUE"""),"#VALUE!")</f>
        <v>#VALUE!</v>
      </c>
      <c r="BI717" t="str">
        <f ca="1">IFERROR(__xludf.DUMMYFUNCTION("""COMPUTED_VALUE"""),"#VALUE!")</f>
        <v>#VALUE!</v>
      </c>
      <c r="BK717" t="str">
        <f ca="1">IFERROR(__xludf.DUMMYFUNCTION("""COMPUTED_VALUE"""),"#VALUE!")</f>
        <v>#VALUE!</v>
      </c>
      <c r="BM717" t="str">
        <f ca="1">IFERROR(__xludf.DUMMYFUNCTION("""COMPUTED_VALUE"""),"#VALUE!")</f>
        <v>#VALUE!</v>
      </c>
      <c r="CS717" t="str">
        <f ca="1">IFERROR(__xludf.DUMMYFUNCTION("""COMPUTED_VALUE"""),"#VALUE!")</f>
        <v>#VALUE!</v>
      </c>
      <c r="CU717" t="str">
        <f ca="1">IFERROR(__xludf.DUMMYFUNCTION("""COMPUTED_VALUE"""),"#VALUE!")</f>
        <v>#VALUE!</v>
      </c>
      <c r="CW717" t="str">
        <f ca="1">IFERROR(__xludf.DUMMYFUNCTION("""COMPUTED_VALUE"""),"#VALUE!")</f>
        <v>#VALUE!</v>
      </c>
      <c r="CY717" t="str">
        <f ca="1">IFERROR(__xludf.DUMMYFUNCTION("""COMPUTED_VALUE"""),"#VALUE!")</f>
        <v>#VALUE!</v>
      </c>
      <c r="DC717" t="str">
        <f ca="1">IFERROR(__xludf.DUMMYFUNCTION("""COMPUTED_VALUE"""),"#VALUE!")</f>
        <v>#VALUE!</v>
      </c>
      <c r="DE717" t="str">
        <f ca="1">IFERROR(__xludf.DUMMYFUNCTION("""COMPUTED_VALUE"""),"#VALUE!")</f>
        <v>#VALUE!</v>
      </c>
    </row>
    <row r="718" spans="1:109" ht="13.2" x14ac:dyDescent="0.25">
      <c r="A718" t="str">
        <f ca="1">IFERROR(__xludf.DUMMYFUNCTION("""COMPUTED_VALUE"""),"P0727")</f>
        <v>P0727</v>
      </c>
      <c r="BC718" t="str">
        <f ca="1">IFERROR(__xludf.DUMMYFUNCTION("""COMPUTED_VALUE"""),"#VALUE!")</f>
        <v>#VALUE!</v>
      </c>
      <c r="BE718" t="str">
        <f ca="1">IFERROR(__xludf.DUMMYFUNCTION("""COMPUTED_VALUE"""),"#VALUE!")</f>
        <v>#VALUE!</v>
      </c>
      <c r="BG718" t="str">
        <f ca="1">IFERROR(__xludf.DUMMYFUNCTION("""COMPUTED_VALUE"""),"#VALUE!")</f>
        <v>#VALUE!</v>
      </c>
      <c r="BI718" t="str">
        <f ca="1">IFERROR(__xludf.DUMMYFUNCTION("""COMPUTED_VALUE"""),"#VALUE!")</f>
        <v>#VALUE!</v>
      </c>
      <c r="BK718" t="str">
        <f ca="1">IFERROR(__xludf.DUMMYFUNCTION("""COMPUTED_VALUE"""),"#VALUE!")</f>
        <v>#VALUE!</v>
      </c>
      <c r="BM718" t="str">
        <f ca="1">IFERROR(__xludf.DUMMYFUNCTION("""COMPUTED_VALUE"""),"#VALUE!")</f>
        <v>#VALUE!</v>
      </c>
      <c r="CS718" t="str">
        <f ca="1">IFERROR(__xludf.DUMMYFUNCTION("""COMPUTED_VALUE"""),"#VALUE!")</f>
        <v>#VALUE!</v>
      </c>
      <c r="CU718" t="str">
        <f ca="1">IFERROR(__xludf.DUMMYFUNCTION("""COMPUTED_VALUE"""),"#VALUE!")</f>
        <v>#VALUE!</v>
      </c>
      <c r="CW718" t="str">
        <f ca="1">IFERROR(__xludf.DUMMYFUNCTION("""COMPUTED_VALUE"""),"#VALUE!")</f>
        <v>#VALUE!</v>
      </c>
      <c r="CY718" t="str">
        <f ca="1">IFERROR(__xludf.DUMMYFUNCTION("""COMPUTED_VALUE"""),"#VALUE!")</f>
        <v>#VALUE!</v>
      </c>
      <c r="DC718" t="str">
        <f ca="1">IFERROR(__xludf.DUMMYFUNCTION("""COMPUTED_VALUE"""),"#VALUE!")</f>
        <v>#VALUE!</v>
      </c>
      <c r="DE718" t="str">
        <f ca="1">IFERROR(__xludf.DUMMYFUNCTION("""COMPUTED_VALUE"""),"#VALUE!")</f>
        <v>#VALUE!</v>
      </c>
    </row>
    <row r="719" spans="1:109" ht="13.2" x14ac:dyDescent="0.25">
      <c r="A719" t="str">
        <f ca="1">IFERROR(__xludf.DUMMYFUNCTION("""COMPUTED_VALUE"""),"P0728")</f>
        <v>P0728</v>
      </c>
      <c r="BC719" t="str">
        <f ca="1">IFERROR(__xludf.DUMMYFUNCTION("""COMPUTED_VALUE"""),"#VALUE!")</f>
        <v>#VALUE!</v>
      </c>
      <c r="BE719" t="str">
        <f ca="1">IFERROR(__xludf.DUMMYFUNCTION("""COMPUTED_VALUE"""),"#VALUE!")</f>
        <v>#VALUE!</v>
      </c>
      <c r="BG719" t="str">
        <f ca="1">IFERROR(__xludf.DUMMYFUNCTION("""COMPUTED_VALUE"""),"#VALUE!")</f>
        <v>#VALUE!</v>
      </c>
      <c r="BI719" t="str">
        <f ca="1">IFERROR(__xludf.DUMMYFUNCTION("""COMPUTED_VALUE"""),"#VALUE!")</f>
        <v>#VALUE!</v>
      </c>
      <c r="BK719" t="str">
        <f ca="1">IFERROR(__xludf.DUMMYFUNCTION("""COMPUTED_VALUE"""),"#VALUE!")</f>
        <v>#VALUE!</v>
      </c>
      <c r="BM719" t="str">
        <f ca="1">IFERROR(__xludf.DUMMYFUNCTION("""COMPUTED_VALUE"""),"#VALUE!")</f>
        <v>#VALUE!</v>
      </c>
      <c r="CS719" t="str">
        <f ca="1">IFERROR(__xludf.DUMMYFUNCTION("""COMPUTED_VALUE"""),"#VALUE!")</f>
        <v>#VALUE!</v>
      </c>
      <c r="CU719" t="str">
        <f ca="1">IFERROR(__xludf.DUMMYFUNCTION("""COMPUTED_VALUE"""),"#VALUE!")</f>
        <v>#VALUE!</v>
      </c>
      <c r="CW719" t="str">
        <f ca="1">IFERROR(__xludf.DUMMYFUNCTION("""COMPUTED_VALUE"""),"#VALUE!")</f>
        <v>#VALUE!</v>
      </c>
      <c r="CY719" t="str">
        <f ca="1">IFERROR(__xludf.DUMMYFUNCTION("""COMPUTED_VALUE"""),"#VALUE!")</f>
        <v>#VALUE!</v>
      </c>
      <c r="DC719" t="str">
        <f ca="1">IFERROR(__xludf.DUMMYFUNCTION("""COMPUTED_VALUE"""),"#VALUE!")</f>
        <v>#VALUE!</v>
      </c>
      <c r="DE719" t="str">
        <f ca="1">IFERROR(__xludf.DUMMYFUNCTION("""COMPUTED_VALUE"""),"#VALUE!")</f>
        <v>#VALUE!</v>
      </c>
    </row>
    <row r="720" spans="1:109" ht="13.2" x14ac:dyDescent="0.25">
      <c r="A720" t="str">
        <f ca="1">IFERROR(__xludf.DUMMYFUNCTION("""COMPUTED_VALUE"""),"P0729")</f>
        <v>P0729</v>
      </c>
      <c r="BC720" t="str">
        <f ca="1">IFERROR(__xludf.DUMMYFUNCTION("""COMPUTED_VALUE"""),"#VALUE!")</f>
        <v>#VALUE!</v>
      </c>
      <c r="BE720" t="str">
        <f ca="1">IFERROR(__xludf.DUMMYFUNCTION("""COMPUTED_VALUE"""),"#VALUE!")</f>
        <v>#VALUE!</v>
      </c>
      <c r="BG720" t="str">
        <f ca="1">IFERROR(__xludf.DUMMYFUNCTION("""COMPUTED_VALUE"""),"#VALUE!")</f>
        <v>#VALUE!</v>
      </c>
      <c r="BI720" t="str">
        <f ca="1">IFERROR(__xludf.DUMMYFUNCTION("""COMPUTED_VALUE"""),"#VALUE!")</f>
        <v>#VALUE!</v>
      </c>
      <c r="BK720" t="str">
        <f ca="1">IFERROR(__xludf.DUMMYFUNCTION("""COMPUTED_VALUE"""),"#VALUE!")</f>
        <v>#VALUE!</v>
      </c>
      <c r="BM720" t="str">
        <f ca="1">IFERROR(__xludf.DUMMYFUNCTION("""COMPUTED_VALUE"""),"#VALUE!")</f>
        <v>#VALUE!</v>
      </c>
      <c r="CS720" t="str">
        <f ca="1">IFERROR(__xludf.DUMMYFUNCTION("""COMPUTED_VALUE"""),"#VALUE!")</f>
        <v>#VALUE!</v>
      </c>
      <c r="CU720" t="str">
        <f ca="1">IFERROR(__xludf.DUMMYFUNCTION("""COMPUTED_VALUE"""),"#VALUE!")</f>
        <v>#VALUE!</v>
      </c>
      <c r="CW720" t="str">
        <f ca="1">IFERROR(__xludf.DUMMYFUNCTION("""COMPUTED_VALUE"""),"#VALUE!")</f>
        <v>#VALUE!</v>
      </c>
      <c r="CY720" t="str">
        <f ca="1">IFERROR(__xludf.DUMMYFUNCTION("""COMPUTED_VALUE"""),"#VALUE!")</f>
        <v>#VALUE!</v>
      </c>
      <c r="DC720" t="str">
        <f ca="1">IFERROR(__xludf.DUMMYFUNCTION("""COMPUTED_VALUE"""),"#VALUE!")</f>
        <v>#VALUE!</v>
      </c>
      <c r="DE720" t="str">
        <f ca="1">IFERROR(__xludf.DUMMYFUNCTION("""COMPUTED_VALUE"""),"#VALUE!")</f>
        <v>#VALUE!</v>
      </c>
    </row>
    <row r="721" spans="1:109" ht="13.2" x14ac:dyDescent="0.25">
      <c r="A721" t="str">
        <f ca="1">IFERROR(__xludf.DUMMYFUNCTION("""COMPUTED_VALUE"""),"P0730")</f>
        <v>P0730</v>
      </c>
      <c r="BC721" t="str">
        <f ca="1">IFERROR(__xludf.DUMMYFUNCTION("""COMPUTED_VALUE"""),"#VALUE!")</f>
        <v>#VALUE!</v>
      </c>
      <c r="BE721" t="str">
        <f ca="1">IFERROR(__xludf.DUMMYFUNCTION("""COMPUTED_VALUE"""),"#VALUE!")</f>
        <v>#VALUE!</v>
      </c>
      <c r="BG721" t="str">
        <f ca="1">IFERROR(__xludf.DUMMYFUNCTION("""COMPUTED_VALUE"""),"#VALUE!")</f>
        <v>#VALUE!</v>
      </c>
      <c r="BI721" t="str">
        <f ca="1">IFERROR(__xludf.DUMMYFUNCTION("""COMPUTED_VALUE"""),"#VALUE!")</f>
        <v>#VALUE!</v>
      </c>
      <c r="BK721" t="str">
        <f ca="1">IFERROR(__xludf.DUMMYFUNCTION("""COMPUTED_VALUE"""),"#VALUE!")</f>
        <v>#VALUE!</v>
      </c>
      <c r="BM721" t="str">
        <f ca="1">IFERROR(__xludf.DUMMYFUNCTION("""COMPUTED_VALUE"""),"#VALUE!")</f>
        <v>#VALUE!</v>
      </c>
      <c r="CS721" t="str">
        <f ca="1">IFERROR(__xludf.DUMMYFUNCTION("""COMPUTED_VALUE"""),"#VALUE!")</f>
        <v>#VALUE!</v>
      </c>
      <c r="CU721" t="str">
        <f ca="1">IFERROR(__xludf.DUMMYFUNCTION("""COMPUTED_VALUE"""),"#VALUE!")</f>
        <v>#VALUE!</v>
      </c>
      <c r="CW721" t="str">
        <f ca="1">IFERROR(__xludf.DUMMYFUNCTION("""COMPUTED_VALUE"""),"#VALUE!")</f>
        <v>#VALUE!</v>
      </c>
      <c r="CY721" t="str">
        <f ca="1">IFERROR(__xludf.DUMMYFUNCTION("""COMPUTED_VALUE"""),"#VALUE!")</f>
        <v>#VALUE!</v>
      </c>
      <c r="DC721" t="str">
        <f ca="1">IFERROR(__xludf.DUMMYFUNCTION("""COMPUTED_VALUE"""),"#VALUE!")</f>
        <v>#VALUE!</v>
      </c>
      <c r="DE721" t="str">
        <f ca="1">IFERROR(__xludf.DUMMYFUNCTION("""COMPUTED_VALUE"""),"#VALUE!")</f>
        <v>#VALUE!</v>
      </c>
    </row>
    <row r="722" spans="1:109" ht="13.2" x14ac:dyDescent="0.25">
      <c r="A722" t="str">
        <f ca="1">IFERROR(__xludf.DUMMYFUNCTION("""COMPUTED_VALUE"""),"P0731")</f>
        <v>P0731</v>
      </c>
      <c r="BC722" t="str">
        <f ca="1">IFERROR(__xludf.DUMMYFUNCTION("""COMPUTED_VALUE"""),"#VALUE!")</f>
        <v>#VALUE!</v>
      </c>
      <c r="BE722" t="str">
        <f ca="1">IFERROR(__xludf.DUMMYFUNCTION("""COMPUTED_VALUE"""),"#VALUE!")</f>
        <v>#VALUE!</v>
      </c>
      <c r="BG722" t="str">
        <f ca="1">IFERROR(__xludf.DUMMYFUNCTION("""COMPUTED_VALUE"""),"#VALUE!")</f>
        <v>#VALUE!</v>
      </c>
      <c r="BI722" t="str">
        <f ca="1">IFERROR(__xludf.DUMMYFUNCTION("""COMPUTED_VALUE"""),"#VALUE!")</f>
        <v>#VALUE!</v>
      </c>
      <c r="BK722" t="str">
        <f ca="1">IFERROR(__xludf.DUMMYFUNCTION("""COMPUTED_VALUE"""),"#VALUE!")</f>
        <v>#VALUE!</v>
      </c>
      <c r="BM722" t="str">
        <f ca="1">IFERROR(__xludf.DUMMYFUNCTION("""COMPUTED_VALUE"""),"#VALUE!")</f>
        <v>#VALUE!</v>
      </c>
      <c r="CS722" t="str">
        <f ca="1">IFERROR(__xludf.DUMMYFUNCTION("""COMPUTED_VALUE"""),"#VALUE!")</f>
        <v>#VALUE!</v>
      </c>
      <c r="CU722" t="str">
        <f ca="1">IFERROR(__xludf.DUMMYFUNCTION("""COMPUTED_VALUE"""),"#VALUE!")</f>
        <v>#VALUE!</v>
      </c>
      <c r="CW722" t="str">
        <f ca="1">IFERROR(__xludf.DUMMYFUNCTION("""COMPUTED_VALUE"""),"#VALUE!")</f>
        <v>#VALUE!</v>
      </c>
      <c r="CY722" t="str">
        <f ca="1">IFERROR(__xludf.DUMMYFUNCTION("""COMPUTED_VALUE"""),"#VALUE!")</f>
        <v>#VALUE!</v>
      </c>
      <c r="DC722" t="str">
        <f ca="1">IFERROR(__xludf.DUMMYFUNCTION("""COMPUTED_VALUE"""),"#VALUE!")</f>
        <v>#VALUE!</v>
      </c>
      <c r="DE722" t="str">
        <f ca="1">IFERROR(__xludf.DUMMYFUNCTION("""COMPUTED_VALUE"""),"#VALUE!")</f>
        <v>#VALUE!</v>
      </c>
    </row>
    <row r="723" spans="1:109" ht="13.2" x14ac:dyDescent="0.25">
      <c r="A723" t="str">
        <f ca="1">IFERROR(__xludf.DUMMYFUNCTION("""COMPUTED_VALUE"""),"P0732")</f>
        <v>P0732</v>
      </c>
      <c r="BC723" t="str">
        <f ca="1">IFERROR(__xludf.DUMMYFUNCTION("""COMPUTED_VALUE"""),"#VALUE!")</f>
        <v>#VALUE!</v>
      </c>
      <c r="BE723" t="str">
        <f ca="1">IFERROR(__xludf.DUMMYFUNCTION("""COMPUTED_VALUE"""),"#VALUE!")</f>
        <v>#VALUE!</v>
      </c>
      <c r="BG723" t="str">
        <f ca="1">IFERROR(__xludf.DUMMYFUNCTION("""COMPUTED_VALUE"""),"#VALUE!")</f>
        <v>#VALUE!</v>
      </c>
      <c r="BI723" t="str">
        <f ca="1">IFERROR(__xludf.DUMMYFUNCTION("""COMPUTED_VALUE"""),"#VALUE!")</f>
        <v>#VALUE!</v>
      </c>
      <c r="BK723" t="str">
        <f ca="1">IFERROR(__xludf.DUMMYFUNCTION("""COMPUTED_VALUE"""),"#VALUE!")</f>
        <v>#VALUE!</v>
      </c>
      <c r="BM723" t="str">
        <f ca="1">IFERROR(__xludf.DUMMYFUNCTION("""COMPUTED_VALUE"""),"#VALUE!")</f>
        <v>#VALUE!</v>
      </c>
      <c r="CS723" t="str">
        <f ca="1">IFERROR(__xludf.DUMMYFUNCTION("""COMPUTED_VALUE"""),"#VALUE!")</f>
        <v>#VALUE!</v>
      </c>
      <c r="CU723" t="str">
        <f ca="1">IFERROR(__xludf.DUMMYFUNCTION("""COMPUTED_VALUE"""),"#VALUE!")</f>
        <v>#VALUE!</v>
      </c>
      <c r="CW723" t="str">
        <f ca="1">IFERROR(__xludf.DUMMYFUNCTION("""COMPUTED_VALUE"""),"#VALUE!")</f>
        <v>#VALUE!</v>
      </c>
      <c r="CY723" t="str">
        <f ca="1">IFERROR(__xludf.DUMMYFUNCTION("""COMPUTED_VALUE"""),"#VALUE!")</f>
        <v>#VALUE!</v>
      </c>
      <c r="DC723" t="str">
        <f ca="1">IFERROR(__xludf.DUMMYFUNCTION("""COMPUTED_VALUE"""),"#VALUE!")</f>
        <v>#VALUE!</v>
      </c>
      <c r="DE723" t="str">
        <f ca="1">IFERROR(__xludf.DUMMYFUNCTION("""COMPUTED_VALUE"""),"#VALUE!")</f>
        <v>#VALUE!</v>
      </c>
    </row>
    <row r="724" spans="1:109" ht="13.2" x14ac:dyDescent="0.25">
      <c r="A724" t="str">
        <f ca="1">IFERROR(__xludf.DUMMYFUNCTION("""COMPUTED_VALUE"""),"P0733")</f>
        <v>P0733</v>
      </c>
      <c r="BC724" t="str">
        <f ca="1">IFERROR(__xludf.DUMMYFUNCTION("""COMPUTED_VALUE"""),"#VALUE!")</f>
        <v>#VALUE!</v>
      </c>
      <c r="BE724" t="str">
        <f ca="1">IFERROR(__xludf.DUMMYFUNCTION("""COMPUTED_VALUE"""),"#VALUE!")</f>
        <v>#VALUE!</v>
      </c>
      <c r="BG724" t="str">
        <f ca="1">IFERROR(__xludf.DUMMYFUNCTION("""COMPUTED_VALUE"""),"#VALUE!")</f>
        <v>#VALUE!</v>
      </c>
      <c r="BI724" t="str">
        <f ca="1">IFERROR(__xludf.DUMMYFUNCTION("""COMPUTED_VALUE"""),"#VALUE!")</f>
        <v>#VALUE!</v>
      </c>
      <c r="BK724" t="str">
        <f ca="1">IFERROR(__xludf.DUMMYFUNCTION("""COMPUTED_VALUE"""),"#VALUE!")</f>
        <v>#VALUE!</v>
      </c>
      <c r="BM724" t="str">
        <f ca="1">IFERROR(__xludf.DUMMYFUNCTION("""COMPUTED_VALUE"""),"#VALUE!")</f>
        <v>#VALUE!</v>
      </c>
      <c r="CS724" t="str">
        <f ca="1">IFERROR(__xludf.DUMMYFUNCTION("""COMPUTED_VALUE"""),"#VALUE!")</f>
        <v>#VALUE!</v>
      </c>
      <c r="CU724" t="str">
        <f ca="1">IFERROR(__xludf.DUMMYFUNCTION("""COMPUTED_VALUE"""),"#VALUE!")</f>
        <v>#VALUE!</v>
      </c>
      <c r="CW724" t="str">
        <f ca="1">IFERROR(__xludf.DUMMYFUNCTION("""COMPUTED_VALUE"""),"#VALUE!")</f>
        <v>#VALUE!</v>
      </c>
      <c r="CY724" t="str">
        <f ca="1">IFERROR(__xludf.DUMMYFUNCTION("""COMPUTED_VALUE"""),"#VALUE!")</f>
        <v>#VALUE!</v>
      </c>
      <c r="DC724" t="str">
        <f ca="1">IFERROR(__xludf.DUMMYFUNCTION("""COMPUTED_VALUE"""),"#VALUE!")</f>
        <v>#VALUE!</v>
      </c>
      <c r="DE724" t="str">
        <f ca="1">IFERROR(__xludf.DUMMYFUNCTION("""COMPUTED_VALUE"""),"#VALUE!")</f>
        <v>#VALUE!</v>
      </c>
    </row>
    <row r="725" spans="1:109" ht="13.2" x14ac:dyDescent="0.25">
      <c r="A725" t="str">
        <f ca="1">IFERROR(__xludf.DUMMYFUNCTION("""COMPUTED_VALUE"""),"P0734")</f>
        <v>P0734</v>
      </c>
      <c r="BC725" t="str">
        <f ca="1">IFERROR(__xludf.DUMMYFUNCTION("""COMPUTED_VALUE"""),"#VALUE!")</f>
        <v>#VALUE!</v>
      </c>
      <c r="BE725" t="str">
        <f ca="1">IFERROR(__xludf.DUMMYFUNCTION("""COMPUTED_VALUE"""),"#VALUE!")</f>
        <v>#VALUE!</v>
      </c>
      <c r="BG725" t="str">
        <f ca="1">IFERROR(__xludf.DUMMYFUNCTION("""COMPUTED_VALUE"""),"#VALUE!")</f>
        <v>#VALUE!</v>
      </c>
      <c r="BI725" t="str">
        <f ca="1">IFERROR(__xludf.DUMMYFUNCTION("""COMPUTED_VALUE"""),"#VALUE!")</f>
        <v>#VALUE!</v>
      </c>
      <c r="BK725" t="str">
        <f ca="1">IFERROR(__xludf.DUMMYFUNCTION("""COMPUTED_VALUE"""),"#VALUE!")</f>
        <v>#VALUE!</v>
      </c>
      <c r="BM725" t="str">
        <f ca="1">IFERROR(__xludf.DUMMYFUNCTION("""COMPUTED_VALUE"""),"#VALUE!")</f>
        <v>#VALUE!</v>
      </c>
      <c r="CS725" t="str">
        <f ca="1">IFERROR(__xludf.DUMMYFUNCTION("""COMPUTED_VALUE"""),"#VALUE!")</f>
        <v>#VALUE!</v>
      </c>
      <c r="CU725" t="str">
        <f ca="1">IFERROR(__xludf.DUMMYFUNCTION("""COMPUTED_VALUE"""),"#VALUE!")</f>
        <v>#VALUE!</v>
      </c>
      <c r="CW725" t="str">
        <f ca="1">IFERROR(__xludf.DUMMYFUNCTION("""COMPUTED_VALUE"""),"#VALUE!")</f>
        <v>#VALUE!</v>
      </c>
      <c r="CY725" t="str">
        <f ca="1">IFERROR(__xludf.DUMMYFUNCTION("""COMPUTED_VALUE"""),"#VALUE!")</f>
        <v>#VALUE!</v>
      </c>
      <c r="DC725" t="str">
        <f ca="1">IFERROR(__xludf.DUMMYFUNCTION("""COMPUTED_VALUE"""),"#VALUE!")</f>
        <v>#VALUE!</v>
      </c>
      <c r="DE725" t="str">
        <f ca="1">IFERROR(__xludf.DUMMYFUNCTION("""COMPUTED_VALUE"""),"#VALUE!")</f>
        <v>#VALUE!</v>
      </c>
    </row>
    <row r="726" spans="1:109" ht="13.2" x14ac:dyDescent="0.25">
      <c r="A726" t="str">
        <f ca="1">IFERROR(__xludf.DUMMYFUNCTION("""COMPUTED_VALUE"""),"P0735")</f>
        <v>P0735</v>
      </c>
      <c r="BC726" t="str">
        <f ca="1">IFERROR(__xludf.DUMMYFUNCTION("""COMPUTED_VALUE"""),"#VALUE!")</f>
        <v>#VALUE!</v>
      </c>
      <c r="BE726" t="str">
        <f ca="1">IFERROR(__xludf.DUMMYFUNCTION("""COMPUTED_VALUE"""),"#VALUE!")</f>
        <v>#VALUE!</v>
      </c>
      <c r="BG726" t="str">
        <f ca="1">IFERROR(__xludf.DUMMYFUNCTION("""COMPUTED_VALUE"""),"#VALUE!")</f>
        <v>#VALUE!</v>
      </c>
      <c r="BI726" t="str">
        <f ca="1">IFERROR(__xludf.DUMMYFUNCTION("""COMPUTED_VALUE"""),"#VALUE!")</f>
        <v>#VALUE!</v>
      </c>
      <c r="BK726" t="str">
        <f ca="1">IFERROR(__xludf.DUMMYFUNCTION("""COMPUTED_VALUE"""),"#VALUE!")</f>
        <v>#VALUE!</v>
      </c>
      <c r="BM726" t="str">
        <f ca="1">IFERROR(__xludf.DUMMYFUNCTION("""COMPUTED_VALUE"""),"#VALUE!")</f>
        <v>#VALUE!</v>
      </c>
      <c r="CS726" t="str">
        <f ca="1">IFERROR(__xludf.DUMMYFUNCTION("""COMPUTED_VALUE"""),"#VALUE!")</f>
        <v>#VALUE!</v>
      </c>
      <c r="CU726" t="str">
        <f ca="1">IFERROR(__xludf.DUMMYFUNCTION("""COMPUTED_VALUE"""),"#VALUE!")</f>
        <v>#VALUE!</v>
      </c>
      <c r="CW726" t="str">
        <f ca="1">IFERROR(__xludf.DUMMYFUNCTION("""COMPUTED_VALUE"""),"#VALUE!")</f>
        <v>#VALUE!</v>
      </c>
      <c r="CY726" t="str">
        <f ca="1">IFERROR(__xludf.DUMMYFUNCTION("""COMPUTED_VALUE"""),"#VALUE!")</f>
        <v>#VALUE!</v>
      </c>
      <c r="DC726" t="str">
        <f ca="1">IFERROR(__xludf.DUMMYFUNCTION("""COMPUTED_VALUE"""),"#VALUE!")</f>
        <v>#VALUE!</v>
      </c>
      <c r="DE726" t="str">
        <f ca="1">IFERROR(__xludf.DUMMYFUNCTION("""COMPUTED_VALUE"""),"#VALUE!")</f>
        <v>#VALUE!</v>
      </c>
    </row>
    <row r="727" spans="1:109" ht="13.2" x14ac:dyDescent="0.25">
      <c r="A727" t="str">
        <f ca="1">IFERROR(__xludf.DUMMYFUNCTION("""COMPUTED_VALUE"""),"P0736")</f>
        <v>P0736</v>
      </c>
      <c r="BC727" t="str">
        <f ca="1">IFERROR(__xludf.DUMMYFUNCTION("""COMPUTED_VALUE"""),"#VALUE!")</f>
        <v>#VALUE!</v>
      </c>
      <c r="BE727" t="str">
        <f ca="1">IFERROR(__xludf.DUMMYFUNCTION("""COMPUTED_VALUE"""),"#VALUE!")</f>
        <v>#VALUE!</v>
      </c>
      <c r="BG727" t="str">
        <f ca="1">IFERROR(__xludf.DUMMYFUNCTION("""COMPUTED_VALUE"""),"#VALUE!")</f>
        <v>#VALUE!</v>
      </c>
      <c r="BI727" t="str">
        <f ca="1">IFERROR(__xludf.DUMMYFUNCTION("""COMPUTED_VALUE"""),"#VALUE!")</f>
        <v>#VALUE!</v>
      </c>
      <c r="BK727" t="str">
        <f ca="1">IFERROR(__xludf.DUMMYFUNCTION("""COMPUTED_VALUE"""),"#VALUE!")</f>
        <v>#VALUE!</v>
      </c>
      <c r="BM727" t="str">
        <f ca="1">IFERROR(__xludf.DUMMYFUNCTION("""COMPUTED_VALUE"""),"#VALUE!")</f>
        <v>#VALUE!</v>
      </c>
      <c r="CS727" t="str">
        <f ca="1">IFERROR(__xludf.DUMMYFUNCTION("""COMPUTED_VALUE"""),"#VALUE!")</f>
        <v>#VALUE!</v>
      </c>
      <c r="CU727" t="str">
        <f ca="1">IFERROR(__xludf.DUMMYFUNCTION("""COMPUTED_VALUE"""),"#VALUE!")</f>
        <v>#VALUE!</v>
      </c>
      <c r="CW727" t="str">
        <f ca="1">IFERROR(__xludf.DUMMYFUNCTION("""COMPUTED_VALUE"""),"#VALUE!")</f>
        <v>#VALUE!</v>
      </c>
      <c r="CY727" t="str">
        <f ca="1">IFERROR(__xludf.DUMMYFUNCTION("""COMPUTED_VALUE"""),"#VALUE!")</f>
        <v>#VALUE!</v>
      </c>
      <c r="DC727" t="str">
        <f ca="1">IFERROR(__xludf.DUMMYFUNCTION("""COMPUTED_VALUE"""),"#VALUE!")</f>
        <v>#VALUE!</v>
      </c>
      <c r="DE727" t="str">
        <f ca="1">IFERROR(__xludf.DUMMYFUNCTION("""COMPUTED_VALUE"""),"#VALUE!")</f>
        <v>#VALUE!</v>
      </c>
    </row>
    <row r="728" spans="1:109" ht="13.2" x14ac:dyDescent="0.25">
      <c r="A728" t="str">
        <f ca="1">IFERROR(__xludf.DUMMYFUNCTION("""COMPUTED_VALUE"""),"P0737")</f>
        <v>P0737</v>
      </c>
      <c r="BC728" t="str">
        <f ca="1">IFERROR(__xludf.DUMMYFUNCTION("""COMPUTED_VALUE"""),"#VALUE!")</f>
        <v>#VALUE!</v>
      </c>
      <c r="BE728" t="str">
        <f ca="1">IFERROR(__xludf.DUMMYFUNCTION("""COMPUTED_VALUE"""),"#VALUE!")</f>
        <v>#VALUE!</v>
      </c>
      <c r="BG728" t="str">
        <f ca="1">IFERROR(__xludf.DUMMYFUNCTION("""COMPUTED_VALUE"""),"#VALUE!")</f>
        <v>#VALUE!</v>
      </c>
      <c r="BI728" t="str">
        <f ca="1">IFERROR(__xludf.DUMMYFUNCTION("""COMPUTED_VALUE"""),"#VALUE!")</f>
        <v>#VALUE!</v>
      </c>
      <c r="BK728" t="str">
        <f ca="1">IFERROR(__xludf.DUMMYFUNCTION("""COMPUTED_VALUE"""),"#VALUE!")</f>
        <v>#VALUE!</v>
      </c>
      <c r="BM728" t="str">
        <f ca="1">IFERROR(__xludf.DUMMYFUNCTION("""COMPUTED_VALUE"""),"#VALUE!")</f>
        <v>#VALUE!</v>
      </c>
      <c r="CS728" t="str">
        <f ca="1">IFERROR(__xludf.DUMMYFUNCTION("""COMPUTED_VALUE"""),"#VALUE!")</f>
        <v>#VALUE!</v>
      </c>
      <c r="CU728" t="str">
        <f ca="1">IFERROR(__xludf.DUMMYFUNCTION("""COMPUTED_VALUE"""),"#VALUE!")</f>
        <v>#VALUE!</v>
      </c>
      <c r="CW728" t="str">
        <f ca="1">IFERROR(__xludf.DUMMYFUNCTION("""COMPUTED_VALUE"""),"#VALUE!")</f>
        <v>#VALUE!</v>
      </c>
      <c r="CY728" t="str">
        <f ca="1">IFERROR(__xludf.DUMMYFUNCTION("""COMPUTED_VALUE"""),"#VALUE!")</f>
        <v>#VALUE!</v>
      </c>
      <c r="DC728" t="str">
        <f ca="1">IFERROR(__xludf.DUMMYFUNCTION("""COMPUTED_VALUE"""),"#VALUE!")</f>
        <v>#VALUE!</v>
      </c>
      <c r="DE728" t="str">
        <f ca="1">IFERROR(__xludf.DUMMYFUNCTION("""COMPUTED_VALUE"""),"#VALUE!")</f>
        <v>#VALUE!</v>
      </c>
    </row>
    <row r="729" spans="1:109" ht="13.2" x14ac:dyDescent="0.25">
      <c r="A729" t="str">
        <f ca="1">IFERROR(__xludf.DUMMYFUNCTION("""COMPUTED_VALUE"""),"P0738")</f>
        <v>P0738</v>
      </c>
      <c r="BC729" t="str">
        <f ca="1">IFERROR(__xludf.DUMMYFUNCTION("""COMPUTED_VALUE"""),"#VALUE!")</f>
        <v>#VALUE!</v>
      </c>
      <c r="BE729" t="str">
        <f ca="1">IFERROR(__xludf.DUMMYFUNCTION("""COMPUTED_VALUE"""),"#VALUE!")</f>
        <v>#VALUE!</v>
      </c>
      <c r="BG729" t="str">
        <f ca="1">IFERROR(__xludf.DUMMYFUNCTION("""COMPUTED_VALUE"""),"#VALUE!")</f>
        <v>#VALUE!</v>
      </c>
      <c r="BI729" t="str">
        <f ca="1">IFERROR(__xludf.DUMMYFUNCTION("""COMPUTED_VALUE"""),"#VALUE!")</f>
        <v>#VALUE!</v>
      </c>
      <c r="BK729" t="str">
        <f ca="1">IFERROR(__xludf.DUMMYFUNCTION("""COMPUTED_VALUE"""),"#VALUE!")</f>
        <v>#VALUE!</v>
      </c>
      <c r="BM729" t="str">
        <f ca="1">IFERROR(__xludf.DUMMYFUNCTION("""COMPUTED_VALUE"""),"#VALUE!")</f>
        <v>#VALUE!</v>
      </c>
      <c r="CS729" t="str">
        <f ca="1">IFERROR(__xludf.DUMMYFUNCTION("""COMPUTED_VALUE"""),"#VALUE!")</f>
        <v>#VALUE!</v>
      </c>
      <c r="CU729" t="str">
        <f ca="1">IFERROR(__xludf.DUMMYFUNCTION("""COMPUTED_VALUE"""),"#VALUE!")</f>
        <v>#VALUE!</v>
      </c>
      <c r="CW729" t="str">
        <f ca="1">IFERROR(__xludf.DUMMYFUNCTION("""COMPUTED_VALUE"""),"#VALUE!")</f>
        <v>#VALUE!</v>
      </c>
      <c r="CY729" t="str">
        <f ca="1">IFERROR(__xludf.DUMMYFUNCTION("""COMPUTED_VALUE"""),"#VALUE!")</f>
        <v>#VALUE!</v>
      </c>
      <c r="DC729" t="str">
        <f ca="1">IFERROR(__xludf.DUMMYFUNCTION("""COMPUTED_VALUE"""),"#VALUE!")</f>
        <v>#VALUE!</v>
      </c>
      <c r="DE729" t="str">
        <f ca="1">IFERROR(__xludf.DUMMYFUNCTION("""COMPUTED_VALUE"""),"#VALUE!")</f>
        <v>#VALUE!</v>
      </c>
    </row>
    <row r="730" spans="1:109" ht="13.2" x14ac:dyDescent="0.25">
      <c r="A730" t="str">
        <f ca="1">IFERROR(__xludf.DUMMYFUNCTION("""COMPUTED_VALUE"""),"P0739")</f>
        <v>P0739</v>
      </c>
      <c r="BC730" t="str">
        <f ca="1">IFERROR(__xludf.DUMMYFUNCTION("""COMPUTED_VALUE"""),"#VALUE!")</f>
        <v>#VALUE!</v>
      </c>
      <c r="BE730" t="str">
        <f ca="1">IFERROR(__xludf.DUMMYFUNCTION("""COMPUTED_VALUE"""),"#VALUE!")</f>
        <v>#VALUE!</v>
      </c>
      <c r="BG730" t="str">
        <f ca="1">IFERROR(__xludf.DUMMYFUNCTION("""COMPUTED_VALUE"""),"#VALUE!")</f>
        <v>#VALUE!</v>
      </c>
      <c r="BI730" t="str">
        <f ca="1">IFERROR(__xludf.DUMMYFUNCTION("""COMPUTED_VALUE"""),"#VALUE!")</f>
        <v>#VALUE!</v>
      </c>
      <c r="BK730" t="str">
        <f ca="1">IFERROR(__xludf.DUMMYFUNCTION("""COMPUTED_VALUE"""),"#VALUE!")</f>
        <v>#VALUE!</v>
      </c>
      <c r="BM730" t="str">
        <f ca="1">IFERROR(__xludf.DUMMYFUNCTION("""COMPUTED_VALUE"""),"#VALUE!")</f>
        <v>#VALUE!</v>
      </c>
      <c r="CS730" t="str">
        <f ca="1">IFERROR(__xludf.DUMMYFUNCTION("""COMPUTED_VALUE"""),"#VALUE!")</f>
        <v>#VALUE!</v>
      </c>
      <c r="CU730" t="str">
        <f ca="1">IFERROR(__xludf.DUMMYFUNCTION("""COMPUTED_VALUE"""),"#VALUE!")</f>
        <v>#VALUE!</v>
      </c>
      <c r="CW730" t="str">
        <f ca="1">IFERROR(__xludf.DUMMYFUNCTION("""COMPUTED_VALUE"""),"#VALUE!")</f>
        <v>#VALUE!</v>
      </c>
      <c r="CY730" t="str">
        <f ca="1">IFERROR(__xludf.DUMMYFUNCTION("""COMPUTED_VALUE"""),"#VALUE!")</f>
        <v>#VALUE!</v>
      </c>
      <c r="DC730" t="str">
        <f ca="1">IFERROR(__xludf.DUMMYFUNCTION("""COMPUTED_VALUE"""),"#VALUE!")</f>
        <v>#VALUE!</v>
      </c>
      <c r="DE730" t="str">
        <f ca="1">IFERROR(__xludf.DUMMYFUNCTION("""COMPUTED_VALUE"""),"#VALUE!")</f>
        <v>#VALUE!</v>
      </c>
    </row>
    <row r="731" spans="1:109" ht="13.2" x14ac:dyDescent="0.25">
      <c r="A731" t="str">
        <f ca="1">IFERROR(__xludf.DUMMYFUNCTION("""COMPUTED_VALUE"""),"P0740")</f>
        <v>P0740</v>
      </c>
      <c r="BC731" t="str">
        <f ca="1">IFERROR(__xludf.DUMMYFUNCTION("""COMPUTED_VALUE"""),"#VALUE!")</f>
        <v>#VALUE!</v>
      </c>
      <c r="BE731" t="str">
        <f ca="1">IFERROR(__xludf.DUMMYFUNCTION("""COMPUTED_VALUE"""),"#VALUE!")</f>
        <v>#VALUE!</v>
      </c>
      <c r="BG731" t="str">
        <f ca="1">IFERROR(__xludf.DUMMYFUNCTION("""COMPUTED_VALUE"""),"#VALUE!")</f>
        <v>#VALUE!</v>
      </c>
      <c r="BI731" t="str">
        <f ca="1">IFERROR(__xludf.DUMMYFUNCTION("""COMPUTED_VALUE"""),"#VALUE!")</f>
        <v>#VALUE!</v>
      </c>
      <c r="BK731" t="str">
        <f ca="1">IFERROR(__xludf.DUMMYFUNCTION("""COMPUTED_VALUE"""),"#VALUE!")</f>
        <v>#VALUE!</v>
      </c>
      <c r="BM731" t="str">
        <f ca="1">IFERROR(__xludf.DUMMYFUNCTION("""COMPUTED_VALUE"""),"#VALUE!")</f>
        <v>#VALUE!</v>
      </c>
      <c r="CS731" t="str">
        <f ca="1">IFERROR(__xludf.DUMMYFUNCTION("""COMPUTED_VALUE"""),"#VALUE!")</f>
        <v>#VALUE!</v>
      </c>
      <c r="CU731" t="str">
        <f ca="1">IFERROR(__xludf.DUMMYFUNCTION("""COMPUTED_VALUE"""),"#VALUE!")</f>
        <v>#VALUE!</v>
      </c>
      <c r="CW731" t="str">
        <f ca="1">IFERROR(__xludf.DUMMYFUNCTION("""COMPUTED_VALUE"""),"#VALUE!")</f>
        <v>#VALUE!</v>
      </c>
      <c r="CY731" t="str">
        <f ca="1">IFERROR(__xludf.DUMMYFUNCTION("""COMPUTED_VALUE"""),"#VALUE!")</f>
        <v>#VALUE!</v>
      </c>
      <c r="DC731" t="str">
        <f ca="1">IFERROR(__xludf.DUMMYFUNCTION("""COMPUTED_VALUE"""),"#VALUE!")</f>
        <v>#VALUE!</v>
      </c>
      <c r="DE731" t="str">
        <f ca="1">IFERROR(__xludf.DUMMYFUNCTION("""COMPUTED_VALUE"""),"#VALUE!")</f>
        <v>#VALUE!</v>
      </c>
    </row>
    <row r="732" spans="1:109" ht="13.2" x14ac:dyDescent="0.25">
      <c r="A732" t="str">
        <f ca="1">IFERROR(__xludf.DUMMYFUNCTION("""COMPUTED_VALUE"""),"P0741")</f>
        <v>P0741</v>
      </c>
      <c r="BC732" t="str">
        <f ca="1">IFERROR(__xludf.DUMMYFUNCTION("""COMPUTED_VALUE"""),"#VALUE!")</f>
        <v>#VALUE!</v>
      </c>
      <c r="BE732" t="str">
        <f ca="1">IFERROR(__xludf.DUMMYFUNCTION("""COMPUTED_VALUE"""),"#VALUE!")</f>
        <v>#VALUE!</v>
      </c>
      <c r="BG732" t="str">
        <f ca="1">IFERROR(__xludf.DUMMYFUNCTION("""COMPUTED_VALUE"""),"#VALUE!")</f>
        <v>#VALUE!</v>
      </c>
      <c r="BI732" t="str">
        <f ca="1">IFERROR(__xludf.DUMMYFUNCTION("""COMPUTED_VALUE"""),"#VALUE!")</f>
        <v>#VALUE!</v>
      </c>
      <c r="BK732" t="str">
        <f ca="1">IFERROR(__xludf.DUMMYFUNCTION("""COMPUTED_VALUE"""),"#VALUE!")</f>
        <v>#VALUE!</v>
      </c>
      <c r="BM732" t="str">
        <f ca="1">IFERROR(__xludf.DUMMYFUNCTION("""COMPUTED_VALUE"""),"#VALUE!")</f>
        <v>#VALUE!</v>
      </c>
      <c r="CS732" t="str">
        <f ca="1">IFERROR(__xludf.DUMMYFUNCTION("""COMPUTED_VALUE"""),"#VALUE!")</f>
        <v>#VALUE!</v>
      </c>
      <c r="CU732" t="str">
        <f ca="1">IFERROR(__xludf.DUMMYFUNCTION("""COMPUTED_VALUE"""),"#VALUE!")</f>
        <v>#VALUE!</v>
      </c>
      <c r="CW732" t="str">
        <f ca="1">IFERROR(__xludf.DUMMYFUNCTION("""COMPUTED_VALUE"""),"#VALUE!")</f>
        <v>#VALUE!</v>
      </c>
      <c r="CY732" t="str">
        <f ca="1">IFERROR(__xludf.DUMMYFUNCTION("""COMPUTED_VALUE"""),"#VALUE!")</f>
        <v>#VALUE!</v>
      </c>
      <c r="DC732" t="str">
        <f ca="1">IFERROR(__xludf.DUMMYFUNCTION("""COMPUTED_VALUE"""),"#VALUE!")</f>
        <v>#VALUE!</v>
      </c>
      <c r="DE732" t="str">
        <f ca="1">IFERROR(__xludf.DUMMYFUNCTION("""COMPUTED_VALUE"""),"#VALUE!")</f>
        <v>#VALUE!</v>
      </c>
    </row>
    <row r="733" spans="1:109" ht="13.2" x14ac:dyDescent="0.25">
      <c r="A733" t="str">
        <f ca="1">IFERROR(__xludf.DUMMYFUNCTION("""COMPUTED_VALUE"""),"P0742")</f>
        <v>P0742</v>
      </c>
      <c r="BC733" t="str">
        <f ca="1">IFERROR(__xludf.DUMMYFUNCTION("""COMPUTED_VALUE"""),"#VALUE!")</f>
        <v>#VALUE!</v>
      </c>
      <c r="BE733" t="str">
        <f ca="1">IFERROR(__xludf.DUMMYFUNCTION("""COMPUTED_VALUE"""),"#VALUE!")</f>
        <v>#VALUE!</v>
      </c>
      <c r="BG733" t="str">
        <f ca="1">IFERROR(__xludf.DUMMYFUNCTION("""COMPUTED_VALUE"""),"#VALUE!")</f>
        <v>#VALUE!</v>
      </c>
      <c r="BI733" t="str">
        <f ca="1">IFERROR(__xludf.DUMMYFUNCTION("""COMPUTED_VALUE"""),"#VALUE!")</f>
        <v>#VALUE!</v>
      </c>
      <c r="BK733" t="str">
        <f ca="1">IFERROR(__xludf.DUMMYFUNCTION("""COMPUTED_VALUE"""),"#VALUE!")</f>
        <v>#VALUE!</v>
      </c>
      <c r="BM733" t="str">
        <f ca="1">IFERROR(__xludf.DUMMYFUNCTION("""COMPUTED_VALUE"""),"#VALUE!")</f>
        <v>#VALUE!</v>
      </c>
      <c r="CS733" t="str">
        <f ca="1">IFERROR(__xludf.DUMMYFUNCTION("""COMPUTED_VALUE"""),"#VALUE!")</f>
        <v>#VALUE!</v>
      </c>
      <c r="CU733" t="str">
        <f ca="1">IFERROR(__xludf.DUMMYFUNCTION("""COMPUTED_VALUE"""),"#VALUE!")</f>
        <v>#VALUE!</v>
      </c>
      <c r="CW733" t="str">
        <f ca="1">IFERROR(__xludf.DUMMYFUNCTION("""COMPUTED_VALUE"""),"#VALUE!")</f>
        <v>#VALUE!</v>
      </c>
      <c r="CY733" t="str">
        <f ca="1">IFERROR(__xludf.DUMMYFUNCTION("""COMPUTED_VALUE"""),"#VALUE!")</f>
        <v>#VALUE!</v>
      </c>
      <c r="DC733" t="str">
        <f ca="1">IFERROR(__xludf.DUMMYFUNCTION("""COMPUTED_VALUE"""),"#VALUE!")</f>
        <v>#VALUE!</v>
      </c>
      <c r="DE733" t="str">
        <f ca="1">IFERROR(__xludf.DUMMYFUNCTION("""COMPUTED_VALUE"""),"#VALUE!")</f>
        <v>#VALUE!</v>
      </c>
    </row>
    <row r="734" spans="1:109" ht="13.2" x14ac:dyDescent="0.25">
      <c r="A734" t="str">
        <f ca="1">IFERROR(__xludf.DUMMYFUNCTION("""COMPUTED_VALUE"""),"P0743")</f>
        <v>P0743</v>
      </c>
      <c r="BC734" t="str">
        <f ca="1">IFERROR(__xludf.DUMMYFUNCTION("""COMPUTED_VALUE"""),"#VALUE!")</f>
        <v>#VALUE!</v>
      </c>
      <c r="BE734" t="str">
        <f ca="1">IFERROR(__xludf.DUMMYFUNCTION("""COMPUTED_VALUE"""),"#VALUE!")</f>
        <v>#VALUE!</v>
      </c>
      <c r="BG734" t="str">
        <f ca="1">IFERROR(__xludf.DUMMYFUNCTION("""COMPUTED_VALUE"""),"#VALUE!")</f>
        <v>#VALUE!</v>
      </c>
      <c r="BI734" t="str">
        <f ca="1">IFERROR(__xludf.DUMMYFUNCTION("""COMPUTED_VALUE"""),"#VALUE!")</f>
        <v>#VALUE!</v>
      </c>
      <c r="BK734" t="str">
        <f ca="1">IFERROR(__xludf.DUMMYFUNCTION("""COMPUTED_VALUE"""),"#VALUE!")</f>
        <v>#VALUE!</v>
      </c>
      <c r="BM734" t="str">
        <f ca="1">IFERROR(__xludf.DUMMYFUNCTION("""COMPUTED_VALUE"""),"#VALUE!")</f>
        <v>#VALUE!</v>
      </c>
      <c r="CS734" t="str">
        <f ca="1">IFERROR(__xludf.DUMMYFUNCTION("""COMPUTED_VALUE"""),"#VALUE!")</f>
        <v>#VALUE!</v>
      </c>
      <c r="CU734" t="str">
        <f ca="1">IFERROR(__xludf.DUMMYFUNCTION("""COMPUTED_VALUE"""),"#VALUE!")</f>
        <v>#VALUE!</v>
      </c>
      <c r="CW734" t="str">
        <f ca="1">IFERROR(__xludf.DUMMYFUNCTION("""COMPUTED_VALUE"""),"#VALUE!")</f>
        <v>#VALUE!</v>
      </c>
      <c r="CY734" t="str">
        <f ca="1">IFERROR(__xludf.DUMMYFUNCTION("""COMPUTED_VALUE"""),"#VALUE!")</f>
        <v>#VALUE!</v>
      </c>
      <c r="DC734" t="str">
        <f ca="1">IFERROR(__xludf.DUMMYFUNCTION("""COMPUTED_VALUE"""),"#VALUE!")</f>
        <v>#VALUE!</v>
      </c>
      <c r="DE734" t="str">
        <f ca="1">IFERROR(__xludf.DUMMYFUNCTION("""COMPUTED_VALUE"""),"#VALUE!")</f>
        <v>#VALUE!</v>
      </c>
    </row>
    <row r="735" spans="1:109" ht="13.2" x14ac:dyDescent="0.25">
      <c r="A735" t="str">
        <f ca="1">IFERROR(__xludf.DUMMYFUNCTION("""COMPUTED_VALUE"""),"P0744")</f>
        <v>P0744</v>
      </c>
      <c r="BC735" t="str">
        <f ca="1">IFERROR(__xludf.DUMMYFUNCTION("""COMPUTED_VALUE"""),"#VALUE!")</f>
        <v>#VALUE!</v>
      </c>
      <c r="BE735" t="str">
        <f ca="1">IFERROR(__xludf.DUMMYFUNCTION("""COMPUTED_VALUE"""),"#VALUE!")</f>
        <v>#VALUE!</v>
      </c>
      <c r="BG735" t="str">
        <f ca="1">IFERROR(__xludf.DUMMYFUNCTION("""COMPUTED_VALUE"""),"#VALUE!")</f>
        <v>#VALUE!</v>
      </c>
      <c r="BI735" t="str">
        <f ca="1">IFERROR(__xludf.DUMMYFUNCTION("""COMPUTED_VALUE"""),"#VALUE!")</f>
        <v>#VALUE!</v>
      </c>
      <c r="BK735" t="str">
        <f ca="1">IFERROR(__xludf.DUMMYFUNCTION("""COMPUTED_VALUE"""),"#VALUE!")</f>
        <v>#VALUE!</v>
      </c>
      <c r="BM735" t="str">
        <f ca="1">IFERROR(__xludf.DUMMYFUNCTION("""COMPUTED_VALUE"""),"#VALUE!")</f>
        <v>#VALUE!</v>
      </c>
      <c r="CS735" t="str">
        <f ca="1">IFERROR(__xludf.DUMMYFUNCTION("""COMPUTED_VALUE"""),"#VALUE!")</f>
        <v>#VALUE!</v>
      </c>
      <c r="CU735" t="str">
        <f ca="1">IFERROR(__xludf.DUMMYFUNCTION("""COMPUTED_VALUE"""),"#VALUE!")</f>
        <v>#VALUE!</v>
      </c>
      <c r="CW735" t="str">
        <f ca="1">IFERROR(__xludf.DUMMYFUNCTION("""COMPUTED_VALUE"""),"#VALUE!")</f>
        <v>#VALUE!</v>
      </c>
      <c r="CY735" t="str">
        <f ca="1">IFERROR(__xludf.DUMMYFUNCTION("""COMPUTED_VALUE"""),"#VALUE!")</f>
        <v>#VALUE!</v>
      </c>
      <c r="DC735" t="str">
        <f ca="1">IFERROR(__xludf.DUMMYFUNCTION("""COMPUTED_VALUE"""),"#VALUE!")</f>
        <v>#VALUE!</v>
      </c>
      <c r="DE735" t="str">
        <f ca="1">IFERROR(__xludf.DUMMYFUNCTION("""COMPUTED_VALUE"""),"#VALUE!")</f>
        <v>#VALUE!</v>
      </c>
    </row>
    <row r="736" spans="1:109" ht="13.2" x14ac:dyDescent="0.25">
      <c r="A736" t="str">
        <f ca="1">IFERROR(__xludf.DUMMYFUNCTION("""COMPUTED_VALUE"""),"P0745")</f>
        <v>P0745</v>
      </c>
      <c r="BC736" t="str">
        <f ca="1">IFERROR(__xludf.DUMMYFUNCTION("""COMPUTED_VALUE"""),"#VALUE!")</f>
        <v>#VALUE!</v>
      </c>
      <c r="BE736" t="str">
        <f ca="1">IFERROR(__xludf.DUMMYFUNCTION("""COMPUTED_VALUE"""),"#VALUE!")</f>
        <v>#VALUE!</v>
      </c>
      <c r="BG736" t="str">
        <f ca="1">IFERROR(__xludf.DUMMYFUNCTION("""COMPUTED_VALUE"""),"#VALUE!")</f>
        <v>#VALUE!</v>
      </c>
      <c r="BI736" t="str">
        <f ca="1">IFERROR(__xludf.DUMMYFUNCTION("""COMPUTED_VALUE"""),"#VALUE!")</f>
        <v>#VALUE!</v>
      </c>
      <c r="BK736" t="str">
        <f ca="1">IFERROR(__xludf.DUMMYFUNCTION("""COMPUTED_VALUE"""),"#VALUE!")</f>
        <v>#VALUE!</v>
      </c>
      <c r="BM736" t="str">
        <f ca="1">IFERROR(__xludf.DUMMYFUNCTION("""COMPUTED_VALUE"""),"#VALUE!")</f>
        <v>#VALUE!</v>
      </c>
      <c r="CS736" t="str">
        <f ca="1">IFERROR(__xludf.DUMMYFUNCTION("""COMPUTED_VALUE"""),"#VALUE!")</f>
        <v>#VALUE!</v>
      </c>
      <c r="CU736" t="str">
        <f ca="1">IFERROR(__xludf.DUMMYFUNCTION("""COMPUTED_VALUE"""),"#VALUE!")</f>
        <v>#VALUE!</v>
      </c>
      <c r="CW736" t="str">
        <f ca="1">IFERROR(__xludf.DUMMYFUNCTION("""COMPUTED_VALUE"""),"#VALUE!")</f>
        <v>#VALUE!</v>
      </c>
      <c r="CY736" t="str">
        <f ca="1">IFERROR(__xludf.DUMMYFUNCTION("""COMPUTED_VALUE"""),"#VALUE!")</f>
        <v>#VALUE!</v>
      </c>
      <c r="DC736" t="str">
        <f ca="1">IFERROR(__xludf.DUMMYFUNCTION("""COMPUTED_VALUE"""),"#VALUE!")</f>
        <v>#VALUE!</v>
      </c>
      <c r="DE736" t="str">
        <f ca="1">IFERROR(__xludf.DUMMYFUNCTION("""COMPUTED_VALUE"""),"#VALUE!")</f>
        <v>#VALUE!</v>
      </c>
    </row>
    <row r="737" spans="1:109" ht="13.2" x14ac:dyDescent="0.25">
      <c r="A737" t="str">
        <f ca="1">IFERROR(__xludf.DUMMYFUNCTION("""COMPUTED_VALUE"""),"P0746")</f>
        <v>P0746</v>
      </c>
      <c r="BC737" t="str">
        <f ca="1">IFERROR(__xludf.DUMMYFUNCTION("""COMPUTED_VALUE"""),"#VALUE!")</f>
        <v>#VALUE!</v>
      </c>
      <c r="BE737" t="str">
        <f ca="1">IFERROR(__xludf.DUMMYFUNCTION("""COMPUTED_VALUE"""),"#VALUE!")</f>
        <v>#VALUE!</v>
      </c>
      <c r="BG737" t="str">
        <f ca="1">IFERROR(__xludf.DUMMYFUNCTION("""COMPUTED_VALUE"""),"#VALUE!")</f>
        <v>#VALUE!</v>
      </c>
      <c r="BI737" t="str">
        <f ca="1">IFERROR(__xludf.DUMMYFUNCTION("""COMPUTED_VALUE"""),"#VALUE!")</f>
        <v>#VALUE!</v>
      </c>
      <c r="BK737" t="str">
        <f ca="1">IFERROR(__xludf.DUMMYFUNCTION("""COMPUTED_VALUE"""),"#VALUE!")</f>
        <v>#VALUE!</v>
      </c>
      <c r="BM737" t="str">
        <f ca="1">IFERROR(__xludf.DUMMYFUNCTION("""COMPUTED_VALUE"""),"#VALUE!")</f>
        <v>#VALUE!</v>
      </c>
      <c r="CS737" t="str">
        <f ca="1">IFERROR(__xludf.DUMMYFUNCTION("""COMPUTED_VALUE"""),"#VALUE!")</f>
        <v>#VALUE!</v>
      </c>
      <c r="CU737" t="str">
        <f ca="1">IFERROR(__xludf.DUMMYFUNCTION("""COMPUTED_VALUE"""),"#VALUE!")</f>
        <v>#VALUE!</v>
      </c>
      <c r="CW737" t="str">
        <f ca="1">IFERROR(__xludf.DUMMYFUNCTION("""COMPUTED_VALUE"""),"#VALUE!")</f>
        <v>#VALUE!</v>
      </c>
      <c r="CY737" t="str">
        <f ca="1">IFERROR(__xludf.DUMMYFUNCTION("""COMPUTED_VALUE"""),"#VALUE!")</f>
        <v>#VALUE!</v>
      </c>
      <c r="DC737" t="str">
        <f ca="1">IFERROR(__xludf.DUMMYFUNCTION("""COMPUTED_VALUE"""),"#VALUE!")</f>
        <v>#VALUE!</v>
      </c>
      <c r="DE737" t="str">
        <f ca="1">IFERROR(__xludf.DUMMYFUNCTION("""COMPUTED_VALUE"""),"#VALUE!")</f>
        <v>#VALUE!</v>
      </c>
    </row>
    <row r="738" spans="1:109" ht="13.2" x14ac:dyDescent="0.25">
      <c r="A738" t="str">
        <f ca="1">IFERROR(__xludf.DUMMYFUNCTION("""COMPUTED_VALUE"""),"P0747")</f>
        <v>P0747</v>
      </c>
      <c r="BC738" t="str">
        <f ca="1">IFERROR(__xludf.DUMMYFUNCTION("""COMPUTED_VALUE"""),"#VALUE!")</f>
        <v>#VALUE!</v>
      </c>
      <c r="BE738" t="str">
        <f ca="1">IFERROR(__xludf.DUMMYFUNCTION("""COMPUTED_VALUE"""),"#VALUE!")</f>
        <v>#VALUE!</v>
      </c>
      <c r="BG738" t="str">
        <f ca="1">IFERROR(__xludf.DUMMYFUNCTION("""COMPUTED_VALUE"""),"#VALUE!")</f>
        <v>#VALUE!</v>
      </c>
      <c r="BI738" t="str">
        <f ca="1">IFERROR(__xludf.DUMMYFUNCTION("""COMPUTED_VALUE"""),"#VALUE!")</f>
        <v>#VALUE!</v>
      </c>
      <c r="BK738" t="str">
        <f ca="1">IFERROR(__xludf.DUMMYFUNCTION("""COMPUTED_VALUE"""),"#VALUE!")</f>
        <v>#VALUE!</v>
      </c>
      <c r="BM738" t="str">
        <f ca="1">IFERROR(__xludf.DUMMYFUNCTION("""COMPUTED_VALUE"""),"#VALUE!")</f>
        <v>#VALUE!</v>
      </c>
      <c r="CS738" t="str">
        <f ca="1">IFERROR(__xludf.DUMMYFUNCTION("""COMPUTED_VALUE"""),"#VALUE!")</f>
        <v>#VALUE!</v>
      </c>
      <c r="CU738" t="str">
        <f ca="1">IFERROR(__xludf.DUMMYFUNCTION("""COMPUTED_VALUE"""),"#VALUE!")</f>
        <v>#VALUE!</v>
      </c>
      <c r="CW738" t="str">
        <f ca="1">IFERROR(__xludf.DUMMYFUNCTION("""COMPUTED_VALUE"""),"#VALUE!")</f>
        <v>#VALUE!</v>
      </c>
      <c r="CY738" t="str">
        <f ca="1">IFERROR(__xludf.DUMMYFUNCTION("""COMPUTED_VALUE"""),"#VALUE!")</f>
        <v>#VALUE!</v>
      </c>
      <c r="DC738" t="str">
        <f ca="1">IFERROR(__xludf.DUMMYFUNCTION("""COMPUTED_VALUE"""),"#VALUE!")</f>
        <v>#VALUE!</v>
      </c>
      <c r="DE738" t="str">
        <f ca="1">IFERROR(__xludf.DUMMYFUNCTION("""COMPUTED_VALUE"""),"#VALUE!")</f>
        <v>#VALUE!</v>
      </c>
    </row>
    <row r="739" spans="1:109" ht="13.2" x14ac:dyDescent="0.25">
      <c r="A739" t="str">
        <f ca="1">IFERROR(__xludf.DUMMYFUNCTION("""COMPUTED_VALUE"""),"P0748")</f>
        <v>P0748</v>
      </c>
      <c r="BC739" t="str">
        <f ca="1">IFERROR(__xludf.DUMMYFUNCTION("""COMPUTED_VALUE"""),"#VALUE!")</f>
        <v>#VALUE!</v>
      </c>
      <c r="BE739" t="str">
        <f ca="1">IFERROR(__xludf.DUMMYFUNCTION("""COMPUTED_VALUE"""),"#VALUE!")</f>
        <v>#VALUE!</v>
      </c>
      <c r="BG739" t="str">
        <f ca="1">IFERROR(__xludf.DUMMYFUNCTION("""COMPUTED_VALUE"""),"#VALUE!")</f>
        <v>#VALUE!</v>
      </c>
      <c r="BI739" t="str">
        <f ca="1">IFERROR(__xludf.DUMMYFUNCTION("""COMPUTED_VALUE"""),"#VALUE!")</f>
        <v>#VALUE!</v>
      </c>
      <c r="BK739" t="str">
        <f ca="1">IFERROR(__xludf.DUMMYFUNCTION("""COMPUTED_VALUE"""),"#VALUE!")</f>
        <v>#VALUE!</v>
      </c>
      <c r="BM739" t="str">
        <f ca="1">IFERROR(__xludf.DUMMYFUNCTION("""COMPUTED_VALUE"""),"#VALUE!")</f>
        <v>#VALUE!</v>
      </c>
      <c r="CS739" t="str">
        <f ca="1">IFERROR(__xludf.DUMMYFUNCTION("""COMPUTED_VALUE"""),"#VALUE!")</f>
        <v>#VALUE!</v>
      </c>
      <c r="CU739" t="str">
        <f ca="1">IFERROR(__xludf.DUMMYFUNCTION("""COMPUTED_VALUE"""),"#VALUE!")</f>
        <v>#VALUE!</v>
      </c>
      <c r="CW739" t="str">
        <f ca="1">IFERROR(__xludf.DUMMYFUNCTION("""COMPUTED_VALUE"""),"#VALUE!")</f>
        <v>#VALUE!</v>
      </c>
      <c r="CY739" t="str">
        <f ca="1">IFERROR(__xludf.DUMMYFUNCTION("""COMPUTED_VALUE"""),"#VALUE!")</f>
        <v>#VALUE!</v>
      </c>
      <c r="DC739" t="str">
        <f ca="1">IFERROR(__xludf.DUMMYFUNCTION("""COMPUTED_VALUE"""),"#VALUE!")</f>
        <v>#VALUE!</v>
      </c>
      <c r="DE739" t="str">
        <f ca="1">IFERROR(__xludf.DUMMYFUNCTION("""COMPUTED_VALUE"""),"#VALUE!")</f>
        <v>#VALUE!</v>
      </c>
    </row>
    <row r="740" spans="1:109" ht="13.2" x14ac:dyDescent="0.25">
      <c r="A740" t="str">
        <f ca="1">IFERROR(__xludf.DUMMYFUNCTION("""COMPUTED_VALUE"""),"P0749")</f>
        <v>P0749</v>
      </c>
      <c r="BC740" t="str">
        <f ca="1">IFERROR(__xludf.DUMMYFUNCTION("""COMPUTED_VALUE"""),"#VALUE!")</f>
        <v>#VALUE!</v>
      </c>
      <c r="BE740" t="str">
        <f ca="1">IFERROR(__xludf.DUMMYFUNCTION("""COMPUTED_VALUE"""),"#VALUE!")</f>
        <v>#VALUE!</v>
      </c>
      <c r="BG740" t="str">
        <f ca="1">IFERROR(__xludf.DUMMYFUNCTION("""COMPUTED_VALUE"""),"#VALUE!")</f>
        <v>#VALUE!</v>
      </c>
      <c r="BI740" t="str">
        <f ca="1">IFERROR(__xludf.DUMMYFUNCTION("""COMPUTED_VALUE"""),"#VALUE!")</f>
        <v>#VALUE!</v>
      </c>
      <c r="BK740" t="str">
        <f ca="1">IFERROR(__xludf.DUMMYFUNCTION("""COMPUTED_VALUE"""),"#VALUE!")</f>
        <v>#VALUE!</v>
      </c>
      <c r="BM740" t="str">
        <f ca="1">IFERROR(__xludf.DUMMYFUNCTION("""COMPUTED_VALUE"""),"#VALUE!")</f>
        <v>#VALUE!</v>
      </c>
      <c r="CS740" t="str">
        <f ca="1">IFERROR(__xludf.DUMMYFUNCTION("""COMPUTED_VALUE"""),"#VALUE!")</f>
        <v>#VALUE!</v>
      </c>
      <c r="CU740" t="str">
        <f ca="1">IFERROR(__xludf.DUMMYFUNCTION("""COMPUTED_VALUE"""),"#VALUE!")</f>
        <v>#VALUE!</v>
      </c>
      <c r="CW740" t="str">
        <f ca="1">IFERROR(__xludf.DUMMYFUNCTION("""COMPUTED_VALUE"""),"#VALUE!")</f>
        <v>#VALUE!</v>
      </c>
      <c r="CY740" t="str">
        <f ca="1">IFERROR(__xludf.DUMMYFUNCTION("""COMPUTED_VALUE"""),"#VALUE!")</f>
        <v>#VALUE!</v>
      </c>
      <c r="DC740" t="str">
        <f ca="1">IFERROR(__xludf.DUMMYFUNCTION("""COMPUTED_VALUE"""),"#VALUE!")</f>
        <v>#VALUE!</v>
      </c>
      <c r="DE740" t="str">
        <f ca="1">IFERROR(__xludf.DUMMYFUNCTION("""COMPUTED_VALUE"""),"#VALUE!")</f>
        <v>#VALUE!</v>
      </c>
    </row>
    <row r="741" spans="1:109" ht="13.2" x14ac:dyDescent="0.25">
      <c r="A741" t="str">
        <f ca="1">IFERROR(__xludf.DUMMYFUNCTION("""COMPUTED_VALUE"""),"P0750")</f>
        <v>P0750</v>
      </c>
      <c r="BC741" t="str">
        <f ca="1">IFERROR(__xludf.DUMMYFUNCTION("""COMPUTED_VALUE"""),"#VALUE!")</f>
        <v>#VALUE!</v>
      </c>
      <c r="BE741" t="str">
        <f ca="1">IFERROR(__xludf.DUMMYFUNCTION("""COMPUTED_VALUE"""),"#VALUE!")</f>
        <v>#VALUE!</v>
      </c>
      <c r="BG741" t="str">
        <f ca="1">IFERROR(__xludf.DUMMYFUNCTION("""COMPUTED_VALUE"""),"#VALUE!")</f>
        <v>#VALUE!</v>
      </c>
      <c r="BI741" t="str">
        <f ca="1">IFERROR(__xludf.DUMMYFUNCTION("""COMPUTED_VALUE"""),"#VALUE!")</f>
        <v>#VALUE!</v>
      </c>
      <c r="BK741" t="str">
        <f ca="1">IFERROR(__xludf.DUMMYFUNCTION("""COMPUTED_VALUE"""),"#VALUE!")</f>
        <v>#VALUE!</v>
      </c>
      <c r="BM741" t="str">
        <f ca="1">IFERROR(__xludf.DUMMYFUNCTION("""COMPUTED_VALUE"""),"#VALUE!")</f>
        <v>#VALUE!</v>
      </c>
      <c r="CS741" t="str">
        <f ca="1">IFERROR(__xludf.DUMMYFUNCTION("""COMPUTED_VALUE"""),"#VALUE!")</f>
        <v>#VALUE!</v>
      </c>
      <c r="CU741" t="str">
        <f ca="1">IFERROR(__xludf.DUMMYFUNCTION("""COMPUTED_VALUE"""),"#VALUE!")</f>
        <v>#VALUE!</v>
      </c>
      <c r="CW741" t="str">
        <f ca="1">IFERROR(__xludf.DUMMYFUNCTION("""COMPUTED_VALUE"""),"#VALUE!")</f>
        <v>#VALUE!</v>
      </c>
      <c r="CY741" t="str">
        <f ca="1">IFERROR(__xludf.DUMMYFUNCTION("""COMPUTED_VALUE"""),"#VALUE!")</f>
        <v>#VALUE!</v>
      </c>
      <c r="DC741" t="str">
        <f ca="1">IFERROR(__xludf.DUMMYFUNCTION("""COMPUTED_VALUE"""),"#VALUE!")</f>
        <v>#VALUE!</v>
      </c>
      <c r="DE741" t="str">
        <f ca="1">IFERROR(__xludf.DUMMYFUNCTION("""COMPUTED_VALUE"""),"#VALUE!")</f>
        <v>#VALUE!</v>
      </c>
    </row>
    <row r="742" spans="1:109" ht="13.2" x14ac:dyDescent="0.25">
      <c r="A742" t="str">
        <f ca="1">IFERROR(__xludf.DUMMYFUNCTION("""COMPUTED_VALUE"""),"P0751")</f>
        <v>P0751</v>
      </c>
      <c r="BC742" t="str">
        <f ca="1">IFERROR(__xludf.DUMMYFUNCTION("""COMPUTED_VALUE"""),"#VALUE!")</f>
        <v>#VALUE!</v>
      </c>
      <c r="BE742" t="str">
        <f ca="1">IFERROR(__xludf.DUMMYFUNCTION("""COMPUTED_VALUE"""),"#VALUE!")</f>
        <v>#VALUE!</v>
      </c>
      <c r="BG742" t="str">
        <f ca="1">IFERROR(__xludf.DUMMYFUNCTION("""COMPUTED_VALUE"""),"#VALUE!")</f>
        <v>#VALUE!</v>
      </c>
      <c r="BI742" t="str">
        <f ca="1">IFERROR(__xludf.DUMMYFUNCTION("""COMPUTED_VALUE"""),"#VALUE!")</f>
        <v>#VALUE!</v>
      </c>
      <c r="BK742" t="str">
        <f ca="1">IFERROR(__xludf.DUMMYFUNCTION("""COMPUTED_VALUE"""),"#VALUE!")</f>
        <v>#VALUE!</v>
      </c>
      <c r="BM742" t="str">
        <f ca="1">IFERROR(__xludf.DUMMYFUNCTION("""COMPUTED_VALUE"""),"#VALUE!")</f>
        <v>#VALUE!</v>
      </c>
      <c r="CS742" t="str">
        <f ca="1">IFERROR(__xludf.DUMMYFUNCTION("""COMPUTED_VALUE"""),"#VALUE!")</f>
        <v>#VALUE!</v>
      </c>
      <c r="CU742" t="str">
        <f ca="1">IFERROR(__xludf.DUMMYFUNCTION("""COMPUTED_VALUE"""),"#VALUE!")</f>
        <v>#VALUE!</v>
      </c>
      <c r="CW742" t="str">
        <f ca="1">IFERROR(__xludf.DUMMYFUNCTION("""COMPUTED_VALUE"""),"#VALUE!")</f>
        <v>#VALUE!</v>
      </c>
      <c r="CY742" t="str">
        <f ca="1">IFERROR(__xludf.DUMMYFUNCTION("""COMPUTED_VALUE"""),"#VALUE!")</f>
        <v>#VALUE!</v>
      </c>
      <c r="DC742" t="str">
        <f ca="1">IFERROR(__xludf.DUMMYFUNCTION("""COMPUTED_VALUE"""),"#VALUE!")</f>
        <v>#VALUE!</v>
      </c>
      <c r="DE742" t="str">
        <f ca="1">IFERROR(__xludf.DUMMYFUNCTION("""COMPUTED_VALUE"""),"#VALUE!")</f>
        <v>#VALUE!</v>
      </c>
    </row>
    <row r="743" spans="1:109" ht="13.2" x14ac:dyDescent="0.25">
      <c r="A743" t="str">
        <f ca="1">IFERROR(__xludf.DUMMYFUNCTION("""COMPUTED_VALUE"""),"P0752")</f>
        <v>P0752</v>
      </c>
      <c r="BC743" t="str">
        <f ca="1">IFERROR(__xludf.DUMMYFUNCTION("""COMPUTED_VALUE"""),"#VALUE!")</f>
        <v>#VALUE!</v>
      </c>
      <c r="BE743" t="str">
        <f ca="1">IFERROR(__xludf.DUMMYFUNCTION("""COMPUTED_VALUE"""),"#VALUE!")</f>
        <v>#VALUE!</v>
      </c>
      <c r="BG743" t="str">
        <f ca="1">IFERROR(__xludf.DUMMYFUNCTION("""COMPUTED_VALUE"""),"#VALUE!")</f>
        <v>#VALUE!</v>
      </c>
      <c r="BI743" t="str">
        <f ca="1">IFERROR(__xludf.DUMMYFUNCTION("""COMPUTED_VALUE"""),"#VALUE!")</f>
        <v>#VALUE!</v>
      </c>
      <c r="BK743" t="str">
        <f ca="1">IFERROR(__xludf.DUMMYFUNCTION("""COMPUTED_VALUE"""),"#VALUE!")</f>
        <v>#VALUE!</v>
      </c>
      <c r="BM743" t="str">
        <f ca="1">IFERROR(__xludf.DUMMYFUNCTION("""COMPUTED_VALUE"""),"#VALUE!")</f>
        <v>#VALUE!</v>
      </c>
      <c r="CS743" t="str">
        <f ca="1">IFERROR(__xludf.DUMMYFUNCTION("""COMPUTED_VALUE"""),"#VALUE!")</f>
        <v>#VALUE!</v>
      </c>
      <c r="CU743" t="str">
        <f ca="1">IFERROR(__xludf.DUMMYFUNCTION("""COMPUTED_VALUE"""),"#VALUE!")</f>
        <v>#VALUE!</v>
      </c>
      <c r="CW743" t="str">
        <f ca="1">IFERROR(__xludf.DUMMYFUNCTION("""COMPUTED_VALUE"""),"#VALUE!")</f>
        <v>#VALUE!</v>
      </c>
      <c r="CY743" t="str">
        <f ca="1">IFERROR(__xludf.DUMMYFUNCTION("""COMPUTED_VALUE"""),"#VALUE!")</f>
        <v>#VALUE!</v>
      </c>
      <c r="DC743" t="str">
        <f ca="1">IFERROR(__xludf.DUMMYFUNCTION("""COMPUTED_VALUE"""),"#VALUE!")</f>
        <v>#VALUE!</v>
      </c>
      <c r="DE743" t="str">
        <f ca="1">IFERROR(__xludf.DUMMYFUNCTION("""COMPUTED_VALUE"""),"#VALUE!")</f>
        <v>#VALUE!</v>
      </c>
    </row>
    <row r="744" spans="1:109" ht="13.2" x14ac:dyDescent="0.25">
      <c r="A744" t="str">
        <f ca="1">IFERROR(__xludf.DUMMYFUNCTION("""COMPUTED_VALUE"""),"P0753")</f>
        <v>P0753</v>
      </c>
      <c r="BC744" t="str">
        <f ca="1">IFERROR(__xludf.DUMMYFUNCTION("""COMPUTED_VALUE"""),"#VALUE!")</f>
        <v>#VALUE!</v>
      </c>
      <c r="BE744" t="str">
        <f ca="1">IFERROR(__xludf.DUMMYFUNCTION("""COMPUTED_VALUE"""),"#VALUE!")</f>
        <v>#VALUE!</v>
      </c>
      <c r="BG744" t="str">
        <f ca="1">IFERROR(__xludf.DUMMYFUNCTION("""COMPUTED_VALUE"""),"#VALUE!")</f>
        <v>#VALUE!</v>
      </c>
      <c r="BI744" t="str">
        <f ca="1">IFERROR(__xludf.DUMMYFUNCTION("""COMPUTED_VALUE"""),"#VALUE!")</f>
        <v>#VALUE!</v>
      </c>
      <c r="BK744" t="str">
        <f ca="1">IFERROR(__xludf.DUMMYFUNCTION("""COMPUTED_VALUE"""),"#VALUE!")</f>
        <v>#VALUE!</v>
      </c>
      <c r="BM744" t="str">
        <f ca="1">IFERROR(__xludf.DUMMYFUNCTION("""COMPUTED_VALUE"""),"#VALUE!")</f>
        <v>#VALUE!</v>
      </c>
      <c r="CS744" t="str">
        <f ca="1">IFERROR(__xludf.DUMMYFUNCTION("""COMPUTED_VALUE"""),"#VALUE!")</f>
        <v>#VALUE!</v>
      </c>
      <c r="CU744" t="str">
        <f ca="1">IFERROR(__xludf.DUMMYFUNCTION("""COMPUTED_VALUE"""),"#VALUE!")</f>
        <v>#VALUE!</v>
      </c>
      <c r="CW744" t="str">
        <f ca="1">IFERROR(__xludf.DUMMYFUNCTION("""COMPUTED_VALUE"""),"#VALUE!")</f>
        <v>#VALUE!</v>
      </c>
      <c r="CY744" t="str">
        <f ca="1">IFERROR(__xludf.DUMMYFUNCTION("""COMPUTED_VALUE"""),"#VALUE!")</f>
        <v>#VALUE!</v>
      </c>
      <c r="DC744" t="str">
        <f ca="1">IFERROR(__xludf.DUMMYFUNCTION("""COMPUTED_VALUE"""),"#VALUE!")</f>
        <v>#VALUE!</v>
      </c>
      <c r="DE744" t="str">
        <f ca="1">IFERROR(__xludf.DUMMYFUNCTION("""COMPUTED_VALUE"""),"#VALUE!")</f>
        <v>#VALUE!</v>
      </c>
    </row>
    <row r="745" spans="1:109" ht="13.2" x14ac:dyDescent="0.25">
      <c r="A745" t="str">
        <f ca="1">IFERROR(__xludf.DUMMYFUNCTION("""COMPUTED_VALUE"""),"P0754")</f>
        <v>P0754</v>
      </c>
      <c r="BC745" t="str">
        <f ca="1">IFERROR(__xludf.DUMMYFUNCTION("""COMPUTED_VALUE"""),"#VALUE!")</f>
        <v>#VALUE!</v>
      </c>
      <c r="BE745" t="str">
        <f ca="1">IFERROR(__xludf.DUMMYFUNCTION("""COMPUTED_VALUE"""),"#VALUE!")</f>
        <v>#VALUE!</v>
      </c>
      <c r="BG745" t="str">
        <f ca="1">IFERROR(__xludf.DUMMYFUNCTION("""COMPUTED_VALUE"""),"#VALUE!")</f>
        <v>#VALUE!</v>
      </c>
      <c r="BI745" t="str">
        <f ca="1">IFERROR(__xludf.DUMMYFUNCTION("""COMPUTED_VALUE"""),"#VALUE!")</f>
        <v>#VALUE!</v>
      </c>
      <c r="BK745" t="str">
        <f ca="1">IFERROR(__xludf.DUMMYFUNCTION("""COMPUTED_VALUE"""),"#VALUE!")</f>
        <v>#VALUE!</v>
      </c>
      <c r="BM745" t="str">
        <f ca="1">IFERROR(__xludf.DUMMYFUNCTION("""COMPUTED_VALUE"""),"#VALUE!")</f>
        <v>#VALUE!</v>
      </c>
      <c r="CS745" t="str">
        <f ca="1">IFERROR(__xludf.DUMMYFUNCTION("""COMPUTED_VALUE"""),"#VALUE!")</f>
        <v>#VALUE!</v>
      </c>
      <c r="CU745" t="str">
        <f ca="1">IFERROR(__xludf.DUMMYFUNCTION("""COMPUTED_VALUE"""),"#VALUE!")</f>
        <v>#VALUE!</v>
      </c>
      <c r="CW745" t="str">
        <f ca="1">IFERROR(__xludf.DUMMYFUNCTION("""COMPUTED_VALUE"""),"#VALUE!")</f>
        <v>#VALUE!</v>
      </c>
      <c r="CY745" t="str">
        <f ca="1">IFERROR(__xludf.DUMMYFUNCTION("""COMPUTED_VALUE"""),"#VALUE!")</f>
        <v>#VALUE!</v>
      </c>
      <c r="DC745" t="str">
        <f ca="1">IFERROR(__xludf.DUMMYFUNCTION("""COMPUTED_VALUE"""),"#VALUE!")</f>
        <v>#VALUE!</v>
      </c>
      <c r="DE745" t="str">
        <f ca="1">IFERROR(__xludf.DUMMYFUNCTION("""COMPUTED_VALUE"""),"#VALUE!")</f>
        <v>#VALUE!</v>
      </c>
    </row>
    <row r="746" spans="1:109" ht="13.2" x14ac:dyDescent="0.25">
      <c r="A746" t="str">
        <f ca="1">IFERROR(__xludf.DUMMYFUNCTION("""COMPUTED_VALUE"""),"P0755")</f>
        <v>P0755</v>
      </c>
      <c r="BC746" t="str">
        <f ca="1">IFERROR(__xludf.DUMMYFUNCTION("""COMPUTED_VALUE"""),"#VALUE!")</f>
        <v>#VALUE!</v>
      </c>
      <c r="BE746" t="str">
        <f ca="1">IFERROR(__xludf.DUMMYFUNCTION("""COMPUTED_VALUE"""),"#VALUE!")</f>
        <v>#VALUE!</v>
      </c>
      <c r="BG746" t="str">
        <f ca="1">IFERROR(__xludf.DUMMYFUNCTION("""COMPUTED_VALUE"""),"#VALUE!")</f>
        <v>#VALUE!</v>
      </c>
      <c r="BI746" t="str">
        <f ca="1">IFERROR(__xludf.DUMMYFUNCTION("""COMPUTED_VALUE"""),"#VALUE!")</f>
        <v>#VALUE!</v>
      </c>
      <c r="BK746" t="str">
        <f ca="1">IFERROR(__xludf.DUMMYFUNCTION("""COMPUTED_VALUE"""),"#VALUE!")</f>
        <v>#VALUE!</v>
      </c>
      <c r="BM746" t="str">
        <f ca="1">IFERROR(__xludf.DUMMYFUNCTION("""COMPUTED_VALUE"""),"#VALUE!")</f>
        <v>#VALUE!</v>
      </c>
      <c r="CS746" t="str">
        <f ca="1">IFERROR(__xludf.DUMMYFUNCTION("""COMPUTED_VALUE"""),"#VALUE!")</f>
        <v>#VALUE!</v>
      </c>
      <c r="CU746" t="str">
        <f ca="1">IFERROR(__xludf.DUMMYFUNCTION("""COMPUTED_VALUE"""),"#VALUE!")</f>
        <v>#VALUE!</v>
      </c>
      <c r="CW746" t="str">
        <f ca="1">IFERROR(__xludf.DUMMYFUNCTION("""COMPUTED_VALUE"""),"#VALUE!")</f>
        <v>#VALUE!</v>
      </c>
      <c r="CY746" t="str">
        <f ca="1">IFERROR(__xludf.DUMMYFUNCTION("""COMPUTED_VALUE"""),"#VALUE!")</f>
        <v>#VALUE!</v>
      </c>
      <c r="DC746" t="str">
        <f ca="1">IFERROR(__xludf.DUMMYFUNCTION("""COMPUTED_VALUE"""),"#VALUE!")</f>
        <v>#VALUE!</v>
      </c>
      <c r="DE746" t="str">
        <f ca="1">IFERROR(__xludf.DUMMYFUNCTION("""COMPUTED_VALUE"""),"#VALUE!")</f>
        <v>#VALUE!</v>
      </c>
    </row>
    <row r="747" spans="1:109" ht="13.2" x14ac:dyDescent="0.25">
      <c r="A747" t="str">
        <f ca="1">IFERROR(__xludf.DUMMYFUNCTION("""COMPUTED_VALUE"""),"P0756")</f>
        <v>P0756</v>
      </c>
      <c r="BC747" t="str">
        <f ca="1">IFERROR(__xludf.DUMMYFUNCTION("""COMPUTED_VALUE"""),"#VALUE!")</f>
        <v>#VALUE!</v>
      </c>
      <c r="BE747" t="str">
        <f ca="1">IFERROR(__xludf.DUMMYFUNCTION("""COMPUTED_VALUE"""),"#VALUE!")</f>
        <v>#VALUE!</v>
      </c>
      <c r="BG747" t="str">
        <f ca="1">IFERROR(__xludf.DUMMYFUNCTION("""COMPUTED_VALUE"""),"#VALUE!")</f>
        <v>#VALUE!</v>
      </c>
      <c r="BI747" t="str">
        <f ca="1">IFERROR(__xludf.DUMMYFUNCTION("""COMPUTED_VALUE"""),"#VALUE!")</f>
        <v>#VALUE!</v>
      </c>
      <c r="BK747" t="str">
        <f ca="1">IFERROR(__xludf.DUMMYFUNCTION("""COMPUTED_VALUE"""),"#VALUE!")</f>
        <v>#VALUE!</v>
      </c>
      <c r="BM747" t="str">
        <f ca="1">IFERROR(__xludf.DUMMYFUNCTION("""COMPUTED_VALUE"""),"#VALUE!")</f>
        <v>#VALUE!</v>
      </c>
      <c r="CS747" t="str">
        <f ca="1">IFERROR(__xludf.DUMMYFUNCTION("""COMPUTED_VALUE"""),"#VALUE!")</f>
        <v>#VALUE!</v>
      </c>
      <c r="CU747" t="str">
        <f ca="1">IFERROR(__xludf.DUMMYFUNCTION("""COMPUTED_VALUE"""),"#VALUE!")</f>
        <v>#VALUE!</v>
      </c>
      <c r="CW747" t="str">
        <f ca="1">IFERROR(__xludf.DUMMYFUNCTION("""COMPUTED_VALUE"""),"#VALUE!")</f>
        <v>#VALUE!</v>
      </c>
      <c r="CY747" t="str">
        <f ca="1">IFERROR(__xludf.DUMMYFUNCTION("""COMPUTED_VALUE"""),"#VALUE!")</f>
        <v>#VALUE!</v>
      </c>
      <c r="DC747" t="str">
        <f ca="1">IFERROR(__xludf.DUMMYFUNCTION("""COMPUTED_VALUE"""),"#VALUE!")</f>
        <v>#VALUE!</v>
      </c>
      <c r="DE747" t="str">
        <f ca="1">IFERROR(__xludf.DUMMYFUNCTION("""COMPUTED_VALUE"""),"#VALUE!")</f>
        <v>#VALUE!</v>
      </c>
    </row>
    <row r="748" spans="1:109" ht="13.2" x14ac:dyDescent="0.25">
      <c r="A748" t="str">
        <f ca="1">IFERROR(__xludf.DUMMYFUNCTION("""COMPUTED_VALUE"""),"P0757")</f>
        <v>P0757</v>
      </c>
      <c r="BC748" t="str">
        <f ca="1">IFERROR(__xludf.DUMMYFUNCTION("""COMPUTED_VALUE"""),"#VALUE!")</f>
        <v>#VALUE!</v>
      </c>
      <c r="BE748" t="str">
        <f ca="1">IFERROR(__xludf.DUMMYFUNCTION("""COMPUTED_VALUE"""),"#VALUE!")</f>
        <v>#VALUE!</v>
      </c>
      <c r="BG748" t="str">
        <f ca="1">IFERROR(__xludf.DUMMYFUNCTION("""COMPUTED_VALUE"""),"#VALUE!")</f>
        <v>#VALUE!</v>
      </c>
      <c r="BI748" t="str">
        <f ca="1">IFERROR(__xludf.DUMMYFUNCTION("""COMPUTED_VALUE"""),"#VALUE!")</f>
        <v>#VALUE!</v>
      </c>
      <c r="BK748" t="str">
        <f ca="1">IFERROR(__xludf.DUMMYFUNCTION("""COMPUTED_VALUE"""),"#VALUE!")</f>
        <v>#VALUE!</v>
      </c>
      <c r="BM748" t="str">
        <f ca="1">IFERROR(__xludf.DUMMYFUNCTION("""COMPUTED_VALUE"""),"#VALUE!")</f>
        <v>#VALUE!</v>
      </c>
      <c r="CS748" t="str">
        <f ca="1">IFERROR(__xludf.DUMMYFUNCTION("""COMPUTED_VALUE"""),"#VALUE!")</f>
        <v>#VALUE!</v>
      </c>
      <c r="CU748" t="str">
        <f ca="1">IFERROR(__xludf.DUMMYFUNCTION("""COMPUTED_VALUE"""),"#VALUE!")</f>
        <v>#VALUE!</v>
      </c>
      <c r="CW748" t="str">
        <f ca="1">IFERROR(__xludf.DUMMYFUNCTION("""COMPUTED_VALUE"""),"#VALUE!")</f>
        <v>#VALUE!</v>
      </c>
      <c r="CY748" t="str">
        <f ca="1">IFERROR(__xludf.DUMMYFUNCTION("""COMPUTED_VALUE"""),"#VALUE!")</f>
        <v>#VALUE!</v>
      </c>
      <c r="DC748" t="str">
        <f ca="1">IFERROR(__xludf.DUMMYFUNCTION("""COMPUTED_VALUE"""),"#VALUE!")</f>
        <v>#VALUE!</v>
      </c>
      <c r="DE748" t="str">
        <f ca="1">IFERROR(__xludf.DUMMYFUNCTION("""COMPUTED_VALUE"""),"#VALUE!")</f>
        <v>#VALUE!</v>
      </c>
    </row>
    <row r="749" spans="1:109" ht="13.2" x14ac:dyDescent="0.25">
      <c r="A749" t="str">
        <f ca="1">IFERROR(__xludf.DUMMYFUNCTION("""COMPUTED_VALUE"""),"P0758")</f>
        <v>P0758</v>
      </c>
      <c r="BC749" t="str">
        <f ca="1">IFERROR(__xludf.DUMMYFUNCTION("""COMPUTED_VALUE"""),"#VALUE!")</f>
        <v>#VALUE!</v>
      </c>
      <c r="BE749" t="str">
        <f ca="1">IFERROR(__xludf.DUMMYFUNCTION("""COMPUTED_VALUE"""),"#VALUE!")</f>
        <v>#VALUE!</v>
      </c>
      <c r="BG749" t="str">
        <f ca="1">IFERROR(__xludf.DUMMYFUNCTION("""COMPUTED_VALUE"""),"#VALUE!")</f>
        <v>#VALUE!</v>
      </c>
      <c r="BI749" t="str">
        <f ca="1">IFERROR(__xludf.DUMMYFUNCTION("""COMPUTED_VALUE"""),"#VALUE!")</f>
        <v>#VALUE!</v>
      </c>
      <c r="BK749" t="str">
        <f ca="1">IFERROR(__xludf.DUMMYFUNCTION("""COMPUTED_VALUE"""),"#VALUE!")</f>
        <v>#VALUE!</v>
      </c>
      <c r="BM749" t="str">
        <f ca="1">IFERROR(__xludf.DUMMYFUNCTION("""COMPUTED_VALUE"""),"#VALUE!")</f>
        <v>#VALUE!</v>
      </c>
      <c r="CS749" t="str">
        <f ca="1">IFERROR(__xludf.DUMMYFUNCTION("""COMPUTED_VALUE"""),"#VALUE!")</f>
        <v>#VALUE!</v>
      </c>
      <c r="CU749" t="str">
        <f ca="1">IFERROR(__xludf.DUMMYFUNCTION("""COMPUTED_VALUE"""),"#VALUE!")</f>
        <v>#VALUE!</v>
      </c>
      <c r="CW749" t="str">
        <f ca="1">IFERROR(__xludf.DUMMYFUNCTION("""COMPUTED_VALUE"""),"#VALUE!")</f>
        <v>#VALUE!</v>
      </c>
      <c r="CY749" t="str">
        <f ca="1">IFERROR(__xludf.DUMMYFUNCTION("""COMPUTED_VALUE"""),"#VALUE!")</f>
        <v>#VALUE!</v>
      </c>
      <c r="DC749" t="str">
        <f ca="1">IFERROR(__xludf.DUMMYFUNCTION("""COMPUTED_VALUE"""),"#VALUE!")</f>
        <v>#VALUE!</v>
      </c>
      <c r="DE749" t="str">
        <f ca="1">IFERROR(__xludf.DUMMYFUNCTION("""COMPUTED_VALUE"""),"#VALUE!")</f>
        <v>#VALUE!</v>
      </c>
    </row>
    <row r="750" spans="1:109" ht="13.2" x14ac:dyDescent="0.25">
      <c r="A750" t="str">
        <f ca="1">IFERROR(__xludf.DUMMYFUNCTION("""COMPUTED_VALUE"""),"P0759")</f>
        <v>P0759</v>
      </c>
      <c r="BC750" t="str">
        <f ca="1">IFERROR(__xludf.DUMMYFUNCTION("""COMPUTED_VALUE"""),"#VALUE!")</f>
        <v>#VALUE!</v>
      </c>
      <c r="BE750" t="str">
        <f ca="1">IFERROR(__xludf.DUMMYFUNCTION("""COMPUTED_VALUE"""),"#VALUE!")</f>
        <v>#VALUE!</v>
      </c>
      <c r="BG750" t="str">
        <f ca="1">IFERROR(__xludf.DUMMYFUNCTION("""COMPUTED_VALUE"""),"#VALUE!")</f>
        <v>#VALUE!</v>
      </c>
      <c r="BI750" t="str">
        <f ca="1">IFERROR(__xludf.DUMMYFUNCTION("""COMPUTED_VALUE"""),"#VALUE!")</f>
        <v>#VALUE!</v>
      </c>
      <c r="BK750" t="str">
        <f ca="1">IFERROR(__xludf.DUMMYFUNCTION("""COMPUTED_VALUE"""),"#VALUE!")</f>
        <v>#VALUE!</v>
      </c>
      <c r="BM750" t="str">
        <f ca="1">IFERROR(__xludf.DUMMYFUNCTION("""COMPUTED_VALUE"""),"#VALUE!")</f>
        <v>#VALUE!</v>
      </c>
      <c r="CS750" t="str">
        <f ca="1">IFERROR(__xludf.DUMMYFUNCTION("""COMPUTED_VALUE"""),"#VALUE!")</f>
        <v>#VALUE!</v>
      </c>
      <c r="CU750" t="str">
        <f ca="1">IFERROR(__xludf.DUMMYFUNCTION("""COMPUTED_VALUE"""),"#VALUE!")</f>
        <v>#VALUE!</v>
      </c>
      <c r="CW750" t="str">
        <f ca="1">IFERROR(__xludf.DUMMYFUNCTION("""COMPUTED_VALUE"""),"#VALUE!")</f>
        <v>#VALUE!</v>
      </c>
      <c r="CY750" t="str">
        <f ca="1">IFERROR(__xludf.DUMMYFUNCTION("""COMPUTED_VALUE"""),"#VALUE!")</f>
        <v>#VALUE!</v>
      </c>
      <c r="DC750" t="str">
        <f ca="1">IFERROR(__xludf.DUMMYFUNCTION("""COMPUTED_VALUE"""),"#VALUE!")</f>
        <v>#VALUE!</v>
      </c>
      <c r="DE750" t="str">
        <f ca="1">IFERROR(__xludf.DUMMYFUNCTION("""COMPUTED_VALUE"""),"#VALUE!")</f>
        <v>#VALUE!</v>
      </c>
    </row>
    <row r="751" spans="1:109" ht="13.2" x14ac:dyDescent="0.25">
      <c r="A751" t="str">
        <f ca="1">IFERROR(__xludf.DUMMYFUNCTION("""COMPUTED_VALUE"""),"P0760")</f>
        <v>P0760</v>
      </c>
      <c r="BC751" t="str">
        <f ca="1">IFERROR(__xludf.DUMMYFUNCTION("""COMPUTED_VALUE"""),"#VALUE!")</f>
        <v>#VALUE!</v>
      </c>
      <c r="BE751" t="str">
        <f ca="1">IFERROR(__xludf.DUMMYFUNCTION("""COMPUTED_VALUE"""),"#VALUE!")</f>
        <v>#VALUE!</v>
      </c>
      <c r="BG751" t="str">
        <f ca="1">IFERROR(__xludf.DUMMYFUNCTION("""COMPUTED_VALUE"""),"#VALUE!")</f>
        <v>#VALUE!</v>
      </c>
      <c r="BI751" t="str">
        <f ca="1">IFERROR(__xludf.DUMMYFUNCTION("""COMPUTED_VALUE"""),"#VALUE!")</f>
        <v>#VALUE!</v>
      </c>
      <c r="BK751" t="str">
        <f ca="1">IFERROR(__xludf.DUMMYFUNCTION("""COMPUTED_VALUE"""),"#VALUE!")</f>
        <v>#VALUE!</v>
      </c>
      <c r="BM751" t="str">
        <f ca="1">IFERROR(__xludf.DUMMYFUNCTION("""COMPUTED_VALUE"""),"#VALUE!")</f>
        <v>#VALUE!</v>
      </c>
      <c r="CS751" t="str">
        <f ca="1">IFERROR(__xludf.DUMMYFUNCTION("""COMPUTED_VALUE"""),"#VALUE!")</f>
        <v>#VALUE!</v>
      </c>
      <c r="CU751" t="str">
        <f ca="1">IFERROR(__xludf.DUMMYFUNCTION("""COMPUTED_VALUE"""),"#VALUE!")</f>
        <v>#VALUE!</v>
      </c>
      <c r="CW751" t="str">
        <f ca="1">IFERROR(__xludf.DUMMYFUNCTION("""COMPUTED_VALUE"""),"#VALUE!")</f>
        <v>#VALUE!</v>
      </c>
      <c r="CY751" t="str">
        <f ca="1">IFERROR(__xludf.DUMMYFUNCTION("""COMPUTED_VALUE"""),"#VALUE!")</f>
        <v>#VALUE!</v>
      </c>
      <c r="DC751" t="str">
        <f ca="1">IFERROR(__xludf.DUMMYFUNCTION("""COMPUTED_VALUE"""),"#VALUE!")</f>
        <v>#VALUE!</v>
      </c>
      <c r="DE751" t="str">
        <f ca="1">IFERROR(__xludf.DUMMYFUNCTION("""COMPUTED_VALUE"""),"#VALUE!")</f>
        <v>#VALUE!</v>
      </c>
    </row>
    <row r="752" spans="1:109" ht="13.2" x14ac:dyDescent="0.25">
      <c r="A752" t="str">
        <f ca="1">IFERROR(__xludf.DUMMYFUNCTION("""COMPUTED_VALUE"""),"P0761")</f>
        <v>P0761</v>
      </c>
      <c r="BC752" t="str">
        <f ca="1">IFERROR(__xludf.DUMMYFUNCTION("""COMPUTED_VALUE"""),"#VALUE!")</f>
        <v>#VALUE!</v>
      </c>
      <c r="BE752" t="str">
        <f ca="1">IFERROR(__xludf.DUMMYFUNCTION("""COMPUTED_VALUE"""),"#VALUE!")</f>
        <v>#VALUE!</v>
      </c>
      <c r="BG752" t="str">
        <f ca="1">IFERROR(__xludf.DUMMYFUNCTION("""COMPUTED_VALUE"""),"#VALUE!")</f>
        <v>#VALUE!</v>
      </c>
      <c r="BI752" t="str">
        <f ca="1">IFERROR(__xludf.DUMMYFUNCTION("""COMPUTED_VALUE"""),"#VALUE!")</f>
        <v>#VALUE!</v>
      </c>
      <c r="BK752" t="str">
        <f ca="1">IFERROR(__xludf.DUMMYFUNCTION("""COMPUTED_VALUE"""),"#VALUE!")</f>
        <v>#VALUE!</v>
      </c>
      <c r="BM752" t="str">
        <f ca="1">IFERROR(__xludf.DUMMYFUNCTION("""COMPUTED_VALUE"""),"#VALUE!")</f>
        <v>#VALUE!</v>
      </c>
      <c r="CS752" t="str">
        <f ca="1">IFERROR(__xludf.DUMMYFUNCTION("""COMPUTED_VALUE"""),"#VALUE!")</f>
        <v>#VALUE!</v>
      </c>
      <c r="CU752" t="str">
        <f ca="1">IFERROR(__xludf.DUMMYFUNCTION("""COMPUTED_VALUE"""),"#VALUE!")</f>
        <v>#VALUE!</v>
      </c>
      <c r="CW752" t="str">
        <f ca="1">IFERROR(__xludf.DUMMYFUNCTION("""COMPUTED_VALUE"""),"#VALUE!")</f>
        <v>#VALUE!</v>
      </c>
      <c r="CY752" t="str">
        <f ca="1">IFERROR(__xludf.DUMMYFUNCTION("""COMPUTED_VALUE"""),"#VALUE!")</f>
        <v>#VALUE!</v>
      </c>
      <c r="DC752" t="str">
        <f ca="1">IFERROR(__xludf.DUMMYFUNCTION("""COMPUTED_VALUE"""),"#VALUE!")</f>
        <v>#VALUE!</v>
      </c>
      <c r="DE752" t="str">
        <f ca="1">IFERROR(__xludf.DUMMYFUNCTION("""COMPUTED_VALUE"""),"#VALUE!")</f>
        <v>#VALUE!</v>
      </c>
    </row>
    <row r="753" spans="1:109" ht="13.2" x14ac:dyDescent="0.25">
      <c r="A753" t="str">
        <f ca="1">IFERROR(__xludf.DUMMYFUNCTION("""COMPUTED_VALUE"""),"P0762")</f>
        <v>P0762</v>
      </c>
      <c r="BC753" t="str">
        <f ca="1">IFERROR(__xludf.DUMMYFUNCTION("""COMPUTED_VALUE"""),"#VALUE!")</f>
        <v>#VALUE!</v>
      </c>
      <c r="BE753" t="str">
        <f ca="1">IFERROR(__xludf.DUMMYFUNCTION("""COMPUTED_VALUE"""),"#VALUE!")</f>
        <v>#VALUE!</v>
      </c>
      <c r="BG753" t="str">
        <f ca="1">IFERROR(__xludf.DUMMYFUNCTION("""COMPUTED_VALUE"""),"#VALUE!")</f>
        <v>#VALUE!</v>
      </c>
      <c r="BI753" t="str">
        <f ca="1">IFERROR(__xludf.DUMMYFUNCTION("""COMPUTED_VALUE"""),"#VALUE!")</f>
        <v>#VALUE!</v>
      </c>
      <c r="BK753" t="str">
        <f ca="1">IFERROR(__xludf.DUMMYFUNCTION("""COMPUTED_VALUE"""),"#VALUE!")</f>
        <v>#VALUE!</v>
      </c>
      <c r="BM753" t="str">
        <f ca="1">IFERROR(__xludf.DUMMYFUNCTION("""COMPUTED_VALUE"""),"#VALUE!")</f>
        <v>#VALUE!</v>
      </c>
      <c r="CS753" t="str">
        <f ca="1">IFERROR(__xludf.DUMMYFUNCTION("""COMPUTED_VALUE"""),"#VALUE!")</f>
        <v>#VALUE!</v>
      </c>
      <c r="CU753" t="str">
        <f ca="1">IFERROR(__xludf.DUMMYFUNCTION("""COMPUTED_VALUE"""),"#VALUE!")</f>
        <v>#VALUE!</v>
      </c>
      <c r="CW753" t="str">
        <f ca="1">IFERROR(__xludf.DUMMYFUNCTION("""COMPUTED_VALUE"""),"#VALUE!")</f>
        <v>#VALUE!</v>
      </c>
      <c r="CY753" t="str">
        <f ca="1">IFERROR(__xludf.DUMMYFUNCTION("""COMPUTED_VALUE"""),"#VALUE!")</f>
        <v>#VALUE!</v>
      </c>
      <c r="DC753" t="str">
        <f ca="1">IFERROR(__xludf.DUMMYFUNCTION("""COMPUTED_VALUE"""),"#VALUE!")</f>
        <v>#VALUE!</v>
      </c>
      <c r="DE753" t="str">
        <f ca="1">IFERROR(__xludf.DUMMYFUNCTION("""COMPUTED_VALUE"""),"#VALUE!")</f>
        <v>#VALUE!</v>
      </c>
    </row>
    <row r="754" spans="1:109" ht="13.2" x14ac:dyDescent="0.25">
      <c r="A754" t="str">
        <f ca="1">IFERROR(__xludf.DUMMYFUNCTION("""COMPUTED_VALUE"""),"P0763")</f>
        <v>P0763</v>
      </c>
      <c r="BC754" t="str">
        <f ca="1">IFERROR(__xludf.DUMMYFUNCTION("""COMPUTED_VALUE"""),"#VALUE!")</f>
        <v>#VALUE!</v>
      </c>
      <c r="BE754" t="str">
        <f ca="1">IFERROR(__xludf.DUMMYFUNCTION("""COMPUTED_VALUE"""),"#VALUE!")</f>
        <v>#VALUE!</v>
      </c>
      <c r="BG754" t="str">
        <f ca="1">IFERROR(__xludf.DUMMYFUNCTION("""COMPUTED_VALUE"""),"#VALUE!")</f>
        <v>#VALUE!</v>
      </c>
      <c r="BI754" t="str">
        <f ca="1">IFERROR(__xludf.DUMMYFUNCTION("""COMPUTED_VALUE"""),"#VALUE!")</f>
        <v>#VALUE!</v>
      </c>
      <c r="BK754" t="str">
        <f ca="1">IFERROR(__xludf.DUMMYFUNCTION("""COMPUTED_VALUE"""),"#VALUE!")</f>
        <v>#VALUE!</v>
      </c>
      <c r="BM754" t="str">
        <f ca="1">IFERROR(__xludf.DUMMYFUNCTION("""COMPUTED_VALUE"""),"#VALUE!")</f>
        <v>#VALUE!</v>
      </c>
      <c r="CS754" t="str">
        <f ca="1">IFERROR(__xludf.DUMMYFUNCTION("""COMPUTED_VALUE"""),"#VALUE!")</f>
        <v>#VALUE!</v>
      </c>
      <c r="CU754" t="str">
        <f ca="1">IFERROR(__xludf.DUMMYFUNCTION("""COMPUTED_VALUE"""),"#VALUE!")</f>
        <v>#VALUE!</v>
      </c>
      <c r="CW754" t="str">
        <f ca="1">IFERROR(__xludf.DUMMYFUNCTION("""COMPUTED_VALUE"""),"#VALUE!")</f>
        <v>#VALUE!</v>
      </c>
      <c r="CY754" t="str">
        <f ca="1">IFERROR(__xludf.DUMMYFUNCTION("""COMPUTED_VALUE"""),"#VALUE!")</f>
        <v>#VALUE!</v>
      </c>
      <c r="DC754" t="str">
        <f ca="1">IFERROR(__xludf.DUMMYFUNCTION("""COMPUTED_VALUE"""),"#VALUE!")</f>
        <v>#VALUE!</v>
      </c>
      <c r="DE754" t="str">
        <f ca="1">IFERROR(__xludf.DUMMYFUNCTION("""COMPUTED_VALUE"""),"#VALUE!")</f>
        <v>#VALUE!</v>
      </c>
    </row>
    <row r="755" spans="1:109" ht="13.2" x14ac:dyDescent="0.25">
      <c r="A755" t="str">
        <f ca="1">IFERROR(__xludf.DUMMYFUNCTION("""COMPUTED_VALUE"""),"P0764")</f>
        <v>P0764</v>
      </c>
      <c r="BC755" t="str">
        <f ca="1">IFERROR(__xludf.DUMMYFUNCTION("""COMPUTED_VALUE"""),"#VALUE!")</f>
        <v>#VALUE!</v>
      </c>
      <c r="BE755" t="str">
        <f ca="1">IFERROR(__xludf.DUMMYFUNCTION("""COMPUTED_VALUE"""),"#VALUE!")</f>
        <v>#VALUE!</v>
      </c>
      <c r="BG755" t="str">
        <f ca="1">IFERROR(__xludf.DUMMYFUNCTION("""COMPUTED_VALUE"""),"#VALUE!")</f>
        <v>#VALUE!</v>
      </c>
      <c r="BI755" t="str">
        <f ca="1">IFERROR(__xludf.DUMMYFUNCTION("""COMPUTED_VALUE"""),"#VALUE!")</f>
        <v>#VALUE!</v>
      </c>
      <c r="BK755" t="str">
        <f ca="1">IFERROR(__xludf.DUMMYFUNCTION("""COMPUTED_VALUE"""),"#VALUE!")</f>
        <v>#VALUE!</v>
      </c>
      <c r="BM755" t="str">
        <f ca="1">IFERROR(__xludf.DUMMYFUNCTION("""COMPUTED_VALUE"""),"#VALUE!")</f>
        <v>#VALUE!</v>
      </c>
      <c r="CS755" t="str">
        <f ca="1">IFERROR(__xludf.DUMMYFUNCTION("""COMPUTED_VALUE"""),"#VALUE!")</f>
        <v>#VALUE!</v>
      </c>
      <c r="CU755" t="str">
        <f ca="1">IFERROR(__xludf.DUMMYFUNCTION("""COMPUTED_VALUE"""),"#VALUE!")</f>
        <v>#VALUE!</v>
      </c>
      <c r="CW755" t="str">
        <f ca="1">IFERROR(__xludf.DUMMYFUNCTION("""COMPUTED_VALUE"""),"#VALUE!")</f>
        <v>#VALUE!</v>
      </c>
      <c r="CY755" t="str">
        <f ca="1">IFERROR(__xludf.DUMMYFUNCTION("""COMPUTED_VALUE"""),"#VALUE!")</f>
        <v>#VALUE!</v>
      </c>
      <c r="DC755" t="str">
        <f ca="1">IFERROR(__xludf.DUMMYFUNCTION("""COMPUTED_VALUE"""),"#VALUE!")</f>
        <v>#VALUE!</v>
      </c>
      <c r="DE755" t="str">
        <f ca="1">IFERROR(__xludf.DUMMYFUNCTION("""COMPUTED_VALUE"""),"#VALUE!")</f>
        <v>#VALUE!</v>
      </c>
    </row>
    <row r="756" spans="1:109" ht="13.2" x14ac:dyDescent="0.25">
      <c r="A756" t="str">
        <f ca="1">IFERROR(__xludf.DUMMYFUNCTION("""COMPUTED_VALUE"""),"P0765")</f>
        <v>P0765</v>
      </c>
      <c r="BC756" t="str">
        <f ca="1">IFERROR(__xludf.DUMMYFUNCTION("""COMPUTED_VALUE"""),"#VALUE!")</f>
        <v>#VALUE!</v>
      </c>
      <c r="BE756" t="str">
        <f ca="1">IFERROR(__xludf.DUMMYFUNCTION("""COMPUTED_VALUE"""),"#VALUE!")</f>
        <v>#VALUE!</v>
      </c>
      <c r="BG756" t="str">
        <f ca="1">IFERROR(__xludf.DUMMYFUNCTION("""COMPUTED_VALUE"""),"#VALUE!")</f>
        <v>#VALUE!</v>
      </c>
      <c r="BI756" t="str">
        <f ca="1">IFERROR(__xludf.DUMMYFUNCTION("""COMPUTED_VALUE"""),"#VALUE!")</f>
        <v>#VALUE!</v>
      </c>
      <c r="BK756" t="str">
        <f ca="1">IFERROR(__xludf.DUMMYFUNCTION("""COMPUTED_VALUE"""),"#VALUE!")</f>
        <v>#VALUE!</v>
      </c>
      <c r="BM756" t="str">
        <f ca="1">IFERROR(__xludf.DUMMYFUNCTION("""COMPUTED_VALUE"""),"#VALUE!")</f>
        <v>#VALUE!</v>
      </c>
      <c r="CS756" t="str">
        <f ca="1">IFERROR(__xludf.DUMMYFUNCTION("""COMPUTED_VALUE"""),"#VALUE!")</f>
        <v>#VALUE!</v>
      </c>
      <c r="CU756" t="str">
        <f ca="1">IFERROR(__xludf.DUMMYFUNCTION("""COMPUTED_VALUE"""),"#VALUE!")</f>
        <v>#VALUE!</v>
      </c>
      <c r="CW756" t="str">
        <f ca="1">IFERROR(__xludf.DUMMYFUNCTION("""COMPUTED_VALUE"""),"#VALUE!")</f>
        <v>#VALUE!</v>
      </c>
      <c r="CY756" t="str">
        <f ca="1">IFERROR(__xludf.DUMMYFUNCTION("""COMPUTED_VALUE"""),"#VALUE!")</f>
        <v>#VALUE!</v>
      </c>
      <c r="DC756" t="str">
        <f ca="1">IFERROR(__xludf.DUMMYFUNCTION("""COMPUTED_VALUE"""),"#VALUE!")</f>
        <v>#VALUE!</v>
      </c>
      <c r="DE756" t="str">
        <f ca="1">IFERROR(__xludf.DUMMYFUNCTION("""COMPUTED_VALUE"""),"#VALUE!")</f>
        <v>#VALUE!</v>
      </c>
    </row>
    <row r="757" spans="1:109" ht="13.2" x14ac:dyDescent="0.25">
      <c r="A757" t="str">
        <f ca="1">IFERROR(__xludf.DUMMYFUNCTION("""COMPUTED_VALUE"""),"P0766")</f>
        <v>P0766</v>
      </c>
      <c r="BC757" t="str">
        <f ca="1">IFERROR(__xludf.DUMMYFUNCTION("""COMPUTED_VALUE"""),"#VALUE!")</f>
        <v>#VALUE!</v>
      </c>
      <c r="BE757" t="str">
        <f ca="1">IFERROR(__xludf.DUMMYFUNCTION("""COMPUTED_VALUE"""),"#VALUE!")</f>
        <v>#VALUE!</v>
      </c>
      <c r="BG757" t="str">
        <f ca="1">IFERROR(__xludf.DUMMYFUNCTION("""COMPUTED_VALUE"""),"#VALUE!")</f>
        <v>#VALUE!</v>
      </c>
      <c r="BI757" t="str">
        <f ca="1">IFERROR(__xludf.DUMMYFUNCTION("""COMPUTED_VALUE"""),"#VALUE!")</f>
        <v>#VALUE!</v>
      </c>
      <c r="BK757" t="str">
        <f ca="1">IFERROR(__xludf.DUMMYFUNCTION("""COMPUTED_VALUE"""),"#VALUE!")</f>
        <v>#VALUE!</v>
      </c>
      <c r="BM757" t="str">
        <f ca="1">IFERROR(__xludf.DUMMYFUNCTION("""COMPUTED_VALUE"""),"#VALUE!")</f>
        <v>#VALUE!</v>
      </c>
      <c r="CS757" t="str">
        <f ca="1">IFERROR(__xludf.DUMMYFUNCTION("""COMPUTED_VALUE"""),"#VALUE!")</f>
        <v>#VALUE!</v>
      </c>
      <c r="CU757" t="str">
        <f ca="1">IFERROR(__xludf.DUMMYFUNCTION("""COMPUTED_VALUE"""),"#VALUE!")</f>
        <v>#VALUE!</v>
      </c>
      <c r="CW757" t="str">
        <f ca="1">IFERROR(__xludf.DUMMYFUNCTION("""COMPUTED_VALUE"""),"#VALUE!")</f>
        <v>#VALUE!</v>
      </c>
      <c r="CY757" t="str">
        <f ca="1">IFERROR(__xludf.DUMMYFUNCTION("""COMPUTED_VALUE"""),"#VALUE!")</f>
        <v>#VALUE!</v>
      </c>
      <c r="DC757" t="str">
        <f ca="1">IFERROR(__xludf.DUMMYFUNCTION("""COMPUTED_VALUE"""),"#VALUE!")</f>
        <v>#VALUE!</v>
      </c>
      <c r="DE757" t="str">
        <f ca="1">IFERROR(__xludf.DUMMYFUNCTION("""COMPUTED_VALUE"""),"#VALUE!")</f>
        <v>#VALUE!</v>
      </c>
    </row>
    <row r="758" spans="1:109" ht="13.2" x14ac:dyDescent="0.25">
      <c r="A758" t="str">
        <f ca="1">IFERROR(__xludf.DUMMYFUNCTION("""COMPUTED_VALUE"""),"P0767")</f>
        <v>P0767</v>
      </c>
      <c r="BC758" t="str">
        <f ca="1">IFERROR(__xludf.DUMMYFUNCTION("""COMPUTED_VALUE"""),"#VALUE!")</f>
        <v>#VALUE!</v>
      </c>
      <c r="BE758" t="str">
        <f ca="1">IFERROR(__xludf.DUMMYFUNCTION("""COMPUTED_VALUE"""),"#VALUE!")</f>
        <v>#VALUE!</v>
      </c>
      <c r="BG758" t="str">
        <f ca="1">IFERROR(__xludf.DUMMYFUNCTION("""COMPUTED_VALUE"""),"#VALUE!")</f>
        <v>#VALUE!</v>
      </c>
      <c r="BI758" t="str">
        <f ca="1">IFERROR(__xludf.DUMMYFUNCTION("""COMPUTED_VALUE"""),"#VALUE!")</f>
        <v>#VALUE!</v>
      </c>
      <c r="BK758" t="str">
        <f ca="1">IFERROR(__xludf.DUMMYFUNCTION("""COMPUTED_VALUE"""),"#VALUE!")</f>
        <v>#VALUE!</v>
      </c>
      <c r="BM758" t="str">
        <f ca="1">IFERROR(__xludf.DUMMYFUNCTION("""COMPUTED_VALUE"""),"#VALUE!")</f>
        <v>#VALUE!</v>
      </c>
      <c r="CS758" t="str">
        <f ca="1">IFERROR(__xludf.DUMMYFUNCTION("""COMPUTED_VALUE"""),"#VALUE!")</f>
        <v>#VALUE!</v>
      </c>
      <c r="CU758" t="str">
        <f ca="1">IFERROR(__xludf.DUMMYFUNCTION("""COMPUTED_VALUE"""),"#VALUE!")</f>
        <v>#VALUE!</v>
      </c>
      <c r="CW758" t="str">
        <f ca="1">IFERROR(__xludf.DUMMYFUNCTION("""COMPUTED_VALUE"""),"#VALUE!")</f>
        <v>#VALUE!</v>
      </c>
      <c r="CY758" t="str">
        <f ca="1">IFERROR(__xludf.DUMMYFUNCTION("""COMPUTED_VALUE"""),"#VALUE!")</f>
        <v>#VALUE!</v>
      </c>
      <c r="DC758" t="str">
        <f ca="1">IFERROR(__xludf.DUMMYFUNCTION("""COMPUTED_VALUE"""),"#VALUE!")</f>
        <v>#VALUE!</v>
      </c>
      <c r="DE758" t="str">
        <f ca="1">IFERROR(__xludf.DUMMYFUNCTION("""COMPUTED_VALUE"""),"#VALUE!")</f>
        <v>#VALUE!</v>
      </c>
    </row>
    <row r="759" spans="1:109" ht="13.2" x14ac:dyDescent="0.25">
      <c r="A759" t="str">
        <f ca="1">IFERROR(__xludf.DUMMYFUNCTION("""COMPUTED_VALUE"""),"P0768")</f>
        <v>P0768</v>
      </c>
      <c r="BC759" t="str">
        <f ca="1">IFERROR(__xludf.DUMMYFUNCTION("""COMPUTED_VALUE"""),"#VALUE!")</f>
        <v>#VALUE!</v>
      </c>
      <c r="BE759" t="str">
        <f ca="1">IFERROR(__xludf.DUMMYFUNCTION("""COMPUTED_VALUE"""),"#VALUE!")</f>
        <v>#VALUE!</v>
      </c>
      <c r="BG759" t="str">
        <f ca="1">IFERROR(__xludf.DUMMYFUNCTION("""COMPUTED_VALUE"""),"#VALUE!")</f>
        <v>#VALUE!</v>
      </c>
      <c r="BI759" t="str">
        <f ca="1">IFERROR(__xludf.DUMMYFUNCTION("""COMPUTED_VALUE"""),"#VALUE!")</f>
        <v>#VALUE!</v>
      </c>
      <c r="BK759" t="str">
        <f ca="1">IFERROR(__xludf.DUMMYFUNCTION("""COMPUTED_VALUE"""),"#VALUE!")</f>
        <v>#VALUE!</v>
      </c>
      <c r="BM759" t="str">
        <f ca="1">IFERROR(__xludf.DUMMYFUNCTION("""COMPUTED_VALUE"""),"#VALUE!")</f>
        <v>#VALUE!</v>
      </c>
      <c r="CS759" t="str">
        <f ca="1">IFERROR(__xludf.DUMMYFUNCTION("""COMPUTED_VALUE"""),"#VALUE!")</f>
        <v>#VALUE!</v>
      </c>
      <c r="CU759" t="str">
        <f ca="1">IFERROR(__xludf.DUMMYFUNCTION("""COMPUTED_VALUE"""),"#VALUE!")</f>
        <v>#VALUE!</v>
      </c>
      <c r="CW759" t="str">
        <f ca="1">IFERROR(__xludf.DUMMYFUNCTION("""COMPUTED_VALUE"""),"#VALUE!")</f>
        <v>#VALUE!</v>
      </c>
      <c r="CY759" t="str">
        <f ca="1">IFERROR(__xludf.DUMMYFUNCTION("""COMPUTED_VALUE"""),"#VALUE!")</f>
        <v>#VALUE!</v>
      </c>
      <c r="DC759" t="str">
        <f ca="1">IFERROR(__xludf.DUMMYFUNCTION("""COMPUTED_VALUE"""),"#VALUE!")</f>
        <v>#VALUE!</v>
      </c>
      <c r="DE759" t="str">
        <f ca="1">IFERROR(__xludf.DUMMYFUNCTION("""COMPUTED_VALUE"""),"#VALUE!")</f>
        <v>#VALUE!</v>
      </c>
    </row>
    <row r="760" spans="1:109" ht="13.2" x14ac:dyDescent="0.25">
      <c r="A760" t="str">
        <f ca="1">IFERROR(__xludf.DUMMYFUNCTION("""COMPUTED_VALUE"""),"P0769")</f>
        <v>P0769</v>
      </c>
      <c r="BC760" t="str">
        <f ca="1">IFERROR(__xludf.DUMMYFUNCTION("""COMPUTED_VALUE"""),"#VALUE!")</f>
        <v>#VALUE!</v>
      </c>
      <c r="BE760" t="str">
        <f ca="1">IFERROR(__xludf.DUMMYFUNCTION("""COMPUTED_VALUE"""),"#VALUE!")</f>
        <v>#VALUE!</v>
      </c>
      <c r="BG760" t="str">
        <f ca="1">IFERROR(__xludf.DUMMYFUNCTION("""COMPUTED_VALUE"""),"#VALUE!")</f>
        <v>#VALUE!</v>
      </c>
      <c r="BI760" t="str">
        <f ca="1">IFERROR(__xludf.DUMMYFUNCTION("""COMPUTED_VALUE"""),"#VALUE!")</f>
        <v>#VALUE!</v>
      </c>
      <c r="BK760" t="str">
        <f ca="1">IFERROR(__xludf.DUMMYFUNCTION("""COMPUTED_VALUE"""),"#VALUE!")</f>
        <v>#VALUE!</v>
      </c>
      <c r="BM760" t="str">
        <f ca="1">IFERROR(__xludf.DUMMYFUNCTION("""COMPUTED_VALUE"""),"#VALUE!")</f>
        <v>#VALUE!</v>
      </c>
      <c r="CS760" t="str">
        <f ca="1">IFERROR(__xludf.DUMMYFUNCTION("""COMPUTED_VALUE"""),"#VALUE!")</f>
        <v>#VALUE!</v>
      </c>
      <c r="CU760" t="str">
        <f ca="1">IFERROR(__xludf.DUMMYFUNCTION("""COMPUTED_VALUE"""),"#VALUE!")</f>
        <v>#VALUE!</v>
      </c>
      <c r="CW760" t="str">
        <f ca="1">IFERROR(__xludf.DUMMYFUNCTION("""COMPUTED_VALUE"""),"#VALUE!")</f>
        <v>#VALUE!</v>
      </c>
      <c r="CY760" t="str">
        <f ca="1">IFERROR(__xludf.DUMMYFUNCTION("""COMPUTED_VALUE"""),"#VALUE!")</f>
        <v>#VALUE!</v>
      </c>
      <c r="DC760" t="str">
        <f ca="1">IFERROR(__xludf.DUMMYFUNCTION("""COMPUTED_VALUE"""),"#VALUE!")</f>
        <v>#VALUE!</v>
      </c>
      <c r="DE760" t="str">
        <f ca="1">IFERROR(__xludf.DUMMYFUNCTION("""COMPUTED_VALUE"""),"#VALUE!")</f>
        <v>#VALUE!</v>
      </c>
    </row>
    <row r="761" spans="1:109" ht="13.2" x14ac:dyDescent="0.25">
      <c r="A761" t="str">
        <f ca="1">IFERROR(__xludf.DUMMYFUNCTION("""COMPUTED_VALUE"""),"P0770")</f>
        <v>P0770</v>
      </c>
      <c r="BC761" t="str">
        <f ca="1">IFERROR(__xludf.DUMMYFUNCTION("""COMPUTED_VALUE"""),"#VALUE!")</f>
        <v>#VALUE!</v>
      </c>
      <c r="BE761" t="str">
        <f ca="1">IFERROR(__xludf.DUMMYFUNCTION("""COMPUTED_VALUE"""),"#VALUE!")</f>
        <v>#VALUE!</v>
      </c>
      <c r="BG761" t="str">
        <f ca="1">IFERROR(__xludf.DUMMYFUNCTION("""COMPUTED_VALUE"""),"#VALUE!")</f>
        <v>#VALUE!</v>
      </c>
      <c r="BI761" t="str">
        <f ca="1">IFERROR(__xludf.DUMMYFUNCTION("""COMPUTED_VALUE"""),"#VALUE!")</f>
        <v>#VALUE!</v>
      </c>
      <c r="BK761" t="str">
        <f ca="1">IFERROR(__xludf.DUMMYFUNCTION("""COMPUTED_VALUE"""),"#VALUE!")</f>
        <v>#VALUE!</v>
      </c>
      <c r="BM761" t="str">
        <f ca="1">IFERROR(__xludf.DUMMYFUNCTION("""COMPUTED_VALUE"""),"#VALUE!")</f>
        <v>#VALUE!</v>
      </c>
      <c r="CS761" t="str">
        <f ca="1">IFERROR(__xludf.DUMMYFUNCTION("""COMPUTED_VALUE"""),"#VALUE!")</f>
        <v>#VALUE!</v>
      </c>
      <c r="CU761" t="str">
        <f ca="1">IFERROR(__xludf.DUMMYFUNCTION("""COMPUTED_VALUE"""),"#VALUE!")</f>
        <v>#VALUE!</v>
      </c>
      <c r="CW761" t="str">
        <f ca="1">IFERROR(__xludf.DUMMYFUNCTION("""COMPUTED_VALUE"""),"#VALUE!")</f>
        <v>#VALUE!</v>
      </c>
      <c r="CY761" t="str">
        <f ca="1">IFERROR(__xludf.DUMMYFUNCTION("""COMPUTED_VALUE"""),"#VALUE!")</f>
        <v>#VALUE!</v>
      </c>
      <c r="DC761" t="str">
        <f ca="1">IFERROR(__xludf.DUMMYFUNCTION("""COMPUTED_VALUE"""),"#VALUE!")</f>
        <v>#VALUE!</v>
      </c>
      <c r="DE761" t="str">
        <f ca="1">IFERROR(__xludf.DUMMYFUNCTION("""COMPUTED_VALUE"""),"#VALUE!")</f>
        <v>#VALUE!</v>
      </c>
    </row>
    <row r="762" spans="1:109" ht="13.2" x14ac:dyDescent="0.25">
      <c r="A762" t="str">
        <f ca="1">IFERROR(__xludf.DUMMYFUNCTION("""COMPUTED_VALUE"""),"P0771")</f>
        <v>P0771</v>
      </c>
      <c r="BC762" t="str">
        <f ca="1">IFERROR(__xludf.DUMMYFUNCTION("""COMPUTED_VALUE"""),"#VALUE!")</f>
        <v>#VALUE!</v>
      </c>
      <c r="BE762" t="str">
        <f ca="1">IFERROR(__xludf.DUMMYFUNCTION("""COMPUTED_VALUE"""),"#VALUE!")</f>
        <v>#VALUE!</v>
      </c>
      <c r="BG762" t="str">
        <f ca="1">IFERROR(__xludf.DUMMYFUNCTION("""COMPUTED_VALUE"""),"#VALUE!")</f>
        <v>#VALUE!</v>
      </c>
      <c r="BI762" t="str">
        <f ca="1">IFERROR(__xludf.DUMMYFUNCTION("""COMPUTED_VALUE"""),"#VALUE!")</f>
        <v>#VALUE!</v>
      </c>
      <c r="BK762" t="str">
        <f ca="1">IFERROR(__xludf.DUMMYFUNCTION("""COMPUTED_VALUE"""),"#VALUE!")</f>
        <v>#VALUE!</v>
      </c>
      <c r="BM762" t="str">
        <f ca="1">IFERROR(__xludf.DUMMYFUNCTION("""COMPUTED_VALUE"""),"#VALUE!")</f>
        <v>#VALUE!</v>
      </c>
      <c r="CS762" t="str">
        <f ca="1">IFERROR(__xludf.DUMMYFUNCTION("""COMPUTED_VALUE"""),"#VALUE!")</f>
        <v>#VALUE!</v>
      </c>
      <c r="CU762" t="str">
        <f ca="1">IFERROR(__xludf.DUMMYFUNCTION("""COMPUTED_VALUE"""),"#VALUE!")</f>
        <v>#VALUE!</v>
      </c>
      <c r="CW762" t="str">
        <f ca="1">IFERROR(__xludf.DUMMYFUNCTION("""COMPUTED_VALUE"""),"#VALUE!")</f>
        <v>#VALUE!</v>
      </c>
      <c r="CY762" t="str">
        <f ca="1">IFERROR(__xludf.DUMMYFUNCTION("""COMPUTED_VALUE"""),"#VALUE!")</f>
        <v>#VALUE!</v>
      </c>
      <c r="DC762" t="str">
        <f ca="1">IFERROR(__xludf.DUMMYFUNCTION("""COMPUTED_VALUE"""),"#VALUE!")</f>
        <v>#VALUE!</v>
      </c>
      <c r="DE762" t="str">
        <f ca="1">IFERROR(__xludf.DUMMYFUNCTION("""COMPUTED_VALUE"""),"#VALUE!")</f>
        <v>#VALUE!</v>
      </c>
    </row>
    <row r="763" spans="1:109" ht="13.2" x14ac:dyDescent="0.25">
      <c r="A763" t="str">
        <f ca="1">IFERROR(__xludf.DUMMYFUNCTION("""COMPUTED_VALUE"""),"P0772")</f>
        <v>P0772</v>
      </c>
      <c r="BC763" t="str">
        <f ca="1">IFERROR(__xludf.DUMMYFUNCTION("""COMPUTED_VALUE"""),"#VALUE!")</f>
        <v>#VALUE!</v>
      </c>
      <c r="BE763" t="str">
        <f ca="1">IFERROR(__xludf.DUMMYFUNCTION("""COMPUTED_VALUE"""),"#VALUE!")</f>
        <v>#VALUE!</v>
      </c>
      <c r="BG763" t="str">
        <f ca="1">IFERROR(__xludf.DUMMYFUNCTION("""COMPUTED_VALUE"""),"#VALUE!")</f>
        <v>#VALUE!</v>
      </c>
      <c r="BI763" t="str">
        <f ca="1">IFERROR(__xludf.DUMMYFUNCTION("""COMPUTED_VALUE"""),"#VALUE!")</f>
        <v>#VALUE!</v>
      </c>
      <c r="BK763" t="str">
        <f ca="1">IFERROR(__xludf.DUMMYFUNCTION("""COMPUTED_VALUE"""),"#VALUE!")</f>
        <v>#VALUE!</v>
      </c>
      <c r="BM763" t="str">
        <f ca="1">IFERROR(__xludf.DUMMYFUNCTION("""COMPUTED_VALUE"""),"#VALUE!")</f>
        <v>#VALUE!</v>
      </c>
      <c r="CS763" t="str">
        <f ca="1">IFERROR(__xludf.DUMMYFUNCTION("""COMPUTED_VALUE"""),"#VALUE!")</f>
        <v>#VALUE!</v>
      </c>
      <c r="CU763" t="str">
        <f ca="1">IFERROR(__xludf.DUMMYFUNCTION("""COMPUTED_VALUE"""),"#VALUE!")</f>
        <v>#VALUE!</v>
      </c>
      <c r="CW763" t="str">
        <f ca="1">IFERROR(__xludf.DUMMYFUNCTION("""COMPUTED_VALUE"""),"#VALUE!")</f>
        <v>#VALUE!</v>
      </c>
      <c r="CY763" t="str">
        <f ca="1">IFERROR(__xludf.DUMMYFUNCTION("""COMPUTED_VALUE"""),"#VALUE!")</f>
        <v>#VALUE!</v>
      </c>
      <c r="DC763" t="str">
        <f ca="1">IFERROR(__xludf.DUMMYFUNCTION("""COMPUTED_VALUE"""),"#VALUE!")</f>
        <v>#VALUE!</v>
      </c>
      <c r="DE763" t="str">
        <f ca="1">IFERROR(__xludf.DUMMYFUNCTION("""COMPUTED_VALUE"""),"#VALUE!")</f>
        <v>#VALUE!</v>
      </c>
    </row>
    <row r="764" spans="1:109" ht="13.2" x14ac:dyDescent="0.25">
      <c r="A764" t="str">
        <f ca="1">IFERROR(__xludf.DUMMYFUNCTION("""COMPUTED_VALUE"""),"P0773")</f>
        <v>P0773</v>
      </c>
      <c r="BC764" t="str">
        <f ca="1">IFERROR(__xludf.DUMMYFUNCTION("""COMPUTED_VALUE"""),"#VALUE!")</f>
        <v>#VALUE!</v>
      </c>
      <c r="BE764" t="str">
        <f ca="1">IFERROR(__xludf.DUMMYFUNCTION("""COMPUTED_VALUE"""),"#VALUE!")</f>
        <v>#VALUE!</v>
      </c>
      <c r="BG764" t="str">
        <f ca="1">IFERROR(__xludf.DUMMYFUNCTION("""COMPUTED_VALUE"""),"#VALUE!")</f>
        <v>#VALUE!</v>
      </c>
      <c r="BI764" t="str">
        <f ca="1">IFERROR(__xludf.DUMMYFUNCTION("""COMPUTED_VALUE"""),"#VALUE!")</f>
        <v>#VALUE!</v>
      </c>
      <c r="BK764" t="str">
        <f ca="1">IFERROR(__xludf.DUMMYFUNCTION("""COMPUTED_VALUE"""),"#VALUE!")</f>
        <v>#VALUE!</v>
      </c>
      <c r="BM764" t="str">
        <f ca="1">IFERROR(__xludf.DUMMYFUNCTION("""COMPUTED_VALUE"""),"#VALUE!")</f>
        <v>#VALUE!</v>
      </c>
      <c r="CS764" t="str">
        <f ca="1">IFERROR(__xludf.DUMMYFUNCTION("""COMPUTED_VALUE"""),"#VALUE!")</f>
        <v>#VALUE!</v>
      </c>
      <c r="CU764" t="str">
        <f ca="1">IFERROR(__xludf.DUMMYFUNCTION("""COMPUTED_VALUE"""),"#VALUE!")</f>
        <v>#VALUE!</v>
      </c>
      <c r="CW764" t="str">
        <f ca="1">IFERROR(__xludf.DUMMYFUNCTION("""COMPUTED_VALUE"""),"#VALUE!")</f>
        <v>#VALUE!</v>
      </c>
      <c r="CY764" t="str">
        <f ca="1">IFERROR(__xludf.DUMMYFUNCTION("""COMPUTED_VALUE"""),"#VALUE!")</f>
        <v>#VALUE!</v>
      </c>
      <c r="DC764" t="str">
        <f ca="1">IFERROR(__xludf.DUMMYFUNCTION("""COMPUTED_VALUE"""),"#VALUE!")</f>
        <v>#VALUE!</v>
      </c>
      <c r="DE764" t="str">
        <f ca="1">IFERROR(__xludf.DUMMYFUNCTION("""COMPUTED_VALUE"""),"#VALUE!")</f>
        <v>#VALUE!</v>
      </c>
    </row>
    <row r="765" spans="1:109" ht="13.2" x14ac:dyDescent="0.25">
      <c r="A765" t="str">
        <f ca="1">IFERROR(__xludf.DUMMYFUNCTION("""COMPUTED_VALUE"""),"P0774")</f>
        <v>P0774</v>
      </c>
      <c r="BC765" t="str">
        <f ca="1">IFERROR(__xludf.DUMMYFUNCTION("""COMPUTED_VALUE"""),"#VALUE!")</f>
        <v>#VALUE!</v>
      </c>
      <c r="BE765" t="str">
        <f ca="1">IFERROR(__xludf.DUMMYFUNCTION("""COMPUTED_VALUE"""),"#VALUE!")</f>
        <v>#VALUE!</v>
      </c>
      <c r="BG765" t="str">
        <f ca="1">IFERROR(__xludf.DUMMYFUNCTION("""COMPUTED_VALUE"""),"#VALUE!")</f>
        <v>#VALUE!</v>
      </c>
      <c r="BI765" t="str">
        <f ca="1">IFERROR(__xludf.DUMMYFUNCTION("""COMPUTED_VALUE"""),"#VALUE!")</f>
        <v>#VALUE!</v>
      </c>
      <c r="BK765" t="str">
        <f ca="1">IFERROR(__xludf.DUMMYFUNCTION("""COMPUTED_VALUE"""),"#VALUE!")</f>
        <v>#VALUE!</v>
      </c>
      <c r="BM765" t="str">
        <f ca="1">IFERROR(__xludf.DUMMYFUNCTION("""COMPUTED_VALUE"""),"#VALUE!")</f>
        <v>#VALUE!</v>
      </c>
      <c r="CS765" t="str">
        <f ca="1">IFERROR(__xludf.DUMMYFUNCTION("""COMPUTED_VALUE"""),"#VALUE!")</f>
        <v>#VALUE!</v>
      </c>
      <c r="CU765" t="str">
        <f ca="1">IFERROR(__xludf.DUMMYFUNCTION("""COMPUTED_VALUE"""),"#VALUE!")</f>
        <v>#VALUE!</v>
      </c>
      <c r="CW765" t="str">
        <f ca="1">IFERROR(__xludf.DUMMYFUNCTION("""COMPUTED_VALUE"""),"#VALUE!")</f>
        <v>#VALUE!</v>
      </c>
      <c r="CY765" t="str">
        <f ca="1">IFERROR(__xludf.DUMMYFUNCTION("""COMPUTED_VALUE"""),"#VALUE!")</f>
        <v>#VALUE!</v>
      </c>
      <c r="DC765" t="str">
        <f ca="1">IFERROR(__xludf.DUMMYFUNCTION("""COMPUTED_VALUE"""),"#VALUE!")</f>
        <v>#VALUE!</v>
      </c>
      <c r="DE765" t="str">
        <f ca="1">IFERROR(__xludf.DUMMYFUNCTION("""COMPUTED_VALUE"""),"#VALUE!")</f>
        <v>#VALUE!</v>
      </c>
    </row>
    <row r="766" spans="1:109" ht="13.2" x14ac:dyDescent="0.25">
      <c r="A766" t="str">
        <f ca="1">IFERROR(__xludf.DUMMYFUNCTION("""COMPUTED_VALUE"""),"P0775")</f>
        <v>P0775</v>
      </c>
      <c r="BC766" t="str">
        <f ca="1">IFERROR(__xludf.DUMMYFUNCTION("""COMPUTED_VALUE"""),"#VALUE!")</f>
        <v>#VALUE!</v>
      </c>
      <c r="BE766" t="str">
        <f ca="1">IFERROR(__xludf.DUMMYFUNCTION("""COMPUTED_VALUE"""),"#VALUE!")</f>
        <v>#VALUE!</v>
      </c>
      <c r="BG766" t="str">
        <f ca="1">IFERROR(__xludf.DUMMYFUNCTION("""COMPUTED_VALUE"""),"#VALUE!")</f>
        <v>#VALUE!</v>
      </c>
      <c r="BI766" t="str">
        <f ca="1">IFERROR(__xludf.DUMMYFUNCTION("""COMPUTED_VALUE"""),"#VALUE!")</f>
        <v>#VALUE!</v>
      </c>
      <c r="BK766" t="str">
        <f ca="1">IFERROR(__xludf.DUMMYFUNCTION("""COMPUTED_VALUE"""),"#VALUE!")</f>
        <v>#VALUE!</v>
      </c>
      <c r="BM766" t="str">
        <f ca="1">IFERROR(__xludf.DUMMYFUNCTION("""COMPUTED_VALUE"""),"#VALUE!")</f>
        <v>#VALUE!</v>
      </c>
      <c r="CS766" t="str">
        <f ca="1">IFERROR(__xludf.DUMMYFUNCTION("""COMPUTED_VALUE"""),"#VALUE!")</f>
        <v>#VALUE!</v>
      </c>
      <c r="CU766" t="str">
        <f ca="1">IFERROR(__xludf.DUMMYFUNCTION("""COMPUTED_VALUE"""),"#VALUE!")</f>
        <v>#VALUE!</v>
      </c>
      <c r="CW766" t="str">
        <f ca="1">IFERROR(__xludf.DUMMYFUNCTION("""COMPUTED_VALUE"""),"#VALUE!")</f>
        <v>#VALUE!</v>
      </c>
      <c r="CY766" t="str">
        <f ca="1">IFERROR(__xludf.DUMMYFUNCTION("""COMPUTED_VALUE"""),"#VALUE!")</f>
        <v>#VALUE!</v>
      </c>
      <c r="DC766" t="str">
        <f ca="1">IFERROR(__xludf.DUMMYFUNCTION("""COMPUTED_VALUE"""),"#VALUE!")</f>
        <v>#VALUE!</v>
      </c>
      <c r="DE766" t="str">
        <f ca="1">IFERROR(__xludf.DUMMYFUNCTION("""COMPUTED_VALUE"""),"#VALUE!")</f>
        <v>#VALUE!</v>
      </c>
    </row>
    <row r="767" spans="1:109" ht="13.2" x14ac:dyDescent="0.25">
      <c r="A767" t="str">
        <f ca="1">IFERROR(__xludf.DUMMYFUNCTION("""COMPUTED_VALUE"""),"P0776")</f>
        <v>P0776</v>
      </c>
      <c r="BC767" t="str">
        <f ca="1">IFERROR(__xludf.DUMMYFUNCTION("""COMPUTED_VALUE"""),"#VALUE!")</f>
        <v>#VALUE!</v>
      </c>
      <c r="BE767" t="str">
        <f ca="1">IFERROR(__xludf.DUMMYFUNCTION("""COMPUTED_VALUE"""),"#VALUE!")</f>
        <v>#VALUE!</v>
      </c>
      <c r="BG767" t="str">
        <f ca="1">IFERROR(__xludf.DUMMYFUNCTION("""COMPUTED_VALUE"""),"#VALUE!")</f>
        <v>#VALUE!</v>
      </c>
      <c r="BI767" t="str">
        <f ca="1">IFERROR(__xludf.DUMMYFUNCTION("""COMPUTED_VALUE"""),"#VALUE!")</f>
        <v>#VALUE!</v>
      </c>
      <c r="BK767" t="str">
        <f ca="1">IFERROR(__xludf.DUMMYFUNCTION("""COMPUTED_VALUE"""),"#VALUE!")</f>
        <v>#VALUE!</v>
      </c>
      <c r="BM767" t="str">
        <f ca="1">IFERROR(__xludf.DUMMYFUNCTION("""COMPUTED_VALUE"""),"#VALUE!")</f>
        <v>#VALUE!</v>
      </c>
      <c r="CS767" t="str">
        <f ca="1">IFERROR(__xludf.DUMMYFUNCTION("""COMPUTED_VALUE"""),"#VALUE!")</f>
        <v>#VALUE!</v>
      </c>
      <c r="CU767" t="str">
        <f ca="1">IFERROR(__xludf.DUMMYFUNCTION("""COMPUTED_VALUE"""),"#VALUE!")</f>
        <v>#VALUE!</v>
      </c>
      <c r="CW767" t="str">
        <f ca="1">IFERROR(__xludf.DUMMYFUNCTION("""COMPUTED_VALUE"""),"#VALUE!")</f>
        <v>#VALUE!</v>
      </c>
      <c r="CY767" t="str">
        <f ca="1">IFERROR(__xludf.DUMMYFUNCTION("""COMPUTED_VALUE"""),"#VALUE!")</f>
        <v>#VALUE!</v>
      </c>
      <c r="DC767" t="str">
        <f ca="1">IFERROR(__xludf.DUMMYFUNCTION("""COMPUTED_VALUE"""),"#VALUE!")</f>
        <v>#VALUE!</v>
      </c>
      <c r="DE767" t="str">
        <f ca="1">IFERROR(__xludf.DUMMYFUNCTION("""COMPUTED_VALUE"""),"#VALUE!")</f>
        <v>#VALUE!</v>
      </c>
    </row>
    <row r="768" spans="1:109" ht="13.2" x14ac:dyDescent="0.25">
      <c r="A768" t="str">
        <f ca="1">IFERROR(__xludf.DUMMYFUNCTION("""COMPUTED_VALUE"""),"P0777")</f>
        <v>P0777</v>
      </c>
      <c r="BC768" t="str">
        <f ca="1">IFERROR(__xludf.DUMMYFUNCTION("""COMPUTED_VALUE"""),"#VALUE!")</f>
        <v>#VALUE!</v>
      </c>
      <c r="BE768" t="str">
        <f ca="1">IFERROR(__xludf.DUMMYFUNCTION("""COMPUTED_VALUE"""),"#VALUE!")</f>
        <v>#VALUE!</v>
      </c>
      <c r="BG768" t="str">
        <f ca="1">IFERROR(__xludf.DUMMYFUNCTION("""COMPUTED_VALUE"""),"#VALUE!")</f>
        <v>#VALUE!</v>
      </c>
      <c r="BI768" t="str">
        <f ca="1">IFERROR(__xludf.DUMMYFUNCTION("""COMPUTED_VALUE"""),"#VALUE!")</f>
        <v>#VALUE!</v>
      </c>
      <c r="BK768" t="str">
        <f ca="1">IFERROR(__xludf.DUMMYFUNCTION("""COMPUTED_VALUE"""),"#VALUE!")</f>
        <v>#VALUE!</v>
      </c>
      <c r="BM768" t="str">
        <f ca="1">IFERROR(__xludf.DUMMYFUNCTION("""COMPUTED_VALUE"""),"#VALUE!")</f>
        <v>#VALUE!</v>
      </c>
      <c r="CS768" t="str">
        <f ca="1">IFERROR(__xludf.DUMMYFUNCTION("""COMPUTED_VALUE"""),"#VALUE!")</f>
        <v>#VALUE!</v>
      </c>
      <c r="CU768" t="str">
        <f ca="1">IFERROR(__xludf.DUMMYFUNCTION("""COMPUTED_VALUE"""),"#VALUE!")</f>
        <v>#VALUE!</v>
      </c>
      <c r="CW768" t="str">
        <f ca="1">IFERROR(__xludf.DUMMYFUNCTION("""COMPUTED_VALUE"""),"#VALUE!")</f>
        <v>#VALUE!</v>
      </c>
      <c r="CY768" t="str">
        <f ca="1">IFERROR(__xludf.DUMMYFUNCTION("""COMPUTED_VALUE"""),"#VALUE!")</f>
        <v>#VALUE!</v>
      </c>
      <c r="DC768" t="str">
        <f ca="1">IFERROR(__xludf.DUMMYFUNCTION("""COMPUTED_VALUE"""),"#VALUE!")</f>
        <v>#VALUE!</v>
      </c>
      <c r="DE768" t="str">
        <f ca="1">IFERROR(__xludf.DUMMYFUNCTION("""COMPUTED_VALUE"""),"#VALUE!")</f>
        <v>#VALUE!</v>
      </c>
    </row>
    <row r="769" spans="1:109" ht="13.2" x14ac:dyDescent="0.25">
      <c r="A769" t="str">
        <f ca="1">IFERROR(__xludf.DUMMYFUNCTION("""COMPUTED_VALUE"""),"P0778")</f>
        <v>P0778</v>
      </c>
      <c r="BC769" t="str">
        <f ca="1">IFERROR(__xludf.DUMMYFUNCTION("""COMPUTED_VALUE"""),"#VALUE!")</f>
        <v>#VALUE!</v>
      </c>
      <c r="BE769" t="str">
        <f ca="1">IFERROR(__xludf.DUMMYFUNCTION("""COMPUTED_VALUE"""),"#VALUE!")</f>
        <v>#VALUE!</v>
      </c>
      <c r="BG769" t="str">
        <f ca="1">IFERROR(__xludf.DUMMYFUNCTION("""COMPUTED_VALUE"""),"#VALUE!")</f>
        <v>#VALUE!</v>
      </c>
      <c r="BI769" t="str">
        <f ca="1">IFERROR(__xludf.DUMMYFUNCTION("""COMPUTED_VALUE"""),"#VALUE!")</f>
        <v>#VALUE!</v>
      </c>
      <c r="BK769" t="str">
        <f ca="1">IFERROR(__xludf.DUMMYFUNCTION("""COMPUTED_VALUE"""),"#VALUE!")</f>
        <v>#VALUE!</v>
      </c>
      <c r="BM769" t="str">
        <f ca="1">IFERROR(__xludf.DUMMYFUNCTION("""COMPUTED_VALUE"""),"#VALUE!")</f>
        <v>#VALUE!</v>
      </c>
      <c r="CS769" t="str">
        <f ca="1">IFERROR(__xludf.DUMMYFUNCTION("""COMPUTED_VALUE"""),"#VALUE!")</f>
        <v>#VALUE!</v>
      </c>
      <c r="CU769" t="str">
        <f ca="1">IFERROR(__xludf.DUMMYFUNCTION("""COMPUTED_VALUE"""),"#VALUE!")</f>
        <v>#VALUE!</v>
      </c>
      <c r="CW769" t="str">
        <f ca="1">IFERROR(__xludf.DUMMYFUNCTION("""COMPUTED_VALUE"""),"#VALUE!")</f>
        <v>#VALUE!</v>
      </c>
      <c r="CY769" t="str">
        <f ca="1">IFERROR(__xludf.DUMMYFUNCTION("""COMPUTED_VALUE"""),"#VALUE!")</f>
        <v>#VALUE!</v>
      </c>
      <c r="DC769" t="str">
        <f ca="1">IFERROR(__xludf.DUMMYFUNCTION("""COMPUTED_VALUE"""),"#VALUE!")</f>
        <v>#VALUE!</v>
      </c>
      <c r="DE769" t="str">
        <f ca="1">IFERROR(__xludf.DUMMYFUNCTION("""COMPUTED_VALUE"""),"#VALUE!")</f>
        <v>#VALUE!</v>
      </c>
    </row>
    <row r="770" spans="1:109" ht="13.2" x14ac:dyDescent="0.25">
      <c r="A770" t="str">
        <f ca="1">IFERROR(__xludf.DUMMYFUNCTION("""COMPUTED_VALUE"""),"P0779")</f>
        <v>P0779</v>
      </c>
      <c r="BC770" t="str">
        <f ca="1">IFERROR(__xludf.DUMMYFUNCTION("""COMPUTED_VALUE"""),"#VALUE!")</f>
        <v>#VALUE!</v>
      </c>
      <c r="BE770" t="str">
        <f ca="1">IFERROR(__xludf.DUMMYFUNCTION("""COMPUTED_VALUE"""),"#VALUE!")</f>
        <v>#VALUE!</v>
      </c>
      <c r="BG770" t="str">
        <f ca="1">IFERROR(__xludf.DUMMYFUNCTION("""COMPUTED_VALUE"""),"#VALUE!")</f>
        <v>#VALUE!</v>
      </c>
      <c r="BI770" t="str">
        <f ca="1">IFERROR(__xludf.DUMMYFUNCTION("""COMPUTED_VALUE"""),"#VALUE!")</f>
        <v>#VALUE!</v>
      </c>
      <c r="BK770" t="str">
        <f ca="1">IFERROR(__xludf.DUMMYFUNCTION("""COMPUTED_VALUE"""),"#VALUE!")</f>
        <v>#VALUE!</v>
      </c>
      <c r="BM770" t="str">
        <f ca="1">IFERROR(__xludf.DUMMYFUNCTION("""COMPUTED_VALUE"""),"#VALUE!")</f>
        <v>#VALUE!</v>
      </c>
      <c r="CS770" t="str">
        <f ca="1">IFERROR(__xludf.DUMMYFUNCTION("""COMPUTED_VALUE"""),"#VALUE!")</f>
        <v>#VALUE!</v>
      </c>
      <c r="CU770" t="str">
        <f ca="1">IFERROR(__xludf.DUMMYFUNCTION("""COMPUTED_VALUE"""),"#VALUE!")</f>
        <v>#VALUE!</v>
      </c>
      <c r="CW770" t="str">
        <f ca="1">IFERROR(__xludf.DUMMYFUNCTION("""COMPUTED_VALUE"""),"#VALUE!")</f>
        <v>#VALUE!</v>
      </c>
      <c r="CY770" t="str">
        <f ca="1">IFERROR(__xludf.DUMMYFUNCTION("""COMPUTED_VALUE"""),"#VALUE!")</f>
        <v>#VALUE!</v>
      </c>
      <c r="DC770" t="str">
        <f ca="1">IFERROR(__xludf.DUMMYFUNCTION("""COMPUTED_VALUE"""),"#VALUE!")</f>
        <v>#VALUE!</v>
      </c>
      <c r="DE770" t="str">
        <f ca="1">IFERROR(__xludf.DUMMYFUNCTION("""COMPUTED_VALUE"""),"#VALUE!")</f>
        <v>#VALUE!</v>
      </c>
    </row>
    <row r="771" spans="1:109" ht="13.2" x14ac:dyDescent="0.25">
      <c r="A771" t="str">
        <f ca="1">IFERROR(__xludf.DUMMYFUNCTION("""COMPUTED_VALUE"""),"P0780")</f>
        <v>P0780</v>
      </c>
      <c r="BC771" t="str">
        <f ca="1">IFERROR(__xludf.DUMMYFUNCTION("""COMPUTED_VALUE"""),"#VALUE!")</f>
        <v>#VALUE!</v>
      </c>
      <c r="BE771" t="str">
        <f ca="1">IFERROR(__xludf.DUMMYFUNCTION("""COMPUTED_VALUE"""),"#VALUE!")</f>
        <v>#VALUE!</v>
      </c>
      <c r="BG771" t="str">
        <f ca="1">IFERROR(__xludf.DUMMYFUNCTION("""COMPUTED_VALUE"""),"#VALUE!")</f>
        <v>#VALUE!</v>
      </c>
      <c r="BI771" t="str">
        <f ca="1">IFERROR(__xludf.DUMMYFUNCTION("""COMPUTED_VALUE"""),"#VALUE!")</f>
        <v>#VALUE!</v>
      </c>
      <c r="BK771" t="str">
        <f ca="1">IFERROR(__xludf.DUMMYFUNCTION("""COMPUTED_VALUE"""),"#VALUE!")</f>
        <v>#VALUE!</v>
      </c>
      <c r="BM771" t="str">
        <f ca="1">IFERROR(__xludf.DUMMYFUNCTION("""COMPUTED_VALUE"""),"#VALUE!")</f>
        <v>#VALUE!</v>
      </c>
      <c r="CS771" t="str">
        <f ca="1">IFERROR(__xludf.DUMMYFUNCTION("""COMPUTED_VALUE"""),"#VALUE!")</f>
        <v>#VALUE!</v>
      </c>
      <c r="CU771" t="str">
        <f ca="1">IFERROR(__xludf.DUMMYFUNCTION("""COMPUTED_VALUE"""),"#VALUE!")</f>
        <v>#VALUE!</v>
      </c>
      <c r="CW771" t="str">
        <f ca="1">IFERROR(__xludf.DUMMYFUNCTION("""COMPUTED_VALUE"""),"#VALUE!")</f>
        <v>#VALUE!</v>
      </c>
      <c r="CY771" t="str">
        <f ca="1">IFERROR(__xludf.DUMMYFUNCTION("""COMPUTED_VALUE"""),"#VALUE!")</f>
        <v>#VALUE!</v>
      </c>
      <c r="DC771" t="str">
        <f ca="1">IFERROR(__xludf.DUMMYFUNCTION("""COMPUTED_VALUE"""),"#VALUE!")</f>
        <v>#VALUE!</v>
      </c>
      <c r="DE771" t="str">
        <f ca="1">IFERROR(__xludf.DUMMYFUNCTION("""COMPUTED_VALUE"""),"#VALUE!")</f>
        <v>#VALUE!</v>
      </c>
    </row>
    <row r="772" spans="1:109" ht="13.2" x14ac:dyDescent="0.25">
      <c r="A772" t="str">
        <f ca="1">IFERROR(__xludf.DUMMYFUNCTION("""COMPUTED_VALUE"""),"P0781")</f>
        <v>P0781</v>
      </c>
      <c r="BC772" t="str">
        <f ca="1">IFERROR(__xludf.DUMMYFUNCTION("""COMPUTED_VALUE"""),"#VALUE!")</f>
        <v>#VALUE!</v>
      </c>
      <c r="BE772" t="str">
        <f ca="1">IFERROR(__xludf.DUMMYFUNCTION("""COMPUTED_VALUE"""),"#VALUE!")</f>
        <v>#VALUE!</v>
      </c>
      <c r="BG772" t="str">
        <f ca="1">IFERROR(__xludf.DUMMYFUNCTION("""COMPUTED_VALUE"""),"#VALUE!")</f>
        <v>#VALUE!</v>
      </c>
      <c r="BI772" t="str">
        <f ca="1">IFERROR(__xludf.DUMMYFUNCTION("""COMPUTED_VALUE"""),"#VALUE!")</f>
        <v>#VALUE!</v>
      </c>
      <c r="BK772" t="str">
        <f ca="1">IFERROR(__xludf.DUMMYFUNCTION("""COMPUTED_VALUE"""),"#VALUE!")</f>
        <v>#VALUE!</v>
      </c>
      <c r="BM772" t="str">
        <f ca="1">IFERROR(__xludf.DUMMYFUNCTION("""COMPUTED_VALUE"""),"#VALUE!")</f>
        <v>#VALUE!</v>
      </c>
      <c r="CS772" t="str">
        <f ca="1">IFERROR(__xludf.DUMMYFUNCTION("""COMPUTED_VALUE"""),"#VALUE!")</f>
        <v>#VALUE!</v>
      </c>
      <c r="CU772" t="str">
        <f ca="1">IFERROR(__xludf.DUMMYFUNCTION("""COMPUTED_VALUE"""),"#VALUE!")</f>
        <v>#VALUE!</v>
      </c>
      <c r="CW772" t="str">
        <f ca="1">IFERROR(__xludf.DUMMYFUNCTION("""COMPUTED_VALUE"""),"#VALUE!")</f>
        <v>#VALUE!</v>
      </c>
      <c r="CY772" t="str">
        <f ca="1">IFERROR(__xludf.DUMMYFUNCTION("""COMPUTED_VALUE"""),"#VALUE!")</f>
        <v>#VALUE!</v>
      </c>
      <c r="DC772" t="str">
        <f ca="1">IFERROR(__xludf.DUMMYFUNCTION("""COMPUTED_VALUE"""),"#VALUE!")</f>
        <v>#VALUE!</v>
      </c>
      <c r="DE772" t="str">
        <f ca="1">IFERROR(__xludf.DUMMYFUNCTION("""COMPUTED_VALUE"""),"#VALUE!")</f>
        <v>#VALUE!</v>
      </c>
    </row>
    <row r="773" spans="1:109" ht="13.2" x14ac:dyDescent="0.25">
      <c r="A773" t="str">
        <f ca="1">IFERROR(__xludf.DUMMYFUNCTION("""COMPUTED_VALUE"""),"P0782")</f>
        <v>P0782</v>
      </c>
      <c r="BC773" t="str">
        <f ca="1">IFERROR(__xludf.DUMMYFUNCTION("""COMPUTED_VALUE"""),"#VALUE!")</f>
        <v>#VALUE!</v>
      </c>
      <c r="BE773" t="str">
        <f ca="1">IFERROR(__xludf.DUMMYFUNCTION("""COMPUTED_VALUE"""),"#VALUE!")</f>
        <v>#VALUE!</v>
      </c>
      <c r="BG773" t="str">
        <f ca="1">IFERROR(__xludf.DUMMYFUNCTION("""COMPUTED_VALUE"""),"#VALUE!")</f>
        <v>#VALUE!</v>
      </c>
      <c r="BI773" t="str">
        <f ca="1">IFERROR(__xludf.DUMMYFUNCTION("""COMPUTED_VALUE"""),"#VALUE!")</f>
        <v>#VALUE!</v>
      </c>
      <c r="BK773" t="str">
        <f ca="1">IFERROR(__xludf.DUMMYFUNCTION("""COMPUTED_VALUE"""),"#VALUE!")</f>
        <v>#VALUE!</v>
      </c>
      <c r="BM773" t="str">
        <f ca="1">IFERROR(__xludf.DUMMYFUNCTION("""COMPUTED_VALUE"""),"#VALUE!")</f>
        <v>#VALUE!</v>
      </c>
      <c r="CS773" t="str">
        <f ca="1">IFERROR(__xludf.DUMMYFUNCTION("""COMPUTED_VALUE"""),"#VALUE!")</f>
        <v>#VALUE!</v>
      </c>
      <c r="CU773" t="str">
        <f ca="1">IFERROR(__xludf.DUMMYFUNCTION("""COMPUTED_VALUE"""),"#VALUE!")</f>
        <v>#VALUE!</v>
      </c>
      <c r="CW773" t="str">
        <f ca="1">IFERROR(__xludf.DUMMYFUNCTION("""COMPUTED_VALUE"""),"#VALUE!")</f>
        <v>#VALUE!</v>
      </c>
      <c r="CY773" t="str">
        <f ca="1">IFERROR(__xludf.DUMMYFUNCTION("""COMPUTED_VALUE"""),"#VALUE!")</f>
        <v>#VALUE!</v>
      </c>
      <c r="DC773" t="str">
        <f ca="1">IFERROR(__xludf.DUMMYFUNCTION("""COMPUTED_VALUE"""),"#VALUE!")</f>
        <v>#VALUE!</v>
      </c>
      <c r="DE773" t="str">
        <f ca="1">IFERROR(__xludf.DUMMYFUNCTION("""COMPUTED_VALUE"""),"#VALUE!")</f>
        <v>#VALUE!</v>
      </c>
    </row>
    <row r="774" spans="1:109" ht="13.2" x14ac:dyDescent="0.25">
      <c r="A774" t="str">
        <f ca="1">IFERROR(__xludf.DUMMYFUNCTION("""COMPUTED_VALUE"""),"P0783")</f>
        <v>P0783</v>
      </c>
      <c r="BC774" t="str">
        <f ca="1">IFERROR(__xludf.DUMMYFUNCTION("""COMPUTED_VALUE"""),"#VALUE!")</f>
        <v>#VALUE!</v>
      </c>
      <c r="BE774" t="str">
        <f ca="1">IFERROR(__xludf.DUMMYFUNCTION("""COMPUTED_VALUE"""),"#VALUE!")</f>
        <v>#VALUE!</v>
      </c>
      <c r="BG774" t="str">
        <f ca="1">IFERROR(__xludf.DUMMYFUNCTION("""COMPUTED_VALUE"""),"#VALUE!")</f>
        <v>#VALUE!</v>
      </c>
      <c r="BI774" t="str">
        <f ca="1">IFERROR(__xludf.DUMMYFUNCTION("""COMPUTED_VALUE"""),"#VALUE!")</f>
        <v>#VALUE!</v>
      </c>
      <c r="BK774" t="str">
        <f ca="1">IFERROR(__xludf.DUMMYFUNCTION("""COMPUTED_VALUE"""),"#VALUE!")</f>
        <v>#VALUE!</v>
      </c>
      <c r="BM774" t="str">
        <f ca="1">IFERROR(__xludf.DUMMYFUNCTION("""COMPUTED_VALUE"""),"#VALUE!")</f>
        <v>#VALUE!</v>
      </c>
      <c r="CS774" t="str">
        <f ca="1">IFERROR(__xludf.DUMMYFUNCTION("""COMPUTED_VALUE"""),"#VALUE!")</f>
        <v>#VALUE!</v>
      </c>
      <c r="CU774" t="str">
        <f ca="1">IFERROR(__xludf.DUMMYFUNCTION("""COMPUTED_VALUE"""),"#VALUE!")</f>
        <v>#VALUE!</v>
      </c>
      <c r="CW774" t="str">
        <f ca="1">IFERROR(__xludf.DUMMYFUNCTION("""COMPUTED_VALUE"""),"#VALUE!")</f>
        <v>#VALUE!</v>
      </c>
      <c r="CY774" t="str">
        <f ca="1">IFERROR(__xludf.DUMMYFUNCTION("""COMPUTED_VALUE"""),"#VALUE!")</f>
        <v>#VALUE!</v>
      </c>
      <c r="DC774" t="str">
        <f ca="1">IFERROR(__xludf.DUMMYFUNCTION("""COMPUTED_VALUE"""),"#VALUE!")</f>
        <v>#VALUE!</v>
      </c>
      <c r="DE774" t="str">
        <f ca="1">IFERROR(__xludf.DUMMYFUNCTION("""COMPUTED_VALUE"""),"#VALUE!")</f>
        <v>#VALUE!</v>
      </c>
    </row>
    <row r="775" spans="1:109" ht="13.2" x14ac:dyDescent="0.25">
      <c r="A775" t="str">
        <f ca="1">IFERROR(__xludf.DUMMYFUNCTION("""COMPUTED_VALUE"""),"P0784")</f>
        <v>P0784</v>
      </c>
      <c r="BC775" t="str">
        <f ca="1">IFERROR(__xludf.DUMMYFUNCTION("""COMPUTED_VALUE"""),"#VALUE!")</f>
        <v>#VALUE!</v>
      </c>
      <c r="BE775" t="str">
        <f ca="1">IFERROR(__xludf.DUMMYFUNCTION("""COMPUTED_VALUE"""),"#VALUE!")</f>
        <v>#VALUE!</v>
      </c>
      <c r="BG775" t="str">
        <f ca="1">IFERROR(__xludf.DUMMYFUNCTION("""COMPUTED_VALUE"""),"#VALUE!")</f>
        <v>#VALUE!</v>
      </c>
      <c r="BI775" t="str">
        <f ca="1">IFERROR(__xludf.DUMMYFUNCTION("""COMPUTED_VALUE"""),"#VALUE!")</f>
        <v>#VALUE!</v>
      </c>
      <c r="BK775" t="str">
        <f ca="1">IFERROR(__xludf.DUMMYFUNCTION("""COMPUTED_VALUE"""),"#VALUE!")</f>
        <v>#VALUE!</v>
      </c>
      <c r="BM775" t="str">
        <f ca="1">IFERROR(__xludf.DUMMYFUNCTION("""COMPUTED_VALUE"""),"#VALUE!")</f>
        <v>#VALUE!</v>
      </c>
      <c r="CS775" t="str">
        <f ca="1">IFERROR(__xludf.DUMMYFUNCTION("""COMPUTED_VALUE"""),"#VALUE!")</f>
        <v>#VALUE!</v>
      </c>
      <c r="CU775" t="str">
        <f ca="1">IFERROR(__xludf.DUMMYFUNCTION("""COMPUTED_VALUE"""),"#VALUE!")</f>
        <v>#VALUE!</v>
      </c>
      <c r="CW775" t="str">
        <f ca="1">IFERROR(__xludf.DUMMYFUNCTION("""COMPUTED_VALUE"""),"#VALUE!")</f>
        <v>#VALUE!</v>
      </c>
      <c r="CY775" t="str">
        <f ca="1">IFERROR(__xludf.DUMMYFUNCTION("""COMPUTED_VALUE"""),"#VALUE!")</f>
        <v>#VALUE!</v>
      </c>
      <c r="DC775" t="str">
        <f ca="1">IFERROR(__xludf.DUMMYFUNCTION("""COMPUTED_VALUE"""),"#VALUE!")</f>
        <v>#VALUE!</v>
      </c>
      <c r="DE775" t="str">
        <f ca="1">IFERROR(__xludf.DUMMYFUNCTION("""COMPUTED_VALUE"""),"#VALUE!")</f>
        <v>#VALUE!</v>
      </c>
    </row>
    <row r="776" spans="1:109" ht="13.2" x14ac:dyDescent="0.25">
      <c r="A776" t="str">
        <f ca="1">IFERROR(__xludf.DUMMYFUNCTION("""COMPUTED_VALUE"""),"P0785")</f>
        <v>P0785</v>
      </c>
      <c r="BC776" t="str">
        <f ca="1">IFERROR(__xludf.DUMMYFUNCTION("""COMPUTED_VALUE"""),"#VALUE!")</f>
        <v>#VALUE!</v>
      </c>
      <c r="BE776" t="str">
        <f ca="1">IFERROR(__xludf.DUMMYFUNCTION("""COMPUTED_VALUE"""),"#VALUE!")</f>
        <v>#VALUE!</v>
      </c>
      <c r="BG776" t="str">
        <f ca="1">IFERROR(__xludf.DUMMYFUNCTION("""COMPUTED_VALUE"""),"#VALUE!")</f>
        <v>#VALUE!</v>
      </c>
      <c r="BI776" t="str">
        <f ca="1">IFERROR(__xludf.DUMMYFUNCTION("""COMPUTED_VALUE"""),"#VALUE!")</f>
        <v>#VALUE!</v>
      </c>
      <c r="BK776" t="str">
        <f ca="1">IFERROR(__xludf.DUMMYFUNCTION("""COMPUTED_VALUE"""),"#VALUE!")</f>
        <v>#VALUE!</v>
      </c>
      <c r="BM776" t="str">
        <f ca="1">IFERROR(__xludf.DUMMYFUNCTION("""COMPUTED_VALUE"""),"#VALUE!")</f>
        <v>#VALUE!</v>
      </c>
      <c r="CS776" t="str">
        <f ca="1">IFERROR(__xludf.DUMMYFUNCTION("""COMPUTED_VALUE"""),"#VALUE!")</f>
        <v>#VALUE!</v>
      </c>
      <c r="CU776" t="str">
        <f ca="1">IFERROR(__xludf.DUMMYFUNCTION("""COMPUTED_VALUE"""),"#VALUE!")</f>
        <v>#VALUE!</v>
      </c>
      <c r="CW776" t="str">
        <f ca="1">IFERROR(__xludf.DUMMYFUNCTION("""COMPUTED_VALUE"""),"#VALUE!")</f>
        <v>#VALUE!</v>
      </c>
      <c r="CY776" t="str">
        <f ca="1">IFERROR(__xludf.DUMMYFUNCTION("""COMPUTED_VALUE"""),"#VALUE!")</f>
        <v>#VALUE!</v>
      </c>
      <c r="DC776" t="str">
        <f ca="1">IFERROR(__xludf.DUMMYFUNCTION("""COMPUTED_VALUE"""),"#VALUE!")</f>
        <v>#VALUE!</v>
      </c>
      <c r="DE776" t="str">
        <f ca="1">IFERROR(__xludf.DUMMYFUNCTION("""COMPUTED_VALUE"""),"#VALUE!")</f>
        <v>#VALUE!</v>
      </c>
    </row>
    <row r="777" spans="1:109" ht="13.2" x14ac:dyDescent="0.25">
      <c r="A777" t="str">
        <f ca="1">IFERROR(__xludf.DUMMYFUNCTION("""COMPUTED_VALUE"""),"P0786")</f>
        <v>P0786</v>
      </c>
      <c r="BC777" t="str">
        <f ca="1">IFERROR(__xludf.DUMMYFUNCTION("""COMPUTED_VALUE"""),"#VALUE!")</f>
        <v>#VALUE!</v>
      </c>
      <c r="BE777" t="str">
        <f ca="1">IFERROR(__xludf.DUMMYFUNCTION("""COMPUTED_VALUE"""),"#VALUE!")</f>
        <v>#VALUE!</v>
      </c>
      <c r="BG777" t="str">
        <f ca="1">IFERROR(__xludf.DUMMYFUNCTION("""COMPUTED_VALUE"""),"#VALUE!")</f>
        <v>#VALUE!</v>
      </c>
      <c r="BI777" t="str">
        <f ca="1">IFERROR(__xludf.DUMMYFUNCTION("""COMPUTED_VALUE"""),"#VALUE!")</f>
        <v>#VALUE!</v>
      </c>
      <c r="BK777" t="str">
        <f ca="1">IFERROR(__xludf.DUMMYFUNCTION("""COMPUTED_VALUE"""),"#VALUE!")</f>
        <v>#VALUE!</v>
      </c>
      <c r="BM777" t="str">
        <f ca="1">IFERROR(__xludf.DUMMYFUNCTION("""COMPUTED_VALUE"""),"#VALUE!")</f>
        <v>#VALUE!</v>
      </c>
      <c r="CS777" t="str">
        <f ca="1">IFERROR(__xludf.DUMMYFUNCTION("""COMPUTED_VALUE"""),"#VALUE!")</f>
        <v>#VALUE!</v>
      </c>
      <c r="CU777" t="str">
        <f ca="1">IFERROR(__xludf.DUMMYFUNCTION("""COMPUTED_VALUE"""),"#VALUE!")</f>
        <v>#VALUE!</v>
      </c>
      <c r="CW777" t="str">
        <f ca="1">IFERROR(__xludf.DUMMYFUNCTION("""COMPUTED_VALUE"""),"#VALUE!")</f>
        <v>#VALUE!</v>
      </c>
      <c r="CY777" t="str">
        <f ca="1">IFERROR(__xludf.DUMMYFUNCTION("""COMPUTED_VALUE"""),"#VALUE!")</f>
        <v>#VALUE!</v>
      </c>
      <c r="DC777" t="str">
        <f ca="1">IFERROR(__xludf.DUMMYFUNCTION("""COMPUTED_VALUE"""),"#VALUE!")</f>
        <v>#VALUE!</v>
      </c>
      <c r="DE777" t="str">
        <f ca="1">IFERROR(__xludf.DUMMYFUNCTION("""COMPUTED_VALUE"""),"#VALUE!")</f>
        <v>#VALUE!</v>
      </c>
    </row>
    <row r="778" spans="1:109" ht="13.2" x14ac:dyDescent="0.25">
      <c r="A778" t="str">
        <f ca="1">IFERROR(__xludf.DUMMYFUNCTION("""COMPUTED_VALUE"""),"P0787")</f>
        <v>P0787</v>
      </c>
      <c r="BC778" t="str">
        <f ca="1">IFERROR(__xludf.DUMMYFUNCTION("""COMPUTED_VALUE"""),"#VALUE!")</f>
        <v>#VALUE!</v>
      </c>
      <c r="BE778" t="str">
        <f ca="1">IFERROR(__xludf.DUMMYFUNCTION("""COMPUTED_VALUE"""),"#VALUE!")</f>
        <v>#VALUE!</v>
      </c>
      <c r="BG778" t="str">
        <f ca="1">IFERROR(__xludf.DUMMYFUNCTION("""COMPUTED_VALUE"""),"#VALUE!")</f>
        <v>#VALUE!</v>
      </c>
      <c r="BI778" t="str">
        <f ca="1">IFERROR(__xludf.DUMMYFUNCTION("""COMPUTED_VALUE"""),"#VALUE!")</f>
        <v>#VALUE!</v>
      </c>
      <c r="BK778" t="str">
        <f ca="1">IFERROR(__xludf.DUMMYFUNCTION("""COMPUTED_VALUE"""),"#VALUE!")</f>
        <v>#VALUE!</v>
      </c>
      <c r="BM778" t="str">
        <f ca="1">IFERROR(__xludf.DUMMYFUNCTION("""COMPUTED_VALUE"""),"#VALUE!")</f>
        <v>#VALUE!</v>
      </c>
      <c r="CS778" t="str">
        <f ca="1">IFERROR(__xludf.DUMMYFUNCTION("""COMPUTED_VALUE"""),"#VALUE!")</f>
        <v>#VALUE!</v>
      </c>
      <c r="CU778" t="str">
        <f ca="1">IFERROR(__xludf.DUMMYFUNCTION("""COMPUTED_VALUE"""),"#VALUE!")</f>
        <v>#VALUE!</v>
      </c>
      <c r="CW778" t="str">
        <f ca="1">IFERROR(__xludf.DUMMYFUNCTION("""COMPUTED_VALUE"""),"#VALUE!")</f>
        <v>#VALUE!</v>
      </c>
      <c r="CY778" t="str">
        <f ca="1">IFERROR(__xludf.DUMMYFUNCTION("""COMPUTED_VALUE"""),"#VALUE!")</f>
        <v>#VALUE!</v>
      </c>
      <c r="DC778" t="str">
        <f ca="1">IFERROR(__xludf.DUMMYFUNCTION("""COMPUTED_VALUE"""),"#VALUE!")</f>
        <v>#VALUE!</v>
      </c>
      <c r="DE778" t="str">
        <f ca="1">IFERROR(__xludf.DUMMYFUNCTION("""COMPUTED_VALUE"""),"#VALUE!")</f>
        <v>#VALUE!</v>
      </c>
    </row>
    <row r="779" spans="1:109" ht="13.2" x14ac:dyDescent="0.25">
      <c r="A779" t="str">
        <f ca="1">IFERROR(__xludf.DUMMYFUNCTION("""COMPUTED_VALUE"""),"P0788")</f>
        <v>P0788</v>
      </c>
      <c r="BC779" t="str">
        <f ca="1">IFERROR(__xludf.DUMMYFUNCTION("""COMPUTED_VALUE"""),"#VALUE!")</f>
        <v>#VALUE!</v>
      </c>
      <c r="BE779" t="str">
        <f ca="1">IFERROR(__xludf.DUMMYFUNCTION("""COMPUTED_VALUE"""),"#VALUE!")</f>
        <v>#VALUE!</v>
      </c>
      <c r="BG779" t="str">
        <f ca="1">IFERROR(__xludf.DUMMYFUNCTION("""COMPUTED_VALUE"""),"#VALUE!")</f>
        <v>#VALUE!</v>
      </c>
      <c r="BI779" t="str">
        <f ca="1">IFERROR(__xludf.DUMMYFUNCTION("""COMPUTED_VALUE"""),"#VALUE!")</f>
        <v>#VALUE!</v>
      </c>
      <c r="BK779" t="str">
        <f ca="1">IFERROR(__xludf.DUMMYFUNCTION("""COMPUTED_VALUE"""),"#VALUE!")</f>
        <v>#VALUE!</v>
      </c>
      <c r="BM779" t="str">
        <f ca="1">IFERROR(__xludf.DUMMYFUNCTION("""COMPUTED_VALUE"""),"#VALUE!")</f>
        <v>#VALUE!</v>
      </c>
      <c r="CS779" t="str">
        <f ca="1">IFERROR(__xludf.DUMMYFUNCTION("""COMPUTED_VALUE"""),"#VALUE!")</f>
        <v>#VALUE!</v>
      </c>
      <c r="CU779" t="str">
        <f ca="1">IFERROR(__xludf.DUMMYFUNCTION("""COMPUTED_VALUE"""),"#VALUE!")</f>
        <v>#VALUE!</v>
      </c>
      <c r="CW779" t="str">
        <f ca="1">IFERROR(__xludf.DUMMYFUNCTION("""COMPUTED_VALUE"""),"#VALUE!")</f>
        <v>#VALUE!</v>
      </c>
      <c r="CY779" t="str">
        <f ca="1">IFERROR(__xludf.DUMMYFUNCTION("""COMPUTED_VALUE"""),"#VALUE!")</f>
        <v>#VALUE!</v>
      </c>
      <c r="DC779" t="str">
        <f ca="1">IFERROR(__xludf.DUMMYFUNCTION("""COMPUTED_VALUE"""),"#VALUE!")</f>
        <v>#VALUE!</v>
      </c>
      <c r="DE779" t="str">
        <f ca="1">IFERROR(__xludf.DUMMYFUNCTION("""COMPUTED_VALUE"""),"#VALUE!")</f>
        <v>#VALUE!</v>
      </c>
    </row>
    <row r="780" spans="1:109" ht="13.2" x14ac:dyDescent="0.25">
      <c r="A780" t="str">
        <f ca="1">IFERROR(__xludf.DUMMYFUNCTION("""COMPUTED_VALUE"""),"P0789")</f>
        <v>P0789</v>
      </c>
      <c r="BC780" t="str">
        <f ca="1">IFERROR(__xludf.DUMMYFUNCTION("""COMPUTED_VALUE"""),"#VALUE!")</f>
        <v>#VALUE!</v>
      </c>
      <c r="BE780" t="str">
        <f ca="1">IFERROR(__xludf.DUMMYFUNCTION("""COMPUTED_VALUE"""),"#VALUE!")</f>
        <v>#VALUE!</v>
      </c>
      <c r="BG780" t="str">
        <f ca="1">IFERROR(__xludf.DUMMYFUNCTION("""COMPUTED_VALUE"""),"#VALUE!")</f>
        <v>#VALUE!</v>
      </c>
      <c r="BI780" t="str">
        <f ca="1">IFERROR(__xludf.DUMMYFUNCTION("""COMPUTED_VALUE"""),"#VALUE!")</f>
        <v>#VALUE!</v>
      </c>
      <c r="BK780" t="str">
        <f ca="1">IFERROR(__xludf.DUMMYFUNCTION("""COMPUTED_VALUE"""),"#VALUE!")</f>
        <v>#VALUE!</v>
      </c>
      <c r="BM780" t="str">
        <f ca="1">IFERROR(__xludf.DUMMYFUNCTION("""COMPUTED_VALUE"""),"#VALUE!")</f>
        <v>#VALUE!</v>
      </c>
      <c r="CS780" t="str">
        <f ca="1">IFERROR(__xludf.DUMMYFUNCTION("""COMPUTED_VALUE"""),"#VALUE!")</f>
        <v>#VALUE!</v>
      </c>
      <c r="CU780" t="str">
        <f ca="1">IFERROR(__xludf.DUMMYFUNCTION("""COMPUTED_VALUE"""),"#VALUE!")</f>
        <v>#VALUE!</v>
      </c>
      <c r="CW780" t="str">
        <f ca="1">IFERROR(__xludf.DUMMYFUNCTION("""COMPUTED_VALUE"""),"#VALUE!")</f>
        <v>#VALUE!</v>
      </c>
      <c r="CY780" t="str">
        <f ca="1">IFERROR(__xludf.DUMMYFUNCTION("""COMPUTED_VALUE"""),"#VALUE!")</f>
        <v>#VALUE!</v>
      </c>
      <c r="DC780" t="str">
        <f ca="1">IFERROR(__xludf.DUMMYFUNCTION("""COMPUTED_VALUE"""),"#VALUE!")</f>
        <v>#VALUE!</v>
      </c>
      <c r="DE780" t="str">
        <f ca="1">IFERROR(__xludf.DUMMYFUNCTION("""COMPUTED_VALUE"""),"#VALUE!")</f>
        <v>#VALUE!</v>
      </c>
    </row>
    <row r="781" spans="1:109" ht="13.2" x14ac:dyDescent="0.25">
      <c r="A781" t="str">
        <f ca="1">IFERROR(__xludf.DUMMYFUNCTION("""COMPUTED_VALUE"""),"P0790")</f>
        <v>P0790</v>
      </c>
      <c r="BC781" t="str">
        <f ca="1">IFERROR(__xludf.DUMMYFUNCTION("""COMPUTED_VALUE"""),"#VALUE!")</f>
        <v>#VALUE!</v>
      </c>
      <c r="BE781" t="str">
        <f ca="1">IFERROR(__xludf.DUMMYFUNCTION("""COMPUTED_VALUE"""),"#VALUE!")</f>
        <v>#VALUE!</v>
      </c>
      <c r="BG781" t="str">
        <f ca="1">IFERROR(__xludf.DUMMYFUNCTION("""COMPUTED_VALUE"""),"#VALUE!")</f>
        <v>#VALUE!</v>
      </c>
      <c r="BI781" t="str">
        <f ca="1">IFERROR(__xludf.DUMMYFUNCTION("""COMPUTED_VALUE"""),"#VALUE!")</f>
        <v>#VALUE!</v>
      </c>
      <c r="BK781" t="str">
        <f ca="1">IFERROR(__xludf.DUMMYFUNCTION("""COMPUTED_VALUE"""),"#VALUE!")</f>
        <v>#VALUE!</v>
      </c>
      <c r="BM781" t="str">
        <f ca="1">IFERROR(__xludf.DUMMYFUNCTION("""COMPUTED_VALUE"""),"#VALUE!")</f>
        <v>#VALUE!</v>
      </c>
      <c r="CS781" t="str">
        <f ca="1">IFERROR(__xludf.DUMMYFUNCTION("""COMPUTED_VALUE"""),"#VALUE!")</f>
        <v>#VALUE!</v>
      </c>
      <c r="CU781" t="str">
        <f ca="1">IFERROR(__xludf.DUMMYFUNCTION("""COMPUTED_VALUE"""),"#VALUE!")</f>
        <v>#VALUE!</v>
      </c>
      <c r="CW781" t="str">
        <f ca="1">IFERROR(__xludf.DUMMYFUNCTION("""COMPUTED_VALUE"""),"#VALUE!")</f>
        <v>#VALUE!</v>
      </c>
      <c r="CY781" t="str">
        <f ca="1">IFERROR(__xludf.DUMMYFUNCTION("""COMPUTED_VALUE"""),"#VALUE!")</f>
        <v>#VALUE!</v>
      </c>
      <c r="DC781" t="str">
        <f ca="1">IFERROR(__xludf.DUMMYFUNCTION("""COMPUTED_VALUE"""),"#VALUE!")</f>
        <v>#VALUE!</v>
      </c>
      <c r="DE781" t="str">
        <f ca="1">IFERROR(__xludf.DUMMYFUNCTION("""COMPUTED_VALUE"""),"#VALUE!")</f>
        <v>#VALUE!</v>
      </c>
    </row>
    <row r="782" spans="1:109" ht="13.2" x14ac:dyDescent="0.25">
      <c r="A782" t="str">
        <f ca="1">IFERROR(__xludf.DUMMYFUNCTION("""COMPUTED_VALUE"""),"P0791")</f>
        <v>P0791</v>
      </c>
      <c r="BC782" t="str">
        <f ca="1">IFERROR(__xludf.DUMMYFUNCTION("""COMPUTED_VALUE"""),"#VALUE!")</f>
        <v>#VALUE!</v>
      </c>
      <c r="BE782" t="str">
        <f ca="1">IFERROR(__xludf.DUMMYFUNCTION("""COMPUTED_VALUE"""),"#VALUE!")</f>
        <v>#VALUE!</v>
      </c>
      <c r="BG782" t="str">
        <f ca="1">IFERROR(__xludf.DUMMYFUNCTION("""COMPUTED_VALUE"""),"#VALUE!")</f>
        <v>#VALUE!</v>
      </c>
      <c r="BI782" t="str">
        <f ca="1">IFERROR(__xludf.DUMMYFUNCTION("""COMPUTED_VALUE"""),"#VALUE!")</f>
        <v>#VALUE!</v>
      </c>
      <c r="BK782" t="str">
        <f ca="1">IFERROR(__xludf.DUMMYFUNCTION("""COMPUTED_VALUE"""),"#VALUE!")</f>
        <v>#VALUE!</v>
      </c>
      <c r="BM782" t="str">
        <f ca="1">IFERROR(__xludf.DUMMYFUNCTION("""COMPUTED_VALUE"""),"#VALUE!")</f>
        <v>#VALUE!</v>
      </c>
      <c r="CS782" t="str">
        <f ca="1">IFERROR(__xludf.DUMMYFUNCTION("""COMPUTED_VALUE"""),"#VALUE!")</f>
        <v>#VALUE!</v>
      </c>
      <c r="CU782" t="str">
        <f ca="1">IFERROR(__xludf.DUMMYFUNCTION("""COMPUTED_VALUE"""),"#VALUE!")</f>
        <v>#VALUE!</v>
      </c>
      <c r="CW782" t="str">
        <f ca="1">IFERROR(__xludf.DUMMYFUNCTION("""COMPUTED_VALUE"""),"#VALUE!")</f>
        <v>#VALUE!</v>
      </c>
      <c r="CY782" t="str">
        <f ca="1">IFERROR(__xludf.DUMMYFUNCTION("""COMPUTED_VALUE"""),"#VALUE!")</f>
        <v>#VALUE!</v>
      </c>
      <c r="DC782" t="str">
        <f ca="1">IFERROR(__xludf.DUMMYFUNCTION("""COMPUTED_VALUE"""),"#VALUE!")</f>
        <v>#VALUE!</v>
      </c>
      <c r="DE782" t="str">
        <f ca="1">IFERROR(__xludf.DUMMYFUNCTION("""COMPUTED_VALUE"""),"#VALUE!")</f>
        <v>#VALUE!</v>
      </c>
    </row>
    <row r="783" spans="1:109" ht="13.2" x14ac:dyDescent="0.25">
      <c r="A783" t="str">
        <f ca="1">IFERROR(__xludf.DUMMYFUNCTION("""COMPUTED_VALUE"""),"P0792")</f>
        <v>P0792</v>
      </c>
      <c r="BC783" t="str">
        <f ca="1">IFERROR(__xludf.DUMMYFUNCTION("""COMPUTED_VALUE"""),"#VALUE!")</f>
        <v>#VALUE!</v>
      </c>
      <c r="BE783" t="str">
        <f ca="1">IFERROR(__xludf.DUMMYFUNCTION("""COMPUTED_VALUE"""),"#VALUE!")</f>
        <v>#VALUE!</v>
      </c>
      <c r="BG783" t="str">
        <f ca="1">IFERROR(__xludf.DUMMYFUNCTION("""COMPUTED_VALUE"""),"#VALUE!")</f>
        <v>#VALUE!</v>
      </c>
      <c r="BI783" t="str">
        <f ca="1">IFERROR(__xludf.DUMMYFUNCTION("""COMPUTED_VALUE"""),"#VALUE!")</f>
        <v>#VALUE!</v>
      </c>
      <c r="BK783" t="str">
        <f ca="1">IFERROR(__xludf.DUMMYFUNCTION("""COMPUTED_VALUE"""),"#VALUE!")</f>
        <v>#VALUE!</v>
      </c>
      <c r="BM783" t="str">
        <f ca="1">IFERROR(__xludf.DUMMYFUNCTION("""COMPUTED_VALUE"""),"#VALUE!")</f>
        <v>#VALUE!</v>
      </c>
      <c r="CS783" t="str">
        <f ca="1">IFERROR(__xludf.DUMMYFUNCTION("""COMPUTED_VALUE"""),"#VALUE!")</f>
        <v>#VALUE!</v>
      </c>
      <c r="CU783" t="str">
        <f ca="1">IFERROR(__xludf.DUMMYFUNCTION("""COMPUTED_VALUE"""),"#VALUE!")</f>
        <v>#VALUE!</v>
      </c>
      <c r="CW783" t="str">
        <f ca="1">IFERROR(__xludf.DUMMYFUNCTION("""COMPUTED_VALUE"""),"#VALUE!")</f>
        <v>#VALUE!</v>
      </c>
      <c r="CY783" t="str">
        <f ca="1">IFERROR(__xludf.DUMMYFUNCTION("""COMPUTED_VALUE"""),"#VALUE!")</f>
        <v>#VALUE!</v>
      </c>
      <c r="DC783" t="str">
        <f ca="1">IFERROR(__xludf.DUMMYFUNCTION("""COMPUTED_VALUE"""),"#VALUE!")</f>
        <v>#VALUE!</v>
      </c>
      <c r="DE783" t="str">
        <f ca="1">IFERROR(__xludf.DUMMYFUNCTION("""COMPUTED_VALUE"""),"#VALUE!")</f>
        <v>#VALUE!</v>
      </c>
    </row>
    <row r="784" spans="1:109" ht="13.2" x14ac:dyDescent="0.25">
      <c r="A784" t="str">
        <f ca="1">IFERROR(__xludf.DUMMYFUNCTION("""COMPUTED_VALUE"""),"P0793")</f>
        <v>P0793</v>
      </c>
      <c r="BC784" t="str">
        <f ca="1">IFERROR(__xludf.DUMMYFUNCTION("""COMPUTED_VALUE"""),"#VALUE!")</f>
        <v>#VALUE!</v>
      </c>
      <c r="BE784" t="str">
        <f ca="1">IFERROR(__xludf.DUMMYFUNCTION("""COMPUTED_VALUE"""),"#VALUE!")</f>
        <v>#VALUE!</v>
      </c>
      <c r="BG784" t="str">
        <f ca="1">IFERROR(__xludf.DUMMYFUNCTION("""COMPUTED_VALUE"""),"#VALUE!")</f>
        <v>#VALUE!</v>
      </c>
      <c r="BI784" t="str">
        <f ca="1">IFERROR(__xludf.DUMMYFUNCTION("""COMPUTED_VALUE"""),"#VALUE!")</f>
        <v>#VALUE!</v>
      </c>
      <c r="BK784" t="str">
        <f ca="1">IFERROR(__xludf.DUMMYFUNCTION("""COMPUTED_VALUE"""),"#VALUE!")</f>
        <v>#VALUE!</v>
      </c>
      <c r="BM784" t="str">
        <f ca="1">IFERROR(__xludf.DUMMYFUNCTION("""COMPUTED_VALUE"""),"#VALUE!")</f>
        <v>#VALUE!</v>
      </c>
      <c r="CS784" t="str">
        <f ca="1">IFERROR(__xludf.DUMMYFUNCTION("""COMPUTED_VALUE"""),"#VALUE!")</f>
        <v>#VALUE!</v>
      </c>
      <c r="CU784" t="str">
        <f ca="1">IFERROR(__xludf.DUMMYFUNCTION("""COMPUTED_VALUE"""),"#VALUE!")</f>
        <v>#VALUE!</v>
      </c>
      <c r="CW784" t="str">
        <f ca="1">IFERROR(__xludf.DUMMYFUNCTION("""COMPUTED_VALUE"""),"#VALUE!")</f>
        <v>#VALUE!</v>
      </c>
      <c r="CY784" t="str">
        <f ca="1">IFERROR(__xludf.DUMMYFUNCTION("""COMPUTED_VALUE"""),"#VALUE!")</f>
        <v>#VALUE!</v>
      </c>
      <c r="DC784" t="str">
        <f ca="1">IFERROR(__xludf.DUMMYFUNCTION("""COMPUTED_VALUE"""),"#VALUE!")</f>
        <v>#VALUE!</v>
      </c>
      <c r="DE784" t="str">
        <f ca="1">IFERROR(__xludf.DUMMYFUNCTION("""COMPUTED_VALUE"""),"#VALUE!")</f>
        <v>#VALUE!</v>
      </c>
    </row>
    <row r="785" spans="1:109" ht="13.2" x14ac:dyDescent="0.25">
      <c r="A785" t="str">
        <f ca="1">IFERROR(__xludf.DUMMYFUNCTION("""COMPUTED_VALUE"""),"P0794")</f>
        <v>P0794</v>
      </c>
      <c r="BC785" t="str">
        <f ca="1">IFERROR(__xludf.DUMMYFUNCTION("""COMPUTED_VALUE"""),"#VALUE!")</f>
        <v>#VALUE!</v>
      </c>
      <c r="BE785" t="str">
        <f ca="1">IFERROR(__xludf.DUMMYFUNCTION("""COMPUTED_VALUE"""),"#VALUE!")</f>
        <v>#VALUE!</v>
      </c>
      <c r="BG785" t="str">
        <f ca="1">IFERROR(__xludf.DUMMYFUNCTION("""COMPUTED_VALUE"""),"#VALUE!")</f>
        <v>#VALUE!</v>
      </c>
      <c r="BI785" t="str">
        <f ca="1">IFERROR(__xludf.DUMMYFUNCTION("""COMPUTED_VALUE"""),"#VALUE!")</f>
        <v>#VALUE!</v>
      </c>
      <c r="BK785" t="str">
        <f ca="1">IFERROR(__xludf.DUMMYFUNCTION("""COMPUTED_VALUE"""),"#VALUE!")</f>
        <v>#VALUE!</v>
      </c>
      <c r="BM785" t="str">
        <f ca="1">IFERROR(__xludf.DUMMYFUNCTION("""COMPUTED_VALUE"""),"#VALUE!")</f>
        <v>#VALUE!</v>
      </c>
      <c r="CS785" t="str">
        <f ca="1">IFERROR(__xludf.DUMMYFUNCTION("""COMPUTED_VALUE"""),"#VALUE!")</f>
        <v>#VALUE!</v>
      </c>
      <c r="CU785" t="str">
        <f ca="1">IFERROR(__xludf.DUMMYFUNCTION("""COMPUTED_VALUE"""),"#VALUE!")</f>
        <v>#VALUE!</v>
      </c>
      <c r="CW785" t="str">
        <f ca="1">IFERROR(__xludf.DUMMYFUNCTION("""COMPUTED_VALUE"""),"#VALUE!")</f>
        <v>#VALUE!</v>
      </c>
      <c r="CY785" t="str">
        <f ca="1">IFERROR(__xludf.DUMMYFUNCTION("""COMPUTED_VALUE"""),"#VALUE!")</f>
        <v>#VALUE!</v>
      </c>
      <c r="DC785" t="str">
        <f ca="1">IFERROR(__xludf.DUMMYFUNCTION("""COMPUTED_VALUE"""),"#VALUE!")</f>
        <v>#VALUE!</v>
      </c>
      <c r="DE785" t="str">
        <f ca="1">IFERROR(__xludf.DUMMYFUNCTION("""COMPUTED_VALUE"""),"#VALUE!")</f>
        <v>#VALUE!</v>
      </c>
    </row>
    <row r="786" spans="1:109" ht="13.2" x14ac:dyDescent="0.25">
      <c r="A786" t="str">
        <f ca="1">IFERROR(__xludf.DUMMYFUNCTION("""COMPUTED_VALUE"""),"P0795")</f>
        <v>P0795</v>
      </c>
      <c r="BC786" t="str">
        <f ca="1">IFERROR(__xludf.DUMMYFUNCTION("""COMPUTED_VALUE"""),"#VALUE!")</f>
        <v>#VALUE!</v>
      </c>
      <c r="BE786" t="str">
        <f ca="1">IFERROR(__xludf.DUMMYFUNCTION("""COMPUTED_VALUE"""),"#VALUE!")</f>
        <v>#VALUE!</v>
      </c>
      <c r="BG786" t="str">
        <f ca="1">IFERROR(__xludf.DUMMYFUNCTION("""COMPUTED_VALUE"""),"#VALUE!")</f>
        <v>#VALUE!</v>
      </c>
      <c r="BI786" t="str">
        <f ca="1">IFERROR(__xludf.DUMMYFUNCTION("""COMPUTED_VALUE"""),"#VALUE!")</f>
        <v>#VALUE!</v>
      </c>
      <c r="BK786" t="str">
        <f ca="1">IFERROR(__xludf.DUMMYFUNCTION("""COMPUTED_VALUE"""),"#VALUE!")</f>
        <v>#VALUE!</v>
      </c>
      <c r="BM786" t="str">
        <f ca="1">IFERROR(__xludf.DUMMYFUNCTION("""COMPUTED_VALUE"""),"#VALUE!")</f>
        <v>#VALUE!</v>
      </c>
      <c r="CS786" t="str">
        <f ca="1">IFERROR(__xludf.DUMMYFUNCTION("""COMPUTED_VALUE"""),"#VALUE!")</f>
        <v>#VALUE!</v>
      </c>
      <c r="CU786" t="str">
        <f ca="1">IFERROR(__xludf.DUMMYFUNCTION("""COMPUTED_VALUE"""),"#VALUE!")</f>
        <v>#VALUE!</v>
      </c>
      <c r="CW786" t="str">
        <f ca="1">IFERROR(__xludf.DUMMYFUNCTION("""COMPUTED_VALUE"""),"#VALUE!")</f>
        <v>#VALUE!</v>
      </c>
      <c r="CY786" t="str">
        <f ca="1">IFERROR(__xludf.DUMMYFUNCTION("""COMPUTED_VALUE"""),"#VALUE!")</f>
        <v>#VALUE!</v>
      </c>
      <c r="DC786" t="str">
        <f ca="1">IFERROR(__xludf.DUMMYFUNCTION("""COMPUTED_VALUE"""),"#VALUE!")</f>
        <v>#VALUE!</v>
      </c>
      <c r="DE786" t="str">
        <f ca="1">IFERROR(__xludf.DUMMYFUNCTION("""COMPUTED_VALUE"""),"#VALUE!")</f>
        <v>#VALUE!</v>
      </c>
    </row>
    <row r="787" spans="1:109" ht="13.2" x14ac:dyDescent="0.25">
      <c r="A787" t="str">
        <f ca="1">IFERROR(__xludf.DUMMYFUNCTION("""COMPUTED_VALUE"""),"P0796")</f>
        <v>P0796</v>
      </c>
      <c r="BC787" t="str">
        <f ca="1">IFERROR(__xludf.DUMMYFUNCTION("""COMPUTED_VALUE"""),"#VALUE!")</f>
        <v>#VALUE!</v>
      </c>
      <c r="BE787" t="str">
        <f ca="1">IFERROR(__xludf.DUMMYFUNCTION("""COMPUTED_VALUE"""),"#VALUE!")</f>
        <v>#VALUE!</v>
      </c>
      <c r="BG787" t="str">
        <f ca="1">IFERROR(__xludf.DUMMYFUNCTION("""COMPUTED_VALUE"""),"#VALUE!")</f>
        <v>#VALUE!</v>
      </c>
      <c r="BI787" t="str">
        <f ca="1">IFERROR(__xludf.DUMMYFUNCTION("""COMPUTED_VALUE"""),"#VALUE!")</f>
        <v>#VALUE!</v>
      </c>
      <c r="BK787" t="str">
        <f ca="1">IFERROR(__xludf.DUMMYFUNCTION("""COMPUTED_VALUE"""),"#VALUE!")</f>
        <v>#VALUE!</v>
      </c>
      <c r="BM787" t="str">
        <f ca="1">IFERROR(__xludf.DUMMYFUNCTION("""COMPUTED_VALUE"""),"#VALUE!")</f>
        <v>#VALUE!</v>
      </c>
      <c r="CS787" t="str">
        <f ca="1">IFERROR(__xludf.DUMMYFUNCTION("""COMPUTED_VALUE"""),"#VALUE!")</f>
        <v>#VALUE!</v>
      </c>
      <c r="CU787" t="str">
        <f ca="1">IFERROR(__xludf.DUMMYFUNCTION("""COMPUTED_VALUE"""),"#VALUE!")</f>
        <v>#VALUE!</v>
      </c>
      <c r="CW787" t="str">
        <f ca="1">IFERROR(__xludf.DUMMYFUNCTION("""COMPUTED_VALUE"""),"#VALUE!")</f>
        <v>#VALUE!</v>
      </c>
      <c r="CY787" t="str">
        <f ca="1">IFERROR(__xludf.DUMMYFUNCTION("""COMPUTED_VALUE"""),"#VALUE!")</f>
        <v>#VALUE!</v>
      </c>
      <c r="DC787" t="str">
        <f ca="1">IFERROR(__xludf.DUMMYFUNCTION("""COMPUTED_VALUE"""),"#VALUE!")</f>
        <v>#VALUE!</v>
      </c>
      <c r="DE787" t="str">
        <f ca="1">IFERROR(__xludf.DUMMYFUNCTION("""COMPUTED_VALUE"""),"#VALUE!")</f>
        <v>#VALUE!</v>
      </c>
    </row>
    <row r="788" spans="1:109" ht="13.2" x14ac:dyDescent="0.25">
      <c r="A788" t="str">
        <f ca="1">IFERROR(__xludf.DUMMYFUNCTION("""COMPUTED_VALUE"""),"P0797")</f>
        <v>P0797</v>
      </c>
      <c r="BC788" t="str">
        <f ca="1">IFERROR(__xludf.DUMMYFUNCTION("""COMPUTED_VALUE"""),"#VALUE!")</f>
        <v>#VALUE!</v>
      </c>
      <c r="BE788" t="str">
        <f ca="1">IFERROR(__xludf.DUMMYFUNCTION("""COMPUTED_VALUE"""),"#VALUE!")</f>
        <v>#VALUE!</v>
      </c>
      <c r="BG788" t="str">
        <f ca="1">IFERROR(__xludf.DUMMYFUNCTION("""COMPUTED_VALUE"""),"#VALUE!")</f>
        <v>#VALUE!</v>
      </c>
      <c r="BI788" t="str">
        <f ca="1">IFERROR(__xludf.DUMMYFUNCTION("""COMPUTED_VALUE"""),"#VALUE!")</f>
        <v>#VALUE!</v>
      </c>
      <c r="BK788" t="str">
        <f ca="1">IFERROR(__xludf.DUMMYFUNCTION("""COMPUTED_VALUE"""),"#VALUE!")</f>
        <v>#VALUE!</v>
      </c>
      <c r="BM788" t="str">
        <f ca="1">IFERROR(__xludf.DUMMYFUNCTION("""COMPUTED_VALUE"""),"#VALUE!")</f>
        <v>#VALUE!</v>
      </c>
      <c r="CS788" t="str">
        <f ca="1">IFERROR(__xludf.DUMMYFUNCTION("""COMPUTED_VALUE"""),"#VALUE!")</f>
        <v>#VALUE!</v>
      </c>
      <c r="CU788" t="str">
        <f ca="1">IFERROR(__xludf.DUMMYFUNCTION("""COMPUTED_VALUE"""),"#VALUE!")</f>
        <v>#VALUE!</v>
      </c>
      <c r="CW788" t="str">
        <f ca="1">IFERROR(__xludf.DUMMYFUNCTION("""COMPUTED_VALUE"""),"#VALUE!")</f>
        <v>#VALUE!</v>
      </c>
      <c r="CY788" t="str">
        <f ca="1">IFERROR(__xludf.DUMMYFUNCTION("""COMPUTED_VALUE"""),"#VALUE!")</f>
        <v>#VALUE!</v>
      </c>
      <c r="DC788" t="str">
        <f ca="1">IFERROR(__xludf.DUMMYFUNCTION("""COMPUTED_VALUE"""),"#VALUE!")</f>
        <v>#VALUE!</v>
      </c>
      <c r="DE788" t="str">
        <f ca="1">IFERROR(__xludf.DUMMYFUNCTION("""COMPUTED_VALUE"""),"#VALUE!")</f>
        <v>#VALUE!</v>
      </c>
    </row>
    <row r="789" spans="1:109" ht="13.2" x14ac:dyDescent="0.25">
      <c r="A789" t="str">
        <f ca="1">IFERROR(__xludf.DUMMYFUNCTION("""COMPUTED_VALUE"""),"P0798")</f>
        <v>P0798</v>
      </c>
      <c r="BC789" t="str">
        <f ca="1">IFERROR(__xludf.DUMMYFUNCTION("""COMPUTED_VALUE"""),"#VALUE!")</f>
        <v>#VALUE!</v>
      </c>
      <c r="BE789" t="str">
        <f ca="1">IFERROR(__xludf.DUMMYFUNCTION("""COMPUTED_VALUE"""),"#VALUE!")</f>
        <v>#VALUE!</v>
      </c>
      <c r="BG789" t="str">
        <f ca="1">IFERROR(__xludf.DUMMYFUNCTION("""COMPUTED_VALUE"""),"#VALUE!")</f>
        <v>#VALUE!</v>
      </c>
      <c r="BI789" t="str">
        <f ca="1">IFERROR(__xludf.DUMMYFUNCTION("""COMPUTED_VALUE"""),"#VALUE!")</f>
        <v>#VALUE!</v>
      </c>
      <c r="BK789" t="str">
        <f ca="1">IFERROR(__xludf.DUMMYFUNCTION("""COMPUTED_VALUE"""),"#VALUE!")</f>
        <v>#VALUE!</v>
      </c>
      <c r="BM789" t="str">
        <f ca="1">IFERROR(__xludf.DUMMYFUNCTION("""COMPUTED_VALUE"""),"#VALUE!")</f>
        <v>#VALUE!</v>
      </c>
      <c r="CS789" t="str">
        <f ca="1">IFERROR(__xludf.DUMMYFUNCTION("""COMPUTED_VALUE"""),"#VALUE!")</f>
        <v>#VALUE!</v>
      </c>
      <c r="CU789" t="str">
        <f ca="1">IFERROR(__xludf.DUMMYFUNCTION("""COMPUTED_VALUE"""),"#VALUE!")</f>
        <v>#VALUE!</v>
      </c>
      <c r="CW789" t="str">
        <f ca="1">IFERROR(__xludf.DUMMYFUNCTION("""COMPUTED_VALUE"""),"#VALUE!")</f>
        <v>#VALUE!</v>
      </c>
      <c r="CY789" t="str">
        <f ca="1">IFERROR(__xludf.DUMMYFUNCTION("""COMPUTED_VALUE"""),"#VALUE!")</f>
        <v>#VALUE!</v>
      </c>
      <c r="DC789" t="str">
        <f ca="1">IFERROR(__xludf.DUMMYFUNCTION("""COMPUTED_VALUE"""),"#VALUE!")</f>
        <v>#VALUE!</v>
      </c>
      <c r="DE789" t="str">
        <f ca="1">IFERROR(__xludf.DUMMYFUNCTION("""COMPUTED_VALUE"""),"#VALUE!")</f>
        <v>#VALUE!</v>
      </c>
    </row>
    <row r="790" spans="1:109" ht="13.2" x14ac:dyDescent="0.25">
      <c r="A790" t="str">
        <f ca="1">IFERROR(__xludf.DUMMYFUNCTION("""COMPUTED_VALUE"""),"P0799")</f>
        <v>P0799</v>
      </c>
      <c r="BC790" t="str">
        <f ca="1">IFERROR(__xludf.DUMMYFUNCTION("""COMPUTED_VALUE"""),"#VALUE!")</f>
        <v>#VALUE!</v>
      </c>
      <c r="BE790" t="str">
        <f ca="1">IFERROR(__xludf.DUMMYFUNCTION("""COMPUTED_VALUE"""),"#VALUE!")</f>
        <v>#VALUE!</v>
      </c>
      <c r="BG790" t="str">
        <f ca="1">IFERROR(__xludf.DUMMYFUNCTION("""COMPUTED_VALUE"""),"#VALUE!")</f>
        <v>#VALUE!</v>
      </c>
      <c r="BI790" t="str">
        <f ca="1">IFERROR(__xludf.DUMMYFUNCTION("""COMPUTED_VALUE"""),"#VALUE!")</f>
        <v>#VALUE!</v>
      </c>
      <c r="BK790" t="str">
        <f ca="1">IFERROR(__xludf.DUMMYFUNCTION("""COMPUTED_VALUE"""),"#VALUE!")</f>
        <v>#VALUE!</v>
      </c>
      <c r="BM790" t="str">
        <f ca="1">IFERROR(__xludf.DUMMYFUNCTION("""COMPUTED_VALUE"""),"#VALUE!")</f>
        <v>#VALUE!</v>
      </c>
      <c r="CS790" t="str">
        <f ca="1">IFERROR(__xludf.DUMMYFUNCTION("""COMPUTED_VALUE"""),"#VALUE!")</f>
        <v>#VALUE!</v>
      </c>
      <c r="CU790" t="str">
        <f ca="1">IFERROR(__xludf.DUMMYFUNCTION("""COMPUTED_VALUE"""),"#VALUE!")</f>
        <v>#VALUE!</v>
      </c>
      <c r="CW790" t="str">
        <f ca="1">IFERROR(__xludf.DUMMYFUNCTION("""COMPUTED_VALUE"""),"#VALUE!")</f>
        <v>#VALUE!</v>
      </c>
      <c r="CY790" t="str">
        <f ca="1">IFERROR(__xludf.DUMMYFUNCTION("""COMPUTED_VALUE"""),"#VALUE!")</f>
        <v>#VALUE!</v>
      </c>
      <c r="DC790" t="str">
        <f ca="1">IFERROR(__xludf.DUMMYFUNCTION("""COMPUTED_VALUE"""),"#VALUE!")</f>
        <v>#VALUE!</v>
      </c>
      <c r="DE790" t="str">
        <f ca="1">IFERROR(__xludf.DUMMYFUNCTION("""COMPUTED_VALUE"""),"#VALUE!")</f>
        <v>#VALUE!</v>
      </c>
    </row>
    <row r="791" spans="1:109" ht="13.2" x14ac:dyDescent="0.25">
      <c r="A791" t="str">
        <f ca="1">IFERROR(__xludf.DUMMYFUNCTION("""COMPUTED_VALUE"""),"P0800")</f>
        <v>P0800</v>
      </c>
      <c r="BC791" t="str">
        <f ca="1">IFERROR(__xludf.DUMMYFUNCTION("""COMPUTED_VALUE"""),"#VALUE!")</f>
        <v>#VALUE!</v>
      </c>
      <c r="BE791" t="str">
        <f ca="1">IFERROR(__xludf.DUMMYFUNCTION("""COMPUTED_VALUE"""),"#VALUE!")</f>
        <v>#VALUE!</v>
      </c>
      <c r="BG791" t="str">
        <f ca="1">IFERROR(__xludf.DUMMYFUNCTION("""COMPUTED_VALUE"""),"#VALUE!")</f>
        <v>#VALUE!</v>
      </c>
      <c r="BI791" t="str">
        <f ca="1">IFERROR(__xludf.DUMMYFUNCTION("""COMPUTED_VALUE"""),"#VALUE!")</f>
        <v>#VALUE!</v>
      </c>
      <c r="BK791" t="str">
        <f ca="1">IFERROR(__xludf.DUMMYFUNCTION("""COMPUTED_VALUE"""),"#VALUE!")</f>
        <v>#VALUE!</v>
      </c>
      <c r="BM791" t="str">
        <f ca="1">IFERROR(__xludf.DUMMYFUNCTION("""COMPUTED_VALUE"""),"#VALUE!")</f>
        <v>#VALUE!</v>
      </c>
      <c r="CS791" t="str">
        <f ca="1">IFERROR(__xludf.DUMMYFUNCTION("""COMPUTED_VALUE"""),"#VALUE!")</f>
        <v>#VALUE!</v>
      </c>
      <c r="CU791" t="str">
        <f ca="1">IFERROR(__xludf.DUMMYFUNCTION("""COMPUTED_VALUE"""),"#VALUE!")</f>
        <v>#VALUE!</v>
      </c>
      <c r="CW791" t="str">
        <f ca="1">IFERROR(__xludf.DUMMYFUNCTION("""COMPUTED_VALUE"""),"#VALUE!")</f>
        <v>#VALUE!</v>
      </c>
      <c r="CY791" t="str">
        <f ca="1">IFERROR(__xludf.DUMMYFUNCTION("""COMPUTED_VALUE"""),"#VALUE!")</f>
        <v>#VALUE!</v>
      </c>
      <c r="DC791" t="str">
        <f ca="1">IFERROR(__xludf.DUMMYFUNCTION("""COMPUTED_VALUE"""),"#VALUE!")</f>
        <v>#VALUE!</v>
      </c>
      <c r="DE791" t="str">
        <f ca="1">IFERROR(__xludf.DUMMYFUNCTION("""COMPUTED_VALUE"""),"#VALUE!")</f>
        <v>#VALUE!</v>
      </c>
    </row>
    <row r="792" spans="1:109" ht="13.2" x14ac:dyDescent="0.25">
      <c r="A792" t="str">
        <f ca="1">IFERROR(__xludf.DUMMYFUNCTION("""COMPUTED_VALUE"""),"P0801")</f>
        <v>P0801</v>
      </c>
      <c r="BC792" t="str">
        <f ca="1">IFERROR(__xludf.DUMMYFUNCTION("""COMPUTED_VALUE"""),"#VALUE!")</f>
        <v>#VALUE!</v>
      </c>
      <c r="BE792" t="str">
        <f ca="1">IFERROR(__xludf.DUMMYFUNCTION("""COMPUTED_VALUE"""),"#VALUE!")</f>
        <v>#VALUE!</v>
      </c>
      <c r="BG792" t="str">
        <f ca="1">IFERROR(__xludf.DUMMYFUNCTION("""COMPUTED_VALUE"""),"#VALUE!")</f>
        <v>#VALUE!</v>
      </c>
      <c r="BI792" t="str">
        <f ca="1">IFERROR(__xludf.DUMMYFUNCTION("""COMPUTED_VALUE"""),"#VALUE!")</f>
        <v>#VALUE!</v>
      </c>
      <c r="BK792" t="str">
        <f ca="1">IFERROR(__xludf.DUMMYFUNCTION("""COMPUTED_VALUE"""),"#VALUE!")</f>
        <v>#VALUE!</v>
      </c>
      <c r="BM792" t="str">
        <f ca="1">IFERROR(__xludf.DUMMYFUNCTION("""COMPUTED_VALUE"""),"#VALUE!")</f>
        <v>#VALUE!</v>
      </c>
      <c r="CS792" t="str">
        <f ca="1">IFERROR(__xludf.DUMMYFUNCTION("""COMPUTED_VALUE"""),"#VALUE!")</f>
        <v>#VALUE!</v>
      </c>
      <c r="CU792" t="str">
        <f ca="1">IFERROR(__xludf.DUMMYFUNCTION("""COMPUTED_VALUE"""),"#VALUE!")</f>
        <v>#VALUE!</v>
      </c>
      <c r="CW792" t="str">
        <f ca="1">IFERROR(__xludf.DUMMYFUNCTION("""COMPUTED_VALUE"""),"#VALUE!")</f>
        <v>#VALUE!</v>
      </c>
      <c r="CY792" t="str">
        <f ca="1">IFERROR(__xludf.DUMMYFUNCTION("""COMPUTED_VALUE"""),"#VALUE!")</f>
        <v>#VALUE!</v>
      </c>
      <c r="DC792" t="str">
        <f ca="1">IFERROR(__xludf.DUMMYFUNCTION("""COMPUTED_VALUE"""),"#VALUE!")</f>
        <v>#VALUE!</v>
      </c>
      <c r="DE792" t="str">
        <f ca="1">IFERROR(__xludf.DUMMYFUNCTION("""COMPUTED_VALUE"""),"#VALUE!")</f>
        <v>#VALUE!</v>
      </c>
    </row>
    <row r="793" spans="1:109" ht="13.2" x14ac:dyDescent="0.25">
      <c r="A793" t="str">
        <f ca="1">IFERROR(__xludf.DUMMYFUNCTION("""COMPUTED_VALUE"""),"P0802")</f>
        <v>P0802</v>
      </c>
      <c r="BC793" t="str">
        <f ca="1">IFERROR(__xludf.DUMMYFUNCTION("""COMPUTED_VALUE"""),"#VALUE!")</f>
        <v>#VALUE!</v>
      </c>
      <c r="BE793" t="str">
        <f ca="1">IFERROR(__xludf.DUMMYFUNCTION("""COMPUTED_VALUE"""),"#VALUE!")</f>
        <v>#VALUE!</v>
      </c>
      <c r="BG793" t="str">
        <f ca="1">IFERROR(__xludf.DUMMYFUNCTION("""COMPUTED_VALUE"""),"#VALUE!")</f>
        <v>#VALUE!</v>
      </c>
      <c r="BI793" t="str">
        <f ca="1">IFERROR(__xludf.DUMMYFUNCTION("""COMPUTED_VALUE"""),"#VALUE!")</f>
        <v>#VALUE!</v>
      </c>
      <c r="BK793" t="str">
        <f ca="1">IFERROR(__xludf.DUMMYFUNCTION("""COMPUTED_VALUE"""),"#VALUE!")</f>
        <v>#VALUE!</v>
      </c>
      <c r="BM793" t="str">
        <f ca="1">IFERROR(__xludf.DUMMYFUNCTION("""COMPUTED_VALUE"""),"#VALUE!")</f>
        <v>#VALUE!</v>
      </c>
      <c r="CS793" t="str">
        <f ca="1">IFERROR(__xludf.DUMMYFUNCTION("""COMPUTED_VALUE"""),"#VALUE!")</f>
        <v>#VALUE!</v>
      </c>
      <c r="CU793" t="str">
        <f ca="1">IFERROR(__xludf.DUMMYFUNCTION("""COMPUTED_VALUE"""),"#VALUE!")</f>
        <v>#VALUE!</v>
      </c>
      <c r="CW793" t="str">
        <f ca="1">IFERROR(__xludf.DUMMYFUNCTION("""COMPUTED_VALUE"""),"#VALUE!")</f>
        <v>#VALUE!</v>
      </c>
      <c r="CY793" t="str">
        <f ca="1">IFERROR(__xludf.DUMMYFUNCTION("""COMPUTED_VALUE"""),"#VALUE!")</f>
        <v>#VALUE!</v>
      </c>
      <c r="DC793" t="str">
        <f ca="1">IFERROR(__xludf.DUMMYFUNCTION("""COMPUTED_VALUE"""),"#VALUE!")</f>
        <v>#VALUE!</v>
      </c>
      <c r="DE793" t="str">
        <f ca="1">IFERROR(__xludf.DUMMYFUNCTION("""COMPUTED_VALUE"""),"#VALUE!")</f>
        <v>#VALUE!</v>
      </c>
    </row>
    <row r="794" spans="1:109" ht="13.2" x14ac:dyDescent="0.25">
      <c r="A794" t="str">
        <f ca="1">IFERROR(__xludf.DUMMYFUNCTION("""COMPUTED_VALUE"""),"P0803")</f>
        <v>P0803</v>
      </c>
      <c r="BC794" t="str">
        <f ca="1">IFERROR(__xludf.DUMMYFUNCTION("""COMPUTED_VALUE"""),"#VALUE!")</f>
        <v>#VALUE!</v>
      </c>
      <c r="BE794" t="str">
        <f ca="1">IFERROR(__xludf.DUMMYFUNCTION("""COMPUTED_VALUE"""),"#VALUE!")</f>
        <v>#VALUE!</v>
      </c>
      <c r="BG794" t="str">
        <f ca="1">IFERROR(__xludf.DUMMYFUNCTION("""COMPUTED_VALUE"""),"#VALUE!")</f>
        <v>#VALUE!</v>
      </c>
      <c r="BI794" t="str">
        <f ca="1">IFERROR(__xludf.DUMMYFUNCTION("""COMPUTED_VALUE"""),"#VALUE!")</f>
        <v>#VALUE!</v>
      </c>
      <c r="BK794" t="str">
        <f ca="1">IFERROR(__xludf.DUMMYFUNCTION("""COMPUTED_VALUE"""),"#VALUE!")</f>
        <v>#VALUE!</v>
      </c>
      <c r="BM794" t="str">
        <f ca="1">IFERROR(__xludf.DUMMYFUNCTION("""COMPUTED_VALUE"""),"#VALUE!")</f>
        <v>#VALUE!</v>
      </c>
      <c r="CS794" t="str">
        <f ca="1">IFERROR(__xludf.DUMMYFUNCTION("""COMPUTED_VALUE"""),"#VALUE!")</f>
        <v>#VALUE!</v>
      </c>
      <c r="CU794" t="str">
        <f ca="1">IFERROR(__xludf.DUMMYFUNCTION("""COMPUTED_VALUE"""),"#VALUE!")</f>
        <v>#VALUE!</v>
      </c>
      <c r="CW794" t="str">
        <f ca="1">IFERROR(__xludf.DUMMYFUNCTION("""COMPUTED_VALUE"""),"#VALUE!")</f>
        <v>#VALUE!</v>
      </c>
      <c r="CY794" t="str">
        <f ca="1">IFERROR(__xludf.DUMMYFUNCTION("""COMPUTED_VALUE"""),"#VALUE!")</f>
        <v>#VALUE!</v>
      </c>
      <c r="DC794" t="str">
        <f ca="1">IFERROR(__xludf.DUMMYFUNCTION("""COMPUTED_VALUE"""),"#VALUE!")</f>
        <v>#VALUE!</v>
      </c>
      <c r="DE794" t="str">
        <f ca="1">IFERROR(__xludf.DUMMYFUNCTION("""COMPUTED_VALUE"""),"#VALUE!")</f>
        <v>#VALUE!</v>
      </c>
    </row>
    <row r="795" spans="1:109" ht="13.2" x14ac:dyDescent="0.25">
      <c r="A795" t="str">
        <f ca="1">IFERROR(__xludf.DUMMYFUNCTION("""COMPUTED_VALUE"""),"P0804")</f>
        <v>P0804</v>
      </c>
      <c r="BC795" t="str">
        <f ca="1">IFERROR(__xludf.DUMMYFUNCTION("""COMPUTED_VALUE"""),"#VALUE!")</f>
        <v>#VALUE!</v>
      </c>
      <c r="BE795" t="str">
        <f ca="1">IFERROR(__xludf.DUMMYFUNCTION("""COMPUTED_VALUE"""),"#VALUE!")</f>
        <v>#VALUE!</v>
      </c>
      <c r="BG795" t="str">
        <f ca="1">IFERROR(__xludf.DUMMYFUNCTION("""COMPUTED_VALUE"""),"#VALUE!")</f>
        <v>#VALUE!</v>
      </c>
      <c r="BI795" t="str">
        <f ca="1">IFERROR(__xludf.DUMMYFUNCTION("""COMPUTED_VALUE"""),"#VALUE!")</f>
        <v>#VALUE!</v>
      </c>
      <c r="BK795" t="str">
        <f ca="1">IFERROR(__xludf.DUMMYFUNCTION("""COMPUTED_VALUE"""),"#VALUE!")</f>
        <v>#VALUE!</v>
      </c>
      <c r="BM795" t="str">
        <f ca="1">IFERROR(__xludf.DUMMYFUNCTION("""COMPUTED_VALUE"""),"#VALUE!")</f>
        <v>#VALUE!</v>
      </c>
      <c r="CS795" t="str">
        <f ca="1">IFERROR(__xludf.DUMMYFUNCTION("""COMPUTED_VALUE"""),"#VALUE!")</f>
        <v>#VALUE!</v>
      </c>
      <c r="CU795" t="str">
        <f ca="1">IFERROR(__xludf.DUMMYFUNCTION("""COMPUTED_VALUE"""),"#VALUE!")</f>
        <v>#VALUE!</v>
      </c>
      <c r="CW795" t="str">
        <f ca="1">IFERROR(__xludf.DUMMYFUNCTION("""COMPUTED_VALUE"""),"#VALUE!")</f>
        <v>#VALUE!</v>
      </c>
      <c r="CY795" t="str">
        <f ca="1">IFERROR(__xludf.DUMMYFUNCTION("""COMPUTED_VALUE"""),"#VALUE!")</f>
        <v>#VALUE!</v>
      </c>
      <c r="DC795" t="str">
        <f ca="1">IFERROR(__xludf.DUMMYFUNCTION("""COMPUTED_VALUE"""),"#VALUE!")</f>
        <v>#VALUE!</v>
      </c>
      <c r="DE795" t="str">
        <f ca="1">IFERROR(__xludf.DUMMYFUNCTION("""COMPUTED_VALUE"""),"#VALUE!")</f>
        <v>#VALUE!</v>
      </c>
    </row>
    <row r="796" spans="1:109" ht="13.2" x14ac:dyDescent="0.25">
      <c r="A796" t="str">
        <f ca="1">IFERROR(__xludf.DUMMYFUNCTION("""COMPUTED_VALUE"""),"P0805")</f>
        <v>P0805</v>
      </c>
      <c r="BC796" t="str">
        <f ca="1">IFERROR(__xludf.DUMMYFUNCTION("""COMPUTED_VALUE"""),"#VALUE!")</f>
        <v>#VALUE!</v>
      </c>
      <c r="BE796" t="str">
        <f ca="1">IFERROR(__xludf.DUMMYFUNCTION("""COMPUTED_VALUE"""),"#VALUE!")</f>
        <v>#VALUE!</v>
      </c>
      <c r="BG796" t="str">
        <f ca="1">IFERROR(__xludf.DUMMYFUNCTION("""COMPUTED_VALUE"""),"#VALUE!")</f>
        <v>#VALUE!</v>
      </c>
      <c r="BI796" t="str">
        <f ca="1">IFERROR(__xludf.DUMMYFUNCTION("""COMPUTED_VALUE"""),"#VALUE!")</f>
        <v>#VALUE!</v>
      </c>
      <c r="BK796" t="str">
        <f ca="1">IFERROR(__xludf.DUMMYFUNCTION("""COMPUTED_VALUE"""),"#VALUE!")</f>
        <v>#VALUE!</v>
      </c>
      <c r="BM796" t="str">
        <f ca="1">IFERROR(__xludf.DUMMYFUNCTION("""COMPUTED_VALUE"""),"#VALUE!")</f>
        <v>#VALUE!</v>
      </c>
      <c r="CS796" t="str">
        <f ca="1">IFERROR(__xludf.DUMMYFUNCTION("""COMPUTED_VALUE"""),"#VALUE!")</f>
        <v>#VALUE!</v>
      </c>
      <c r="CU796" t="str">
        <f ca="1">IFERROR(__xludf.DUMMYFUNCTION("""COMPUTED_VALUE"""),"#VALUE!")</f>
        <v>#VALUE!</v>
      </c>
      <c r="CW796" t="str">
        <f ca="1">IFERROR(__xludf.DUMMYFUNCTION("""COMPUTED_VALUE"""),"#VALUE!")</f>
        <v>#VALUE!</v>
      </c>
      <c r="CY796" t="str">
        <f ca="1">IFERROR(__xludf.DUMMYFUNCTION("""COMPUTED_VALUE"""),"#VALUE!")</f>
        <v>#VALUE!</v>
      </c>
      <c r="DC796" t="str">
        <f ca="1">IFERROR(__xludf.DUMMYFUNCTION("""COMPUTED_VALUE"""),"#VALUE!")</f>
        <v>#VALUE!</v>
      </c>
      <c r="DE796" t="str">
        <f ca="1">IFERROR(__xludf.DUMMYFUNCTION("""COMPUTED_VALUE"""),"#VALUE!")</f>
        <v>#VALUE!</v>
      </c>
    </row>
    <row r="797" spans="1:109" ht="13.2" x14ac:dyDescent="0.25">
      <c r="A797" t="str">
        <f ca="1">IFERROR(__xludf.DUMMYFUNCTION("""COMPUTED_VALUE"""),"P0806")</f>
        <v>P0806</v>
      </c>
      <c r="BC797" t="str">
        <f ca="1">IFERROR(__xludf.DUMMYFUNCTION("""COMPUTED_VALUE"""),"#VALUE!")</f>
        <v>#VALUE!</v>
      </c>
      <c r="BE797" t="str">
        <f ca="1">IFERROR(__xludf.DUMMYFUNCTION("""COMPUTED_VALUE"""),"#VALUE!")</f>
        <v>#VALUE!</v>
      </c>
      <c r="BG797" t="str">
        <f ca="1">IFERROR(__xludf.DUMMYFUNCTION("""COMPUTED_VALUE"""),"#VALUE!")</f>
        <v>#VALUE!</v>
      </c>
      <c r="BI797" t="str">
        <f ca="1">IFERROR(__xludf.DUMMYFUNCTION("""COMPUTED_VALUE"""),"#VALUE!")</f>
        <v>#VALUE!</v>
      </c>
      <c r="BK797" t="str">
        <f ca="1">IFERROR(__xludf.DUMMYFUNCTION("""COMPUTED_VALUE"""),"#VALUE!")</f>
        <v>#VALUE!</v>
      </c>
      <c r="BM797" t="str">
        <f ca="1">IFERROR(__xludf.DUMMYFUNCTION("""COMPUTED_VALUE"""),"#VALUE!")</f>
        <v>#VALUE!</v>
      </c>
      <c r="CS797" t="str">
        <f ca="1">IFERROR(__xludf.DUMMYFUNCTION("""COMPUTED_VALUE"""),"#VALUE!")</f>
        <v>#VALUE!</v>
      </c>
      <c r="CU797" t="str">
        <f ca="1">IFERROR(__xludf.DUMMYFUNCTION("""COMPUTED_VALUE"""),"#VALUE!")</f>
        <v>#VALUE!</v>
      </c>
      <c r="CW797" t="str">
        <f ca="1">IFERROR(__xludf.DUMMYFUNCTION("""COMPUTED_VALUE"""),"#VALUE!")</f>
        <v>#VALUE!</v>
      </c>
      <c r="CY797" t="str">
        <f ca="1">IFERROR(__xludf.DUMMYFUNCTION("""COMPUTED_VALUE"""),"#VALUE!")</f>
        <v>#VALUE!</v>
      </c>
      <c r="DC797" t="str">
        <f ca="1">IFERROR(__xludf.DUMMYFUNCTION("""COMPUTED_VALUE"""),"#VALUE!")</f>
        <v>#VALUE!</v>
      </c>
      <c r="DE797" t="str">
        <f ca="1">IFERROR(__xludf.DUMMYFUNCTION("""COMPUTED_VALUE"""),"#VALUE!")</f>
        <v>#VALUE!</v>
      </c>
    </row>
    <row r="798" spans="1:109" ht="13.2" x14ac:dyDescent="0.25">
      <c r="A798" t="str">
        <f ca="1">IFERROR(__xludf.DUMMYFUNCTION("""COMPUTED_VALUE"""),"P0807")</f>
        <v>P0807</v>
      </c>
      <c r="BC798" t="str">
        <f ca="1">IFERROR(__xludf.DUMMYFUNCTION("""COMPUTED_VALUE"""),"#VALUE!")</f>
        <v>#VALUE!</v>
      </c>
      <c r="BE798" t="str">
        <f ca="1">IFERROR(__xludf.DUMMYFUNCTION("""COMPUTED_VALUE"""),"#VALUE!")</f>
        <v>#VALUE!</v>
      </c>
      <c r="BG798" t="str">
        <f ca="1">IFERROR(__xludf.DUMMYFUNCTION("""COMPUTED_VALUE"""),"#VALUE!")</f>
        <v>#VALUE!</v>
      </c>
      <c r="BI798" t="str">
        <f ca="1">IFERROR(__xludf.DUMMYFUNCTION("""COMPUTED_VALUE"""),"#VALUE!")</f>
        <v>#VALUE!</v>
      </c>
      <c r="BK798" t="str">
        <f ca="1">IFERROR(__xludf.DUMMYFUNCTION("""COMPUTED_VALUE"""),"#VALUE!")</f>
        <v>#VALUE!</v>
      </c>
      <c r="BM798" t="str">
        <f ca="1">IFERROR(__xludf.DUMMYFUNCTION("""COMPUTED_VALUE"""),"#VALUE!")</f>
        <v>#VALUE!</v>
      </c>
      <c r="CS798" t="str">
        <f ca="1">IFERROR(__xludf.DUMMYFUNCTION("""COMPUTED_VALUE"""),"#VALUE!")</f>
        <v>#VALUE!</v>
      </c>
      <c r="CU798" t="str">
        <f ca="1">IFERROR(__xludf.DUMMYFUNCTION("""COMPUTED_VALUE"""),"#VALUE!")</f>
        <v>#VALUE!</v>
      </c>
      <c r="CW798" t="str">
        <f ca="1">IFERROR(__xludf.DUMMYFUNCTION("""COMPUTED_VALUE"""),"#VALUE!")</f>
        <v>#VALUE!</v>
      </c>
      <c r="CY798" t="str">
        <f ca="1">IFERROR(__xludf.DUMMYFUNCTION("""COMPUTED_VALUE"""),"#VALUE!")</f>
        <v>#VALUE!</v>
      </c>
      <c r="DC798" t="str">
        <f ca="1">IFERROR(__xludf.DUMMYFUNCTION("""COMPUTED_VALUE"""),"#VALUE!")</f>
        <v>#VALUE!</v>
      </c>
      <c r="DE798" t="str">
        <f ca="1">IFERROR(__xludf.DUMMYFUNCTION("""COMPUTED_VALUE"""),"#VALUE!")</f>
        <v>#VALUE!</v>
      </c>
    </row>
    <row r="799" spans="1:109" ht="13.2" x14ac:dyDescent="0.25">
      <c r="A799" t="str">
        <f ca="1">IFERROR(__xludf.DUMMYFUNCTION("""COMPUTED_VALUE"""),"P0808")</f>
        <v>P0808</v>
      </c>
      <c r="BC799" t="str">
        <f ca="1">IFERROR(__xludf.DUMMYFUNCTION("""COMPUTED_VALUE"""),"#VALUE!")</f>
        <v>#VALUE!</v>
      </c>
      <c r="BE799" t="str">
        <f ca="1">IFERROR(__xludf.DUMMYFUNCTION("""COMPUTED_VALUE"""),"#VALUE!")</f>
        <v>#VALUE!</v>
      </c>
      <c r="BG799" t="str">
        <f ca="1">IFERROR(__xludf.DUMMYFUNCTION("""COMPUTED_VALUE"""),"#VALUE!")</f>
        <v>#VALUE!</v>
      </c>
      <c r="BI799" t="str">
        <f ca="1">IFERROR(__xludf.DUMMYFUNCTION("""COMPUTED_VALUE"""),"#VALUE!")</f>
        <v>#VALUE!</v>
      </c>
      <c r="BK799" t="str">
        <f ca="1">IFERROR(__xludf.DUMMYFUNCTION("""COMPUTED_VALUE"""),"#VALUE!")</f>
        <v>#VALUE!</v>
      </c>
      <c r="BM799" t="str">
        <f ca="1">IFERROR(__xludf.DUMMYFUNCTION("""COMPUTED_VALUE"""),"#VALUE!")</f>
        <v>#VALUE!</v>
      </c>
      <c r="CS799" t="str">
        <f ca="1">IFERROR(__xludf.DUMMYFUNCTION("""COMPUTED_VALUE"""),"#VALUE!")</f>
        <v>#VALUE!</v>
      </c>
      <c r="CU799" t="str">
        <f ca="1">IFERROR(__xludf.DUMMYFUNCTION("""COMPUTED_VALUE"""),"#VALUE!")</f>
        <v>#VALUE!</v>
      </c>
      <c r="CW799" t="str">
        <f ca="1">IFERROR(__xludf.DUMMYFUNCTION("""COMPUTED_VALUE"""),"#VALUE!")</f>
        <v>#VALUE!</v>
      </c>
      <c r="CY799" t="str">
        <f ca="1">IFERROR(__xludf.DUMMYFUNCTION("""COMPUTED_VALUE"""),"#VALUE!")</f>
        <v>#VALUE!</v>
      </c>
      <c r="DC799" t="str">
        <f ca="1">IFERROR(__xludf.DUMMYFUNCTION("""COMPUTED_VALUE"""),"#VALUE!")</f>
        <v>#VALUE!</v>
      </c>
      <c r="DE799" t="str">
        <f ca="1">IFERROR(__xludf.DUMMYFUNCTION("""COMPUTED_VALUE"""),"#VALUE!")</f>
        <v>#VALUE!</v>
      </c>
    </row>
    <row r="800" spans="1:109" ht="13.2" x14ac:dyDescent="0.25">
      <c r="A800" t="str">
        <f ca="1">IFERROR(__xludf.DUMMYFUNCTION("""COMPUTED_VALUE"""),"P0809")</f>
        <v>P0809</v>
      </c>
      <c r="BC800" t="str">
        <f ca="1">IFERROR(__xludf.DUMMYFUNCTION("""COMPUTED_VALUE"""),"#VALUE!")</f>
        <v>#VALUE!</v>
      </c>
      <c r="BE800" t="str">
        <f ca="1">IFERROR(__xludf.DUMMYFUNCTION("""COMPUTED_VALUE"""),"#VALUE!")</f>
        <v>#VALUE!</v>
      </c>
      <c r="BG800" t="str">
        <f ca="1">IFERROR(__xludf.DUMMYFUNCTION("""COMPUTED_VALUE"""),"#VALUE!")</f>
        <v>#VALUE!</v>
      </c>
      <c r="BI800" t="str">
        <f ca="1">IFERROR(__xludf.DUMMYFUNCTION("""COMPUTED_VALUE"""),"#VALUE!")</f>
        <v>#VALUE!</v>
      </c>
      <c r="BK800" t="str">
        <f ca="1">IFERROR(__xludf.DUMMYFUNCTION("""COMPUTED_VALUE"""),"#VALUE!")</f>
        <v>#VALUE!</v>
      </c>
      <c r="BM800" t="str">
        <f ca="1">IFERROR(__xludf.DUMMYFUNCTION("""COMPUTED_VALUE"""),"#VALUE!")</f>
        <v>#VALUE!</v>
      </c>
      <c r="CS800" t="str">
        <f ca="1">IFERROR(__xludf.DUMMYFUNCTION("""COMPUTED_VALUE"""),"#VALUE!")</f>
        <v>#VALUE!</v>
      </c>
      <c r="CU800" t="str">
        <f ca="1">IFERROR(__xludf.DUMMYFUNCTION("""COMPUTED_VALUE"""),"#VALUE!")</f>
        <v>#VALUE!</v>
      </c>
      <c r="CW800" t="str">
        <f ca="1">IFERROR(__xludf.DUMMYFUNCTION("""COMPUTED_VALUE"""),"#VALUE!")</f>
        <v>#VALUE!</v>
      </c>
      <c r="CY800" t="str">
        <f ca="1">IFERROR(__xludf.DUMMYFUNCTION("""COMPUTED_VALUE"""),"#VALUE!")</f>
        <v>#VALUE!</v>
      </c>
      <c r="DC800" t="str">
        <f ca="1">IFERROR(__xludf.DUMMYFUNCTION("""COMPUTED_VALUE"""),"#VALUE!")</f>
        <v>#VALUE!</v>
      </c>
      <c r="DE800" t="str">
        <f ca="1">IFERROR(__xludf.DUMMYFUNCTION("""COMPUTED_VALUE"""),"#VALUE!")</f>
        <v>#VALUE!</v>
      </c>
    </row>
    <row r="801" spans="1:109" ht="13.2" x14ac:dyDescent="0.25">
      <c r="A801" t="str">
        <f ca="1">IFERROR(__xludf.DUMMYFUNCTION("""COMPUTED_VALUE"""),"P0810")</f>
        <v>P0810</v>
      </c>
      <c r="BC801" t="str">
        <f ca="1">IFERROR(__xludf.DUMMYFUNCTION("""COMPUTED_VALUE"""),"#VALUE!")</f>
        <v>#VALUE!</v>
      </c>
      <c r="BE801" t="str">
        <f ca="1">IFERROR(__xludf.DUMMYFUNCTION("""COMPUTED_VALUE"""),"#VALUE!")</f>
        <v>#VALUE!</v>
      </c>
      <c r="BG801" t="str">
        <f ca="1">IFERROR(__xludf.DUMMYFUNCTION("""COMPUTED_VALUE"""),"#VALUE!")</f>
        <v>#VALUE!</v>
      </c>
      <c r="BI801" t="str">
        <f ca="1">IFERROR(__xludf.DUMMYFUNCTION("""COMPUTED_VALUE"""),"#VALUE!")</f>
        <v>#VALUE!</v>
      </c>
      <c r="BK801" t="str">
        <f ca="1">IFERROR(__xludf.DUMMYFUNCTION("""COMPUTED_VALUE"""),"#VALUE!")</f>
        <v>#VALUE!</v>
      </c>
      <c r="BM801" t="str">
        <f ca="1">IFERROR(__xludf.DUMMYFUNCTION("""COMPUTED_VALUE"""),"#VALUE!")</f>
        <v>#VALUE!</v>
      </c>
      <c r="CS801" t="str">
        <f ca="1">IFERROR(__xludf.DUMMYFUNCTION("""COMPUTED_VALUE"""),"#VALUE!")</f>
        <v>#VALUE!</v>
      </c>
      <c r="CU801" t="str">
        <f ca="1">IFERROR(__xludf.DUMMYFUNCTION("""COMPUTED_VALUE"""),"#VALUE!")</f>
        <v>#VALUE!</v>
      </c>
      <c r="CW801" t="str">
        <f ca="1">IFERROR(__xludf.DUMMYFUNCTION("""COMPUTED_VALUE"""),"#VALUE!")</f>
        <v>#VALUE!</v>
      </c>
      <c r="CY801" t="str">
        <f ca="1">IFERROR(__xludf.DUMMYFUNCTION("""COMPUTED_VALUE"""),"#VALUE!")</f>
        <v>#VALUE!</v>
      </c>
      <c r="DC801" t="str">
        <f ca="1">IFERROR(__xludf.DUMMYFUNCTION("""COMPUTED_VALUE"""),"#VALUE!")</f>
        <v>#VALUE!</v>
      </c>
      <c r="DE801" t="str">
        <f ca="1">IFERROR(__xludf.DUMMYFUNCTION("""COMPUTED_VALUE"""),"#VALUE!")</f>
        <v>#VALUE!</v>
      </c>
    </row>
    <row r="802" spans="1:109" ht="13.2" x14ac:dyDescent="0.25">
      <c r="A802" t="str">
        <f ca="1">IFERROR(__xludf.DUMMYFUNCTION("""COMPUTED_VALUE"""),"P0811")</f>
        <v>P0811</v>
      </c>
      <c r="BC802" t="str">
        <f ca="1">IFERROR(__xludf.DUMMYFUNCTION("""COMPUTED_VALUE"""),"#VALUE!")</f>
        <v>#VALUE!</v>
      </c>
      <c r="BE802" t="str">
        <f ca="1">IFERROR(__xludf.DUMMYFUNCTION("""COMPUTED_VALUE"""),"#VALUE!")</f>
        <v>#VALUE!</v>
      </c>
      <c r="BG802" t="str">
        <f ca="1">IFERROR(__xludf.DUMMYFUNCTION("""COMPUTED_VALUE"""),"#VALUE!")</f>
        <v>#VALUE!</v>
      </c>
      <c r="BI802" t="str">
        <f ca="1">IFERROR(__xludf.DUMMYFUNCTION("""COMPUTED_VALUE"""),"#VALUE!")</f>
        <v>#VALUE!</v>
      </c>
      <c r="BK802" t="str">
        <f ca="1">IFERROR(__xludf.DUMMYFUNCTION("""COMPUTED_VALUE"""),"#VALUE!")</f>
        <v>#VALUE!</v>
      </c>
      <c r="BM802" t="str">
        <f ca="1">IFERROR(__xludf.DUMMYFUNCTION("""COMPUTED_VALUE"""),"#VALUE!")</f>
        <v>#VALUE!</v>
      </c>
      <c r="CS802" t="str">
        <f ca="1">IFERROR(__xludf.DUMMYFUNCTION("""COMPUTED_VALUE"""),"#VALUE!")</f>
        <v>#VALUE!</v>
      </c>
      <c r="CU802" t="str">
        <f ca="1">IFERROR(__xludf.DUMMYFUNCTION("""COMPUTED_VALUE"""),"#VALUE!")</f>
        <v>#VALUE!</v>
      </c>
      <c r="CW802" t="str">
        <f ca="1">IFERROR(__xludf.DUMMYFUNCTION("""COMPUTED_VALUE"""),"#VALUE!")</f>
        <v>#VALUE!</v>
      </c>
      <c r="CY802" t="str">
        <f ca="1">IFERROR(__xludf.DUMMYFUNCTION("""COMPUTED_VALUE"""),"#VALUE!")</f>
        <v>#VALUE!</v>
      </c>
      <c r="DC802" t="str">
        <f ca="1">IFERROR(__xludf.DUMMYFUNCTION("""COMPUTED_VALUE"""),"#VALUE!")</f>
        <v>#VALUE!</v>
      </c>
      <c r="DE802" t="str">
        <f ca="1">IFERROR(__xludf.DUMMYFUNCTION("""COMPUTED_VALUE"""),"#VALUE!")</f>
        <v>#VALUE!</v>
      </c>
    </row>
    <row r="803" spans="1:109" ht="13.2" x14ac:dyDescent="0.25">
      <c r="A803" t="str">
        <f ca="1">IFERROR(__xludf.DUMMYFUNCTION("""COMPUTED_VALUE"""),"P0812")</f>
        <v>P0812</v>
      </c>
      <c r="BC803" t="str">
        <f ca="1">IFERROR(__xludf.DUMMYFUNCTION("""COMPUTED_VALUE"""),"#VALUE!")</f>
        <v>#VALUE!</v>
      </c>
      <c r="BE803" t="str">
        <f ca="1">IFERROR(__xludf.DUMMYFUNCTION("""COMPUTED_VALUE"""),"#VALUE!")</f>
        <v>#VALUE!</v>
      </c>
      <c r="BG803" t="str">
        <f ca="1">IFERROR(__xludf.DUMMYFUNCTION("""COMPUTED_VALUE"""),"#VALUE!")</f>
        <v>#VALUE!</v>
      </c>
      <c r="BI803" t="str">
        <f ca="1">IFERROR(__xludf.DUMMYFUNCTION("""COMPUTED_VALUE"""),"#VALUE!")</f>
        <v>#VALUE!</v>
      </c>
      <c r="BK803" t="str">
        <f ca="1">IFERROR(__xludf.DUMMYFUNCTION("""COMPUTED_VALUE"""),"#VALUE!")</f>
        <v>#VALUE!</v>
      </c>
      <c r="BM803" t="str">
        <f ca="1">IFERROR(__xludf.DUMMYFUNCTION("""COMPUTED_VALUE"""),"#VALUE!")</f>
        <v>#VALUE!</v>
      </c>
      <c r="CS803" t="str">
        <f ca="1">IFERROR(__xludf.DUMMYFUNCTION("""COMPUTED_VALUE"""),"#VALUE!")</f>
        <v>#VALUE!</v>
      </c>
      <c r="CU803" t="str">
        <f ca="1">IFERROR(__xludf.DUMMYFUNCTION("""COMPUTED_VALUE"""),"#VALUE!")</f>
        <v>#VALUE!</v>
      </c>
      <c r="CW803" t="str">
        <f ca="1">IFERROR(__xludf.DUMMYFUNCTION("""COMPUTED_VALUE"""),"#VALUE!")</f>
        <v>#VALUE!</v>
      </c>
      <c r="CY803" t="str">
        <f ca="1">IFERROR(__xludf.DUMMYFUNCTION("""COMPUTED_VALUE"""),"#VALUE!")</f>
        <v>#VALUE!</v>
      </c>
      <c r="DC803" t="str">
        <f ca="1">IFERROR(__xludf.DUMMYFUNCTION("""COMPUTED_VALUE"""),"#VALUE!")</f>
        <v>#VALUE!</v>
      </c>
      <c r="DE803" t="str">
        <f ca="1">IFERROR(__xludf.DUMMYFUNCTION("""COMPUTED_VALUE"""),"#VALUE!")</f>
        <v>#VALUE!</v>
      </c>
    </row>
    <row r="804" spans="1:109" ht="13.2" x14ac:dyDescent="0.25">
      <c r="A804" t="str">
        <f ca="1">IFERROR(__xludf.DUMMYFUNCTION("""COMPUTED_VALUE"""),"P0813")</f>
        <v>P0813</v>
      </c>
      <c r="BC804" t="str">
        <f ca="1">IFERROR(__xludf.DUMMYFUNCTION("""COMPUTED_VALUE"""),"#VALUE!")</f>
        <v>#VALUE!</v>
      </c>
      <c r="BE804" t="str">
        <f ca="1">IFERROR(__xludf.DUMMYFUNCTION("""COMPUTED_VALUE"""),"#VALUE!")</f>
        <v>#VALUE!</v>
      </c>
      <c r="BG804" t="str">
        <f ca="1">IFERROR(__xludf.DUMMYFUNCTION("""COMPUTED_VALUE"""),"#VALUE!")</f>
        <v>#VALUE!</v>
      </c>
      <c r="BI804" t="str">
        <f ca="1">IFERROR(__xludf.DUMMYFUNCTION("""COMPUTED_VALUE"""),"#VALUE!")</f>
        <v>#VALUE!</v>
      </c>
      <c r="BK804" t="str">
        <f ca="1">IFERROR(__xludf.DUMMYFUNCTION("""COMPUTED_VALUE"""),"#VALUE!")</f>
        <v>#VALUE!</v>
      </c>
      <c r="BM804" t="str">
        <f ca="1">IFERROR(__xludf.DUMMYFUNCTION("""COMPUTED_VALUE"""),"#VALUE!")</f>
        <v>#VALUE!</v>
      </c>
      <c r="CS804" t="str">
        <f ca="1">IFERROR(__xludf.DUMMYFUNCTION("""COMPUTED_VALUE"""),"#VALUE!")</f>
        <v>#VALUE!</v>
      </c>
      <c r="CU804" t="str">
        <f ca="1">IFERROR(__xludf.DUMMYFUNCTION("""COMPUTED_VALUE"""),"#VALUE!")</f>
        <v>#VALUE!</v>
      </c>
      <c r="CW804" t="str">
        <f ca="1">IFERROR(__xludf.DUMMYFUNCTION("""COMPUTED_VALUE"""),"#VALUE!")</f>
        <v>#VALUE!</v>
      </c>
      <c r="CY804" t="str">
        <f ca="1">IFERROR(__xludf.DUMMYFUNCTION("""COMPUTED_VALUE"""),"#VALUE!")</f>
        <v>#VALUE!</v>
      </c>
      <c r="DC804" t="str">
        <f ca="1">IFERROR(__xludf.DUMMYFUNCTION("""COMPUTED_VALUE"""),"#VALUE!")</f>
        <v>#VALUE!</v>
      </c>
      <c r="DE804" t="str">
        <f ca="1">IFERROR(__xludf.DUMMYFUNCTION("""COMPUTED_VALUE"""),"#VALUE!")</f>
        <v>#VALUE!</v>
      </c>
    </row>
    <row r="805" spans="1:109" ht="13.2" x14ac:dyDescent="0.25">
      <c r="A805" t="str">
        <f ca="1">IFERROR(__xludf.DUMMYFUNCTION("""COMPUTED_VALUE"""),"P0814")</f>
        <v>P0814</v>
      </c>
      <c r="BC805" t="str">
        <f ca="1">IFERROR(__xludf.DUMMYFUNCTION("""COMPUTED_VALUE"""),"#VALUE!")</f>
        <v>#VALUE!</v>
      </c>
      <c r="BE805" t="str">
        <f ca="1">IFERROR(__xludf.DUMMYFUNCTION("""COMPUTED_VALUE"""),"#VALUE!")</f>
        <v>#VALUE!</v>
      </c>
      <c r="BG805" t="str">
        <f ca="1">IFERROR(__xludf.DUMMYFUNCTION("""COMPUTED_VALUE"""),"#VALUE!")</f>
        <v>#VALUE!</v>
      </c>
      <c r="BI805" t="str">
        <f ca="1">IFERROR(__xludf.DUMMYFUNCTION("""COMPUTED_VALUE"""),"#VALUE!")</f>
        <v>#VALUE!</v>
      </c>
      <c r="BK805" t="str">
        <f ca="1">IFERROR(__xludf.DUMMYFUNCTION("""COMPUTED_VALUE"""),"#VALUE!")</f>
        <v>#VALUE!</v>
      </c>
      <c r="BM805" t="str">
        <f ca="1">IFERROR(__xludf.DUMMYFUNCTION("""COMPUTED_VALUE"""),"#VALUE!")</f>
        <v>#VALUE!</v>
      </c>
      <c r="CS805" t="str">
        <f ca="1">IFERROR(__xludf.DUMMYFUNCTION("""COMPUTED_VALUE"""),"#VALUE!")</f>
        <v>#VALUE!</v>
      </c>
      <c r="CU805" t="str">
        <f ca="1">IFERROR(__xludf.DUMMYFUNCTION("""COMPUTED_VALUE"""),"#VALUE!")</f>
        <v>#VALUE!</v>
      </c>
      <c r="CW805" t="str">
        <f ca="1">IFERROR(__xludf.DUMMYFUNCTION("""COMPUTED_VALUE"""),"#VALUE!")</f>
        <v>#VALUE!</v>
      </c>
      <c r="CY805" t="str">
        <f ca="1">IFERROR(__xludf.DUMMYFUNCTION("""COMPUTED_VALUE"""),"#VALUE!")</f>
        <v>#VALUE!</v>
      </c>
      <c r="DC805" t="str">
        <f ca="1">IFERROR(__xludf.DUMMYFUNCTION("""COMPUTED_VALUE"""),"#VALUE!")</f>
        <v>#VALUE!</v>
      </c>
      <c r="DE805" t="str">
        <f ca="1">IFERROR(__xludf.DUMMYFUNCTION("""COMPUTED_VALUE"""),"#VALUE!")</f>
        <v>#VALUE!</v>
      </c>
    </row>
    <row r="806" spans="1:109" ht="13.2" x14ac:dyDescent="0.25">
      <c r="A806" t="str">
        <f ca="1">IFERROR(__xludf.DUMMYFUNCTION("""COMPUTED_VALUE"""),"P0815")</f>
        <v>P0815</v>
      </c>
      <c r="BC806" t="str">
        <f ca="1">IFERROR(__xludf.DUMMYFUNCTION("""COMPUTED_VALUE"""),"#VALUE!")</f>
        <v>#VALUE!</v>
      </c>
      <c r="BE806" t="str">
        <f ca="1">IFERROR(__xludf.DUMMYFUNCTION("""COMPUTED_VALUE"""),"#VALUE!")</f>
        <v>#VALUE!</v>
      </c>
      <c r="BG806" t="str">
        <f ca="1">IFERROR(__xludf.DUMMYFUNCTION("""COMPUTED_VALUE"""),"#VALUE!")</f>
        <v>#VALUE!</v>
      </c>
      <c r="BI806" t="str">
        <f ca="1">IFERROR(__xludf.DUMMYFUNCTION("""COMPUTED_VALUE"""),"#VALUE!")</f>
        <v>#VALUE!</v>
      </c>
      <c r="BK806" t="str">
        <f ca="1">IFERROR(__xludf.DUMMYFUNCTION("""COMPUTED_VALUE"""),"#VALUE!")</f>
        <v>#VALUE!</v>
      </c>
      <c r="BM806" t="str">
        <f ca="1">IFERROR(__xludf.DUMMYFUNCTION("""COMPUTED_VALUE"""),"#VALUE!")</f>
        <v>#VALUE!</v>
      </c>
      <c r="CS806" t="str">
        <f ca="1">IFERROR(__xludf.DUMMYFUNCTION("""COMPUTED_VALUE"""),"#VALUE!")</f>
        <v>#VALUE!</v>
      </c>
      <c r="CU806" t="str">
        <f ca="1">IFERROR(__xludf.DUMMYFUNCTION("""COMPUTED_VALUE"""),"#VALUE!")</f>
        <v>#VALUE!</v>
      </c>
      <c r="CW806" t="str">
        <f ca="1">IFERROR(__xludf.DUMMYFUNCTION("""COMPUTED_VALUE"""),"#VALUE!")</f>
        <v>#VALUE!</v>
      </c>
      <c r="CY806" t="str">
        <f ca="1">IFERROR(__xludf.DUMMYFUNCTION("""COMPUTED_VALUE"""),"#VALUE!")</f>
        <v>#VALUE!</v>
      </c>
      <c r="DC806" t="str">
        <f ca="1">IFERROR(__xludf.DUMMYFUNCTION("""COMPUTED_VALUE"""),"#VALUE!")</f>
        <v>#VALUE!</v>
      </c>
      <c r="DE806" t="str">
        <f ca="1">IFERROR(__xludf.DUMMYFUNCTION("""COMPUTED_VALUE"""),"#VALUE!")</f>
        <v>#VALUE!</v>
      </c>
    </row>
    <row r="807" spans="1:109" ht="13.2" x14ac:dyDescent="0.25">
      <c r="A807" t="str">
        <f ca="1">IFERROR(__xludf.DUMMYFUNCTION("""COMPUTED_VALUE"""),"P0816")</f>
        <v>P0816</v>
      </c>
      <c r="BC807" t="str">
        <f ca="1">IFERROR(__xludf.DUMMYFUNCTION("""COMPUTED_VALUE"""),"#VALUE!")</f>
        <v>#VALUE!</v>
      </c>
      <c r="BE807" t="str">
        <f ca="1">IFERROR(__xludf.DUMMYFUNCTION("""COMPUTED_VALUE"""),"#VALUE!")</f>
        <v>#VALUE!</v>
      </c>
      <c r="BG807" t="str">
        <f ca="1">IFERROR(__xludf.DUMMYFUNCTION("""COMPUTED_VALUE"""),"#VALUE!")</f>
        <v>#VALUE!</v>
      </c>
      <c r="BI807" t="str">
        <f ca="1">IFERROR(__xludf.DUMMYFUNCTION("""COMPUTED_VALUE"""),"#VALUE!")</f>
        <v>#VALUE!</v>
      </c>
      <c r="BK807" t="str">
        <f ca="1">IFERROR(__xludf.DUMMYFUNCTION("""COMPUTED_VALUE"""),"#VALUE!")</f>
        <v>#VALUE!</v>
      </c>
      <c r="BM807" t="str">
        <f ca="1">IFERROR(__xludf.DUMMYFUNCTION("""COMPUTED_VALUE"""),"#VALUE!")</f>
        <v>#VALUE!</v>
      </c>
      <c r="CS807" t="str">
        <f ca="1">IFERROR(__xludf.DUMMYFUNCTION("""COMPUTED_VALUE"""),"#VALUE!")</f>
        <v>#VALUE!</v>
      </c>
      <c r="CU807" t="str">
        <f ca="1">IFERROR(__xludf.DUMMYFUNCTION("""COMPUTED_VALUE"""),"#VALUE!")</f>
        <v>#VALUE!</v>
      </c>
      <c r="CW807" t="str">
        <f ca="1">IFERROR(__xludf.DUMMYFUNCTION("""COMPUTED_VALUE"""),"#VALUE!")</f>
        <v>#VALUE!</v>
      </c>
      <c r="CY807" t="str">
        <f ca="1">IFERROR(__xludf.DUMMYFUNCTION("""COMPUTED_VALUE"""),"#VALUE!")</f>
        <v>#VALUE!</v>
      </c>
      <c r="DC807" t="str">
        <f ca="1">IFERROR(__xludf.DUMMYFUNCTION("""COMPUTED_VALUE"""),"#VALUE!")</f>
        <v>#VALUE!</v>
      </c>
      <c r="DE807" t="str">
        <f ca="1">IFERROR(__xludf.DUMMYFUNCTION("""COMPUTED_VALUE"""),"#VALUE!")</f>
        <v>#VALUE!</v>
      </c>
    </row>
    <row r="808" spans="1:109" ht="13.2" x14ac:dyDescent="0.25">
      <c r="A808" t="str">
        <f ca="1">IFERROR(__xludf.DUMMYFUNCTION("""COMPUTED_VALUE"""),"P0817")</f>
        <v>P0817</v>
      </c>
      <c r="BC808" t="str">
        <f ca="1">IFERROR(__xludf.DUMMYFUNCTION("""COMPUTED_VALUE"""),"#VALUE!")</f>
        <v>#VALUE!</v>
      </c>
      <c r="BE808" t="str">
        <f ca="1">IFERROR(__xludf.DUMMYFUNCTION("""COMPUTED_VALUE"""),"#VALUE!")</f>
        <v>#VALUE!</v>
      </c>
      <c r="BG808" t="str">
        <f ca="1">IFERROR(__xludf.DUMMYFUNCTION("""COMPUTED_VALUE"""),"#VALUE!")</f>
        <v>#VALUE!</v>
      </c>
      <c r="BI808" t="str">
        <f ca="1">IFERROR(__xludf.DUMMYFUNCTION("""COMPUTED_VALUE"""),"#VALUE!")</f>
        <v>#VALUE!</v>
      </c>
      <c r="BK808" t="str">
        <f ca="1">IFERROR(__xludf.DUMMYFUNCTION("""COMPUTED_VALUE"""),"#VALUE!")</f>
        <v>#VALUE!</v>
      </c>
      <c r="BM808" t="str">
        <f ca="1">IFERROR(__xludf.DUMMYFUNCTION("""COMPUTED_VALUE"""),"#VALUE!")</f>
        <v>#VALUE!</v>
      </c>
      <c r="CS808" t="str">
        <f ca="1">IFERROR(__xludf.DUMMYFUNCTION("""COMPUTED_VALUE"""),"#VALUE!")</f>
        <v>#VALUE!</v>
      </c>
      <c r="CU808" t="str">
        <f ca="1">IFERROR(__xludf.DUMMYFUNCTION("""COMPUTED_VALUE"""),"#VALUE!")</f>
        <v>#VALUE!</v>
      </c>
      <c r="CW808" t="str">
        <f ca="1">IFERROR(__xludf.DUMMYFUNCTION("""COMPUTED_VALUE"""),"#VALUE!")</f>
        <v>#VALUE!</v>
      </c>
      <c r="CY808" t="str">
        <f ca="1">IFERROR(__xludf.DUMMYFUNCTION("""COMPUTED_VALUE"""),"#VALUE!")</f>
        <v>#VALUE!</v>
      </c>
      <c r="DC808" t="str">
        <f ca="1">IFERROR(__xludf.DUMMYFUNCTION("""COMPUTED_VALUE"""),"#VALUE!")</f>
        <v>#VALUE!</v>
      </c>
      <c r="DE808" t="str">
        <f ca="1">IFERROR(__xludf.DUMMYFUNCTION("""COMPUTED_VALUE"""),"#VALUE!")</f>
        <v>#VALUE!</v>
      </c>
    </row>
    <row r="809" spans="1:109" ht="13.2" x14ac:dyDescent="0.25">
      <c r="A809" t="str">
        <f ca="1">IFERROR(__xludf.DUMMYFUNCTION("""COMPUTED_VALUE"""),"P0818")</f>
        <v>P0818</v>
      </c>
      <c r="BC809" t="str">
        <f ca="1">IFERROR(__xludf.DUMMYFUNCTION("""COMPUTED_VALUE"""),"#VALUE!")</f>
        <v>#VALUE!</v>
      </c>
      <c r="BE809" t="str">
        <f ca="1">IFERROR(__xludf.DUMMYFUNCTION("""COMPUTED_VALUE"""),"#VALUE!")</f>
        <v>#VALUE!</v>
      </c>
      <c r="BG809" t="str">
        <f ca="1">IFERROR(__xludf.DUMMYFUNCTION("""COMPUTED_VALUE"""),"#VALUE!")</f>
        <v>#VALUE!</v>
      </c>
      <c r="BI809" t="str">
        <f ca="1">IFERROR(__xludf.DUMMYFUNCTION("""COMPUTED_VALUE"""),"#VALUE!")</f>
        <v>#VALUE!</v>
      </c>
      <c r="BK809" t="str">
        <f ca="1">IFERROR(__xludf.DUMMYFUNCTION("""COMPUTED_VALUE"""),"#VALUE!")</f>
        <v>#VALUE!</v>
      </c>
      <c r="BM809" t="str">
        <f ca="1">IFERROR(__xludf.DUMMYFUNCTION("""COMPUTED_VALUE"""),"#VALUE!")</f>
        <v>#VALUE!</v>
      </c>
      <c r="CS809" t="str">
        <f ca="1">IFERROR(__xludf.DUMMYFUNCTION("""COMPUTED_VALUE"""),"#VALUE!")</f>
        <v>#VALUE!</v>
      </c>
      <c r="CU809" t="str">
        <f ca="1">IFERROR(__xludf.DUMMYFUNCTION("""COMPUTED_VALUE"""),"#VALUE!")</f>
        <v>#VALUE!</v>
      </c>
      <c r="CW809" t="str">
        <f ca="1">IFERROR(__xludf.DUMMYFUNCTION("""COMPUTED_VALUE"""),"#VALUE!")</f>
        <v>#VALUE!</v>
      </c>
      <c r="CY809" t="str">
        <f ca="1">IFERROR(__xludf.DUMMYFUNCTION("""COMPUTED_VALUE"""),"#VALUE!")</f>
        <v>#VALUE!</v>
      </c>
      <c r="DC809" t="str">
        <f ca="1">IFERROR(__xludf.DUMMYFUNCTION("""COMPUTED_VALUE"""),"#VALUE!")</f>
        <v>#VALUE!</v>
      </c>
      <c r="DE809" t="str">
        <f ca="1">IFERROR(__xludf.DUMMYFUNCTION("""COMPUTED_VALUE"""),"#VALUE!")</f>
        <v>#VALUE!</v>
      </c>
    </row>
    <row r="810" spans="1:109" ht="13.2" x14ac:dyDescent="0.25">
      <c r="A810" t="str">
        <f ca="1">IFERROR(__xludf.DUMMYFUNCTION("""COMPUTED_VALUE"""),"P0819")</f>
        <v>P0819</v>
      </c>
      <c r="BC810" t="str">
        <f ca="1">IFERROR(__xludf.DUMMYFUNCTION("""COMPUTED_VALUE"""),"#VALUE!")</f>
        <v>#VALUE!</v>
      </c>
      <c r="BE810" t="str">
        <f ca="1">IFERROR(__xludf.DUMMYFUNCTION("""COMPUTED_VALUE"""),"#VALUE!")</f>
        <v>#VALUE!</v>
      </c>
      <c r="BG810" t="str">
        <f ca="1">IFERROR(__xludf.DUMMYFUNCTION("""COMPUTED_VALUE"""),"#VALUE!")</f>
        <v>#VALUE!</v>
      </c>
      <c r="BI810" t="str">
        <f ca="1">IFERROR(__xludf.DUMMYFUNCTION("""COMPUTED_VALUE"""),"#VALUE!")</f>
        <v>#VALUE!</v>
      </c>
      <c r="BK810" t="str">
        <f ca="1">IFERROR(__xludf.DUMMYFUNCTION("""COMPUTED_VALUE"""),"#VALUE!")</f>
        <v>#VALUE!</v>
      </c>
      <c r="BM810" t="str">
        <f ca="1">IFERROR(__xludf.DUMMYFUNCTION("""COMPUTED_VALUE"""),"#VALUE!")</f>
        <v>#VALUE!</v>
      </c>
      <c r="CS810" t="str">
        <f ca="1">IFERROR(__xludf.DUMMYFUNCTION("""COMPUTED_VALUE"""),"#VALUE!")</f>
        <v>#VALUE!</v>
      </c>
      <c r="CU810" t="str">
        <f ca="1">IFERROR(__xludf.DUMMYFUNCTION("""COMPUTED_VALUE"""),"#VALUE!")</f>
        <v>#VALUE!</v>
      </c>
      <c r="CW810" t="str">
        <f ca="1">IFERROR(__xludf.DUMMYFUNCTION("""COMPUTED_VALUE"""),"#VALUE!")</f>
        <v>#VALUE!</v>
      </c>
      <c r="CY810" t="str">
        <f ca="1">IFERROR(__xludf.DUMMYFUNCTION("""COMPUTED_VALUE"""),"#VALUE!")</f>
        <v>#VALUE!</v>
      </c>
      <c r="DC810" t="str">
        <f ca="1">IFERROR(__xludf.DUMMYFUNCTION("""COMPUTED_VALUE"""),"#VALUE!")</f>
        <v>#VALUE!</v>
      </c>
      <c r="DE810" t="str">
        <f ca="1">IFERROR(__xludf.DUMMYFUNCTION("""COMPUTED_VALUE"""),"#VALUE!")</f>
        <v>#VALUE!</v>
      </c>
    </row>
    <row r="811" spans="1:109" ht="13.2" x14ac:dyDescent="0.25">
      <c r="A811" t="str">
        <f ca="1">IFERROR(__xludf.DUMMYFUNCTION("""COMPUTED_VALUE"""),"P0820")</f>
        <v>P0820</v>
      </c>
      <c r="BC811" t="str">
        <f ca="1">IFERROR(__xludf.DUMMYFUNCTION("""COMPUTED_VALUE"""),"#VALUE!")</f>
        <v>#VALUE!</v>
      </c>
      <c r="BE811" t="str">
        <f ca="1">IFERROR(__xludf.DUMMYFUNCTION("""COMPUTED_VALUE"""),"#VALUE!")</f>
        <v>#VALUE!</v>
      </c>
      <c r="BG811" t="str">
        <f ca="1">IFERROR(__xludf.DUMMYFUNCTION("""COMPUTED_VALUE"""),"#VALUE!")</f>
        <v>#VALUE!</v>
      </c>
      <c r="BI811" t="str">
        <f ca="1">IFERROR(__xludf.DUMMYFUNCTION("""COMPUTED_VALUE"""),"#VALUE!")</f>
        <v>#VALUE!</v>
      </c>
      <c r="BK811" t="str">
        <f ca="1">IFERROR(__xludf.DUMMYFUNCTION("""COMPUTED_VALUE"""),"#VALUE!")</f>
        <v>#VALUE!</v>
      </c>
      <c r="BM811" t="str">
        <f ca="1">IFERROR(__xludf.DUMMYFUNCTION("""COMPUTED_VALUE"""),"#VALUE!")</f>
        <v>#VALUE!</v>
      </c>
      <c r="CS811" t="str">
        <f ca="1">IFERROR(__xludf.DUMMYFUNCTION("""COMPUTED_VALUE"""),"#VALUE!")</f>
        <v>#VALUE!</v>
      </c>
      <c r="CU811" t="str">
        <f ca="1">IFERROR(__xludf.DUMMYFUNCTION("""COMPUTED_VALUE"""),"#VALUE!")</f>
        <v>#VALUE!</v>
      </c>
      <c r="CW811" t="str">
        <f ca="1">IFERROR(__xludf.DUMMYFUNCTION("""COMPUTED_VALUE"""),"#VALUE!")</f>
        <v>#VALUE!</v>
      </c>
      <c r="CY811" t="str">
        <f ca="1">IFERROR(__xludf.DUMMYFUNCTION("""COMPUTED_VALUE"""),"#VALUE!")</f>
        <v>#VALUE!</v>
      </c>
      <c r="DC811" t="str">
        <f ca="1">IFERROR(__xludf.DUMMYFUNCTION("""COMPUTED_VALUE"""),"#VALUE!")</f>
        <v>#VALUE!</v>
      </c>
      <c r="DE811" t="str">
        <f ca="1">IFERROR(__xludf.DUMMYFUNCTION("""COMPUTED_VALUE"""),"#VALUE!")</f>
        <v>#VALUE!</v>
      </c>
    </row>
    <row r="812" spans="1:109" ht="13.2" x14ac:dyDescent="0.25">
      <c r="A812" t="str">
        <f ca="1">IFERROR(__xludf.DUMMYFUNCTION("""COMPUTED_VALUE"""),"P0821")</f>
        <v>P0821</v>
      </c>
      <c r="BC812" t="str">
        <f ca="1">IFERROR(__xludf.DUMMYFUNCTION("""COMPUTED_VALUE"""),"#VALUE!")</f>
        <v>#VALUE!</v>
      </c>
      <c r="BE812" t="str">
        <f ca="1">IFERROR(__xludf.DUMMYFUNCTION("""COMPUTED_VALUE"""),"#VALUE!")</f>
        <v>#VALUE!</v>
      </c>
      <c r="BG812" t="str">
        <f ca="1">IFERROR(__xludf.DUMMYFUNCTION("""COMPUTED_VALUE"""),"#VALUE!")</f>
        <v>#VALUE!</v>
      </c>
      <c r="BI812" t="str">
        <f ca="1">IFERROR(__xludf.DUMMYFUNCTION("""COMPUTED_VALUE"""),"#VALUE!")</f>
        <v>#VALUE!</v>
      </c>
      <c r="BK812" t="str">
        <f ca="1">IFERROR(__xludf.DUMMYFUNCTION("""COMPUTED_VALUE"""),"#VALUE!")</f>
        <v>#VALUE!</v>
      </c>
      <c r="BM812" t="str">
        <f ca="1">IFERROR(__xludf.DUMMYFUNCTION("""COMPUTED_VALUE"""),"#VALUE!")</f>
        <v>#VALUE!</v>
      </c>
      <c r="CS812" t="str">
        <f ca="1">IFERROR(__xludf.DUMMYFUNCTION("""COMPUTED_VALUE"""),"#VALUE!")</f>
        <v>#VALUE!</v>
      </c>
      <c r="CU812" t="str">
        <f ca="1">IFERROR(__xludf.DUMMYFUNCTION("""COMPUTED_VALUE"""),"#VALUE!")</f>
        <v>#VALUE!</v>
      </c>
      <c r="CW812" t="str">
        <f ca="1">IFERROR(__xludf.DUMMYFUNCTION("""COMPUTED_VALUE"""),"#VALUE!")</f>
        <v>#VALUE!</v>
      </c>
      <c r="CY812" t="str">
        <f ca="1">IFERROR(__xludf.DUMMYFUNCTION("""COMPUTED_VALUE"""),"#VALUE!")</f>
        <v>#VALUE!</v>
      </c>
      <c r="DC812" t="str">
        <f ca="1">IFERROR(__xludf.DUMMYFUNCTION("""COMPUTED_VALUE"""),"#VALUE!")</f>
        <v>#VALUE!</v>
      </c>
      <c r="DE812" t="str">
        <f ca="1">IFERROR(__xludf.DUMMYFUNCTION("""COMPUTED_VALUE"""),"#VALUE!")</f>
        <v>#VALUE!</v>
      </c>
    </row>
    <row r="813" spans="1:109" ht="13.2" x14ac:dyDescent="0.25">
      <c r="A813" t="str">
        <f ca="1">IFERROR(__xludf.DUMMYFUNCTION("""COMPUTED_VALUE"""),"P0822")</f>
        <v>P0822</v>
      </c>
      <c r="BC813" t="str">
        <f ca="1">IFERROR(__xludf.DUMMYFUNCTION("""COMPUTED_VALUE"""),"#VALUE!")</f>
        <v>#VALUE!</v>
      </c>
      <c r="BE813" t="str">
        <f ca="1">IFERROR(__xludf.DUMMYFUNCTION("""COMPUTED_VALUE"""),"#VALUE!")</f>
        <v>#VALUE!</v>
      </c>
      <c r="BG813" t="str">
        <f ca="1">IFERROR(__xludf.DUMMYFUNCTION("""COMPUTED_VALUE"""),"#VALUE!")</f>
        <v>#VALUE!</v>
      </c>
      <c r="BI813" t="str">
        <f ca="1">IFERROR(__xludf.DUMMYFUNCTION("""COMPUTED_VALUE"""),"#VALUE!")</f>
        <v>#VALUE!</v>
      </c>
      <c r="BK813" t="str">
        <f ca="1">IFERROR(__xludf.DUMMYFUNCTION("""COMPUTED_VALUE"""),"#VALUE!")</f>
        <v>#VALUE!</v>
      </c>
      <c r="BM813" t="str">
        <f ca="1">IFERROR(__xludf.DUMMYFUNCTION("""COMPUTED_VALUE"""),"#VALUE!")</f>
        <v>#VALUE!</v>
      </c>
      <c r="CS813" t="str">
        <f ca="1">IFERROR(__xludf.DUMMYFUNCTION("""COMPUTED_VALUE"""),"#VALUE!")</f>
        <v>#VALUE!</v>
      </c>
      <c r="CU813" t="str">
        <f ca="1">IFERROR(__xludf.DUMMYFUNCTION("""COMPUTED_VALUE"""),"#VALUE!")</f>
        <v>#VALUE!</v>
      </c>
      <c r="CW813" t="str">
        <f ca="1">IFERROR(__xludf.DUMMYFUNCTION("""COMPUTED_VALUE"""),"#VALUE!")</f>
        <v>#VALUE!</v>
      </c>
      <c r="CY813" t="str">
        <f ca="1">IFERROR(__xludf.DUMMYFUNCTION("""COMPUTED_VALUE"""),"#VALUE!")</f>
        <v>#VALUE!</v>
      </c>
      <c r="DC813" t="str">
        <f ca="1">IFERROR(__xludf.DUMMYFUNCTION("""COMPUTED_VALUE"""),"#VALUE!")</f>
        <v>#VALUE!</v>
      </c>
      <c r="DE813" t="str">
        <f ca="1">IFERROR(__xludf.DUMMYFUNCTION("""COMPUTED_VALUE"""),"#VALUE!")</f>
        <v>#VALUE!</v>
      </c>
    </row>
    <row r="814" spans="1:109" ht="13.2" x14ac:dyDescent="0.25">
      <c r="A814" t="str">
        <f ca="1">IFERROR(__xludf.DUMMYFUNCTION("""COMPUTED_VALUE"""),"P0823")</f>
        <v>P0823</v>
      </c>
      <c r="BC814" t="str">
        <f ca="1">IFERROR(__xludf.DUMMYFUNCTION("""COMPUTED_VALUE"""),"#VALUE!")</f>
        <v>#VALUE!</v>
      </c>
      <c r="BE814" t="str">
        <f ca="1">IFERROR(__xludf.DUMMYFUNCTION("""COMPUTED_VALUE"""),"#VALUE!")</f>
        <v>#VALUE!</v>
      </c>
      <c r="BG814" t="str">
        <f ca="1">IFERROR(__xludf.DUMMYFUNCTION("""COMPUTED_VALUE"""),"#VALUE!")</f>
        <v>#VALUE!</v>
      </c>
      <c r="BI814" t="str">
        <f ca="1">IFERROR(__xludf.DUMMYFUNCTION("""COMPUTED_VALUE"""),"#VALUE!")</f>
        <v>#VALUE!</v>
      </c>
      <c r="BK814" t="str">
        <f ca="1">IFERROR(__xludf.DUMMYFUNCTION("""COMPUTED_VALUE"""),"#VALUE!")</f>
        <v>#VALUE!</v>
      </c>
      <c r="BM814" t="str">
        <f ca="1">IFERROR(__xludf.DUMMYFUNCTION("""COMPUTED_VALUE"""),"#VALUE!")</f>
        <v>#VALUE!</v>
      </c>
      <c r="CS814" t="str">
        <f ca="1">IFERROR(__xludf.DUMMYFUNCTION("""COMPUTED_VALUE"""),"#VALUE!")</f>
        <v>#VALUE!</v>
      </c>
      <c r="CU814" t="str">
        <f ca="1">IFERROR(__xludf.DUMMYFUNCTION("""COMPUTED_VALUE"""),"#VALUE!")</f>
        <v>#VALUE!</v>
      </c>
      <c r="CW814" t="str">
        <f ca="1">IFERROR(__xludf.DUMMYFUNCTION("""COMPUTED_VALUE"""),"#VALUE!")</f>
        <v>#VALUE!</v>
      </c>
      <c r="CY814" t="str">
        <f ca="1">IFERROR(__xludf.DUMMYFUNCTION("""COMPUTED_VALUE"""),"#VALUE!")</f>
        <v>#VALUE!</v>
      </c>
      <c r="DC814" t="str">
        <f ca="1">IFERROR(__xludf.DUMMYFUNCTION("""COMPUTED_VALUE"""),"#VALUE!")</f>
        <v>#VALUE!</v>
      </c>
      <c r="DE814" t="str">
        <f ca="1">IFERROR(__xludf.DUMMYFUNCTION("""COMPUTED_VALUE"""),"#VALUE!")</f>
        <v>#VALUE!</v>
      </c>
    </row>
    <row r="815" spans="1:109" ht="13.2" x14ac:dyDescent="0.25">
      <c r="A815" t="str">
        <f ca="1">IFERROR(__xludf.DUMMYFUNCTION("""COMPUTED_VALUE"""),"P0824")</f>
        <v>P0824</v>
      </c>
      <c r="BC815" t="str">
        <f ca="1">IFERROR(__xludf.DUMMYFUNCTION("""COMPUTED_VALUE"""),"#VALUE!")</f>
        <v>#VALUE!</v>
      </c>
      <c r="BE815" t="str">
        <f ca="1">IFERROR(__xludf.DUMMYFUNCTION("""COMPUTED_VALUE"""),"#VALUE!")</f>
        <v>#VALUE!</v>
      </c>
      <c r="BG815" t="str">
        <f ca="1">IFERROR(__xludf.DUMMYFUNCTION("""COMPUTED_VALUE"""),"#VALUE!")</f>
        <v>#VALUE!</v>
      </c>
      <c r="BI815" t="str">
        <f ca="1">IFERROR(__xludf.DUMMYFUNCTION("""COMPUTED_VALUE"""),"#VALUE!")</f>
        <v>#VALUE!</v>
      </c>
      <c r="BK815" t="str">
        <f ca="1">IFERROR(__xludf.DUMMYFUNCTION("""COMPUTED_VALUE"""),"#VALUE!")</f>
        <v>#VALUE!</v>
      </c>
      <c r="BM815" t="str">
        <f ca="1">IFERROR(__xludf.DUMMYFUNCTION("""COMPUTED_VALUE"""),"#VALUE!")</f>
        <v>#VALUE!</v>
      </c>
      <c r="CS815" t="str">
        <f ca="1">IFERROR(__xludf.DUMMYFUNCTION("""COMPUTED_VALUE"""),"#VALUE!")</f>
        <v>#VALUE!</v>
      </c>
      <c r="CU815" t="str">
        <f ca="1">IFERROR(__xludf.DUMMYFUNCTION("""COMPUTED_VALUE"""),"#VALUE!")</f>
        <v>#VALUE!</v>
      </c>
      <c r="CW815" t="str">
        <f ca="1">IFERROR(__xludf.DUMMYFUNCTION("""COMPUTED_VALUE"""),"#VALUE!")</f>
        <v>#VALUE!</v>
      </c>
      <c r="CY815" t="str">
        <f ca="1">IFERROR(__xludf.DUMMYFUNCTION("""COMPUTED_VALUE"""),"#VALUE!")</f>
        <v>#VALUE!</v>
      </c>
      <c r="DC815" t="str">
        <f ca="1">IFERROR(__xludf.DUMMYFUNCTION("""COMPUTED_VALUE"""),"#VALUE!")</f>
        <v>#VALUE!</v>
      </c>
      <c r="DE815" t="str">
        <f ca="1">IFERROR(__xludf.DUMMYFUNCTION("""COMPUTED_VALUE"""),"#VALUE!")</f>
        <v>#VALUE!</v>
      </c>
    </row>
    <row r="816" spans="1:109" ht="13.2" x14ac:dyDescent="0.25">
      <c r="A816" t="str">
        <f ca="1">IFERROR(__xludf.DUMMYFUNCTION("""COMPUTED_VALUE"""),"P0825")</f>
        <v>P0825</v>
      </c>
      <c r="BC816" t="str">
        <f ca="1">IFERROR(__xludf.DUMMYFUNCTION("""COMPUTED_VALUE"""),"#VALUE!")</f>
        <v>#VALUE!</v>
      </c>
      <c r="BE816" t="str">
        <f ca="1">IFERROR(__xludf.DUMMYFUNCTION("""COMPUTED_VALUE"""),"#VALUE!")</f>
        <v>#VALUE!</v>
      </c>
      <c r="BG816" t="str">
        <f ca="1">IFERROR(__xludf.DUMMYFUNCTION("""COMPUTED_VALUE"""),"#VALUE!")</f>
        <v>#VALUE!</v>
      </c>
      <c r="BI816" t="str">
        <f ca="1">IFERROR(__xludf.DUMMYFUNCTION("""COMPUTED_VALUE"""),"#VALUE!")</f>
        <v>#VALUE!</v>
      </c>
      <c r="BK816" t="str">
        <f ca="1">IFERROR(__xludf.DUMMYFUNCTION("""COMPUTED_VALUE"""),"#VALUE!")</f>
        <v>#VALUE!</v>
      </c>
      <c r="BM816" t="str">
        <f ca="1">IFERROR(__xludf.DUMMYFUNCTION("""COMPUTED_VALUE"""),"#VALUE!")</f>
        <v>#VALUE!</v>
      </c>
      <c r="CS816" t="str">
        <f ca="1">IFERROR(__xludf.DUMMYFUNCTION("""COMPUTED_VALUE"""),"#VALUE!")</f>
        <v>#VALUE!</v>
      </c>
      <c r="CU816" t="str">
        <f ca="1">IFERROR(__xludf.DUMMYFUNCTION("""COMPUTED_VALUE"""),"#VALUE!")</f>
        <v>#VALUE!</v>
      </c>
      <c r="CW816" t="str">
        <f ca="1">IFERROR(__xludf.DUMMYFUNCTION("""COMPUTED_VALUE"""),"#VALUE!")</f>
        <v>#VALUE!</v>
      </c>
      <c r="CY816" t="str">
        <f ca="1">IFERROR(__xludf.DUMMYFUNCTION("""COMPUTED_VALUE"""),"#VALUE!")</f>
        <v>#VALUE!</v>
      </c>
      <c r="DC816" t="str">
        <f ca="1">IFERROR(__xludf.DUMMYFUNCTION("""COMPUTED_VALUE"""),"#VALUE!")</f>
        <v>#VALUE!</v>
      </c>
      <c r="DE816" t="str">
        <f ca="1">IFERROR(__xludf.DUMMYFUNCTION("""COMPUTED_VALUE"""),"#VALUE!")</f>
        <v>#VALUE!</v>
      </c>
    </row>
    <row r="817" spans="1:109" ht="13.2" x14ac:dyDescent="0.25">
      <c r="A817" t="str">
        <f ca="1">IFERROR(__xludf.DUMMYFUNCTION("""COMPUTED_VALUE"""),"P0826")</f>
        <v>P0826</v>
      </c>
      <c r="BC817" t="str">
        <f ca="1">IFERROR(__xludf.DUMMYFUNCTION("""COMPUTED_VALUE"""),"#VALUE!")</f>
        <v>#VALUE!</v>
      </c>
      <c r="BE817" t="str">
        <f ca="1">IFERROR(__xludf.DUMMYFUNCTION("""COMPUTED_VALUE"""),"#VALUE!")</f>
        <v>#VALUE!</v>
      </c>
      <c r="BG817" t="str">
        <f ca="1">IFERROR(__xludf.DUMMYFUNCTION("""COMPUTED_VALUE"""),"#VALUE!")</f>
        <v>#VALUE!</v>
      </c>
      <c r="BI817" t="str">
        <f ca="1">IFERROR(__xludf.DUMMYFUNCTION("""COMPUTED_VALUE"""),"#VALUE!")</f>
        <v>#VALUE!</v>
      </c>
      <c r="BK817" t="str">
        <f ca="1">IFERROR(__xludf.DUMMYFUNCTION("""COMPUTED_VALUE"""),"#VALUE!")</f>
        <v>#VALUE!</v>
      </c>
      <c r="BM817" t="str">
        <f ca="1">IFERROR(__xludf.DUMMYFUNCTION("""COMPUTED_VALUE"""),"#VALUE!")</f>
        <v>#VALUE!</v>
      </c>
      <c r="CS817" t="str">
        <f ca="1">IFERROR(__xludf.DUMMYFUNCTION("""COMPUTED_VALUE"""),"#VALUE!")</f>
        <v>#VALUE!</v>
      </c>
      <c r="CU817" t="str">
        <f ca="1">IFERROR(__xludf.DUMMYFUNCTION("""COMPUTED_VALUE"""),"#VALUE!")</f>
        <v>#VALUE!</v>
      </c>
      <c r="CW817" t="str">
        <f ca="1">IFERROR(__xludf.DUMMYFUNCTION("""COMPUTED_VALUE"""),"#VALUE!")</f>
        <v>#VALUE!</v>
      </c>
      <c r="CY817" t="str">
        <f ca="1">IFERROR(__xludf.DUMMYFUNCTION("""COMPUTED_VALUE"""),"#VALUE!")</f>
        <v>#VALUE!</v>
      </c>
      <c r="DC817" t="str">
        <f ca="1">IFERROR(__xludf.DUMMYFUNCTION("""COMPUTED_VALUE"""),"#VALUE!")</f>
        <v>#VALUE!</v>
      </c>
      <c r="DE817" t="str">
        <f ca="1">IFERROR(__xludf.DUMMYFUNCTION("""COMPUTED_VALUE"""),"#VALUE!")</f>
        <v>#VALUE!</v>
      </c>
    </row>
    <row r="818" spans="1:109" ht="13.2" x14ac:dyDescent="0.25">
      <c r="A818" t="str">
        <f ca="1">IFERROR(__xludf.DUMMYFUNCTION("""COMPUTED_VALUE"""),"P0827")</f>
        <v>P0827</v>
      </c>
      <c r="BC818" t="str">
        <f ca="1">IFERROR(__xludf.DUMMYFUNCTION("""COMPUTED_VALUE"""),"#VALUE!")</f>
        <v>#VALUE!</v>
      </c>
      <c r="BE818" t="str">
        <f ca="1">IFERROR(__xludf.DUMMYFUNCTION("""COMPUTED_VALUE"""),"#VALUE!")</f>
        <v>#VALUE!</v>
      </c>
      <c r="BG818" t="str">
        <f ca="1">IFERROR(__xludf.DUMMYFUNCTION("""COMPUTED_VALUE"""),"#VALUE!")</f>
        <v>#VALUE!</v>
      </c>
      <c r="BI818" t="str">
        <f ca="1">IFERROR(__xludf.DUMMYFUNCTION("""COMPUTED_VALUE"""),"#VALUE!")</f>
        <v>#VALUE!</v>
      </c>
      <c r="BK818" t="str">
        <f ca="1">IFERROR(__xludf.DUMMYFUNCTION("""COMPUTED_VALUE"""),"#VALUE!")</f>
        <v>#VALUE!</v>
      </c>
      <c r="BM818" t="str">
        <f ca="1">IFERROR(__xludf.DUMMYFUNCTION("""COMPUTED_VALUE"""),"#VALUE!")</f>
        <v>#VALUE!</v>
      </c>
      <c r="CS818" t="str">
        <f ca="1">IFERROR(__xludf.DUMMYFUNCTION("""COMPUTED_VALUE"""),"#VALUE!")</f>
        <v>#VALUE!</v>
      </c>
      <c r="CU818" t="str">
        <f ca="1">IFERROR(__xludf.DUMMYFUNCTION("""COMPUTED_VALUE"""),"#VALUE!")</f>
        <v>#VALUE!</v>
      </c>
      <c r="CW818" t="str">
        <f ca="1">IFERROR(__xludf.DUMMYFUNCTION("""COMPUTED_VALUE"""),"#VALUE!")</f>
        <v>#VALUE!</v>
      </c>
      <c r="CY818" t="str">
        <f ca="1">IFERROR(__xludf.DUMMYFUNCTION("""COMPUTED_VALUE"""),"#VALUE!")</f>
        <v>#VALUE!</v>
      </c>
      <c r="DC818" t="str">
        <f ca="1">IFERROR(__xludf.DUMMYFUNCTION("""COMPUTED_VALUE"""),"#VALUE!")</f>
        <v>#VALUE!</v>
      </c>
      <c r="DE818" t="str">
        <f ca="1">IFERROR(__xludf.DUMMYFUNCTION("""COMPUTED_VALUE"""),"#VALUE!")</f>
        <v>#VALUE!</v>
      </c>
    </row>
    <row r="819" spans="1:109" ht="13.2" x14ac:dyDescent="0.25">
      <c r="A819" t="str">
        <f ca="1">IFERROR(__xludf.DUMMYFUNCTION("""COMPUTED_VALUE"""),"P0828")</f>
        <v>P0828</v>
      </c>
      <c r="BC819" t="str">
        <f ca="1">IFERROR(__xludf.DUMMYFUNCTION("""COMPUTED_VALUE"""),"#VALUE!")</f>
        <v>#VALUE!</v>
      </c>
      <c r="BE819" t="str">
        <f ca="1">IFERROR(__xludf.DUMMYFUNCTION("""COMPUTED_VALUE"""),"#VALUE!")</f>
        <v>#VALUE!</v>
      </c>
      <c r="BG819" t="str">
        <f ca="1">IFERROR(__xludf.DUMMYFUNCTION("""COMPUTED_VALUE"""),"#VALUE!")</f>
        <v>#VALUE!</v>
      </c>
      <c r="BI819" t="str">
        <f ca="1">IFERROR(__xludf.DUMMYFUNCTION("""COMPUTED_VALUE"""),"#VALUE!")</f>
        <v>#VALUE!</v>
      </c>
      <c r="BK819" t="str">
        <f ca="1">IFERROR(__xludf.DUMMYFUNCTION("""COMPUTED_VALUE"""),"#VALUE!")</f>
        <v>#VALUE!</v>
      </c>
      <c r="BM819" t="str">
        <f ca="1">IFERROR(__xludf.DUMMYFUNCTION("""COMPUTED_VALUE"""),"#VALUE!")</f>
        <v>#VALUE!</v>
      </c>
      <c r="CS819" t="str">
        <f ca="1">IFERROR(__xludf.DUMMYFUNCTION("""COMPUTED_VALUE"""),"#VALUE!")</f>
        <v>#VALUE!</v>
      </c>
      <c r="CU819" t="str">
        <f ca="1">IFERROR(__xludf.DUMMYFUNCTION("""COMPUTED_VALUE"""),"#VALUE!")</f>
        <v>#VALUE!</v>
      </c>
      <c r="CW819" t="str">
        <f ca="1">IFERROR(__xludf.DUMMYFUNCTION("""COMPUTED_VALUE"""),"#VALUE!")</f>
        <v>#VALUE!</v>
      </c>
      <c r="CY819" t="str">
        <f ca="1">IFERROR(__xludf.DUMMYFUNCTION("""COMPUTED_VALUE"""),"#VALUE!")</f>
        <v>#VALUE!</v>
      </c>
      <c r="DC819" t="str">
        <f ca="1">IFERROR(__xludf.DUMMYFUNCTION("""COMPUTED_VALUE"""),"#VALUE!")</f>
        <v>#VALUE!</v>
      </c>
      <c r="DE819" t="str">
        <f ca="1">IFERROR(__xludf.DUMMYFUNCTION("""COMPUTED_VALUE"""),"#VALUE!")</f>
        <v>#VALUE!</v>
      </c>
    </row>
    <row r="820" spans="1:109" ht="13.2" x14ac:dyDescent="0.25">
      <c r="A820" t="str">
        <f ca="1">IFERROR(__xludf.DUMMYFUNCTION("""COMPUTED_VALUE"""),"P0829")</f>
        <v>P0829</v>
      </c>
      <c r="BC820" t="str">
        <f ca="1">IFERROR(__xludf.DUMMYFUNCTION("""COMPUTED_VALUE"""),"#VALUE!")</f>
        <v>#VALUE!</v>
      </c>
      <c r="BE820" t="str">
        <f ca="1">IFERROR(__xludf.DUMMYFUNCTION("""COMPUTED_VALUE"""),"#VALUE!")</f>
        <v>#VALUE!</v>
      </c>
      <c r="BG820" t="str">
        <f ca="1">IFERROR(__xludf.DUMMYFUNCTION("""COMPUTED_VALUE"""),"#VALUE!")</f>
        <v>#VALUE!</v>
      </c>
      <c r="BI820" t="str">
        <f ca="1">IFERROR(__xludf.DUMMYFUNCTION("""COMPUTED_VALUE"""),"#VALUE!")</f>
        <v>#VALUE!</v>
      </c>
      <c r="BK820" t="str">
        <f ca="1">IFERROR(__xludf.DUMMYFUNCTION("""COMPUTED_VALUE"""),"#VALUE!")</f>
        <v>#VALUE!</v>
      </c>
      <c r="BM820" t="str">
        <f ca="1">IFERROR(__xludf.DUMMYFUNCTION("""COMPUTED_VALUE"""),"#VALUE!")</f>
        <v>#VALUE!</v>
      </c>
      <c r="CS820" t="str">
        <f ca="1">IFERROR(__xludf.DUMMYFUNCTION("""COMPUTED_VALUE"""),"#VALUE!")</f>
        <v>#VALUE!</v>
      </c>
      <c r="CU820" t="str">
        <f ca="1">IFERROR(__xludf.DUMMYFUNCTION("""COMPUTED_VALUE"""),"#VALUE!")</f>
        <v>#VALUE!</v>
      </c>
      <c r="CW820" t="str">
        <f ca="1">IFERROR(__xludf.DUMMYFUNCTION("""COMPUTED_VALUE"""),"#VALUE!")</f>
        <v>#VALUE!</v>
      </c>
      <c r="CY820" t="str">
        <f ca="1">IFERROR(__xludf.DUMMYFUNCTION("""COMPUTED_VALUE"""),"#VALUE!")</f>
        <v>#VALUE!</v>
      </c>
      <c r="DC820" t="str">
        <f ca="1">IFERROR(__xludf.DUMMYFUNCTION("""COMPUTED_VALUE"""),"#VALUE!")</f>
        <v>#VALUE!</v>
      </c>
      <c r="DE820" t="str">
        <f ca="1">IFERROR(__xludf.DUMMYFUNCTION("""COMPUTED_VALUE"""),"#VALUE!")</f>
        <v>#VALUE!</v>
      </c>
    </row>
    <row r="821" spans="1:109" ht="13.2" x14ac:dyDescent="0.25">
      <c r="A821" t="str">
        <f ca="1">IFERROR(__xludf.DUMMYFUNCTION("""COMPUTED_VALUE"""),"P0830")</f>
        <v>P0830</v>
      </c>
      <c r="BC821" t="str">
        <f ca="1">IFERROR(__xludf.DUMMYFUNCTION("""COMPUTED_VALUE"""),"#VALUE!")</f>
        <v>#VALUE!</v>
      </c>
      <c r="BE821" t="str">
        <f ca="1">IFERROR(__xludf.DUMMYFUNCTION("""COMPUTED_VALUE"""),"#VALUE!")</f>
        <v>#VALUE!</v>
      </c>
      <c r="BG821" t="str">
        <f ca="1">IFERROR(__xludf.DUMMYFUNCTION("""COMPUTED_VALUE"""),"#VALUE!")</f>
        <v>#VALUE!</v>
      </c>
      <c r="BI821" t="str">
        <f ca="1">IFERROR(__xludf.DUMMYFUNCTION("""COMPUTED_VALUE"""),"#VALUE!")</f>
        <v>#VALUE!</v>
      </c>
      <c r="BK821" t="str">
        <f ca="1">IFERROR(__xludf.DUMMYFUNCTION("""COMPUTED_VALUE"""),"#VALUE!")</f>
        <v>#VALUE!</v>
      </c>
      <c r="BM821" t="str">
        <f ca="1">IFERROR(__xludf.DUMMYFUNCTION("""COMPUTED_VALUE"""),"#VALUE!")</f>
        <v>#VALUE!</v>
      </c>
      <c r="CS821" t="str">
        <f ca="1">IFERROR(__xludf.DUMMYFUNCTION("""COMPUTED_VALUE"""),"#VALUE!")</f>
        <v>#VALUE!</v>
      </c>
      <c r="CU821" t="str">
        <f ca="1">IFERROR(__xludf.DUMMYFUNCTION("""COMPUTED_VALUE"""),"#VALUE!")</f>
        <v>#VALUE!</v>
      </c>
      <c r="CW821" t="str">
        <f ca="1">IFERROR(__xludf.DUMMYFUNCTION("""COMPUTED_VALUE"""),"#VALUE!")</f>
        <v>#VALUE!</v>
      </c>
      <c r="CY821" t="str">
        <f ca="1">IFERROR(__xludf.DUMMYFUNCTION("""COMPUTED_VALUE"""),"#VALUE!")</f>
        <v>#VALUE!</v>
      </c>
      <c r="DC821" t="str">
        <f ca="1">IFERROR(__xludf.DUMMYFUNCTION("""COMPUTED_VALUE"""),"#VALUE!")</f>
        <v>#VALUE!</v>
      </c>
      <c r="DE821" t="str">
        <f ca="1">IFERROR(__xludf.DUMMYFUNCTION("""COMPUTED_VALUE"""),"#VALUE!")</f>
        <v>#VALUE!</v>
      </c>
    </row>
    <row r="822" spans="1:109" ht="13.2" x14ac:dyDescent="0.25">
      <c r="A822" t="str">
        <f ca="1">IFERROR(__xludf.DUMMYFUNCTION("""COMPUTED_VALUE"""),"P0831")</f>
        <v>P0831</v>
      </c>
      <c r="BC822" t="str">
        <f ca="1">IFERROR(__xludf.DUMMYFUNCTION("""COMPUTED_VALUE"""),"#VALUE!")</f>
        <v>#VALUE!</v>
      </c>
      <c r="BE822" t="str">
        <f ca="1">IFERROR(__xludf.DUMMYFUNCTION("""COMPUTED_VALUE"""),"#VALUE!")</f>
        <v>#VALUE!</v>
      </c>
      <c r="BG822" t="str">
        <f ca="1">IFERROR(__xludf.DUMMYFUNCTION("""COMPUTED_VALUE"""),"#VALUE!")</f>
        <v>#VALUE!</v>
      </c>
      <c r="BI822" t="str">
        <f ca="1">IFERROR(__xludf.DUMMYFUNCTION("""COMPUTED_VALUE"""),"#VALUE!")</f>
        <v>#VALUE!</v>
      </c>
      <c r="BK822" t="str">
        <f ca="1">IFERROR(__xludf.DUMMYFUNCTION("""COMPUTED_VALUE"""),"#VALUE!")</f>
        <v>#VALUE!</v>
      </c>
      <c r="BM822" t="str">
        <f ca="1">IFERROR(__xludf.DUMMYFUNCTION("""COMPUTED_VALUE"""),"#VALUE!")</f>
        <v>#VALUE!</v>
      </c>
      <c r="CS822" t="str">
        <f ca="1">IFERROR(__xludf.DUMMYFUNCTION("""COMPUTED_VALUE"""),"#VALUE!")</f>
        <v>#VALUE!</v>
      </c>
      <c r="CU822" t="str">
        <f ca="1">IFERROR(__xludf.DUMMYFUNCTION("""COMPUTED_VALUE"""),"#VALUE!")</f>
        <v>#VALUE!</v>
      </c>
      <c r="CW822" t="str">
        <f ca="1">IFERROR(__xludf.DUMMYFUNCTION("""COMPUTED_VALUE"""),"#VALUE!")</f>
        <v>#VALUE!</v>
      </c>
      <c r="CY822" t="str">
        <f ca="1">IFERROR(__xludf.DUMMYFUNCTION("""COMPUTED_VALUE"""),"#VALUE!")</f>
        <v>#VALUE!</v>
      </c>
      <c r="DC822" t="str">
        <f ca="1">IFERROR(__xludf.DUMMYFUNCTION("""COMPUTED_VALUE"""),"#VALUE!")</f>
        <v>#VALUE!</v>
      </c>
      <c r="DE822" t="str">
        <f ca="1">IFERROR(__xludf.DUMMYFUNCTION("""COMPUTED_VALUE"""),"#VALUE!")</f>
        <v>#VALUE!</v>
      </c>
    </row>
    <row r="823" spans="1:109" ht="13.2" x14ac:dyDescent="0.25">
      <c r="A823" t="str">
        <f ca="1">IFERROR(__xludf.DUMMYFUNCTION("""COMPUTED_VALUE"""),"P0832")</f>
        <v>P0832</v>
      </c>
      <c r="BC823" t="str">
        <f ca="1">IFERROR(__xludf.DUMMYFUNCTION("""COMPUTED_VALUE"""),"#VALUE!")</f>
        <v>#VALUE!</v>
      </c>
      <c r="BE823" t="str">
        <f ca="1">IFERROR(__xludf.DUMMYFUNCTION("""COMPUTED_VALUE"""),"#VALUE!")</f>
        <v>#VALUE!</v>
      </c>
      <c r="BG823" t="str">
        <f ca="1">IFERROR(__xludf.DUMMYFUNCTION("""COMPUTED_VALUE"""),"#VALUE!")</f>
        <v>#VALUE!</v>
      </c>
      <c r="BI823" t="str">
        <f ca="1">IFERROR(__xludf.DUMMYFUNCTION("""COMPUTED_VALUE"""),"#VALUE!")</f>
        <v>#VALUE!</v>
      </c>
      <c r="BK823" t="str">
        <f ca="1">IFERROR(__xludf.DUMMYFUNCTION("""COMPUTED_VALUE"""),"#VALUE!")</f>
        <v>#VALUE!</v>
      </c>
      <c r="BM823" t="str">
        <f ca="1">IFERROR(__xludf.DUMMYFUNCTION("""COMPUTED_VALUE"""),"#VALUE!")</f>
        <v>#VALUE!</v>
      </c>
      <c r="CS823" t="str">
        <f ca="1">IFERROR(__xludf.DUMMYFUNCTION("""COMPUTED_VALUE"""),"#VALUE!")</f>
        <v>#VALUE!</v>
      </c>
      <c r="CU823" t="str">
        <f ca="1">IFERROR(__xludf.DUMMYFUNCTION("""COMPUTED_VALUE"""),"#VALUE!")</f>
        <v>#VALUE!</v>
      </c>
      <c r="CW823" t="str">
        <f ca="1">IFERROR(__xludf.DUMMYFUNCTION("""COMPUTED_VALUE"""),"#VALUE!")</f>
        <v>#VALUE!</v>
      </c>
      <c r="CY823" t="str">
        <f ca="1">IFERROR(__xludf.DUMMYFUNCTION("""COMPUTED_VALUE"""),"#VALUE!")</f>
        <v>#VALUE!</v>
      </c>
      <c r="DC823" t="str">
        <f ca="1">IFERROR(__xludf.DUMMYFUNCTION("""COMPUTED_VALUE"""),"#VALUE!")</f>
        <v>#VALUE!</v>
      </c>
      <c r="DE823" t="str">
        <f ca="1">IFERROR(__xludf.DUMMYFUNCTION("""COMPUTED_VALUE"""),"#VALUE!")</f>
        <v>#VALUE!</v>
      </c>
    </row>
    <row r="824" spans="1:109" ht="13.2" x14ac:dyDescent="0.25">
      <c r="A824" t="str">
        <f ca="1">IFERROR(__xludf.DUMMYFUNCTION("""COMPUTED_VALUE"""),"P0833")</f>
        <v>P0833</v>
      </c>
      <c r="BC824" t="str">
        <f ca="1">IFERROR(__xludf.DUMMYFUNCTION("""COMPUTED_VALUE"""),"#VALUE!")</f>
        <v>#VALUE!</v>
      </c>
      <c r="BE824" t="str">
        <f ca="1">IFERROR(__xludf.DUMMYFUNCTION("""COMPUTED_VALUE"""),"#VALUE!")</f>
        <v>#VALUE!</v>
      </c>
      <c r="BG824" t="str">
        <f ca="1">IFERROR(__xludf.DUMMYFUNCTION("""COMPUTED_VALUE"""),"#VALUE!")</f>
        <v>#VALUE!</v>
      </c>
      <c r="BI824" t="str">
        <f ca="1">IFERROR(__xludf.DUMMYFUNCTION("""COMPUTED_VALUE"""),"#VALUE!")</f>
        <v>#VALUE!</v>
      </c>
      <c r="BK824" t="str">
        <f ca="1">IFERROR(__xludf.DUMMYFUNCTION("""COMPUTED_VALUE"""),"#VALUE!")</f>
        <v>#VALUE!</v>
      </c>
      <c r="BM824" t="str">
        <f ca="1">IFERROR(__xludf.DUMMYFUNCTION("""COMPUTED_VALUE"""),"#VALUE!")</f>
        <v>#VALUE!</v>
      </c>
      <c r="CS824" t="str">
        <f ca="1">IFERROR(__xludf.DUMMYFUNCTION("""COMPUTED_VALUE"""),"#VALUE!")</f>
        <v>#VALUE!</v>
      </c>
      <c r="CU824" t="str">
        <f ca="1">IFERROR(__xludf.DUMMYFUNCTION("""COMPUTED_VALUE"""),"#VALUE!")</f>
        <v>#VALUE!</v>
      </c>
      <c r="CW824" t="str">
        <f ca="1">IFERROR(__xludf.DUMMYFUNCTION("""COMPUTED_VALUE"""),"#VALUE!")</f>
        <v>#VALUE!</v>
      </c>
      <c r="CY824" t="str">
        <f ca="1">IFERROR(__xludf.DUMMYFUNCTION("""COMPUTED_VALUE"""),"#VALUE!")</f>
        <v>#VALUE!</v>
      </c>
      <c r="DC824" t="str">
        <f ca="1">IFERROR(__xludf.DUMMYFUNCTION("""COMPUTED_VALUE"""),"#VALUE!")</f>
        <v>#VALUE!</v>
      </c>
      <c r="DE824" t="str">
        <f ca="1">IFERROR(__xludf.DUMMYFUNCTION("""COMPUTED_VALUE"""),"#VALUE!")</f>
        <v>#VALUE!</v>
      </c>
    </row>
    <row r="825" spans="1:109" ht="13.2" x14ac:dyDescent="0.25">
      <c r="A825" t="str">
        <f ca="1">IFERROR(__xludf.DUMMYFUNCTION("""COMPUTED_VALUE"""),"P0834")</f>
        <v>P0834</v>
      </c>
      <c r="BC825" t="str">
        <f ca="1">IFERROR(__xludf.DUMMYFUNCTION("""COMPUTED_VALUE"""),"#VALUE!")</f>
        <v>#VALUE!</v>
      </c>
      <c r="BE825" t="str">
        <f ca="1">IFERROR(__xludf.DUMMYFUNCTION("""COMPUTED_VALUE"""),"#VALUE!")</f>
        <v>#VALUE!</v>
      </c>
      <c r="BG825" t="str">
        <f ca="1">IFERROR(__xludf.DUMMYFUNCTION("""COMPUTED_VALUE"""),"#VALUE!")</f>
        <v>#VALUE!</v>
      </c>
      <c r="BI825" t="str">
        <f ca="1">IFERROR(__xludf.DUMMYFUNCTION("""COMPUTED_VALUE"""),"#VALUE!")</f>
        <v>#VALUE!</v>
      </c>
      <c r="BK825" t="str">
        <f ca="1">IFERROR(__xludf.DUMMYFUNCTION("""COMPUTED_VALUE"""),"#VALUE!")</f>
        <v>#VALUE!</v>
      </c>
      <c r="BM825" t="str">
        <f ca="1">IFERROR(__xludf.DUMMYFUNCTION("""COMPUTED_VALUE"""),"#VALUE!")</f>
        <v>#VALUE!</v>
      </c>
      <c r="CS825" t="str">
        <f ca="1">IFERROR(__xludf.DUMMYFUNCTION("""COMPUTED_VALUE"""),"#VALUE!")</f>
        <v>#VALUE!</v>
      </c>
      <c r="CU825" t="str">
        <f ca="1">IFERROR(__xludf.DUMMYFUNCTION("""COMPUTED_VALUE"""),"#VALUE!")</f>
        <v>#VALUE!</v>
      </c>
      <c r="CW825" t="str">
        <f ca="1">IFERROR(__xludf.DUMMYFUNCTION("""COMPUTED_VALUE"""),"#VALUE!")</f>
        <v>#VALUE!</v>
      </c>
      <c r="CY825" t="str">
        <f ca="1">IFERROR(__xludf.DUMMYFUNCTION("""COMPUTED_VALUE"""),"#VALUE!")</f>
        <v>#VALUE!</v>
      </c>
      <c r="DC825" t="str">
        <f ca="1">IFERROR(__xludf.DUMMYFUNCTION("""COMPUTED_VALUE"""),"#VALUE!")</f>
        <v>#VALUE!</v>
      </c>
      <c r="DE825" t="str">
        <f ca="1">IFERROR(__xludf.DUMMYFUNCTION("""COMPUTED_VALUE"""),"#VALUE!")</f>
        <v>#VALUE!</v>
      </c>
    </row>
    <row r="826" spans="1:109" ht="13.2" x14ac:dyDescent="0.25">
      <c r="A826" t="str">
        <f ca="1">IFERROR(__xludf.DUMMYFUNCTION("""COMPUTED_VALUE"""),"P0835")</f>
        <v>P0835</v>
      </c>
      <c r="BC826" t="str">
        <f ca="1">IFERROR(__xludf.DUMMYFUNCTION("""COMPUTED_VALUE"""),"#VALUE!")</f>
        <v>#VALUE!</v>
      </c>
      <c r="BE826" t="str">
        <f ca="1">IFERROR(__xludf.DUMMYFUNCTION("""COMPUTED_VALUE"""),"#VALUE!")</f>
        <v>#VALUE!</v>
      </c>
      <c r="BG826" t="str">
        <f ca="1">IFERROR(__xludf.DUMMYFUNCTION("""COMPUTED_VALUE"""),"#VALUE!")</f>
        <v>#VALUE!</v>
      </c>
      <c r="BI826" t="str">
        <f ca="1">IFERROR(__xludf.DUMMYFUNCTION("""COMPUTED_VALUE"""),"#VALUE!")</f>
        <v>#VALUE!</v>
      </c>
      <c r="BK826" t="str">
        <f ca="1">IFERROR(__xludf.DUMMYFUNCTION("""COMPUTED_VALUE"""),"#VALUE!")</f>
        <v>#VALUE!</v>
      </c>
      <c r="BM826" t="str">
        <f ca="1">IFERROR(__xludf.DUMMYFUNCTION("""COMPUTED_VALUE"""),"#VALUE!")</f>
        <v>#VALUE!</v>
      </c>
      <c r="CS826" t="str">
        <f ca="1">IFERROR(__xludf.DUMMYFUNCTION("""COMPUTED_VALUE"""),"#VALUE!")</f>
        <v>#VALUE!</v>
      </c>
      <c r="CU826" t="str">
        <f ca="1">IFERROR(__xludf.DUMMYFUNCTION("""COMPUTED_VALUE"""),"#VALUE!")</f>
        <v>#VALUE!</v>
      </c>
      <c r="CW826" t="str">
        <f ca="1">IFERROR(__xludf.DUMMYFUNCTION("""COMPUTED_VALUE"""),"#VALUE!")</f>
        <v>#VALUE!</v>
      </c>
      <c r="CY826" t="str">
        <f ca="1">IFERROR(__xludf.DUMMYFUNCTION("""COMPUTED_VALUE"""),"#VALUE!")</f>
        <v>#VALUE!</v>
      </c>
      <c r="DC826" t="str">
        <f ca="1">IFERROR(__xludf.DUMMYFUNCTION("""COMPUTED_VALUE"""),"#VALUE!")</f>
        <v>#VALUE!</v>
      </c>
      <c r="DE826" t="str">
        <f ca="1">IFERROR(__xludf.DUMMYFUNCTION("""COMPUTED_VALUE"""),"#VALUE!")</f>
        <v>#VALUE!</v>
      </c>
    </row>
    <row r="827" spans="1:109" ht="13.2" x14ac:dyDescent="0.25">
      <c r="A827" t="str">
        <f ca="1">IFERROR(__xludf.DUMMYFUNCTION("""COMPUTED_VALUE"""),"P0836")</f>
        <v>P0836</v>
      </c>
      <c r="BC827" t="str">
        <f ca="1">IFERROR(__xludf.DUMMYFUNCTION("""COMPUTED_VALUE"""),"#VALUE!")</f>
        <v>#VALUE!</v>
      </c>
      <c r="BE827" t="str">
        <f ca="1">IFERROR(__xludf.DUMMYFUNCTION("""COMPUTED_VALUE"""),"#VALUE!")</f>
        <v>#VALUE!</v>
      </c>
      <c r="BG827" t="str">
        <f ca="1">IFERROR(__xludf.DUMMYFUNCTION("""COMPUTED_VALUE"""),"#VALUE!")</f>
        <v>#VALUE!</v>
      </c>
      <c r="BI827" t="str">
        <f ca="1">IFERROR(__xludf.DUMMYFUNCTION("""COMPUTED_VALUE"""),"#VALUE!")</f>
        <v>#VALUE!</v>
      </c>
      <c r="BK827" t="str">
        <f ca="1">IFERROR(__xludf.DUMMYFUNCTION("""COMPUTED_VALUE"""),"#VALUE!")</f>
        <v>#VALUE!</v>
      </c>
      <c r="BM827" t="str">
        <f ca="1">IFERROR(__xludf.DUMMYFUNCTION("""COMPUTED_VALUE"""),"#VALUE!")</f>
        <v>#VALUE!</v>
      </c>
      <c r="CS827" t="str">
        <f ca="1">IFERROR(__xludf.DUMMYFUNCTION("""COMPUTED_VALUE"""),"#VALUE!")</f>
        <v>#VALUE!</v>
      </c>
      <c r="CU827" t="str">
        <f ca="1">IFERROR(__xludf.DUMMYFUNCTION("""COMPUTED_VALUE"""),"#VALUE!")</f>
        <v>#VALUE!</v>
      </c>
      <c r="CW827" t="str">
        <f ca="1">IFERROR(__xludf.DUMMYFUNCTION("""COMPUTED_VALUE"""),"#VALUE!")</f>
        <v>#VALUE!</v>
      </c>
      <c r="CY827" t="str">
        <f ca="1">IFERROR(__xludf.DUMMYFUNCTION("""COMPUTED_VALUE"""),"#VALUE!")</f>
        <v>#VALUE!</v>
      </c>
      <c r="DC827" t="str">
        <f ca="1">IFERROR(__xludf.DUMMYFUNCTION("""COMPUTED_VALUE"""),"#VALUE!")</f>
        <v>#VALUE!</v>
      </c>
      <c r="DE827" t="str">
        <f ca="1">IFERROR(__xludf.DUMMYFUNCTION("""COMPUTED_VALUE"""),"#VALUE!")</f>
        <v>#VALUE!</v>
      </c>
    </row>
    <row r="828" spans="1:109" ht="13.2" x14ac:dyDescent="0.25">
      <c r="A828" t="str">
        <f ca="1">IFERROR(__xludf.DUMMYFUNCTION("""COMPUTED_VALUE"""),"P0837")</f>
        <v>P0837</v>
      </c>
      <c r="BC828" t="str">
        <f ca="1">IFERROR(__xludf.DUMMYFUNCTION("""COMPUTED_VALUE"""),"#VALUE!")</f>
        <v>#VALUE!</v>
      </c>
      <c r="BE828" t="str">
        <f ca="1">IFERROR(__xludf.DUMMYFUNCTION("""COMPUTED_VALUE"""),"#VALUE!")</f>
        <v>#VALUE!</v>
      </c>
      <c r="BG828" t="str">
        <f ca="1">IFERROR(__xludf.DUMMYFUNCTION("""COMPUTED_VALUE"""),"#VALUE!")</f>
        <v>#VALUE!</v>
      </c>
      <c r="BI828" t="str">
        <f ca="1">IFERROR(__xludf.DUMMYFUNCTION("""COMPUTED_VALUE"""),"#VALUE!")</f>
        <v>#VALUE!</v>
      </c>
      <c r="BK828" t="str">
        <f ca="1">IFERROR(__xludf.DUMMYFUNCTION("""COMPUTED_VALUE"""),"#VALUE!")</f>
        <v>#VALUE!</v>
      </c>
      <c r="BM828" t="str">
        <f ca="1">IFERROR(__xludf.DUMMYFUNCTION("""COMPUTED_VALUE"""),"#VALUE!")</f>
        <v>#VALUE!</v>
      </c>
      <c r="CS828" t="str">
        <f ca="1">IFERROR(__xludf.DUMMYFUNCTION("""COMPUTED_VALUE"""),"#VALUE!")</f>
        <v>#VALUE!</v>
      </c>
      <c r="CU828" t="str">
        <f ca="1">IFERROR(__xludf.DUMMYFUNCTION("""COMPUTED_VALUE"""),"#VALUE!")</f>
        <v>#VALUE!</v>
      </c>
      <c r="CW828" t="str">
        <f ca="1">IFERROR(__xludf.DUMMYFUNCTION("""COMPUTED_VALUE"""),"#VALUE!")</f>
        <v>#VALUE!</v>
      </c>
      <c r="CY828" t="str">
        <f ca="1">IFERROR(__xludf.DUMMYFUNCTION("""COMPUTED_VALUE"""),"#VALUE!")</f>
        <v>#VALUE!</v>
      </c>
      <c r="DC828" t="str">
        <f ca="1">IFERROR(__xludf.DUMMYFUNCTION("""COMPUTED_VALUE"""),"#VALUE!")</f>
        <v>#VALUE!</v>
      </c>
      <c r="DE828" t="str">
        <f ca="1">IFERROR(__xludf.DUMMYFUNCTION("""COMPUTED_VALUE"""),"#VALUE!")</f>
        <v>#VALUE!</v>
      </c>
    </row>
    <row r="829" spans="1:109" ht="13.2" x14ac:dyDescent="0.25">
      <c r="A829" t="str">
        <f ca="1">IFERROR(__xludf.DUMMYFUNCTION("""COMPUTED_VALUE"""),"P0838")</f>
        <v>P0838</v>
      </c>
      <c r="BC829" t="str">
        <f ca="1">IFERROR(__xludf.DUMMYFUNCTION("""COMPUTED_VALUE"""),"#VALUE!")</f>
        <v>#VALUE!</v>
      </c>
      <c r="BE829" t="str">
        <f ca="1">IFERROR(__xludf.DUMMYFUNCTION("""COMPUTED_VALUE"""),"#VALUE!")</f>
        <v>#VALUE!</v>
      </c>
      <c r="BG829" t="str">
        <f ca="1">IFERROR(__xludf.DUMMYFUNCTION("""COMPUTED_VALUE"""),"#VALUE!")</f>
        <v>#VALUE!</v>
      </c>
      <c r="BI829" t="str">
        <f ca="1">IFERROR(__xludf.DUMMYFUNCTION("""COMPUTED_VALUE"""),"#VALUE!")</f>
        <v>#VALUE!</v>
      </c>
      <c r="BK829" t="str">
        <f ca="1">IFERROR(__xludf.DUMMYFUNCTION("""COMPUTED_VALUE"""),"#VALUE!")</f>
        <v>#VALUE!</v>
      </c>
      <c r="BM829" t="str">
        <f ca="1">IFERROR(__xludf.DUMMYFUNCTION("""COMPUTED_VALUE"""),"#VALUE!")</f>
        <v>#VALUE!</v>
      </c>
      <c r="CS829" t="str">
        <f ca="1">IFERROR(__xludf.DUMMYFUNCTION("""COMPUTED_VALUE"""),"#VALUE!")</f>
        <v>#VALUE!</v>
      </c>
      <c r="CU829" t="str">
        <f ca="1">IFERROR(__xludf.DUMMYFUNCTION("""COMPUTED_VALUE"""),"#VALUE!")</f>
        <v>#VALUE!</v>
      </c>
      <c r="CW829" t="str">
        <f ca="1">IFERROR(__xludf.DUMMYFUNCTION("""COMPUTED_VALUE"""),"#VALUE!")</f>
        <v>#VALUE!</v>
      </c>
      <c r="CY829" t="str">
        <f ca="1">IFERROR(__xludf.DUMMYFUNCTION("""COMPUTED_VALUE"""),"#VALUE!")</f>
        <v>#VALUE!</v>
      </c>
      <c r="DC829" t="str">
        <f ca="1">IFERROR(__xludf.DUMMYFUNCTION("""COMPUTED_VALUE"""),"#VALUE!")</f>
        <v>#VALUE!</v>
      </c>
      <c r="DE829" t="str">
        <f ca="1">IFERROR(__xludf.DUMMYFUNCTION("""COMPUTED_VALUE"""),"#VALUE!")</f>
        <v>#VALUE!</v>
      </c>
    </row>
    <row r="830" spans="1:109" ht="13.2" x14ac:dyDescent="0.25">
      <c r="A830" t="str">
        <f ca="1">IFERROR(__xludf.DUMMYFUNCTION("""COMPUTED_VALUE"""),"P0839")</f>
        <v>P0839</v>
      </c>
      <c r="BC830" t="str">
        <f ca="1">IFERROR(__xludf.DUMMYFUNCTION("""COMPUTED_VALUE"""),"#VALUE!")</f>
        <v>#VALUE!</v>
      </c>
      <c r="BE830" t="str">
        <f ca="1">IFERROR(__xludf.DUMMYFUNCTION("""COMPUTED_VALUE"""),"#VALUE!")</f>
        <v>#VALUE!</v>
      </c>
      <c r="BG830" t="str">
        <f ca="1">IFERROR(__xludf.DUMMYFUNCTION("""COMPUTED_VALUE"""),"#VALUE!")</f>
        <v>#VALUE!</v>
      </c>
      <c r="BI830" t="str">
        <f ca="1">IFERROR(__xludf.DUMMYFUNCTION("""COMPUTED_VALUE"""),"#VALUE!")</f>
        <v>#VALUE!</v>
      </c>
      <c r="BK830" t="str">
        <f ca="1">IFERROR(__xludf.DUMMYFUNCTION("""COMPUTED_VALUE"""),"#VALUE!")</f>
        <v>#VALUE!</v>
      </c>
      <c r="BM830" t="str">
        <f ca="1">IFERROR(__xludf.DUMMYFUNCTION("""COMPUTED_VALUE"""),"#VALUE!")</f>
        <v>#VALUE!</v>
      </c>
      <c r="CS830" t="str">
        <f ca="1">IFERROR(__xludf.DUMMYFUNCTION("""COMPUTED_VALUE"""),"#VALUE!")</f>
        <v>#VALUE!</v>
      </c>
      <c r="CU830" t="str">
        <f ca="1">IFERROR(__xludf.DUMMYFUNCTION("""COMPUTED_VALUE"""),"#VALUE!")</f>
        <v>#VALUE!</v>
      </c>
      <c r="CW830" t="str">
        <f ca="1">IFERROR(__xludf.DUMMYFUNCTION("""COMPUTED_VALUE"""),"#VALUE!")</f>
        <v>#VALUE!</v>
      </c>
      <c r="CY830" t="str">
        <f ca="1">IFERROR(__xludf.DUMMYFUNCTION("""COMPUTED_VALUE"""),"#VALUE!")</f>
        <v>#VALUE!</v>
      </c>
      <c r="DC830" t="str">
        <f ca="1">IFERROR(__xludf.DUMMYFUNCTION("""COMPUTED_VALUE"""),"#VALUE!")</f>
        <v>#VALUE!</v>
      </c>
      <c r="DE830" t="str">
        <f ca="1">IFERROR(__xludf.DUMMYFUNCTION("""COMPUTED_VALUE"""),"#VALUE!")</f>
        <v>#VALUE!</v>
      </c>
    </row>
    <row r="831" spans="1:109" ht="13.2" x14ac:dyDescent="0.25">
      <c r="A831" t="str">
        <f ca="1">IFERROR(__xludf.DUMMYFUNCTION("""COMPUTED_VALUE"""),"P0840")</f>
        <v>P0840</v>
      </c>
      <c r="BC831" t="str">
        <f ca="1">IFERROR(__xludf.DUMMYFUNCTION("""COMPUTED_VALUE"""),"#VALUE!")</f>
        <v>#VALUE!</v>
      </c>
      <c r="BE831" t="str">
        <f ca="1">IFERROR(__xludf.DUMMYFUNCTION("""COMPUTED_VALUE"""),"#VALUE!")</f>
        <v>#VALUE!</v>
      </c>
      <c r="BG831" t="str">
        <f ca="1">IFERROR(__xludf.DUMMYFUNCTION("""COMPUTED_VALUE"""),"#VALUE!")</f>
        <v>#VALUE!</v>
      </c>
      <c r="BI831" t="str">
        <f ca="1">IFERROR(__xludf.DUMMYFUNCTION("""COMPUTED_VALUE"""),"#VALUE!")</f>
        <v>#VALUE!</v>
      </c>
      <c r="BK831" t="str">
        <f ca="1">IFERROR(__xludf.DUMMYFUNCTION("""COMPUTED_VALUE"""),"#VALUE!")</f>
        <v>#VALUE!</v>
      </c>
      <c r="BM831" t="str">
        <f ca="1">IFERROR(__xludf.DUMMYFUNCTION("""COMPUTED_VALUE"""),"#VALUE!")</f>
        <v>#VALUE!</v>
      </c>
      <c r="CS831" t="str">
        <f ca="1">IFERROR(__xludf.DUMMYFUNCTION("""COMPUTED_VALUE"""),"#VALUE!")</f>
        <v>#VALUE!</v>
      </c>
      <c r="CU831" t="str">
        <f ca="1">IFERROR(__xludf.DUMMYFUNCTION("""COMPUTED_VALUE"""),"#VALUE!")</f>
        <v>#VALUE!</v>
      </c>
      <c r="CW831" t="str">
        <f ca="1">IFERROR(__xludf.DUMMYFUNCTION("""COMPUTED_VALUE"""),"#VALUE!")</f>
        <v>#VALUE!</v>
      </c>
      <c r="CY831" t="str">
        <f ca="1">IFERROR(__xludf.DUMMYFUNCTION("""COMPUTED_VALUE"""),"#VALUE!")</f>
        <v>#VALUE!</v>
      </c>
      <c r="DC831" t="str">
        <f ca="1">IFERROR(__xludf.DUMMYFUNCTION("""COMPUTED_VALUE"""),"#VALUE!")</f>
        <v>#VALUE!</v>
      </c>
      <c r="DE831" t="str">
        <f ca="1">IFERROR(__xludf.DUMMYFUNCTION("""COMPUTED_VALUE"""),"#VALUE!")</f>
        <v>#VALUE!</v>
      </c>
    </row>
    <row r="832" spans="1:109" ht="13.2" x14ac:dyDescent="0.25">
      <c r="A832" t="str">
        <f ca="1">IFERROR(__xludf.DUMMYFUNCTION("""COMPUTED_VALUE"""),"P0841")</f>
        <v>P0841</v>
      </c>
      <c r="BC832" t="str">
        <f ca="1">IFERROR(__xludf.DUMMYFUNCTION("""COMPUTED_VALUE"""),"#VALUE!")</f>
        <v>#VALUE!</v>
      </c>
      <c r="BE832" t="str">
        <f ca="1">IFERROR(__xludf.DUMMYFUNCTION("""COMPUTED_VALUE"""),"#VALUE!")</f>
        <v>#VALUE!</v>
      </c>
      <c r="BG832" t="str">
        <f ca="1">IFERROR(__xludf.DUMMYFUNCTION("""COMPUTED_VALUE"""),"#VALUE!")</f>
        <v>#VALUE!</v>
      </c>
      <c r="BI832" t="str">
        <f ca="1">IFERROR(__xludf.DUMMYFUNCTION("""COMPUTED_VALUE"""),"#VALUE!")</f>
        <v>#VALUE!</v>
      </c>
      <c r="BK832" t="str">
        <f ca="1">IFERROR(__xludf.DUMMYFUNCTION("""COMPUTED_VALUE"""),"#VALUE!")</f>
        <v>#VALUE!</v>
      </c>
      <c r="BM832" t="str">
        <f ca="1">IFERROR(__xludf.DUMMYFUNCTION("""COMPUTED_VALUE"""),"#VALUE!")</f>
        <v>#VALUE!</v>
      </c>
      <c r="CS832" t="str">
        <f ca="1">IFERROR(__xludf.DUMMYFUNCTION("""COMPUTED_VALUE"""),"#VALUE!")</f>
        <v>#VALUE!</v>
      </c>
      <c r="CU832" t="str">
        <f ca="1">IFERROR(__xludf.DUMMYFUNCTION("""COMPUTED_VALUE"""),"#VALUE!")</f>
        <v>#VALUE!</v>
      </c>
      <c r="CW832" t="str">
        <f ca="1">IFERROR(__xludf.DUMMYFUNCTION("""COMPUTED_VALUE"""),"#VALUE!")</f>
        <v>#VALUE!</v>
      </c>
      <c r="CY832" t="str">
        <f ca="1">IFERROR(__xludf.DUMMYFUNCTION("""COMPUTED_VALUE"""),"#VALUE!")</f>
        <v>#VALUE!</v>
      </c>
      <c r="DC832" t="str">
        <f ca="1">IFERROR(__xludf.DUMMYFUNCTION("""COMPUTED_VALUE"""),"#VALUE!")</f>
        <v>#VALUE!</v>
      </c>
      <c r="DE832" t="str">
        <f ca="1">IFERROR(__xludf.DUMMYFUNCTION("""COMPUTED_VALUE"""),"#VALUE!")</f>
        <v>#VALUE!</v>
      </c>
    </row>
    <row r="833" spans="1:109" ht="13.2" x14ac:dyDescent="0.25">
      <c r="A833" t="str">
        <f ca="1">IFERROR(__xludf.DUMMYFUNCTION("""COMPUTED_VALUE"""),"P0842")</f>
        <v>P0842</v>
      </c>
      <c r="BC833" t="str">
        <f ca="1">IFERROR(__xludf.DUMMYFUNCTION("""COMPUTED_VALUE"""),"#VALUE!")</f>
        <v>#VALUE!</v>
      </c>
      <c r="BE833" t="str">
        <f ca="1">IFERROR(__xludf.DUMMYFUNCTION("""COMPUTED_VALUE"""),"#VALUE!")</f>
        <v>#VALUE!</v>
      </c>
      <c r="BG833" t="str">
        <f ca="1">IFERROR(__xludf.DUMMYFUNCTION("""COMPUTED_VALUE"""),"#VALUE!")</f>
        <v>#VALUE!</v>
      </c>
      <c r="BI833" t="str">
        <f ca="1">IFERROR(__xludf.DUMMYFUNCTION("""COMPUTED_VALUE"""),"#VALUE!")</f>
        <v>#VALUE!</v>
      </c>
      <c r="BK833" t="str">
        <f ca="1">IFERROR(__xludf.DUMMYFUNCTION("""COMPUTED_VALUE"""),"#VALUE!")</f>
        <v>#VALUE!</v>
      </c>
      <c r="BM833" t="str">
        <f ca="1">IFERROR(__xludf.DUMMYFUNCTION("""COMPUTED_VALUE"""),"#VALUE!")</f>
        <v>#VALUE!</v>
      </c>
      <c r="CS833" t="str">
        <f ca="1">IFERROR(__xludf.DUMMYFUNCTION("""COMPUTED_VALUE"""),"#VALUE!")</f>
        <v>#VALUE!</v>
      </c>
      <c r="CU833" t="str">
        <f ca="1">IFERROR(__xludf.DUMMYFUNCTION("""COMPUTED_VALUE"""),"#VALUE!")</f>
        <v>#VALUE!</v>
      </c>
      <c r="CW833" t="str">
        <f ca="1">IFERROR(__xludf.DUMMYFUNCTION("""COMPUTED_VALUE"""),"#VALUE!")</f>
        <v>#VALUE!</v>
      </c>
      <c r="CY833" t="str">
        <f ca="1">IFERROR(__xludf.DUMMYFUNCTION("""COMPUTED_VALUE"""),"#VALUE!")</f>
        <v>#VALUE!</v>
      </c>
      <c r="DC833" t="str">
        <f ca="1">IFERROR(__xludf.DUMMYFUNCTION("""COMPUTED_VALUE"""),"#VALUE!")</f>
        <v>#VALUE!</v>
      </c>
      <c r="DE833" t="str">
        <f ca="1">IFERROR(__xludf.DUMMYFUNCTION("""COMPUTED_VALUE"""),"#VALUE!")</f>
        <v>#VALUE!</v>
      </c>
    </row>
    <row r="834" spans="1:109" ht="13.2" x14ac:dyDescent="0.25">
      <c r="A834" t="str">
        <f ca="1">IFERROR(__xludf.DUMMYFUNCTION("""COMPUTED_VALUE"""),"P0843")</f>
        <v>P0843</v>
      </c>
      <c r="BC834" t="str">
        <f ca="1">IFERROR(__xludf.DUMMYFUNCTION("""COMPUTED_VALUE"""),"#VALUE!")</f>
        <v>#VALUE!</v>
      </c>
      <c r="BE834" t="str">
        <f ca="1">IFERROR(__xludf.DUMMYFUNCTION("""COMPUTED_VALUE"""),"#VALUE!")</f>
        <v>#VALUE!</v>
      </c>
      <c r="BG834" t="str">
        <f ca="1">IFERROR(__xludf.DUMMYFUNCTION("""COMPUTED_VALUE"""),"#VALUE!")</f>
        <v>#VALUE!</v>
      </c>
      <c r="BI834" t="str">
        <f ca="1">IFERROR(__xludf.DUMMYFUNCTION("""COMPUTED_VALUE"""),"#VALUE!")</f>
        <v>#VALUE!</v>
      </c>
      <c r="BK834" t="str">
        <f ca="1">IFERROR(__xludf.DUMMYFUNCTION("""COMPUTED_VALUE"""),"#VALUE!")</f>
        <v>#VALUE!</v>
      </c>
      <c r="BM834" t="str">
        <f ca="1">IFERROR(__xludf.DUMMYFUNCTION("""COMPUTED_VALUE"""),"#VALUE!")</f>
        <v>#VALUE!</v>
      </c>
      <c r="CS834" t="str">
        <f ca="1">IFERROR(__xludf.DUMMYFUNCTION("""COMPUTED_VALUE"""),"#VALUE!")</f>
        <v>#VALUE!</v>
      </c>
      <c r="CU834" t="str">
        <f ca="1">IFERROR(__xludf.DUMMYFUNCTION("""COMPUTED_VALUE"""),"#VALUE!")</f>
        <v>#VALUE!</v>
      </c>
      <c r="CW834" t="str">
        <f ca="1">IFERROR(__xludf.DUMMYFUNCTION("""COMPUTED_VALUE"""),"#VALUE!")</f>
        <v>#VALUE!</v>
      </c>
      <c r="CY834" t="str">
        <f ca="1">IFERROR(__xludf.DUMMYFUNCTION("""COMPUTED_VALUE"""),"#VALUE!")</f>
        <v>#VALUE!</v>
      </c>
      <c r="DC834" t="str">
        <f ca="1">IFERROR(__xludf.DUMMYFUNCTION("""COMPUTED_VALUE"""),"#VALUE!")</f>
        <v>#VALUE!</v>
      </c>
      <c r="DE834" t="str">
        <f ca="1">IFERROR(__xludf.DUMMYFUNCTION("""COMPUTED_VALUE"""),"#VALUE!")</f>
        <v>#VALUE!</v>
      </c>
    </row>
    <row r="835" spans="1:109" ht="13.2" x14ac:dyDescent="0.25">
      <c r="A835" t="str">
        <f ca="1">IFERROR(__xludf.DUMMYFUNCTION("""COMPUTED_VALUE"""),"P0844")</f>
        <v>P0844</v>
      </c>
      <c r="BC835" t="str">
        <f ca="1">IFERROR(__xludf.DUMMYFUNCTION("""COMPUTED_VALUE"""),"#VALUE!")</f>
        <v>#VALUE!</v>
      </c>
      <c r="BE835" t="str">
        <f ca="1">IFERROR(__xludf.DUMMYFUNCTION("""COMPUTED_VALUE"""),"#VALUE!")</f>
        <v>#VALUE!</v>
      </c>
      <c r="BG835" t="str">
        <f ca="1">IFERROR(__xludf.DUMMYFUNCTION("""COMPUTED_VALUE"""),"#VALUE!")</f>
        <v>#VALUE!</v>
      </c>
      <c r="BI835" t="str">
        <f ca="1">IFERROR(__xludf.DUMMYFUNCTION("""COMPUTED_VALUE"""),"#VALUE!")</f>
        <v>#VALUE!</v>
      </c>
      <c r="BK835" t="str">
        <f ca="1">IFERROR(__xludf.DUMMYFUNCTION("""COMPUTED_VALUE"""),"#VALUE!")</f>
        <v>#VALUE!</v>
      </c>
      <c r="BM835" t="str">
        <f ca="1">IFERROR(__xludf.DUMMYFUNCTION("""COMPUTED_VALUE"""),"#VALUE!")</f>
        <v>#VALUE!</v>
      </c>
      <c r="CS835" t="str">
        <f ca="1">IFERROR(__xludf.DUMMYFUNCTION("""COMPUTED_VALUE"""),"#VALUE!")</f>
        <v>#VALUE!</v>
      </c>
      <c r="CU835" t="str">
        <f ca="1">IFERROR(__xludf.DUMMYFUNCTION("""COMPUTED_VALUE"""),"#VALUE!")</f>
        <v>#VALUE!</v>
      </c>
      <c r="CW835" t="str">
        <f ca="1">IFERROR(__xludf.DUMMYFUNCTION("""COMPUTED_VALUE"""),"#VALUE!")</f>
        <v>#VALUE!</v>
      </c>
      <c r="CY835" t="str">
        <f ca="1">IFERROR(__xludf.DUMMYFUNCTION("""COMPUTED_VALUE"""),"#VALUE!")</f>
        <v>#VALUE!</v>
      </c>
      <c r="DC835" t="str">
        <f ca="1">IFERROR(__xludf.DUMMYFUNCTION("""COMPUTED_VALUE"""),"#VALUE!")</f>
        <v>#VALUE!</v>
      </c>
      <c r="DE835" t="str">
        <f ca="1">IFERROR(__xludf.DUMMYFUNCTION("""COMPUTED_VALUE"""),"#VALUE!")</f>
        <v>#VALUE!</v>
      </c>
    </row>
    <row r="836" spans="1:109" ht="13.2" x14ac:dyDescent="0.25">
      <c r="A836" t="str">
        <f ca="1">IFERROR(__xludf.DUMMYFUNCTION("""COMPUTED_VALUE"""),"P0845")</f>
        <v>P0845</v>
      </c>
      <c r="BC836" t="str">
        <f ca="1">IFERROR(__xludf.DUMMYFUNCTION("""COMPUTED_VALUE"""),"#VALUE!")</f>
        <v>#VALUE!</v>
      </c>
      <c r="BE836" t="str">
        <f ca="1">IFERROR(__xludf.DUMMYFUNCTION("""COMPUTED_VALUE"""),"#VALUE!")</f>
        <v>#VALUE!</v>
      </c>
      <c r="BG836" t="str">
        <f ca="1">IFERROR(__xludf.DUMMYFUNCTION("""COMPUTED_VALUE"""),"#VALUE!")</f>
        <v>#VALUE!</v>
      </c>
      <c r="BI836" t="str">
        <f ca="1">IFERROR(__xludf.DUMMYFUNCTION("""COMPUTED_VALUE"""),"#VALUE!")</f>
        <v>#VALUE!</v>
      </c>
      <c r="BK836" t="str">
        <f ca="1">IFERROR(__xludf.DUMMYFUNCTION("""COMPUTED_VALUE"""),"#VALUE!")</f>
        <v>#VALUE!</v>
      </c>
      <c r="BM836" t="str">
        <f ca="1">IFERROR(__xludf.DUMMYFUNCTION("""COMPUTED_VALUE"""),"#VALUE!")</f>
        <v>#VALUE!</v>
      </c>
      <c r="CS836" t="str">
        <f ca="1">IFERROR(__xludf.DUMMYFUNCTION("""COMPUTED_VALUE"""),"#VALUE!")</f>
        <v>#VALUE!</v>
      </c>
      <c r="CU836" t="str">
        <f ca="1">IFERROR(__xludf.DUMMYFUNCTION("""COMPUTED_VALUE"""),"#VALUE!")</f>
        <v>#VALUE!</v>
      </c>
      <c r="CW836" t="str">
        <f ca="1">IFERROR(__xludf.DUMMYFUNCTION("""COMPUTED_VALUE"""),"#VALUE!")</f>
        <v>#VALUE!</v>
      </c>
      <c r="CY836" t="str">
        <f ca="1">IFERROR(__xludf.DUMMYFUNCTION("""COMPUTED_VALUE"""),"#VALUE!")</f>
        <v>#VALUE!</v>
      </c>
      <c r="DC836" t="str">
        <f ca="1">IFERROR(__xludf.DUMMYFUNCTION("""COMPUTED_VALUE"""),"#VALUE!")</f>
        <v>#VALUE!</v>
      </c>
      <c r="DE836" t="str">
        <f ca="1">IFERROR(__xludf.DUMMYFUNCTION("""COMPUTED_VALUE"""),"#VALUE!")</f>
        <v>#VALUE!</v>
      </c>
    </row>
    <row r="837" spans="1:109" ht="13.2" x14ac:dyDescent="0.25">
      <c r="A837" t="str">
        <f ca="1">IFERROR(__xludf.DUMMYFUNCTION("""COMPUTED_VALUE"""),"P0846")</f>
        <v>P0846</v>
      </c>
      <c r="BC837" t="str">
        <f ca="1">IFERROR(__xludf.DUMMYFUNCTION("""COMPUTED_VALUE"""),"#VALUE!")</f>
        <v>#VALUE!</v>
      </c>
      <c r="BE837" t="str">
        <f ca="1">IFERROR(__xludf.DUMMYFUNCTION("""COMPUTED_VALUE"""),"#VALUE!")</f>
        <v>#VALUE!</v>
      </c>
      <c r="BG837" t="str">
        <f ca="1">IFERROR(__xludf.DUMMYFUNCTION("""COMPUTED_VALUE"""),"#VALUE!")</f>
        <v>#VALUE!</v>
      </c>
      <c r="BI837" t="str">
        <f ca="1">IFERROR(__xludf.DUMMYFUNCTION("""COMPUTED_VALUE"""),"#VALUE!")</f>
        <v>#VALUE!</v>
      </c>
      <c r="BK837" t="str">
        <f ca="1">IFERROR(__xludf.DUMMYFUNCTION("""COMPUTED_VALUE"""),"#VALUE!")</f>
        <v>#VALUE!</v>
      </c>
      <c r="BM837" t="str">
        <f ca="1">IFERROR(__xludf.DUMMYFUNCTION("""COMPUTED_VALUE"""),"#VALUE!")</f>
        <v>#VALUE!</v>
      </c>
      <c r="CS837" t="str">
        <f ca="1">IFERROR(__xludf.DUMMYFUNCTION("""COMPUTED_VALUE"""),"#VALUE!")</f>
        <v>#VALUE!</v>
      </c>
      <c r="CU837" t="str">
        <f ca="1">IFERROR(__xludf.DUMMYFUNCTION("""COMPUTED_VALUE"""),"#VALUE!")</f>
        <v>#VALUE!</v>
      </c>
      <c r="CW837" t="str">
        <f ca="1">IFERROR(__xludf.DUMMYFUNCTION("""COMPUTED_VALUE"""),"#VALUE!")</f>
        <v>#VALUE!</v>
      </c>
      <c r="CY837" t="str">
        <f ca="1">IFERROR(__xludf.DUMMYFUNCTION("""COMPUTED_VALUE"""),"#VALUE!")</f>
        <v>#VALUE!</v>
      </c>
      <c r="DC837" t="str">
        <f ca="1">IFERROR(__xludf.DUMMYFUNCTION("""COMPUTED_VALUE"""),"#VALUE!")</f>
        <v>#VALUE!</v>
      </c>
      <c r="DE837" t="str">
        <f ca="1">IFERROR(__xludf.DUMMYFUNCTION("""COMPUTED_VALUE"""),"#VALUE!")</f>
        <v>#VALUE!</v>
      </c>
    </row>
    <row r="838" spans="1:109" ht="13.2" x14ac:dyDescent="0.25">
      <c r="A838" t="str">
        <f ca="1">IFERROR(__xludf.DUMMYFUNCTION("""COMPUTED_VALUE"""),"P0847")</f>
        <v>P0847</v>
      </c>
      <c r="BC838" t="str">
        <f ca="1">IFERROR(__xludf.DUMMYFUNCTION("""COMPUTED_VALUE"""),"#VALUE!")</f>
        <v>#VALUE!</v>
      </c>
      <c r="BE838" t="str">
        <f ca="1">IFERROR(__xludf.DUMMYFUNCTION("""COMPUTED_VALUE"""),"#VALUE!")</f>
        <v>#VALUE!</v>
      </c>
      <c r="BG838" t="str">
        <f ca="1">IFERROR(__xludf.DUMMYFUNCTION("""COMPUTED_VALUE"""),"#VALUE!")</f>
        <v>#VALUE!</v>
      </c>
      <c r="BI838" t="str">
        <f ca="1">IFERROR(__xludf.DUMMYFUNCTION("""COMPUTED_VALUE"""),"#VALUE!")</f>
        <v>#VALUE!</v>
      </c>
      <c r="BK838" t="str">
        <f ca="1">IFERROR(__xludf.DUMMYFUNCTION("""COMPUTED_VALUE"""),"#VALUE!")</f>
        <v>#VALUE!</v>
      </c>
      <c r="BM838" t="str">
        <f ca="1">IFERROR(__xludf.DUMMYFUNCTION("""COMPUTED_VALUE"""),"#VALUE!")</f>
        <v>#VALUE!</v>
      </c>
      <c r="CS838" t="str">
        <f ca="1">IFERROR(__xludf.DUMMYFUNCTION("""COMPUTED_VALUE"""),"#VALUE!")</f>
        <v>#VALUE!</v>
      </c>
      <c r="CU838" t="str">
        <f ca="1">IFERROR(__xludf.DUMMYFUNCTION("""COMPUTED_VALUE"""),"#VALUE!")</f>
        <v>#VALUE!</v>
      </c>
      <c r="CW838" t="str">
        <f ca="1">IFERROR(__xludf.DUMMYFUNCTION("""COMPUTED_VALUE"""),"#VALUE!")</f>
        <v>#VALUE!</v>
      </c>
      <c r="CY838" t="str">
        <f ca="1">IFERROR(__xludf.DUMMYFUNCTION("""COMPUTED_VALUE"""),"#VALUE!")</f>
        <v>#VALUE!</v>
      </c>
      <c r="DC838" t="str">
        <f ca="1">IFERROR(__xludf.DUMMYFUNCTION("""COMPUTED_VALUE"""),"#VALUE!")</f>
        <v>#VALUE!</v>
      </c>
      <c r="DE838" t="str">
        <f ca="1">IFERROR(__xludf.DUMMYFUNCTION("""COMPUTED_VALUE"""),"#VALUE!")</f>
        <v>#VALUE!</v>
      </c>
    </row>
    <row r="839" spans="1:109" ht="13.2" x14ac:dyDescent="0.25">
      <c r="A839" t="str">
        <f ca="1">IFERROR(__xludf.DUMMYFUNCTION("""COMPUTED_VALUE"""),"P0848")</f>
        <v>P0848</v>
      </c>
      <c r="BC839" t="str">
        <f ca="1">IFERROR(__xludf.DUMMYFUNCTION("""COMPUTED_VALUE"""),"#VALUE!")</f>
        <v>#VALUE!</v>
      </c>
      <c r="BE839" t="str">
        <f ca="1">IFERROR(__xludf.DUMMYFUNCTION("""COMPUTED_VALUE"""),"#VALUE!")</f>
        <v>#VALUE!</v>
      </c>
      <c r="BG839" t="str">
        <f ca="1">IFERROR(__xludf.DUMMYFUNCTION("""COMPUTED_VALUE"""),"#VALUE!")</f>
        <v>#VALUE!</v>
      </c>
      <c r="BI839" t="str">
        <f ca="1">IFERROR(__xludf.DUMMYFUNCTION("""COMPUTED_VALUE"""),"#VALUE!")</f>
        <v>#VALUE!</v>
      </c>
      <c r="BK839" t="str">
        <f ca="1">IFERROR(__xludf.DUMMYFUNCTION("""COMPUTED_VALUE"""),"#VALUE!")</f>
        <v>#VALUE!</v>
      </c>
      <c r="BM839" t="str">
        <f ca="1">IFERROR(__xludf.DUMMYFUNCTION("""COMPUTED_VALUE"""),"#VALUE!")</f>
        <v>#VALUE!</v>
      </c>
      <c r="CS839" t="str">
        <f ca="1">IFERROR(__xludf.DUMMYFUNCTION("""COMPUTED_VALUE"""),"#VALUE!")</f>
        <v>#VALUE!</v>
      </c>
      <c r="CU839" t="str">
        <f ca="1">IFERROR(__xludf.DUMMYFUNCTION("""COMPUTED_VALUE"""),"#VALUE!")</f>
        <v>#VALUE!</v>
      </c>
      <c r="CW839" t="str">
        <f ca="1">IFERROR(__xludf.DUMMYFUNCTION("""COMPUTED_VALUE"""),"#VALUE!")</f>
        <v>#VALUE!</v>
      </c>
      <c r="CY839" t="str">
        <f ca="1">IFERROR(__xludf.DUMMYFUNCTION("""COMPUTED_VALUE"""),"#VALUE!")</f>
        <v>#VALUE!</v>
      </c>
      <c r="DC839" t="str">
        <f ca="1">IFERROR(__xludf.DUMMYFUNCTION("""COMPUTED_VALUE"""),"#VALUE!")</f>
        <v>#VALUE!</v>
      </c>
      <c r="DE839" t="str">
        <f ca="1">IFERROR(__xludf.DUMMYFUNCTION("""COMPUTED_VALUE"""),"#VALUE!")</f>
        <v>#VALUE!</v>
      </c>
    </row>
    <row r="840" spans="1:109" ht="13.2" x14ac:dyDescent="0.25">
      <c r="A840" t="str">
        <f ca="1">IFERROR(__xludf.DUMMYFUNCTION("""COMPUTED_VALUE"""),"P0849")</f>
        <v>P0849</v>
      </c>
      <c r="BC840" t="str">
        <f ca="1">IFERROR(__xludf.DUMMYFUNCTION("""COMPUTED_VALUE"""),"#VALUE!")</f>
        <v>#VALUE!</v>
      </c>
      <c r="BE840" t="str">
        <f ca="1">IFERROR(__xludf.DUMMYFUNCTION("""COMPUTED_VALUE"""),"#VALUE!")</f>
        <v>#VALUE!</v>
      </c>
      <c r="BG840" t="str">
        <f ca="1">IFERROR(__xludf.DUMMYFUNCTION("""COMPUTED_VALUE"""),"#VALUE!")</f>
        <v>#VALUE!</v>
      </c>
      <c r="BI840" t="str">
        <f ca="1">IFERROR(__xludf.DUMMYFUNCTION("""COMPUTED_VALUE"""),"#VALUE!")</f>
        <v>#VALUE!</v>
      </c>
      <c r="BK840" t="str">
        <f ca="1">IFERROR(__xludf.DUMMYFUNCTION("""COMPUTED_VALUE"""),"#VALUE!")</f>
        <v>#VALUE!</v>
      </c>
      <c r="BM840" t="str">
        <f ca="1">IFERROR(__xludf.DUMMYFUNCTION("""COMPUTED_VALUE"""),"#VALUE!")</f>
        <v>#VALUE!</v>
      </c>
      <c r="CS840" t="str">
        <f ca="1">IFERROR(__xludf.DUMMYFUNCTION("""COMPUTED_VALUE"""),"#VALUE!")</f>
        <v>#VALUE!</v>
      </c>
      <c r="CU840" t="str">
        <f ca="1">IFERROR(__xludf.DUMMYFUNCTION("""COMPUTED_VALUE"""),"#VALUE!")</f>
        <v>#VALUE!</v>
      </c>
      <c r="CW840" t="str">
        <f ca="1">IFERROR(__xludf.DUMMYFUNCTION("""COMPUTED_VALUE"""),"#VALUE!")</f>
        <v>#VALUE!</v>
      </c>
      <c r="CY840" t="str">
        <f ca="1">IFERROR(__xludf.DUMMYFUNCTION("""COMPUTED_VALUE"""),"#VALUE!")</f>
        <v>#VALUE!</v>
      </c>
      <c r="DC840" t="str">
        <f ca="1">IFERROR(__xludf.DUMMYFUNCTION("""COMPUTED_VALUE"""),"#VALUE!")</f>
        <v>#VALUE!</v>
      </c>
      <c r="DE840" t="str">
        <f ca="1">IFERROR(__xludf.DUMMYFUNCTION("""COMPUTED_VALUE"""),"#VALUE!")</f>
        <v>#VALUE!</v>
      </c>
    </row>
    <row r="841" spans="1:109" ht="13.2" x14ac:dyDescent="0.25">
      <c r="A841" t="str">
        <f ca="1">IFERROR(__xludf.DUMMYFUNCTION("""COMPUTED_VALUE"""),"P0850")</f>
        <v>P0850</v>
      </c>
      <c r="BC841" t="str">
        <f ca="1">IFERROR(__xludf.DUMMYFUNCTION("""COMPUTED_VALUE"""),"#VALUE!")</f>
        <v>#VALUE!</v>
      </c>
      <c r="BE841" t="str">
        <f ca="1">IFERROR(__xludf.DUMMYFUNCTION("""COMPUTED_VALUE"""),"#VALUE!")</f>
        <v>#VALUE!</v>
      </c>
      <c r="BG841" t="str">
        <f ca="1">IFERROR(__xludf.DUMMYFUNCTION("""COMPUTED_VALUE"""),"#VALUE!")</f>
        <v>#VALUE!</v>
      </c>
      <c r="BI841" t="str">
        <f ca="1">IFERROR(__xludf.DUMMYFUNCTION("""COMPUTED_VALUE"""),"#VALUE!")</f>
        <v>#VALUE!</v>
      </c>
      <c r="BK841" t="str">
        <f ca="1">IFERROR(__xludf.DUMMYFUNCTION("""COMPUTED_VALUE"""),"#VALUE!")</f>
        <v>#VALUE!</v>
      </c>
      <c r="BM841" t="str">
        <f ca="1">IFERROR(__xludf.DUMMYFUNCTION("""COMPUTED_VALUE"""),"#VALUE!")</f>
        <v>#VALUE!</v>
      </c>
      <c r="CS841" t="str">
        <f ca="1">IFERROR(__xludf.DUMMYFUNCTION("""COMPUTED_VALUE"""),"#VALUE!")</f>
        <v>#VALUE!</v>
      </c>
      <c r="CU841" t="str">
        <f ca="1">IFERROR(__xludf.DUMMYFUNCTION("""COMPUTED_VALUE"""),"#VALUE!")</f>
        <v>#VALUE!</v>
      </c>
      <c r="CW841" t="str">
        <f ca="1">IFERROR(__xludf.DUMMYFUNCTION("""COMPUTED_VALUE"""),"#VALUE!")</f>
        <v>#VALUE!</v>
      </c>
      <c r="CY841" t="str">
        <f ca="1">IFERROR(__xludf.DUMMYFUNCTION("""COMPUTED_VALUE"""),"#VALUE!")</f>
        <v>#VALUE!</v>
      </c>
      <c r="DC841" t="str">
        <f ca="1">IFERROR(__xludf.DUMMYFUNCTION("""COMPUTED_VALUE"""),"#VALUE!")</f>
        <v>#VALUE!</v>
      </c>
      <c r="DE841" t="str">
        <f ca="1">IFERROR(__xludf.DUMMYFUNCTION("""COMPUTED_VALUE"""),"#VALUE!")</f>
        <v>#VALUE!</v>
      </c>
    </row>
    <row r="842" spans="1:109" ht="13.2" x14ac:dyDescent="0.25">
      <c r="A842" t="str">
        <f ca="1">IFERROR(__xludf.DUMMYFUNCTION("""COMPUTED_VALUE"""),"P0851")</f>
        <v>P0851</v>
      </c>
      <c r="BC842" t="str">
        <f ca="1">IFERROR(__xludf.DUMMYFUNCTION("""COMPUTED_VALUE"""),"#VALUE!")</f>
        <v>#VALUE!</v>
      </c>
      <c r="BE842" t="str">
        <f ca="1">IFERROR(__xludf.DUMMYFUNCTION("""COMPUTED_VALUE"""),"#VALUE!")</f>
        <v>#VALUE!</v>
      </c>
      <c r="BG842" t="str">
        <f ca="1">IFERROR(__xludf.DUMMYFUNCTION("""COMPUTED_VALUE"""),"#VALUE!")</f>
        <v>#VALUE!</v>
      </c>
      <c r="BI842" t="str">
        <f ca="1">IFERROR(__xludf.DUMMYFUNCTION("""COMPUTED_VALUE"""),"#VALUE!")</f>
        <v>#VALUE!</v>
      </c>
      <c r="BK842" t="str">
        <f ca="1">IFERROR(__xludf.DUMMYFUNCTION("""COMPUTED_VALUE"""),"#VALUE!")</f>
        <v>#VALUE!</v>
      </c>
      <c r="BM842" t="str">
        <f ca="1">IFERROR(__xludf.DUMMYFUNCTION("""COMPUTED_VALUE"""),"#VALUE!")</f>
        <v>#VALUE!</v>
      </c>
      <c r="CS842" t="str">
        <f ca="1">IFERROR(__xludf.DUMMYFUNCTION("""COMPUTED_VALUE"""),"#VALUE!")</f>
        <v>#VALUE!</v>
      </c>
      <c r="CU842" t="str">
        <f ca="1">IFERROR(__xludf.DUMMYFUNCTION("""COMPUTED_VALUE"""),"#VALUE!")</f>
        <v>#VALUE!</v>
      </c>
      <c r="CW842" t="str">
        <f ca="1">IFERROR(__xludf.DUMMYFUNCTION("""COMPUTED_VALUE"""),"#VALUE!")</f>
        <v>#VALUE!</v>
      </c>
      <c r="CY842" t="str">
        <f ca="1">IFERROR(__xludf.DUMMYFUNCTION("""COMPUTED_VALUE"""),"#VALUE!")</f>
        <v>#VALUE!</v>
      </c>
      <c r="DC842" t="str">
        <f ca="1">IFERROR(__xludf.DUMMYFUNCTION("""COMPUTED_VALUE"""),"#VALUE!")</f>
        <v>#VALUE!</v>
      </c>
      <c r="DE842" t="str">
        <f ca="1">IFERROR(__xludf.DUMMYFUNCTION("""COMPUTED_VALUE"""),"#VALUE!")</f>
        <v>#VALUE!</v>
      </c>
    </row>
    <row r="843" spans="1:109" ht="13.2" x14ac:dyDescent="0.25">
      <c r="A843" t="str">
        <f ca="1">IFERROR(__xludf.DUMMYFUNCTION("""COMPUTED_VALUE"""),"P0852")</f>
        <v>P0852</v>
      </c>
      <c r="BC843" t="str">
        <f ca="1">IFERROR(__xludf.DUMMYFUNCTION("""COMPUTED_VALUE"""),"#VALUE!")</f>
        <v>#VALUE!</v>
      </c>
      <c r="BE843" t="str">
        <f ca="1">IFERROR(__xludf.DUMMYFUNCTION("""COMPUTED_VALUE"""),"#VALUE!")</f>
        <v>#VALUE!</v>
      </c>
      <c r="BG843" t="str">
        <f ca="1">IFERROR(__xludf.DUMMYFUNCTION("""COMPUTED_VALUE"""),"#VALUE!")</f>
        <v>#VALUE!</v>
      </c>
      <c r="BI843" t="str">
        <f ca="1">IFERROR(__xludf.DUMMYFUNCTION("""COMPUTED_VALUE"""),"#VALUE!")</f>
        <v>#VALUE!</v>
      </c>
      <c r="BK843" t="str">
        <f ca="1">IFERROR(__xludf.DUMMYFUNCTION("""COMPUTED_VALUE"""),"#VALUE!")</f>
        <v>#VALUE!</v>
      </c>
      <c r="BM843" t="str">
        <f ca="1">IFERROR(__xludf.DUMMYFUNCTION("""COMPUTED_VALUE"""),"#VALUE!")</f>
        <v>#VALUE!</v>
      </c>
      <c r="CS843" t="str">
        <f ca="1">IFERROR(__xludf.DUMMYFUNCTION("""COMPUTED_VALUE"""),"#VALUE!")</f>
        <v>#VALUE!</v>
      </c>
      <c r="CU843" t="str">
        <f ca="1">IFERROR(__xludf.DUMMYFUNCTION("""COMPUTED_VALUE"""),"#VALUE!")</f>
        <v>#VALUE!</v>
      </c>
      <c r="CW843" t="str">
        <f ca="1">IFERROR(__xludf.DUMMYFUNCTION("""COMPUTED_VALUE"""),"#VALUE!")</f>
        <v>#VALUE!</v>
      </c>
      <c r="CY843" t="str">
        <f ca="1">IFERROR(__xludf.DUMMYFUNCTION("""COMPUTED_VALUE"""),"#VALUE!")</f>
        <v>#VALUE!</v>
      </c>
      <c r="DC843" t="str">
        <f ca="1">IFERROR(__xludf.DUMMYFUNCTION("""COMPUTED_VALUE"""),"#VALUE!")</f>
        <v>#VALUE!</v>
      </c>
      <c r="DE843" t="str">
        <f ca="1">IFERROR(__xludf.DUMMYFUNCTION("""COMPUTED_VALUE"""),"#VALUE!")</f>
        <v>#VALUE!</v>
      </c>
    </row>
    <row r="844" spans="1:109" ht="13.2" x14ac:dyDescent="0.25">
      <c r="A844" t="str">
        <f ca="1">IFERROR(__xludf.DUMMYFUNCTION("""COMPUTED_VALUE"""),"P0853")</f>
        <v>P0853</v>
      </c>
      <c r="BC844" t="str">
        <f ca="1">IFERROR(__xludf.DUMMYFUNCTION("""COMPUTED_VALUE"""),"#VALUE!")</f>
        <v>#VALUE!</v>
      </c>
      <c r="BE844" t="str">
        <f ca="1">IFERROR(__xludf.DUMMYFUNCTION("""COMPUTED_VALUE"""),"#VALUE!")</f>
        <v>#VALUE!</v>
      </c>
      <c r="BG844" t="str">
        <f ca="1">IFERROR(__xludf.DUMMYFUNCTION("""COMPUTED_VALUE"""),"#VALUE!")</f>
        <v>#VALUE!</v>
      </c>
      <c r="BI844" t="str">
        <f ca="1">IFERROR(__xludf.DUMMYFUNCTION("""COMPUTED_VALUE"""),"#VALUE!")</f>
        <v>#VALUE!</v>
      </c>
      <c r="BK844" t="str">
        <f ca="1">IFERROR(__xludf.DUMMYFUNCTION("""COMPUTED_VALUE"""),"#VALUE!")</f>
        <v>#VALUE!</v>
      </c>
      <c r="BM844" t="str">
        <f ca="1">IFERROR(__xludf.DUMMYFUNCTION("""COMPUTED_VALUE"""),"#VALUE!")</f>
        <v>#VALUE!</v>
      </c>
      <c r="CS844" t="str">
        <f ca="1">IFERROR(__xludf.DUMMYFUNCTION("""COMPUTED_VALUE"""),"#VALUE!")</f>
        <v>#VALUE!</v>
      </c>
      <c r="CU844" t="str">
        <f ca="1">IFERROR(__xludf.DUMMYFUNCTION("""COMPUTED_VALUE"""),"#VALUE!")</f>
        <v>#VALUE!</v>
      </c>
      <c r="CW844" t="str">
        <f ca="1">IFERROR(__xludf.DUMMYFUNCTION("""COMPUTED_VALUE"""),"#VALUE!")</f>
        <v>#VALUE!</v>
      </c>
      <c r="CY844" t="str">
        <f ca="1">IFERROR(__xludf.DUMMYFUNCTION("""COMPUTED_VALUE"""),"#VALUE!")</f>
        <v>#VALUE!</v>
      </c>
      <c r="DC844" t="str">
        <f ca="1">IFERROR(__xludf.DUMMYFUNCTION("""COMPUTED_VALUE"""),"#VALUE!")</f>
        <v>#VALUE!</v>
      </c>
      <c r="DE844" t="str">
        <f ca="1">IFERROR(__xludf.DUMMYFUNCTION("""COMPUTED_VALUE"""),"#VALUE!")</f>
        <v>#VALUE!</v>
      </c>
    </row>
    <row r="845" spans="1:109" ht="13.2" x14ac:dyDescent="0.25">
      <c r="A845" t="str">
        <f ca="1">IFERROR(__xludf.DUMMYFUNCTION("""COMPUTED_VALUE"""),"P0854")</f>
        <v>P0854</v>
      </c>
      <c r="BC845" t="str">
        <f ca="1">IFERROR(__xludf.DUMMYFUNCTION("""COMPUTED_VALUE"""),"#VALUE!")</f>
        <v>#VALUE!</v>
      </c>
      <c r="BE845" t="str">
        <f ca="1">IFERROR(__xludf.DUMMYFUNCTION("""COMPUTED_VALUE"""),"#VALUE!")</f>
        <v>#VALUE!</v>
      </c>
      <c r="BG845" t="str">
        <f ca="1">IFERROR(__xludf.DUMMYFUNCTION("""COMPUTED_VALUE"""),"#VALUE!")</f>
        <v>#VALUE!</v>
      </c>
      <c r="BI845" t="str">
        <f ca="1">IFERROR(__xludf.DUMMYFUNCTION("""COMPUTED_VALUE"""),"#VALUE!")</f>
        <v>#VALUE!</v>
      </c>
      <c r="BK845" t="str">
        <f ca="1">IFERROR(__xludf.DUMMYFUNCTION("""COMPUTED_VALUE"""),"#VALUE!")</f>
        <v>#VALUE!</v>
      </c>
      <c r="BM845" t="str">
        <f ca="1">IFERROR(__xludf.DUMMYFUNCTION("""COMPUTED_VALUE"""),"#VALUE!")</f>
        <v>#VALUE!</v>
      </c>
      <c r="CS845" t="str">
        <f ca="1">IFERROR(__xludf.DUMMYFUNCTION("""COMPUTED_VALUE"""),"#VALUE!")</f>
        <v>#VALUE!</v>
      </c>
      <c r="CU845" t="str">
        <f ca="1">IFERROR(__xludf.DUMMYFUNCTION("""COMPUTED_VALUE"""),"#VALUE!")</f>
        <v>#VALUE!</v>
      </c>
      <c r="CW845" t="str">
        <f ca="1">IFERROR(__xludf.DUMMYFUNCTION("""COMPUTED_VALUE"""),"#VALUE!")</f>
        <v>#VALUE!</v>
      </c>
      <c r="CY845" t="str">
        <f ca="1">IFERROR(__xludf.DUMMYFUNCTION("""COMPUTED_VALUE"""),"#VALUE!")</f>
        <v>#VALUE!</v>
      </c>
      <c r="DC845" t="str">
        <f ca="1">IFERROR(__xludf.DUMMYFUNCTION("""COMPUTED_VALUE"""),"#VALUE!")</f>
        <v>#VALUE!</v>
      </c>
      <c r="DE845" t="str">
        <f ca="1">IFERROR(__xludf.DUMMYFUNCTION("""COMPUTED_VALUE"""),"#VALUE!")</f>
        <v>#VALUE!</v>
      </c>
    </row>
    <row r="846" spans="1:109" ht="13.2" x14ac:dyDescent="0.25">
      <c r="A846" t="str">
        <f ca="1">IFERROR(__xludf.DUMMYFUNCTION("""COMPUTED_VALUE"""),"P0855")</f>
        <v>P0855</v>
      </c>
      <c r="BC846" t="str">
        <f ca="1">IFERROR(__xludf.DUMMYFUNCTION("""COMPUTED_VALUE"""),"#VALUE!")</f>
        <v>#VALUE!</v>
      </c>
      <c r="BE846" t="str">
        <f ca="1">IFERROR(__xludf.DUMMYFUNCTION("""COMPUTED_VALUE"""),"#VALUE!")</f>
        <v>#VALUE!</v>
      </c>
      <c r="BG846" t="str">
        <f ca="1">IFERROR(__xludf.DUMMYFUNCTION("""COMPUTED_VALUE"""),"#VALUE!")</f>
        <v>#VALUE!</v>
      </c>
      <c r="BI846" t="str">
        <f ca="1">IFERROR(__xludf.DUMMYFUNCTION("""COMPUTED_VALUE"""),"#VALUE!")</f>
        <v>#VALUE!</v>
      </c>
      <c r="BK846" t="str">
        <f ca="1">IFERROR(__xludf.DUMMYFUNCTION("""COMPUTED_VALUE"""),"#VALUE!")</f>
        <v>#VALUE!</v>
      </c>
      <c r="BM846" t="str">
        <f ca="1">IFERROR(__xludf.DUMMYFUNCTION("""COMPUTED_VALUE"""),"#VALUE!")</f>
        <v>#VALUE!</v>
      </c>
      <c r="CS846" t="str">
        <f ca="1">IFERROR(__xludf.DUMMYFUNCTION("""COMPUTED_VALUE"""),"#VALUE!")</f>
        <v>#VALUE!</v>
      </c>
      <c r="CU846" t="str">
        <f ca="1">IFERROR(__xludf.DUMMYFUNCTION("""COMPUTED_VALUE"""),"#VALUE!")</f>
        <v>#VALUE!</v>
      </c>
      <c r="CW846" t="str">
        <f ca="1">IFERROR(__xludf.DUMMYFUNCTION("""COMPUTED_VALUE"""),"#VALUE!")</f>
        <v>#VALUE!</v>
      </c>
      <c r="CY846" t="str">
        <f ca="1">IFERROR(__xludf.DUMMYFUNCTION("""COMPUTED_VALUE"""),"#VALUE!")</f>
        <v>#VALUE!</v>
      </c>
      <c r="DC846" t="str">
        <f ca="1">IFERROR(__xludf.DUMMYFUNCTION("""COMPUTED_VALUE"""),"#VALUE!")</f>
        <v>#VALUE!</v>
      </c>
      <c r="DE846" t="str">
        <f ca="1">IFERROR(__xludf.DUMMYFUNCTION("""COMPUTED_VALUE"""),"#VALUE!")</f>
        <v>#VALUE!</v>
      </c>
    </row>
    <row r="847" spans="1:109" ht="13.2" x14ac:dyDescent="0.25">
      <c r="A847" t="str">
        <f ca="1">IFERROR(__xludf.DUMMYFUNCTION("""COMPUTED_VALUE"""),"P0856")</f>
        <v>P0856</v>
      </c>
      <c r="BC847" t="str">
        <f ca="1">IFERROR(__xludf.DUMMYFUNCTION("""COMPUTED_VALUE"""),"#VALUE!")</f>
        <v>#VALUE!</v>
      </c>
      <c r="BE847" t="str">
        <f ca="1">IFERROR(__xludf.DUMMYFUNCTION("""COMPUTED_VALUE"""),"#VALUE!")</f>
        <v>#VALUE!</v>
      </c>
      <c r="BG847" t="str">
        <f ca="1">IFERROR(__xludf.DUMMYFUNCTION("""COMPUTED_VALUE"""),"#VALUE!")</f>
        <v>#VALUE!</v>
      </c>
      <c r="BI847" t="str">
        <f ca="1">IFERROR(__xludf.DUMMYFUNCTION("""COMPUTED_VALUE"""),"#VALUE!")</f>
        <v>#VALUE!</v>
      </c>
      <c r="BK847" t="str">
        <f ca="1">IFERROR(__xludf.DUMMYFUNCTION("""COMPUTED_VALUE"""),"#VALUE!")</f>
        <v>#VALUE!</v>
      </c>
      <c r="BM847" t="str">
        <f ca="1">IFERROR(__xludf.DUMMYFUNCTION("""COMPUTED_VALUE"""),"#VALUE!")</f>
        <v>#VALUE!</v>
      </c>
      <c r="CS847" t="str">
        <f ca="1">IFERROR(__xludf.DUMMYFUNCTION("""COMPUTED_VALUE"""),"#VALUE!")</f>
        <v>#VALUE!</v>
      </c>
      <c r="CU847" t="str">
        <f ca="1">IFERROR(__xludf.DUMMYFUNCTION("""COMPUTED_VALUE"""),"#VALUE!")</f>
        <v>#VALUE!</v>
      </c>
      <c r="CW847" t="str">
        <f ca="1">IFERROR(__xludf.DUMMYFUNCTION("""COMPUTED_VALUE"""),"#VALUE!")</f>
        <v>#VALUE!</v>
      </c>
      <c r="CY847" t="str">
        <f ca="1">IFERROR(__xludf.DUMMYFUNCTION("""COMPUTED_VALUE"""),"#VALUE!")</f>
        <v>#VALUE!</v>
      </c>
      <c r="DC847" t="str">
        <f ca="1">IFERROR(__xludf.DUMMYFUNCTION("""COMPUTED_VALUE"""),"#VALUE!")</f>
        <v>#VALUE!</v>
      </c>
      <c r="DE847" t="str">
        <f ca="1">IFERROR(__xludf.DUMMYFUNCTION("""COMPUTED_VALUE"""),"#VALUE!")</f>
        <v>#VALUE!</v>
      </c>
    </row>
    <row r="848" spans="1:109" ht="13.2" x14ac:dyDescent="0.25">
      <c r="A848" t="str">
        <f ca="1">IFERROR(__xludf.DUMMYFUNCTION("""COMPUTED_VALUE"""),"P0857")</f>
        <v>P0857</v>
      </c>
      <c r="BC848" t="str">
        <f ca="1">IFERROR(__xludf.DUMMYFUNCTION("""COMPUTED_VALUE"""),"#VALUE!")</f>
        <v>#VALUE!</v>
      </c>
      <c r="BE848" t="str">
        <f ca="1">IFERROR(__xludf.DUMMYFUNCTION("""COMPUTED_VALUE"""),"#VALUE!")</f>
        <v>#VALUE!</v>
      </c>
      <c r="BG848" t="str">
        <f ca="1">IFERROR(__xludf.DUMMYFUNCTION("""COMPUTED_VALUE"""),"#VALUE!")</f>
        <v>#VALUE!</v>
      </c>
      <c r="BI848" t="str">
        <f ca="1">IFERROR(__xludf.DUMMYFUNCTION("""COMPUTED_VALUE"""),"#VALUE!")</f>
        <v>#VALUE!</v>
      </c>
      <c r="BK848" t="str">
        <f ca="1">IFERROR(__xludf.DUMMYFUNCTION("""COMPUTED_VALUE"""),"#VALUE!")</f>
        <v>#VALUE!</v>
      </c>
      <c r="BM848" t="str">
        <f ca="1">IFERROR(__xludf.DUMMYFUNCTION("""COMPUTED_VALUE"""),"#VALUE!")</f>
        <v>#VALUE!</v>
      </c>
      <c r="CS848" t="str">
        <f ca="1">IFERROR(__xludf.DUMMYFUNCTION("""COMPUTED_VALUE"""),"#VALUE!")</f>
        <v>#VALUE!</v>
      </c>
      <c r="CU848" t="str">
        <f ca="1">IFERROR(__xludf.DUMMYFUNCTION("""COMPUTED_VALUE"""),"#VALUE!")</f>
        <v>#VALUE!</v>
      </c>
      <c r="CW848" t="str">
        <f ca="1">IFERROR(__xludf.DUMMYFUNCTION("""COMPUTED_VALUE"""),"#VALUE!")</f>
        <v>#VALUE!</v>
      </c>
      <c r="CY848" t="str">
        <f ca="1">IFERROR(__xludf.DUMMYFUNCTION("""COMPUTED_VALUE"""),"#VALUE!")</f>
        <v>#VALUE!</v>
      </c>
      <c r="DC848" t="str">
        <f ca="1">IFERROR(__xludf.DUMMYFUNCTION("""COMPUTED_VALUE"""),"#VALUE!")</f>
        <v>#VALUE!</v>
      </c>
      <c r="DE848" t="str">
        <f ca="1">IFERROR(__xludf.DUMMYFUNCTION("""COMPUTED_VALUE"""),"#VALUE!")</f>
        <v>#VALUE!</v>
      </c>
    </row>
    <row r="849" spans="1:109" ht="13.2" x14ac:dyDescent="0.25">
      <c r="A849" t="str">
        <f ca="1">IFERROR(__xludf.DUMMYFUNCTION("""COMPUTED_VALUE"""),"P0858")</f>
        <v>P0858</v>
      </c>
      <c r="BC849" t="str">
        <f ca="1">IFERROR(__xludf.DUMMYFUNCTION("""COMPUTED_VALUE"""),"#VALUE!")</f>
        <v>#VALUE!</v>
      </c>
      <c r="BE849" t="str">
        <f ca="1">IFERROR(__xludf.DUMMYFUNCTION("""COMPUTED_VALUE"""),"#VALUE!")</f>
        <v>#VALUE!</v>
      </c>
      <c r="BG849" t="str">
        <f ca="1">IFERROR(__xludf.DUMMYFUNCTION("""COMPUTED_VALUE"""),"#VALUE!")</f>
        <v>#VALUE!</v>
      </c>
      <c r="BI849" t="str">
        <f ca="1">IFERROR(__xludf.DUMMYFUNCTION("""COMPUTED_VALUE"""),"#VALUE!")</f>
        <v>#VALUE!</v>
      </c>
      <c r="BK849" t="str">
        <f ca="1">IFERROR(__xludf.DUMMYFUNCTION("""COMPUTED_VALUE"""),"#VALUE!")</f>
        <v>#VALUE!</v>
      </c>
      <c r="BM849" t="str">
        <f ca="1">IFERROR(__xludf.DUMMYFUNCTION("""COMPUTED_VALUE"""),"#VALUE!")</f>
        <v>#VALUE!</v>
      </c>
      <c r="CS849" t="str">
        <f ca="1">IFERROR(__xludf.DUMMYFUNCTION("""COMPUTED_VALUE"""),"#VALUE!")</f>
        <v>#VALUE!</v>
      </c>
      <c r="CU849" t="str">
        <f ca="1">IFERROR(__xludf.DUMMYFUNCTION("""COMPUTED_VALUE"""),"#VALUE!")</f>
        <v>#VALUE!</v>
      </c>
      <c r="CW849" t="str">
        <f ca="1">IFERROR(__xludf.DUMMYFUNCTION("""COMPUTED_VALUE"""),"#VALUE!")</f>
        <v>#VALUE!</v>
      </c>
      <c r="CY849" t="str">
        <f ca="1">IFERROR(__xludf.DUMMYFUNCTION("""COMPUTED_VALUE"""),"#VALUE!")</f>
        <v>#VALUE!</v>
      </c>
      <c r="DC849" t="str">
        <f ca="1">IFERROR(__xludf.DUMMYFUNCTION("""COMPUTED_VALUE"""),"#VALUE!")</f>
        <v>#VALUE!</v>
      </c>
      <c r="DE849" t="str">
        <f ca="1">IFERROR(__xludf.DUMMYFUNCTION("""COMPUTED_VALUE"""),"#VALUE!")</f>
        <v>#VALUE!</v>
      </c>
    </row>
    <row r="850" spans="1:109" ht="13.2" x14ac:dyDescent="0.25">
      <c r="A850" t="str">
        <f ca="1">IFERROR(__xludf.DUMMYFUNCTION("""COMPUTED_VALUE"""),"P0859")</f>
        <v>P0859</v>
      </c>
      <c r="BC850" t="str">
        <f ca="1">IFERROR(__xludf.DUMMYFUNCTION("""COMPUTED_VALUE"""),"#VALUE!")</f>
        <v>#VALUE!</v>
      </c>
      <c r="BE850" t="str">
        <f ca="1">IFERROR(__xludf.DUMMYFUNCTION("""COMPUTED_VALUE"""),"#VALUE!")</f>
        <v>#VALUE!</v>
      </c>
      <c r="BG850" t="str">
        <f ca="1">IFERROR(__xludf.DUMMYFUNCTION("""COMPUTED_VALUE"""),"#VALUE!")</f>
        <v>#VALUE!</v>
      </c>
      <c r="BI850" t="str">
        <f ca="1">IFERROR(__xludf.DUMMYFUNCTION("""COMPUTED_VALUE"""),"#VALUE!")</f>
        <v>#VALUE!</v>
      </c>
      <c r="BK850" t="str">
        <f ca="1">IFERROR(__xludf.DUMMYFUNCTION("""COMPUTED_VALUE"""),"#VALUE!")</f>
        <v>#VALUE!</v>
      </c>
      <c r="BM850" t="str">
        <f ca="1">IFERROR(__xludf.DUMMYFUNCTION("""COMPUTED_VALUE"""),"#VALUE!")</f>
        <v>#VALUE!</v>
      </c>
      <c r="CS850" t="str">
        <f ca="1">IFERROR(__xludf.DUMMYFUNCTION("""COMPUTED_VALUE"""),"#VALUE!")</f>
        <v>#VALUE!</v>
      </c>
      <c r="CU850" t="str">
        <f ca="1">IFERROR(__xludf.DUMMYFUNCTION("""COMPUTED_VALUE"""),"#VALUE!")</f>
        <v>#VALUE!</v>
      </c>
      <c r="CW850" t="str">
        <f ca="1">IFERROR(__xludf.DUMMYFUNCTION("""COMPUTED_VALUE"""),"#VALUE!")</f>
        <v>#VALUE!</v>
      </c>
      <c r="CY850" t="str">
        <f ca="1">IFERROR(__xludf.DUMMYFUNCTION("""COMPUTED_VALUE"""),"#VALUE!")</f>
        <v>#VALUE!</v>
      </c>
      <c r="DC850" t="str">
        <f ca="1">IFERROR(__xludf.DUMMYFUNCTION("""COMPUTED_VALUE"""),"#VALUE!")</f>
        <v>#VALUE!</v>
      </c>
      <c r="DE850" t="str">
        <f ca="1">IFERROR(__xludf.DUMMYFUNCTION("""COMPUTED_VALUE"""),"#VALUE!")</f>
        <v>#VALUE!</v>
      </c>
    </row>
    <row r="851" spans="1:109" ht="13.2" x14ac:dyDescent="0.25">
      <c r="A851" t="str">
        <f ca="1">IFERROR(__xludf.DUMMYFUNCTION("""COMPUTED_VALUE"""),"P0860")</f>
        <v>P0860</v>
      </c>
      <c r="BC851" t="str">
        <f ca="1">IFERROR(__xludf.DUMMYFUNCTION("""COMPUTED_VALUE"""),"#VALUE!")</f>
        <v>#VALUE!</v>
      </c>
      <c r="BE851" t="str">
        <f ca="1">IFERROR(__xludf.DUMMYFUNCTION("""COMPUTED_VALUE"""),"#VALUE!")</f>
        <v>#VALUE!</v>
      </c>
      <c r="BG851" t="str">
        <f ca="1">IFERROR(__xludf.DUMMYFUNCTION("""COMPUTED_VALUE"""),"#VALUE!")</f>
        <v>#VALUE!</v>
      </c>
      <c r="BI851" t="str">
        <f ca="1">IFERROR(__xludf.DUMMYFUNCTION("""COMPUTED_VALUE"""),"#VALUE!")</f>
        <v>#VALUE!</v>
      </c>
      <c r="BK851" t="str">
        <f ca="1">IFERROR(__xludf.DUMMYFUNCTION("""COMPUTED_VALUE"""),"#VALUE!")</f>
        <v>#VALUE!</v>
      </c>
      <c r="BM851" t="str">
        <f ca="1">IFERROR(__xludf.DUMMYFUNCTION("""COMPUTED_VALUE"""),"#VALUE!")</f>
        <v>#VALUE!</v>
      </c>
      <c r="CS851" t="str">
        <f ca="1">IFERROR(__xludf.DUMMYFUNCTION("""COMPUTED_VALUE"""),"#VALUE!")</f>
        <v>#VALUE!</v>
      </c>
      <c r="CU851" t="str">
        <f ca="1">IFERROR(__xludf.DUMMYFUNCTION("""COMPUTED_VALUE"""),"#VALUE!")</f>
        <v>#VALUE!</v>
      </c>
      <c r="CW851" t="str">
        <f ca="1">IFERROR(__xludf.DUMMYFUNCTION("""COMPUTED_VALUE"""),"#VALUE!")</f>
        <v>#VALUE!</v>
      </c>
      <c r="CY851" t="str">
        <f ca="1">IFERROR(__xludf.DUMMYFUNCTION("""COMPUTED_VALUE"""),"#VALUE!")</f>
        <v>#VALUE!</v>
      </c>
      <c r="DC851" t="str">
        <f ca="1">IFERROR(__xludf.DUMMYFUNCTION("""COMPUTED_VALUE"""),"#VALUE!")</f>
        <v>#VALUE!</v>
      </c>
      <c r="DE851" t="str">
        <f ca="1">IFERROR(__xludf.DUMMYFUNCTION("""COMPUTED_VALUE"""),"#VALUE!")</f>
        <v>#VALUE!</v>
      </c>
    </row>
    <row r="852" spans="1:109" ht="13.2" x14ac:dyDescent="0.25">
      <c r="A852" t="str">
        <f ca="1">IFERROR(__xludf.DUMMYFUNCTION("""COMPUTED_VALUE"""),"P0861")</f>
        <v>P0861</v>
      </c>
      <c r="BC852" t="str">
        <f ca="1">IFERROR(__xludf.DUMMYFUNCTION("""COMPUTED_VALUE"""),"#VALUE!")</f>
        <v>#VALUE!</v>
      </c>
      <c r="BE852" t="str">
        <f ca="1">IFERROR(__xludf.DUMMYFUNCTION("""COMPUTED_VALUE"""),"#VALUE!")</f>
        <v>#VALUE!</v>
      </c>
      <c r="BG852" t="str">
        <f ca="1">IFERROR(__xludf.DUMMYFUNCTION("""COMPUTED_VALUE"""),"#VALUE!")</f>
        <v>#VALUE!</v>
      </c>
      <c r="BI852" t="str">
        <f ca="1">IFERROR(__xludf.DUMMYFUNCTION("""COMPUTED_VALUE"""),"#VALUE!")</f>
        <v>#VALUE!</v>
      </c>
      <c r="BK852" t="str">
        <f ca="1">IFERROR(__xludf.DUMMYFUNCTION("""COMPUTED_VALUE"""),"#VALUE!")</f>
        <v>#VALUE!</v>
      </c>
      <c r="BM852" t="str">
        <f ca="1">IFERROR(__xludf.DUMMYFUNCTION("""COMPUTED_VALUE"""),"#VALUE!")</f>
        <v>#VALUE!</v>
      </c>
      <c r="CS852" t="str">
        <f ca="1">IFERROR(__xludf.DUMMYFUNCTION("""COMPUTED_VALUE"""),"#VALUE!")</f>
        <v>#VALUE!</v>
      </c>
      <c r="CU852" t="str">
        <f ca="1">IFERROR(__xludf.DUMMYFUNCTION("""COMPUTED_VALUE"""),"#VALUE!")</f>
        <v>#VALUE!</v>
      </c>
      <c r="CW852" t="str">
        <f ca="1">IFERROR(__xludf.DUMMYFUNCTION("""COMPUTED_VALUE"""),"#VALUE!")</f>
        <v>#VALUE!</v>
      </c>
      <c r="CY852" t="str">
        <f ca="1">IFERROR(__xludf.DUMMYFUNCTION("""COMPUTED_VALUE"""),"#VALUE!")</f>
        <v>#VALUE!</v>
      </c>
      <c r="DC852" t="str">
        <f ca="1">IFERROR(__xludf.DUMMYFUNCTION("""COMPUTED_VALUE"""),"#VALUE!")</f>
        <v>#VALUE!</v>
      </c>
      <c r="DE852" t="str">
        <f ca="1">IFERROR(__xludf.DUMMYFUNCTION("""COMPUTED_VALUE"""),"#VALUE!")</f>
        <v>#VALUE!</v>
      </c>
    </row>
    <row r="853" spans="1:109" ht="13.2" x14ac:dyDescent="0.25">
      <c r="A853" t="str">
        <f ca="1">IFERROR(__xludf.DUMMYFUNCTION("""COMPUTED_VALUE"""),"P0862")</f>
        <v>P0862</v>
      </c>
      <c r="BC853" t="str">
        <f ca="1">IFERROR(__xludf.DUMMYFUNCTION("""COMPUTED_VALUE"""),"#VALUE!")</f>
        <v>#VALUE!</v>
      </c>
      <c r="BE853" t="str">
        <f ca="1">IFERROR(__xludf.DUMMYFUNCTION("""COMPUTED_VALUE"""),"#VALUE!")</f>
        <v>#VALUE!</v>
      </c>
      <c r="BG853" t="str">
        <f ca="1">IFERROR(__xludf.DUMMYFUNCTION("""COMPUTED_VALUE"""),"#VALUE!")</f>
        <v>#VALUE!</v>
      </c>
      <c r="BI853" t="str">
        <f ca="1">IFERROR(__xludf.DUMMYFUNCTION("""COMPUTED_VALUE"""),"#VALUE!")</f>
        <v>#VALUE!</v>
      </c>
      <c r="BK853" t="str">
        <f ca="1">IFERROR(__xludf.DUMMYFUNCTION("""COMPUTED_VALUE"""),"#VALUE!")</f>
        <v>#VALUE!</v>
      </c>
      <c r="BM853" t="str">
        <f ca="1">IFERROR(__xludf.DUMMYFUNCTION("""COMPUTED_VALUE"""),"#VALUE!")</f>
        <v>#VALUE!</v>
      </c>
      <c r="CS853" t="str">
        <f ca="1">IFERROR(__xludf.DUMMYFUNCTION("""COMPUTED_VALUE"""),"#VALUE!")</f>
        <v>#VALUE!</v>
      </c>
      <c r="CU853" t="str">
        <f ca="1">IFERROR(__xludf.DUMMYFUNCTION("""COMPUTED_VALUE"""),"#VALUE!")</f>
        <v>#VALUE!</v>
      </c>
      <c r="CW853" t="str">
        <f ca="1">IFERROR(__xludf.DUMMYFUNCTION("""COMPUTED_VALUE"""),"#VALUE!")</f>
        <v>#VALUE!</v>
      </c>
      <c r="CY853" t="str">
        <f ca="1">IFERROR(__xludf.DUMMYFUNCTION("""COMPUTED_VALUE"""),"#VALUE!")</f>
        <v>#VALUE!</v>
      </c>
      <c r="DC853" t="str">
        <f ca="1">IFERROR(__xludf.DUMMYFUNCTION("""COMPUTED_VALUE"""),"#VALUE!")</f>
        <v>#VALUE!</v>
      </c>
      <c r="DE853" t="str">
        <f ca="1">IFERROR(__xludf.DUMMYFUNCTION("""COMPUTED_VALUE"""),"#VALUE!")</f>
        <v>#VALUE!</v>
      </c>
    </row>
    <row r="854" spans="1:109" ht="13.2" x14ac:dyDescent="0.25">
      <c r="A854" t="str">
        <f ca="1">IFERROR(__xludf.DUMMYFUNCTION("""COMPUTED_VALUE"""),"P0863")</f>
        <v>P0863</v>
      </c>
      <c r="BC854" t="str">
        <f ca="1">IFERROR(__xludf.DUMMYFUNCTION("""COMPUTED_VALUE"""),"#VALUE!")</f>
        <v>#VALUE!</v>
      </c>
      <c r="BE854" t="str">
        <f ca="1">IFERROR(__xludf.DUMMYFUNCTION("""COMPUTED_VALUE"""),"#VALUE!")</f>
        <v>#VALUE!</v>
      </c>
      <c r="BG854" t="str">
        <f ca="1">IFERROR(__xludf.DUMMYFUNCTION("""COMPUTED_VALUE"""),"#VALUE!")</f>
        <v>#VALUE!</v>
      </c>
      <c r="BI854" t="str">
        <f ca="1">IFERROR(__xludf.DUMMYFUNCTION("""COMPUTED_VALUE"""),"#VALUE!")</f>
        <v>#VALUE!</v>
      </c>
      <c r="BK854" t="str">
        <f ca="1">IFERROR(__xludf.DUMMYFUNCTION("""COMPUTED_VALUE"""),"#VALUE!")</f>
        <v>#VALUE!</v>
      </c>
      <c r="BM854" t="str">
        <f ca="1">IFERROR(__xludf.DUMMYFUNCTION("""COMPUTED_VALUE"""),"#VALUE!")</f>
        <v>#VALUE!</v>
      </c>
      <c r="CS854" t="str">
        <f ca="1">IFERROR(__xludf.DUMMYFUNCTION("""COMPUTED_VALUE"""),"#VALUE!")</f>
        <v>#VALUE!</v>
      </c>
      <c r="CU854" t="str">
        <f ca="1">IFERROR(__xludf.DUMMYFUNCTION("""COMPUTED_VALUE"""),"#VALUE!")</f>
        <v>#VALUE!</v>
      </c>
      <c r="CW854" t="str">
        <f ca="1">IFERROR(__xludf.DUMMYFUNCTION("""COMPUTED_VALUE"""),"#VALUE!")</f>
        <v>#VALUE!</v>
      </c>
      <c r="CY854" t="str">
        <f ca="1">IFERROR(__xludf.DUMMYFUNCTION("""COMPUTED_VALUE"""),"#VALUE!")</f>
        <v>#VALUE!</v>
      </c>
      <c r="DC854" t="str">
        <f ca="1">IFERROR(__xludf.DUMMYFUNCTION("""COMPUTED_VALUE"""),"#VALUE!")</f>
        <v>#VALUE!</v>
      </c>
      <c r="DE854" t="str">
        <f ca="1">IFERROR(__xludf.DUMMYFUNCTION("""COMPUTED_VALUE"""),"#VALUE!")</f>
        <v>#VALUE!</v>
      </c>
    </row>
    <row r="855" spans="1:109" ht="13.2" x14ac:dyDescent="0.25">
      <c r="A855" t="str">
        <f ca="1">IFERROR(__xludf.DUMMYFUNCTION("""COMPUTED_VALUE"""),"P0864")</f>
        <v>P0864</v>
      </c>
      <c r="BC855" t="str">
        <f ca="1">IFERROR(__xludf.DUMMYFUNCTION("""COMPUTED_VALUE"""),"#VALUE!")</f>
        <v>#VALUE!</v>
      </c>
      <c r="BE855" t="str">
        <f ca="1">IFERROR(__xludf.DUMMYFUNCTION("""COMPUTED_VALUE"""),"#VALUE!")</f>
        <v>#VALUE!</v>
      </c>
      <c r="BG855" t="str">
        <f ca="1">IFERROR(__xludf.DUMMYFUNCTION("""COMPUTED_VALUE"""),"#VALUE!")</f>
        <v>#VALUE!</v>
      </c>
      <c r="BI855" t="str">
        <f ca="1">IFERROR(__xludf.DUMMYFUNCTION("""COMPUTED_VALUE"""),"#VALUE!")</f>
        <v>#VALUE!</v>
      </c>
      <c r="BK855" t="str">
        <f ca="1">IFERROR(__xludf.DUMMYFUNCTION("""COMPUTED_VALUE"""),"#VALUE!")</f>
        <v>#VALUE!</v>
      </c>
      <c r="BM855" t="str">
        <f ca="1">IFERROR(__xludf.DUMMYFUNCTION("""COMPUTED_VALUE"""),"#VALUE!")</f>
        <v>#VALUE!</v>
      </c>
      <c r="CS855" t="str">
        <f ca="1">IFERROR(__xludf.DUMMYFUNCTION("""COMPUTED_VALUE"""),"#VALUE!")</f>
        <v>#VALUE!</v>
      </c>
      <c r="CU855" t="str">
        <f ca="1">IFERROR(__xludf.DUMMYFUNCTION("""COMPUTED_VALUE"""),"#VALUE!")</f>
        <v>#VALUE!</v>
      </c>
      <c r="CW855" t="str">
        <f ca="1">IFERROR(__xludf.DUMMYFUNCTION("""COMPUTED_VALUE"""),"#VALUE!")</f>
        <v>#VALUE!</v>
      </c>
      <c r="CY855" t="str">
        <f ca="1">IFERROR(__xludf.DUMMYFUNCTION("""COMPUTED_VALUE"""),"#VALUE!")</f>
        <v>#VALUE!</v>
      </c>
      <c r="DC855" t="str">
        <f ca="1">IFERROR(__xludf.DUMMYFUNCTION("""COMPUTED_VALUE"""),"#VALUE!")</f>
        <v>#VALUE!</v>
      </c>
      <c r="DE855" t="str">
        <f ca="1">IFERROR(__xludf.DUMMYFUNCTION("""COMPUTED_VALUE"""),"#VALUE!")</f>
        <v>#VALUE!</v>
      </c>
    </row>
    <row r="856" spans="1:109" ht="13.2" x14ac:dyDescent="0.25">
      <c r="A856" t="str">
        <f ca="1">IFERROR(__xludf.DUMMYFUNCTION("""COMPUTED_VALUE"""),"P0865")</f>
        <v>P0865</v>
      </c>
      <c r="BC856" t="str">
        <f ca="1">IFERROR(__xludf.DUMMYFUNCTION("""COMPUTED_VALUE"""),"#VALUE!")</f>
        <v>#VALUE!</v>
      </c>
      <c r="BE856" t="str">
        <f ca="1">IFERROR(__xludf.DUMMYFUNCTION("""COMPUTED_VALUE"""),"#VALUE!")</f>
        <v>#VALUE!</v>
      </c>
      <c r="BG856" t="str">
        <f ca="1">IFERROR(__xludf.DUMMYFUNCTION("""COMPUTED_VALUE"""),"#VALUE!")</f>
        <v>#VALUE!</v>
      </c>
      <c r="BI856" t="str">
        <f ca="1">IFERROR(__xludf.DUMMYFUNCTION("""COMPUTED_VALUE"""),"#VALUE!")</f>
        <v>#VALUE!</v>
      </c>
      <c r="BK856" t="str">
        <f ca="1">IFERROR(__xludf.DUMMYFUNCTION("""COMPUTED_VALUE"""),"#VALUE!")</f>
        <v>#VALUE!</v>
      </c>
      <c r="BM856" t="str">
        <f ca="1">IFERROR(__xludf.DUMMYFUNCTION("""COMPUTED_VALUE"""),"#VALUE!")</f>
        <v>#VALUE!</v>
      </c>
      <c r="CS856" t="str">
        <f ca="1">IFERROR(__xludf.DUMMYFUNCTION("""COMPUTED_VALUE"""),"#VALUE!")</f>
        <v>#VALUE!</v>
      </c>
      <c r="CU856" t="str">
        <f ca="1">IFERROR(__xludf.DUMMYFUNCTION("""COMPUTED_VALUE"""),"#VALUE!")</f>
        <v>#VALUE!</v>
      </c>
      <c r="CW856" t="str">
        <f ca="1">IFERROR(__xludf.DUMMYFUNCTION("""COMPUTED_VALUE"""),"#VALUE!")</f>
        <v>#VALUE!</v>
      </c>
      <c r="CY856" t="str">
        <f ca="1">IFERROR(__xludf.DUMMYFUNCTION("""COMPUTED_VALUE"""),"#VALUE!")</f>
        <v>#VALUE!</v>
      </c>
      <c r="DC856" t="str">
        <f ca="1">IFERROR(__xludf.DUMMYFUNCTION("""COMPUTED_VALUE"""),"#VALUE!")</f>
        <v>#VALUE!</v>
      </c>
      <c r="DE856" t="str">
        <f ca="1">IFERROR(__xludf.DUMMYFUNCTION("""COMPUTED_VALUE"""),"#VALUE!")</f>
        <v>#VALUE!</v>
      </c>
    </row>
    <row r="857" spans="1:109" ht="13.2" x14ac:dyDescent="0.25">
      <c r="A857" t="str">
        <f ca="1">IFERROR(__xludf.DUMMYFUNCTION("""COMPUTED_VALUE"""),"P0866")</f>
        <v>P0866</v>
      </c>
      <c r="BC857" t="str">
        <f ca="1">IFERROR(__xludf.DUMMYFUNCTION("""COMPUTED_VALUE"""),"#VALUE!")</f>
        <v>#VALUE!</v>
      </c>
      <c r="BE857" t="str">
        <f ca="1">IFERROR(__xludf.DUMMYFUNCTION("""COMPUTED_VALUE"""),"#VALUE!")</f>
        <v>#VALUE!</v>
      </c>
      <c r="BG857" t="str">
        <f ca="1">IFERROR(__xludf.DUMMYFUNCTION("""COMPUTED_VALUE"""),"#VALUE!")</f>
        <v>#VALUE!</v>
      </c>
      <c r="BI857" t="str">
        <f ca="1">IFERROR(__xludf.DUMMYFUNCTION("""COMPUTED_VALUE"""),"#VALUE!")</f>
        <v>#VALUE!</v>
      </c>
      <c r="BK857" t="str">
        <f ca="1">IFERROR(__xludf.DUMMYFUNCTION("""COMPUTED_VALUE"""),"#VALUE!")</f>
        <v>#VALUE!</v>
      </c>
      <c r="BM857" t="str">
        <f ca="1">IFERROR(__xludf.DUMMYFUNCTION("""COMPUTED_VALUE"""),"#VALUE!")</f>
        <v>#VALUE!</v>
      </c>
      <c r="CS857" t="str">
        <f ca="1">IFERROR(__xludf.DUMMYFUNCTION("""COMPUTED_VALUE"""),"#VALUE!")</f>
        <v>#VALUE!</v>
      </c>
      <c r="CU857" t="str">
        <f ca="1">IFERROR(__xludf.DUMMYFUNCTION("""COMPUTED_VALUE"""),"#VALUE!")</f>
        <v>#VALUE!</v>
      </c>
      <c r="CW857" t="str">
        <f ca="1">IFERROR(__xludf.DUMMYFUNCTION("""COMPUTED_VALUE"""),"#VALUE!")</f>
        <v>#VALUE!</v>
      </c>
      <c r="CY857" t="str">
        <f ca="1">IFERROR(__xludf.DUMMYFUNCTION("""COMPUTED_VALUE"""),"#VALUE!")</f>
        <v>#VALUE!</v>
      </c>
      <c r="DC857" t="str">
        <f ca="1">IFERROR(__xludf.DUMMYFUNCTION("""COMPUTED_VALUE"""),"#VALUE!")</f>
        <v>#VALUE!</v>
      </c>
      <c r="DE857" t="str">
        <f ca="1">IFERROR(__xludf.DUMMYFUNCTION("""COMPUTED_VALUE"""),"#VALUE!")</f>
        <v>#VALUE!</v>
      </c>
    </row>
    <row r="858" spans="1:109" ht="13.2" x14ac:dyDescent="0.25">
      <c r="A858" t="str">
        <f ca="1">IFERROR(__xludf.DUMMYFUNCTION("""COMPUTED_VALUE"""),"P0867")</f>
        <v>P0867</v>
      </c>
      <c r="BC858" t="str">
        <f ca="1">IFERROR(__xludf.DUMMYFUNCTION("""COMPUTED_VALUE"""),"#VALUE!")</f>
        <v>#VALUE!</v>
      </c>
      <c r="BE858" t="str">
        <f ca="1">IFERROR(__xludf.DUMMYFUNCTION("""COMPUTED_VALUE"""),"#VALUE!")</f>
        <v>#VALUE!</v>
      </c>
      <c r="BG858" t="str">
        <f ca="1">IFERROR(__xludf.DUMMYFUNCTION("""COMPUTED_VALUE"""),"#VALUE!")</f>
        <v>#VALUE!</v>
      </c>
      <c r="BI858" t="str">
        <f ca="1">IFERROR(__xludf.DUMMYFUNCTION("""COMPUTED_VALUE"""),"#VALUE!")</f>
        <v>#VALUE!</v>
      </c>
      <c r="BK858" t="str">
        <f ca="1">IFERROR(__xludf.DUMMYFUNCTION("""COMPUTED_VALUE"""),"#VALUE!")</f>
        <v>#VALUE!</v>
      </c>
      <c r="BM858" t="str">
        <f ca="1">IFERROR(__xludf.DUMMYFUNCTION("""COMPUTED_VALUE"""),"#VALUE!")</f>
        <v>#VALUE!</v>
      </c>
      <c r="CS858" t="str">
        <f ca="1">IFERROR(__xludf.DUMMYFUNCTION("""COMPUTED_VALUE"""),"#VALUE!")</f>
        <v>#VALUE!</v>
      </c>
      <c r="CU858" t="str">
        <f ca="1">IFERROR(__xludf.DUMMYFUNCTION("""COMPUTED_VALUE"""),"#VALUE!")</f>
        <v>#VALUE!</v>
      </c>
      <c r="CW858" t="str">
        <f ca="1">IFERROR(__xludf.DUMMYFUNCTION("""COMPUTED_VALUE"""),"#VALUE!")</f>
        <v>#VALUE!</v>
      </c>
      <c r="CY858" t="str">
        <f ca="1">IFERROR(__xludf.DUMMYFUNCTION("""COMPUTED_VALUE"""),"#VALUE!")</f>
        <v>#VALUE!</v>
      </c>
      <c r="DC858" t="str">
        <f ca="1">IFERROR(__xludf.DUMMYFUNCTION("""COMPUTED_VALUE"""),"#VALUE!")</f>
        <v>#VALUE!</v>
      </c>
      <c r="DE858" t="str">
        <f ca="1">IFERROR(__xludf.DUMMYFUNCTION("""COMPUTED_VALUE"""),"#VALUE!")</f>
        <v>#VALUE!</v>
      </c>
    </row>
    <row r="859" spans="1:109" ht="13.2" x14ac:dyDescent="0.25">
      <c r="A859" t="str">
        <f ca="1">IFERROR(__xludf.DUMMYFUNCTION("""COMPUTED_VALUE"""),"P0868")</f>
        <v>P0868</v>
      </c>
      <c r="BC859" t="str">
        <f ca="1">IFERROR(__xludf.DUMMYFUNCTION("""COMPUTED_VALUE"""),"#VALUE!")</f>
        <v>#VALUE!</v>
      </c>
      <c r="BE859" t="str">
        <f ca="1">IFERROR(__xludf.DUMMYFUNCTION("""COMPUTED_VALUE"""),"#VALUE!")</f>
        <v>#VALUE!</v>
      </c>
      <c r="BG859" t="str">
        <f ca="1">IFERROR(__xludf.DUMMYFUNCTION("""COMPUTED_VALUE"""),"#VALUE!")</f>
        <v>#VALUE!</v>
      </c>
      <c r="BI859" t="str">
        <f ca="1">IFERROR(__xludf.DUMMYFUNCTION("""COMPUTED_VALUE"""),"#VALUE!")</f>
        <v>#VALUE!</v>
      </c>
      <c r="BK859" t="str">
        <f ca="1">IFERROR(__xludf.DUMMYFUNCTION("""COMPUTED_VALUE"""),"#VALUE!")</f>
        <v>#VALUE!</v>
      </c>
      <c r="BM859" t="str">
        <f ca="1">IFERROR(__xludf.DUMMYFUNCTION("""COMPUTED_VALUE"""),"#VALUE!")</f>
        <v>#VALUE!</v>
      </c>
      <c r="CS859" t="str">
        <f ca="1">IFERROR(__xludf.DUMMYFUNCTION("""COMPUTED_VALUE"""),"#VALUE!")</f>
        <v>#VALUE!</v>
      </c>
      <c r="CU859" t="str">
        <f ca="1">IFERROR(__xludf.DUMMYFUNCTION("""COMPUTED_VALUE"""),"#VALUE!")</f>
        <v>#VALUE!</v>
      </c>
      <c r="CW859" t="str">
        <f ca="1">IFERROR(__xludf.DUMMYFUNCTION("""COMPUTED_VALUE"""),"#VALUE!")</f>
        <v>#VALUE!</v>
      </c>
      <c r="CY859" t="str">
        <f ca="1">IFERROR(__xludf.DUMMYFUNCTION("""COMPUTED_VALUE"""),"#VALUE!")</f>
        <v>#VALUE!</v>
      </c>
      <c r="DC859" t="str">
        <f ca="1">IFERROR(__xludf.DUMMYFUNCTION("""COMPUTED_VALUE"""),"#VALUE!")</f>
        <v>#VALUE!</v>
      </c>
      <c r="DE859" t="str">
        <f ca="1">IFERROR(__xludf.DUMMYFUNCTION("""COMPUTED_VALUE"""),"#VALUE!")</f>
        <v>#VALUE!</v>
      </c>
    </row>
    <row r="860" spans="1:109" ht="13.2" x14ac:dyDescent="0.25">
      <c r="A860" t="str">
        <f ca="1">IFERROR(__xludf.DUMMYFUNCTION("""COMPUTED_VALUE"""),"P0869")</f>
        <v>P0869</v>
      </c>
      <c r="BC860" t="str">
        <f ca="1">IFERROR(__xludf.DUMMYFUNCTION("""COMPUTED_VALUE"""),"#VALUE!")</f>
        <v>#VALUE!</v>
      </c>
      <c r="BE860" t="str">
        <f ca="1">IFERROR(__xludf.DUMMYFUNCTION("""COMPUTED_VALUE"""),"#VALUE!")</f>
        <v>#VALUE!</v>
      </c>
      <c r="BG860" t="str">
        <f ca="1">IFERROR(__xludf.DUMMYFUNCTION("""COMPUTED_VALUE"""),"#VALUE!")</f>
        <v>#VALUE!</v>
      </c>
      <c r="BI860" t="str">
        <f ca="1">IFERROR(__xludf.DUMMYFUNCTION("""COMPUTED_VALUE"""),"#VALUE!")</f>
        <v>#VALUE!</v>
      </c>
      <c r="BK860" t="str">
        <f ca="1">IFERROR(__xludf.DUMMYFUNCTION("""COMPUTED_VALUE"""),"#VALUE!")</f>
        <v>#VALUE!</v>
      </c>
      <c r="BM860" t="str">
        <f ca="1">IFERROR(__xludf.DUMMYFUNCTION("""COMPUTED_VALUE"""),"#VALUE!")</f>
        <v>#VALUE!</v>
      </c>
      <c r="CS860" t="str">
        <f ca="1">IFERROR(__xludf.DUMMYFUNCTION("""COMPUTED_VALUE"""),"#VALUE!")</f>
        <v>#VALUE!</v>
      </c>
      <c r="CU860" t="str">
        <f ca="1">IFERROR(__xludf.DUMMYFUNCTION("""COMPUTED_VALUE"""),"#VALUE!")</f>
        <v>#VALUE!</v>
      </c>
      <c r="CW860" t="str">
        <f ca="1">IFERROR(__xludf.DUMMYFUNCTION("""COMPUTED_VALUE"""),"#VALUE!")</f>
        <v>#VALUE!</v>
      </c>
      <c r="CY860" t="str">
        <f ca="1">IFERROR(__xludf.DUMMYFUNCTION("""COMPUTED_VALUE"""),"#VALUE!")</f>
        <v>#VALUE!</v>
      </c>
      <c r="DC860" t="str">
        <f ca="1">IFERROR(__xludf.DUMMYFUNCTION("""COMPUTED_VALUE"""),"#VALUE!")</f>
        <v>#VALUE!</v>
      </c>
      <c r="DE860" t="str">
        <f ca="1">IFERROR(__xludf.DUMMYFUNCTION("""COMPUTED_VALUE"""),"#VALUE!")</f>
        <v>#VALUE!</v>
      </c>
    </row>
    <row r="861" spans="1:109" ht="13.2" x14ac:dyDescent="0.25">
      <c r="A861" t="str">
        <f ca="1">IFERROR(__xludf.DUMMYFUNCTION("""COMPUTED_VALUE"""),"P0870")</f>
        <v>P0870</v>
      </c>
      <c r="BC861" t="str">
        <f ca="1">IFERROR(__xludf.DUMMYFUNCTION("""COMPUTED_VALUE"""),"#VALUE!")</f>
        <v>#VALUE!</v>
      </c>
      <c r="BE861" t="str">
        <f ca="1">IFERROR(__xludf.DUMMYFUNCTION("""COMPUTED_VALUE"""),"#VALUE!")</f>
        <v>#VALUE!</v>
      </c>
      <c r="BG861" t="str">
        <f ca="1">IFERROR(__xludf.DUMMYFUNCTION("""COMPUTED_VALUE"""),"#VALUE!")</f>
        <v>#VALUE!</v>
      </c>
      <c r="BI861" t="str">
        <f ca="1">IFERROR(__xludf.DUMMYFUNCTION("""COMPUTED_VALUE"""),"#VALUE!")</f>
        <v>#VALUE!</v>
      </c>
      <c r="BK861" t="str">
        <f ca="1">IFERROR(__xludf.DUMMYFUNCTION("""COMPUTED_VALUE"""),"#VALUE!")</f>
        <v>#VALUE!</v>
      </c>
      <c r="BM861" t="str">
        <f ca="1">IFERROR(__xludf.DUMMYFUNCTION("""COMPUTED_VALUE"""),"#VALUE!")</f>
        <v>#VALUE!</v>
      </c>
      <c r="CS861" t="str">
        <f ca="1">IFERROR(__xludf.DUMMYFUNCTION("""COMPUTED_VALUE"""),"#VALUE!")</f>
        <v>#VALUE!</v>
      </c>
      <c r="CU861" t="str">
        <f ca="1">IFERROR(__xludf.DUMMYFUNCTION("""COMPUTED_VALUE"""),"#VALUE!")</f>
        <v>#VALUE!</v>
      </c>
      <c r="CW861" t="str">
        <f ca="1">IFERROR(__xludf.DUMMYFUNCTION("""COMPUTED_VALUE"""),"#VALUE!")</f>
        <v>#VALUE!</v>
      </c>
      <c r="CY861" t="str">
        <f ca="1">IFERROR(__xludf.DUMMYFUNCTION("""COMPUTED_VALUE"""),"#VALUE!")</f>
        <v>#VALUE!</v>
      </c>
      <c r="DC861" t="str">
        <f ca="1">IFERROR(__xludf.DUMMYFUNCTION("""COMPUTED_VALUE"""),"#VALUE!")</f>
        <v>#VALUE!</v>
      </c>
      <c r="DE861" t="str">
        <f ca="1">IFERROR(__xludf.DUMMYFUNCTION("""COMPUTED_VALUE"""),"#VALUE!")</f>
        <v>#VALUE!</v>
      </c>
    </row>
    <row r="862" spans="1:109" ht="13.2" x14ac:dyDescent="0.25">
      <c r="A862" t="str">
        <f ca="1">IFERROR(__xludf.DUMMYFUNCTION("""COMPUTED_VALUE"""),"P0871")</f>
        <v>P0871</v>
      </c>
      <c r="BC862" t="str">
        <f ca="1">IFERROR(__xludf.DUMMYFUNCTION("""COMPUTED_VALUE"""),"#VALUE!")</f>
        <v>#VALUE!</v>
      </c>
      <c r="BE862" t="str">
        <f ca="1">IFERROR(__xludf.DUMMYFUNCTION("""COMPUTED_VALUE"""),"#VALUE!")</f>
        <v>#VALUE!</v>
      </c>
      <c r="BG862" t="str">
        <f ca="1">IFERROR(__xludf.DUMMYFUNCTION("""COMPUTED_VALUE"""),"#VALUE!")</f>
        <v>#VALUE!</v>
      </c>
      <c r="BI862" t="str">
        <f ca="1">IFERROR(__xludf.DUMMYFUNCTION("""COMPUTED_VALUE"""),"#VALUE!")</f>
        <v>#VALUE!</v>
      </c>
      <c r="BK862" t="str">
        <f ca="1">IFERROR(__xludf.DUMMYFUNCTION("""COMPUTED_VALUE"""),"#VALUE!")</f>
        <v>#VALUE!</v>
      </c>
      <c r="BM862" t="str">
        <f ca="1">IFERROR(__xludf.DUMMYFUNCTION("""COMPUTED_VALUE"""),"#VALUE!")</f>
        <v>#VALUE!</v>
      </c>
      <c r="CS862" t="str">
        <f ca="1">IFERROR(__xludf.DUMMYFUNCTION("""COMPUTED_VALUE"""),"#VALUE!")</f>
        <v>#VALUE!</v>
      </c>
      <c r="CU862" t="str">
        <f ca="1">IFERROR(__xludf.DUMMYFUNCTION("""COMPUTED_VALUE"""),"#VALUE!")</f>
        <v>#VALUE!</v>
      </c>
      <c r="CW862" t="str">
        <f ca="1">IFERROR(__xludf.DUMMYFUNCTION("""COMPUTED_VALUE"""),"#VALUE!")</f>
        <v>#VALUE!</v>
      </c>
      <c r="CY862" t="str">
        <f ca="1">IFERROR(__xludf.DUMMYFUNCTION("""COMPUTED_VALUE"""),"#VALUE!")</f>
        <v>#VALUE!</v>
      </c>
      <c r="DC862" t="str">
        <f ca="1">IFERROR(__xludf.DUMMYFUNCTION("""COMPUTED_VALUE"""),"#VALUE!")</f>
        <v>#VALUE!</v>
      </c>
      <c r="DE862" t="str">
        <f ca="1">IFERROR(__xludf.DUMMYFUNCTION("""COMPUTED_VALUE"""),"#VALUE!")</f>
        <v>#VALUE!</v>
      </c>
    </row>
    <row r="863" spans="1:109" ht="13.2" x14ac:dyDescent="0.25">
      <c r="A863" t="str">
        <f ca="1">IFERROR(__xludf.DUMMYFUNCTION("""COMPUTED_VALUE"""),"P0872")</f>
        <v>P0872</v>
      </c>
      <c r="BC863" t="str">
        <f ca="1">IFERROR(__xludf.DUMMYFUNCTION("""COMPUTED_VALUE"""),"#VALUE!")</f>
        <v>#VALUE!</v>
      </c>
      <c r="BE863" t="str">
        <f ca="1">IFERROR(__xludf.DUMMYFUNCTION("""COMPUTED_VALUE"""),"#VALUE!")</f>
        <v>#VALUE!</v>
      </c>
      <c r="BG863" t="str">
        <f ca="1">IFERROR(__xludf.DUMMYFUNCTION("""COMPUTED_VALUE"""),"#VALUE!")</f>
        <v>#VALUE!</v>
      </c>
      <c r="BI863" t="str">
        <f ca="1">IFERROR(__xludf.DUMMYFUNCTION("""COMPUTED_VALUE"""),"#VALUE!")</f>
        <v>#VALUE!</v>
      </c>
      <c r="BK863" t="str">
        <f ca="1">IFERROR(__xludf.DUMMYFUNCTION("""COMPUTED_VALUE"""),"#VALUE!")</f>
        <v>#VALUE!</v>
      </c>
      <c r="BM863" t="str">
        <f ca="1">IFERROR(__xludf.DUMMYFUNCTION("""COMPUTED_VALUE"""),"#VALUE!")</f>
        <v>#VALUE!</v>
      </c>
      <c r="CS863" t="str">
        <f ca="1">IFERROR(__xludf.DUMMYFUNCTION("""COMPUTED_VALUE"""),"#VALUE!")</f>
        <v>#VALUE!</v>
      </c>
      <c r="CU863" t="str">
        <f ca="1">IFERROR(__xludf.DUMMYFUNCTION("""COMPUTED_VALUE"""),"#VALUE!")</f>
        <v>#VALUE!</v>
      </c>
      <c r="CW863" t="str">
        <f ca="1">IFERROR(__xludf.DUMMYFUNCTION("""COMPUTED_VALUE"""),"#VALUE!")</f>
        <v>#VALUE!</v>
      </c>
      <c r="CY863" t="str">
        <f ca="1">IFERROR(__xludf.DUMMYFUNCTION("""COMPUTED_VALUE"""),"#VALUE!")</f>
        <v>#VALUE!</v>
      </c>
      <c r="DC863" t="str">
        <f ca="1">IFERROR(__xludf.DUMMYFUNCTION("""COMPUTED_VALUE"""),"#VALUE!")</f>
        <v>#VALUE!</v>
      </c>
      <c r="DE863" t="str">
        <f ca="1">IFERROR(__xludf.DUMMYFUNCTION("""COMPUTED_VALUE"""),"#VALUE!")</f>
        <v>#VALUE!</v>
      </c>
    </row>
    <row r="864" spans="1:109" ht="13.2" x14ac:dyDescent="0.25">
      <c r="A864" t="str">
        <f ca="1">IFERROR(__xludf.DUMMYFUNCTION("""COMPUTED_VALUE"""),"P0873")</f>
        <v>P0873</v>
      </c>
      <c r="BC864" t="str">
        <f ca="1">IFERROR(__xludf.DUMMYFUNCTION("""COMPUTED_VALUE"""),"#VALUE!")</f>
        <v>#VALUE!</v>
      </c>
      <c r="BE864" t="str">
        <f ca="1">IFERROR(__xludf.DUMMYFUNCTION("""COMPUTED_VALUE"""),"#VALUE!")</f>
        <v>#VALUE!</v>
      </c>
      <c r="BG864" t="str">
        <f ca="1">IFERROR(__xludf.DUMMYFUNCTION("""COMPUTED_VALUE"""),"#VALUE!")</f>
        <v>#VALUE!</v>
      </c>
      <c r="BI864" t="str">
        <f ca="1">IFERROR(__xludf.DUMMYFUNCTION("""COMPUTED_VALUE"""),"#VALUE!")</f>
        <v>#VALUE!</v>
      </c>
      <c r="BK864" t="str">
        <f ca="1">IFERROR(__xludf.DUMMYFUNCTION("""COMPUTED_VALUE"""),"#VALUE!")</f>
        <v>#VALUE!</v>
      </c>
      <c r="BM864" t="str">
        <f ca="1">IFERROR(__xludf.DUMMYFUNCTION("""COMPUTED_VALUE"""),"#VALUE!")</f>
        <v>#VALUE!</v>
      </c>
      <c r="CS864" t="str">
        <f ca="1">IFERROR(__xludf.DUMMYFUNCTION("""COMPUTED_VALUE"""),"#VALUE!")</f>
        <v>#VALUE!</v>
      </c>
      <c r="CU864" t="str">
        <f ca="1">IFERROR(__xludf.DUMMYFUNCTION("""COMPUTED_VALUE"""),"#VALUE!")</f>
        <v>#VALUE!</v>
      </c>
      <c r="CW864" t="str">
        <f ca="1">IFERROR(__xludf.DUMMYFUNCTION("""COMPUTED_VALUE"""),"#VALUE!")</f>
        <v>#VALUE!</v>
      </c>
      <c r="CY864" t="str">
        <f ca="1">IFERROR(__xludf.DUMMYFUNCTION("""COMPUTED_VALUE"""),"#VALUE!")</f>
        <v>#VALUE!</v>
      </c>
      <c r="DC864" t="str">
        <f ca="1">IFERROR(__xludf.DUMMYFUNCTION("""COMPUTED_VALUE"""),"#VALUE!")</f>
        <v>#VALUE!</v>
      </c>
      <c r="DE864" t="str">
        <f ca="1">IFERROR(__xludf.DUMMYFUNCTION("""COMPUTED_VALUE"""),"#VALUE!")</f>
        <v>#VALUE!</v>
      </c>
    </row>
    <row r="865" spans="1:109" ht="13.2" x14ac:dyDescent="0.25">
      <c r="A865" t="str">
        <f ca="1">IFERROR(__xludf.DUMMYFUNCTION("""COMPUTED_VALUE"""),"P0874")</f>
        <v>P0874</v>
      </c>
      <c r="BC865" t="str">
        <f ca="1">IFERROR(__xludf.DUMMYFUNCTION("""COMPUTED_VALUE"""),"#VALUE!")</f>
        <v>#VALUE!</v>
      </c>
      <c r="BE865" t="str">
        <f ca="1">IFERROR(__xludf.DUMMYFUNCTION("""COMPUTED_VALUE"""),"#VALUE!")</f>
        <v>#VALUE!</v>
      </c>
      <c r="BG865" t="str">
        <f ca="1">IFERROR(__xludf.DUMMYFUNCTION("""COMPUTED_VALUE"""),"#VALUE!")</f>
        <v>#VALUE!</v>
      </c>
      <c r="BI865" t="str">
        <f ca="1">IFERROR(__xludf.DUMMYFUNCTION("""COMPUTED_VALUE"""),"#VALUE!")</f>
        <v>#VALUE!</v>
      </c>
      <c r="BK865" t="str">
        <f ca="1">IFERROR(__xludf.DUMMYFUNCTION("""COMPUTED_VALUE"""),"#VALUE!")</f>
        <v>#VALUE!</v>
      </c>
      <c r="BM865" t="str">
        <f ca="1">IFERROR(__xludf.DUMMYFUNCTION("""COMPUTED_VALUE"""),"#VALUE!")</f>
        <v>#VALUE!</v>
      </c>
      <c r="CS865" t="str">
        <f ca="1">IFERROR(__xludf.DUMMYFUNCTION("""COMPUTED_VALUE"""),"#VALUE!")</f>
        <v>#VALUE!</v>
      </c>
      <c r="CU865" t="str">
        <f ca="1">IFERROR(__xludf.DUMMYFUNCTION("""COMPUTED_VALUE"""),"#VALUE!")</f>
        <v>#VALUE!</v>
      </c>
      <c r="CW865" t="str">
        <f ca="1">IFERROR(__xludf.DUMMYFUNCTION("""COMPUTED_VALUE"""),"#VALUE!")</f>
        <v>#VALUE!</v>
      </c>
      <c r="CY865" t="str">
        <f ca="1">IFERROR(__xludf.DUMMYFUNCTION("""COMPUTED_VALUE"""),"#VALUE!")</f>
        <v>#VALUE!</v>
      </c>
      <c r="DC865" t="str">
        <f ca="1">IFERROR(__xludf.DUMMYFUNCTION("""COMPUTED_VALUE"""),"#VALUE!")</f>
        <v>#VALUE!</v>
      </c>
      <c r="DE865" t="str">
        <f ca="1">IFERROR(__xludf.DUMMYFUNCTION("""COMPUTED_VALUE"""),"#VALUE!")</f>
        <v>#VALUE!</v>
      </c>
    </row>
    <row r="866" spans="1:109" ht="13.2" x14ac:dyDescent="0.25">
      <c r="A866" t="str">
        <f ca="1">IFERROR(__xludf.DUMMYFUNCTION("""COMPUTED_VALUE"""),"P0875")</f>
        <v>P0875</v>
      </c>
      <c r="BC866" t="str">
        <f ca="1">IFERROR(__xludf.DUMMYFUNCTION("""COMPUTED_VALUE"""),"#VALUE!")</f>
        <v>#VALUE!</v>
      </c>
      <c r="BE866" t="str">
        <f ca="1">IFERROR(__xludf.DUMMYFUNCTION("""COMPUTED_VALUE"""),"#VALUE!")</f>
        <v>#VALUE!</v>
      </c>
      <c r="BG866" t="str">
        <f ca="1">IFERROR(__xludf.DUMMYFUNCTION("""COMPUTED_VALUE"""),"#VALUE!")</f>
        <v>#VALUE!</v>
      </c>
      <c r="BI866" t="str">
        <f ca="1">IFERROR(__xludf.DUMMYFUNCTION("""COMPUTED_VALUE"""),"#VALUE!")</f>
        <v>#VALUE!</v>
      </c>
      <c r="BK866" t="str">
        <f ca="1">IFERROR(__xludf.DUMMYFUNCTION("""COMPUTED_VALUE"""),"#VALUE!")</f>
        <v>#VALUE!</v>
      </c>
      <c r="BM866" t="str">
        <f ca="1">IFERROR(__xludf.DUMMYFUNCTION("""COMPUTED_VALUE"""),"#VALUE!")</f>
        <v>#VALUE!</v>
      </c>
      <c r="CS866" t="str">
        <f ca="1">IFERROR(__xludf.DUMMYFUNCTION("""COMPUTED_VALUE"""),"#VALUE!")</f>
        <v>#VALUE!</v>
      </c>
      <c r="CU866" t="str">
        <f ca="1">IFERROR(__xludf.DUMMYFUNCTION("""COMPUTED_VALUE"""),"#VALUE!")</f>
        <v>#VALUE!</v>
      </c>
      <c r="CW866" t="str">
        <f ca="1">IFERROR(__xludf.DUMMYFUNCTION("""COMPUTED_VALUE"""),"#VALUE!")</f>
        <v>#VALUE!</v>
      </c>
      <c r="CY866" t="str">
        <f ca="1">IFERROR(__xludf.DUMMYFUNCTION("""COMPUTED_VALUE"""),"#VALUE!")</f>
        <v>#VALUE!</v>
      </c>
      <c r="DC866" t="str">
        <f ca="1">IFERROR(__xludf.DUMMYFUNCTION("""COMPUTED_VALUE"""),"#VALUE!")</f>
        <v>#VALUE!</v>
      </c>
      <c r="DE866" t="str">
        <f ca="1">IFERROR(__xludf.DUMMYFUNCTION("""COMPUTED_VALUE"""),"#VALUE!")</f>
        <v>#VALUE!</v>
      </c>
    </row>
    <row r="867" spans="1:109" ht="13.2" x14ac:dyDescent="0.25">
      <c r="A867" t="str">
        <f ca="1">IFERROR(__xludf.DUMMYFUNCTION("""COMPUTED_VALUE"""),"P0876")</f>
        <v>P0876</v>
      </c>
      <c r="BC867" t="str">
        <f ca="1">IFERROR(__xludf.DUMMYFUNCTION("""COMPUTED_VALUE"""),"#VALUE!")</f>
        <v>#VALUE!</v>
      </c>
      <c r="BE867" t="str">
        <f ca="1">IFERROR(__xludf.DUMMYFUNCTION("""COMPUTED_VALUE"""),"#VALUE!")</f>
        <v>#VALUE!</v>
      </c>
      <c r="BG867" t="str">
        <f ca="1">IFERROR(__xludf.DUMMYFUNCTION("""COMPUTED_VALUE"""),"#VALUE!")</f>
        <v>#VALUE!</v>
      </c>
      <c r="BI867" t="str">
        <f ca="1">IFERROR(__xludf.DUMMYFUNCTION("""COMPUTED_VALUE"""),"#VALUE!")</f>
        <v>#VALUE!</v>
      </c>
      <c r="BK867" t="str">
        <f ca="1">IFERROR(__xludf.DUMMYFUNCTION("""COMPUTED_VALUE"""),"#VALUE!")</f>
        <v>#VALUE!</v>
      </c>
      <c r="BM867" t="str">
        <f ca="1">IFERROR(__xludf.DUMMYFUNCTION("""COMPUTED_VALUE"""),"#VALUE!")</f>
        <v>#VALUE!</v>
      </c>
      <c r="CS867" t="str">
        <f ca="1">IFERROR(__xludf.DUMMYFUNCTION("""COMPUTED_VALUE"""),"#VALUE!")</f>
        <v>#VALUE!</v>
      </c>
      <c r="CU867" t="str">
        <f ca="1">IFERROR(__xludf.DUMMYFUNCTION("""COMPUTED_VALUE"""),"#VALUE!")</f>
        <v>#VALUE!</v>
      </c>
      <c r="CW867" t="str">
        <f ca="1">IFERROR(__xludf.DUMMYFUNCTION("""COMPUTED_VALUE"""),"#VALUE!")</f>
        <v>#VALUE!</v>
      </c>
      <c r="CY867" t="str">
        <f ca="1">IFERROR(__xludf.DUMMYFUNCTION("""COMPUTED_VALUE"""),"#VALUE!")</f>
        <v>#VALUE!</v>
      </c>
      <c r="DC867" t="str">
        <f ca="1">IFERROR(__xludf.DUMMYFUNCTION("""COMPUTED_VALUE"""),"#VALUE!")</f>
        <v>#VALUE!</v>
      </c>
      <c r="DE867" t="str">
        <f ca="1">IFERROR(__xludf.DUMMYFUNCTION("""COMPUTED_VALUE"""),"#VALUE!")</f>
        <v>#VALUE!</v>
      </c>
    </row>
    <row r="868" spans="1:109" ht="13.2" x14ac:dyDescent="0.25">
      <c r="A868" t="str">
        <f ca="1">IFERROR(__xludf.DUMMYFUNCTION("""COMPUTED_VALUE"""),"P0877")</f>
        <v>P0877</v>
      </c>
      <c r="BC868" t="str">
        <f ca="1">IFERROR(__xludf.DUMMYFUNCTION("""COMPUTED_VALUE"""),"#VALUE!")</f>
        <v>#VALUE!</v>
      </c>
      <c r="BE868" t="str">
        <f ca="1">IFERROR(__xludf.DUMMYFUNCTION("""COMPUTED_VALUE"""),"#VALUE!")</f>
        <v>#VALUE!</v>
      </c>
      <c r="BG868" t="str">
        <f ca="1">IFERROR(__xludf.DUMMYFUNCTION("""COMPUTED_VALUE"""),"#VALUE!")</f>
        <v>#VALUE!</v>
      </c>
      <c r="BI868" t="str">
        <f ca="1">IFERROR(__xludf.DUMMYFUNCTION("""COMPUTED_VALUE"""),"#VALUE!")</f>
        <v>#VALUE!</v>
      </c>
      <c r="BK868" t="str">
        <f ca="1">IFERROR(__xludf.DUMMYFUNCTION("""COMPUTED_VALUE"""),"#VALUE!")</f>
        <v>#VALUE!</v>
      </c>
      <c r="BM868" t="str">
        <f ca="1">IFERROR(__xludf.DUMMYFUNCTION("""COMPUTED_VALUE"""),"#VALUE!")</f>
        <v>#VALUE!</v>
      </c>
      <c r="CS868" t="str">
        <f ca="1">IFERROR(__xludf.DUMMYFUNCTION("""COMPUTED_VALUE"""),"#VALUE!")</f>
        <v>#VALUE!</v>
      </c>
      <c r="CU868" t="str">
        <f ca="1">IFERROR(__xludf.DUMMYFUNCTION("""COMPUTED_VALUE"""),"#VALUE!")</f>
        <v>#VALUE!</v>
      </c>
      <c r="CW868" t="str">
        <f ca="1">IFERROR(__xludf.DUMMYFUNCTION("""COMPUTED_VALUE"""),"#VALUE!")</f>
        <v>#VALUE!</v>
      </c>
      <c r="CY868" t="str">
        <f ca="1">IFERROR(__xludf.DUMMYFUNCTION("""COMPUTED_VALUE"""),"#VALUE!")</f>
        <v>#VALUE!</v>
      </c>
      <c r="DC868" t="str">
        <f ca="1">IFERROR(__xludf.DUMMYFUNCTION("""COMPUTED_VALUE"""),"#VALUE!")</f>
        <v>#VALUE!</v>
      </c>
      <c r="DE868" t="str">
        <f ca="1">IFERROR(__xludf.DUMMYFUNCTION("""COMPUTED_VALUE"""),"#VALUE!")</f>
        <v>#VALUE!</v>
      </c>
    </row>
    <row r="869" spans="1:109" ht="13.2" x14ac:dyDescent="0.25">
      <c r="A869" t="str">
        <f ca="1">IFERROR(__xludf.DUMMYFUNCTION("""COMPUTED_VALUE"""),"P0878")</f>
        <v>P0878</v>
      </c>
      <c r="BC869" t="str">
        <f ca="1">IFERROR(__xludf.DUMMYFUNCTION("""COMPUTED_VALUE"""),"#VALUE!")</f>
        <v>#VALUE!</v>
      </c>
      <c r="BE869" t="str">
        <f ca="1">IFERROR(__xludf.DUMMYFUNCTION("""COMPUTED_VALUE"""),"#VALUE!")</f>
        <v>#VALUE!</v>
      </c>
      <c r="BG869" t="str">
        <f ca="1">IFERROR(__xludf.DUMMYFUNCTION("""COMPUTED_VALUE"""),"#VALUE!")</f>
        <v>#VALUE!</v>
      </c>
      <c r="BI869" t="str">
        <f ca="1">IFERROR(__xludf.DUMMYFUNCTION("""COMPUTED_VALUE"""),"#VALUE!")</f>
        <v>#VALUE!</v>
      </c>
      <c r="BK869" t="str">
        <f ca="1">IFERROR(__xludf.DUMMYFUNCTION("""COMPUTED_VALUE"""),"#VALUE!")</f>
        <v>#VALUE!</v>
      </c>
      <c r="BM869" t="str">
        <f ca="1">IFERROR(__xludf.DUMMYFUNCTION("""COMPUTED_VALUE"""),"#VALUE!")</f>
        <v>#VALUE!</v>
      </c>
      <c r="CS869" t="str">
        <f ca="1">IFERROR(__xludf.DUMMYFUNCTION("""COMPUTED_VALUE"""),"#VALUE!")</f>
        <v>#VALUE!</v>
      </c>
      <c r="CU869" t="str">
        <f ca="1">IFERROR(__xludf.DUMMYFUNCTION("""COMPUTED_VALUE"""),"#VALUE!")</f>
        <v>#VALUE!</v>
      </c>
      <c r="CW869" t="str">
        <f ca="1">IFERROR(__xludf.DUMMYFUNCTION("""COMPUTED_VALUE"""),"#VALUE!")</f>
        <v>#VALUE!</v>
      </c>
      <c r="CY869" t="str">
        <f ca="1">IFERROR(__xludf.DUMMYFUNCTION("""COMPUTED_VALUE"""),"#VALUE!")</f>
        <v>#VALUE!</v>
      </c>
      <c r="DC869" t="str">
        <f ca="1">IFERROR(__xludf.DUMMYFUNCTION("""COMPUTED_VALUE"""),"#VALUE!")</f>
        <v>#VALUE!</v>
      </c>
      <c r="DE869" t="str">
        <f ca="1">IFERROR(__xludf.DUMMYFUNCTION("""COMPUTED_VALUE"""),"#VALUE!")</f>
        <v>#VALUE!</v>
      </c>
    </row>
    <row r="870" spans="1:109" ht="13.2" x14ac:dyDescent="0.25">
      <c r="A870" t="str">
        <f ca="1">IFERROR(__xludf.DUMMYFUNCTION("""COMPUTED_VALUE"""),"P0879")</f>
        <v>P0879</v>
      </c>
      <c r="BC870" t="str">
        <f ca="1">IFERROR(__xludf.DUMMYFUNCTION("""COMPUTED_VALUE"""),"#VALUE!")</f>
        <v>#VALUE!</v>
      </c>
      <c r="BE870" t="str">
        <f ca="1">IFERROR(__xludf.DUMMYFUNCTION("""COMPUTED_VALUE"""),"#VALUE!")</f>
        <v>#VALUE!</v>
      </c>
      <c r="BG870" t="str">
        <f ca="1">IFERROR(__xludf.DUMMYFUNCTION("""COMPUTED_VALUE"""),"#VALUE!")</f>
        <v>#VALUE!</v>
      </c>
      <c r="BI870" t="str">
        <f ca="1">IFERROR(__xludf.DUMMYFUNCTION("""COMPUTED_VALUE"""),"#VALUE!")</f>
        <v>#VALUE!</v>
      </c>
      <c r="BK870" t="str">
        <f ca="1">IFERROR(__xludf.DUMMYFUNCTION("""COMPUTED_VALUE"""),"#VALUE!")</f>
        <v>#VALUE!</v>
      </c>
      <c r="BM870" t="str">
        <f ca="1">IFERROR(__xludf.DUMMYFUNCTION("""COMPUTED_VALUE"""),"#VALUE!")</f>
        <v>#VALUE!</v>
      </c>
      <c r="CS870" t="str">
        <f ca="1">IFERROR(__xludf.DUMMYFUNCTION("""COMPUTED_VALUE"""),"#VALUE!")</f>
        <v>#VALUE!</v>
      </c>
      <c r="CU870" t="str">
        <f ca="1">IFERROR(__xludf.DUMMYFUNCTION("""COMPUTED_VALUE"""),"#VALUE!")</f>
        <v>#VALUE!</v>
      </c>
      <c r="CW870" t="str">
        <f ca="1">IFERROR(__xludf.DUMMYFUNCTION("""COMPUTED_VALUE"""),"#VALUE!")</f>
        <v>#VALUE!</v>
      </c>
      <c r="CY870" t="str">
        <f ca="1">IFERROR(__xludf.DUMMYFUNCTION("""COMPUTED_VALUE"""),"#VALUE!")</f>
        <v>#VALUE!</v>
      </c>
      <c r="DC870" t="str">
        <f ca="1">IFERROR(__xludf.DUMMYFUNCTION("""COMPUTED_VALUE"""),"#VALUE!")</f>
        <v>#VALUE!</v>
      </c>
      <c r="DE870" t="str">
        <f ca="1">IFERROR(__xludf.DUMMYFUNCTION("""COMPUTED_VALUE"""),"#VALUE!")</f>
        <v>#VALUE!</v>
      </c>
    </row>
    <row r="871" spans="1:109" ht="13.2" x14ac:dyDescent="0.25">
      <c r="A871" t="str">
        <f ca="1">IFERROR(__xludf.DUMMYFUNCTION("""COMPUTED_VALUE"""),"P0880")</f>
        <v>P0880</v>
      </c>
      <c r="BC871" t="str">
        <f ca="1">IFERROR(__xludf.DUMMYFUNCTION("""COMPUTED_VALUE"""),"#VALUE!")</f>
        <v>#VALUE!</v>
      </c>
      <c r="BE871" t="str">
        <f ca="1">IFERROR(__xludf.DUMMYFUNCTION("""COMPUTED_VALUE"""),"#VALUE!")</f>
        <v>#VALUE!</v>
      </c>
      <c r="BG871" t="str">
        <f ca="1">IFERROR(__xludf.DUMMYFUNCTION("""COMPUTED_VALUE"""),"#VALUE!")</f>
        <v>#VALUE!</v>
      </c>
      <c r="BI871" t="str">
        <f ca="1">IFERROR(__xludf.DUMMYFUNCTION("""COMPUTED_VALUE"""),"#VALUE!")</f>
        <v>#VALUE!</v>
      </c>
      <c r="BK871" t="str">
        <f ca="1">IFERROR(__xludf.DUMMYFUNCTION("""COMPUTED_VALUE"""),"#VALUE!")</f>
        <v>#VALUE!</v>
      </c>
      <c r="BM871" t="str">
        <f ca="1">IFERROR(__xludf.DUMMYFUNCTION("""COMPUTED_VALUE"""),"#VALUE!")</f>
        <v>#VALUE!</v>
      </c>
      <c r="CS871" t="str">
        <f ca="1">IFERROR(__xludf.DUMMYFUNCTION("""COMPUTED_VALUE"""),"#VALUE!")</f>
        <v>#VALUE!</v>
      </c>
      <c r="CU871" t="str">
        <f ca="1">IFERROR(__xludf.DUMMYFUNCTION("""COMPUTED_VALUE"""),"#VALUE!")</f>
        <v>#VALUE!</v>
      </c>
      <c r="CW871" t="str">
        <f ca="1">IFERROR(__xludf.DUMMYFUNCTION("""COMPUTED_VALUE"""),"#VALUE!")</f>
        <v>#VALUE!</v>
      </c>
      <c r="CY871" t="str">
        <f ca="1">IFERROR(__xludf.DUMMYFUNCTION("""COMPUTED_VALUE"""),"#VALUE!")</f>
        <v>#VALUE!</v>
      </c>
      <c r="DC871" t="str">
        <f ca="1">IFERROR(__xludf.DUMMYFUNCTION("""COMPUTED_VALUE"""),"#VALUE!")</f>
        <v>#VALUE!</v>
      </c>
      <c r="DE871" t="str">
        <f ca="1">IFERROR(__xludf.DUMMYFUNCTION("""COMPUTED_VALUE"""),"#VALUE!")</f>
        <v>#VALUE!</v>
      </c>
    </row>
    <row r="872" spans="1:109" ht="13.2" x14ac:dyDescent="0.25">
      <c r="A872" t="str">
        <f ca="1">IFERROR(__xludf.DUMMYFUNCTION("""COMPUTED_VALUE"""),"P0881")</f>
        <v>P0881</v>
      </c>
      <c r="BC872" t="str">
        <f ca="1">IFERROR(__xludf.DUMMYFUNCTION("""COMPUTED_VALUE"""),"#VALUE!")</f>
        <v>#VALUE!</v>
      </c>
      <c r="BE872" t="str">
        <f ca="1">IFERROR(__xludf.DUMMYFUNCTION("""COMPUTED_VALUE"""),"#VALUE!")</f>
        <v>#VALUE!</v>
      </c>
      <c r="BG872" t="str">
        <f ca="1">IFERROR(__xludf.DUMMYFUNCTION("""COMPUTED_VALUE"""),"#VALUE!")</f>
        <v>#VALUE!</v>
      </c>
      <c r="BI872" t="str">
        <f ca="1">IFERROR(__xludf.DUMMYFUNCTION("""COMPUTED_VALUE"""),"#VALUE!")</f>
        <v>#VALUE!</v>
      </c>
      <c r="BK872" t="str">
        <f ca="1">IFERROR(__xludf.DUMMYFUNCTION("""COMPUTED_VALUE"""),"#VALUE!")</f>
        <v>#VALUE!</v>
      </c>
      <c r="BM872" t="str">
        <f ca="1">IFERROR(__xludf.DUMMYFUNCTION("""COMPUTED_VALUE"""),"#VALUE!")</f>
        <v>#VALUE!</v>
      </c>
      <c r="CS872" t="str">
        <f ca="1">IFERROR(__xludf.DUMMYFUNCTION("""COMPUTED_VALUE"""),"#VALUE!")</f>
        <v>#VALUE!</v>
      </c>
      <c r="CU872" t="str">
        <f ca="1">IFERROR(__xludf.DUMMYFUNCTION("""COMPUTED_VALUE"""),"#VALUE!")</f>
        <v>#VALUE!</v>
      </c>
      <c r="CW872" t="str">
        <f ca="1">IFERROR(__xludf.DUMMYFUNCTION("""COMPUTED_VALUE"""),"#VALUE!")</f>
        <v>#VALUE!</v>
      </c>
      <c r="CY872" t="str">
        <f ca="1">IFERROR(__xludf.DUMMYFUNCTION("""COMPUTED_VALUE"""),"#VALUE!")</f>
        <v>#VALUE!</v>
      </c>
      <c r="DC872" t="str">
        <f ca="1">IFERROR(__xludf.DUMMYFUNCTION("""COMPUTED_VALUE"""),"#VALUE!")</f>
        <v>#VALUE!</v>
      </c>
      <c r="DE872" t="str">
        <f ca="1">IFERROR(__xludf.DUMMYFUNCTION("""COMPUTED_VALUE"""),"#VALUE!")</f>
        <v>#VALUE!</v>
      </c>
    </row>
    <row r="873" spans="1:109" ht="13.2" x14ac:dyDescent="0.25">
      <c r="A873" t="str">
        <f ca="1">IFERROR(__xludf.DUMMYFUNCTION("""COMPUTED_VALUE"""),"P0882")</f>
        <v>P0882</v>
      </c>
      <c r="BC873" t="str">
        <f ca="1">IFERROR(__xludf.DUMMYFUNCTION("""COMPUTED_VALUE"""),"#VALUE!")</f>
        <v>#VALUE!</v>
      </c>
      <c r="BE873" t="str">
        <f ca="1">IFERROR(__xludf.DUMMYFUNCTION("""COMPUTED_VALUE"""),"#VALUE!")</f>
        <v>#VALUE!</v>
      </c>
      <c r="BG873" t="str">
        <f ca="1">IFERROR(__xludf.DUMMYFUNCTION("""COMPUTED_VALUE"""),"#VALUE!")</f>
        <v>#VALUE!</v>
      </c>
      <c r="BI873" t="str">
        <f ca="1">IFERROR(__xludf.DUMMYFUNCTION("""COMPUTED_VALUE"""),"#VALUE!")</f>
        <v>#VALUE!</v>
      </c>
      <c r="BK873" t="str">
        <f ca="1">IFERROR(__xludf.DUMMYFUNCTION("""COMPUTED_VALUE"""),"#VALUE!")</f>
        <v>#VALUE!</v>
      </c>
      <c r="BM873" t="str">
        <f ca="1">IFERROR(__xludf.DUMMYFUNCTION("""COMPUTED_VALUE"""),"#VALUE!")</f>
        <v>#VALUE!</v>
      </c>
      <c r="CS873" t="str">
        <f ca="1">IFERROR(__xludf.DUMMYFUNCTION("""COMPUTED_VALUE"""),"#VALUE!")</f>
        <v>#VALUE!</v>
      </c>
      <c r="CU873" t="str">
        <f ca="1">IFERROR(__xludf.DUMMYFUNCTION("""COMPUTED_VALUE"""),"#VALUE!")</f>
        <v>#VALUE!</v>
      </c>
      <c r="CW873" t="str">
        <f ca="1">IFERROR(__xludf.DUMMYFUNCTION("""COMPUTED_VALUE"""),"#VALUE!")</f>
        <v>#VALUE!</v>
      </c>
      <c r="CY873" t="str">
        <f ca="1">IFERROR(__xludf.DUMMYFUNCTION("""COMPUTED_VALUE"""),"#VALUE!")</f>
        <v>#VALUE!</v>
      </c>
      <c r="DC873" t="str">
        <f ca="1">IFERROR(__xludf.DUMMYFUNCTION("""COMPUTED_VALUE"""),"#VALUE!")</f>
        <v>#VALUE!</v>
      </c>
      <c r="DE873" t="str">
        <f ca="1">IFERROR(__xludf.DUMMYFUNCTION("""COMPUTED_VALUE"""),"#VALUE!")</f>
        <v>#VALUE!</v>
      </c>
    </row>
    <row r="874" spans="1:109" ht="13.2" x14ac:dyDescent="0.25">
      <c r="A874" t="str">
        <f ca="1">IFERROR(__xludf.DUMMYFUNCTION("""COMPUTED_VALUE"""),"P0883")</f>
        <v>P0883</v>
      </c>
      <c r="BC874" t="str">
        <f ca="1">IFERROR(__xludf.DUMMYFUNCTION("""COMPUTED_VALUE"""),"#VALUE!")</f>
        <v>#VALUE!</v>
      </c>
      <c r="BE874" t="str">
        <f ca="1">IFERROR(__xludf.DUMMYFUNCTION("""COMPUTED_VALUE"""),"#VALUE!")</f>
        <v>#VALUE!</v>
      </c>
      <c r="BG874" t="str">
        <f ca="1">IFERROR(__xludf.DUMMYFUNCTION("""COMPUTED_VALUE"""),"#VALUE!")</f>
        <v>#VALUE!</v>
      </c>
      <c r="BI874" t="str">
        <f ca="1">IFERROR(__xludf.DUMMYFUNCTION("""COMPUTED_VALUE"""),"#VALUE!")</f>
        <v>#VALUE!</v>
      </c>
      <c r="BK874" t="str">
        <f ca="1">IFERROR(__xludf.DUMMYFUNCTION("""COMPUTED_VALUE"""),"#VALUE!")</f>
        <v>#VALUE!</v>
      </c>
      <c r="BM874" t="str">
        <f ca="1">IFERROR(__xludf.DUMMYFUNCTION("""COMPUTED_VALUE"""),"#VALUE!")</f>
        <v>#VALUE!</v>
      </c>
      <c r="CS874" t="str">
        <f ca="1">IFERROR(__xludf.DUMMYFUNCTION("""COMPUTED_VALUE"""),"#VALUE!")</f>
        <v>#VALUE!</v>
      </c>
      <c r="CU874" t="str">
        <f ca="1">IFERROR(__xludf.DUMMYFUNCTION("""COMPUTED_VALUE"""),"#VALUE!")</f>
        <v>#VALUE!</v>
      </c>
      <c r="CW874" t="str">
        <f ca="1">IFERROR(__xludf.DUMMYFUNCTION("""COMPUTED_VALUE"""),"#VALUE!")</f>
        <v>#VALUE!</v>
      </c>
      <c r="CY874" t="str">
        <f ca="1">IFERROR(__xludf.DUMMYFUNCTION("""COMPUTED_VALUE"""),"#VALUE!")</f>
        <v>#VALUE!</v>
      </c>
      <c r="DC874" t="str">
        <f ca="1">IFERROR(__xludf.DUMMYFUNCTION("""COMPUTED_VALUE"""),"#VALUE!")</f>
        <v>#VALUE!</v>
      </c>
      <c r="DE874" t="str">
        <f ca="1">IFERROR(__xludf.DUMMYFUNCTION("""COMPUTED_VALUE"""),"#VALUE!")</f>
        <v>#VALUE!</v>
      </c>
    </row>
    <row r="875" spans="1:109" ht="13.2" x14ac:dyDescent="0.25">
      <c r="A875" t="str">
        <f ca="1">IFERROR(__xludf.DUMMYFUNCTION("""COMPUTED_VALUE"""),"P0884")</f>
        <v>P0884</v>
      </c>
      <c r="BC875" t="str">
        <f ca="1">IFERROR(__xludf.DUMMYFUNCTION("""COMPUTED_VALUE"""),"#VALUE!")</f>
        <v>#VALUE!</v>
      </c>
      <c r="BE875" t="str">
        <f ca="1">IFERROR(__xludf.DUMMYFUNCTION("""COMPUTED_VALUE"""),"#VALUE!")</f>
        <v>#VALUE!</v>
      </c>
      <c r="BG875" t="str">
        <f ca="1">IFERROR(__xludf.DUMMYFUNCTION("""COMPUTED_VALUE"""),"#VALUE!")</f>
        <v>#VALUE!</v>
      </c>
      <c r="BI875" t="str">
        <f ca="1">IFERROR(__xludf.DUMMYFUNCTION("""COMPUTED_VALUE"""),"#VALUE!")</f>
        <v>#VALUE!</v>
      </c>
      <c r="BK875" t="str">
        <f ca="1">IFERROR(__xludf.DUMMYFUNCTION("""COMPUTED_VALUE"""),"#VALUE!")</f>
        <v>#VALUE!</v>
      </c>
      <c r="BM875" t="str">
        <f ca="1">IFERROR(__xludf.DUMMYFUNCTION("""COMPUTED_VALUE"""),"#VALUE!")</f>
        <v>#VALUE!</v>
      </c>
      <c r="CS875" t="str">
        <f ca="1">IFERROR(__xludf.DUMMYFUNCTION("""COMPUTED_VALUE"""),"#VALUE!")</f>
        <v>#VALUE!</v>
      </c>
      <c r="CU875" t="str">
        <f ca="1">IFERROR(__xludf.DUMMYFUNCTION("""COMPUTED_VALUE"""),"#VALUE!")</f>
        <v>#VALUE!</v>
      </c>
      <c r="CW875" t="str">
        <f ca="1">IFERROR(__xludf.DUMMYFUNCTION("""COMPUTED_VALUE"""),"#VALUE!")</f>
        <v>#VALUE!</v>
      </c>
      <c r="CY875" t="str">
        <f ca="1">IFERROR(__xludf.DUMMYFUNCTION("""COMPUTED_VALUE"""),"#VALUE!")</f>
        <v>#VALUE!</v>
      </c>
      <c r="DC875" t="str">
        <f ca="1">IFERROR(__xludf.DUMMYFUNCTION("""COMPUTED_VALUE"""),"#VALUE!")</f>
        <v>#VALUE!</v>
      </c>
      <c r="DE875" t="str">
        <f ca="1">IFERROR(__xludf.DUMMYFUNCTION("""COMPUTED_VALUE"""),"#VALUE!")</f>
        <v>#VALUE!</v>
      </c>
    </row>
    <row r="876" spans="1:109" ht="13.2" x14ac:dyDescent="0.25">
      <c r="A876" t="str">
        <f ca="1">IFERROR(__xludf.DUMMYFUNCTION("""COMPUTED_VALUE"""),"P0885")</f>
        <v>P0885</v>
      </c>
      <c r="BC876" t="str">
        <f ca="1">IFERROR(__xludf.DUMMYFUNCTION("""COMPUTED_VALUE"""),"#VALUE!")</f>
        <v>#VALUE!</v>
      </c>
      <c r="BE876" t="str">
        <f ca="1">IFERROR(__xludf.DUMMYFUNCTION("""COMPUTED_VALUE"""),"#VALUE!")</f>
        <v>#VALUE!</v>
      </c>
      <c r="BG876" t="str">
        <f ca="1">IFERROR(__xludf.DUMMYFUNCTION("""COMPUTED_VALUE"""),"#VALUE!")</f>
        <v>#VALUE!</v>
      </c>
      <c r="BI876" t="str">
        <f ca="1">IFERROR(__xludf.DUMMYFUNCTION("""COMPUTED_VALUE"""),"#VALUE!")</f>
        <v>#VALUE!</v>
      </c>
      <c r="BK876" t="str">
        <f ca="1">IFERROR(__xludf.DUMMYFUNCTION("""COMPUTED_VALUE"""),"#VALUE!")</f>
        <v>#VALUE!</v>
      </c>
      <c r="BM876" t="str">
        <f ca="1">IFERROR(__xludf.DUMMYFUNCTION("""COMPUTED_VALUE"""),"#VALUE!")</f>
        <v>#VALUE!</v>
      </c>
      <c r="CS876" t="str">
        <f ca="1">IFERROR(__xludf.DUMMYFUNCTION("""COMPUTED_VALUE"""),"#VALUE!")</f>
        <v>#VALUE!</v>
      </c>
      <c r="CU876" t="str">
        <f ca="1">IFERROR(__xludf.DUMMYFUNCTION("""COMPUTED_VALUE"""),"#VALUE!")</f>
        <v>#VALUE!</v>
      </c>
      <c r="CW876" t="str">
        <f ca="1">IFERROR(__xludf.DUMMYFUNCTION("""COMPUTED_VALUE"""),"#VALUE!")</f>
        <v>#VALUE!</v>
      </c>
      <c r="CY876" t="str">
        <f ca="1">IFERROR(__xludf.DUMMYFUNCTION("""COMPUTED_VALUE"""),"#VALUE!")</f>
        <v>#VALUE!</v>
      </c>
      <c r="DC876" t="str">
        <f ca="1">IFERROR(__xludf.DUMMYFUNCTION("""COMPUTED_VALUE"""),"#VALUE!")</f>
        <v>#VALUE!</v>
      </c>
      <c r="DE876" t="str">
        <f ca="1">IFERROR(__xludf.DUMMYFUNCTION("""COMPUTED_VALUE"""),"#VALUE!")</f>
        <v>#VALUE!</v>
      </c>
    </row>
    <row r="877" spans="1:109" ht="13.2" x14ac:dyDescent="0.25">
      <c r="A877" t="str">
        <f ca="1">IFERROR(__xludf.DUMMYFUNCTION("""COMPUTED_VALUE"""),"P0886")</f>
        <v>P0886</v>
      </c>
      <c r="BC877" t="str">
        <f ca="1">IFERROR(__xludf.DUMMYFUNCTION("""COMPUTED_VALUE"""),"#VALUE!")</f>
        <v>#VALUE!</v>
      </c>
      <c r="BE877" t="str">
        <f ca="1">IFERROR(__xludf.DUMMYFUNCTION("""COMPUTED_VALUE"""),"#VALUE!")</f>
        <v>#VALUE!</v>
      </c>
      <c r="BG877" t="str">
        <f ca="1">IFERROR(__xludf.DUMMYFUNCTION("""COMPUTED_VALUE"""),"#VALUE!")</f>
        <v>#VALUE!</v>
      </c>
      <c r="BI877" t="str">
        <f ca="1">IFERROR(__xludf.DUMMYFUNCTION("""COMPUTED_VALUE"""),"#VALUE!")</f>
        <v>#VALUE!</v>
      </c>
      <c r="BK877" t="str">
        <f ca="1">IFERROR(__xludf.DUMMYFUNCTION("""COMPUTED_VALUE"""),"#VALUE!")</f>
        <v>#VALUE!</v>
      </c>
      <c r="BM877" t="str">
        <f ca="1">IFERROR(__xludf.DUMMYFUNCTION("""COMPUTED_VALUE"""),"#VALUE!")</f>
        <v>#VALUE!</v>
      </c>
      <c r="CS877" t="str">
        <f ca="1">IFERROR(__xludf.DUMMYFUNCTION("""COMPUTED_VALUE"""),"#VALUE!")</f>
        <v>#VALUE!</v>
      </c>
      <c r="CU877" t="str">
        <f ca="1">IFERROR(__xludf.DUMMYFUNCTION("""COMPUTED_VALUE"""),"#VALUE!")</f>
        <v>#VALUE!</v>
      </c>
      <c r="CW877" t="str">
        <f ca="1">IFERROR(__xludf.DUMMYFUNCTION("""COMPUTED_VALUE"""),"#VALUE!")</f>
        <v>#VALUE!</v>
      </c>
      <c r="CY877" t="str">
        <f ca="1">IFERROR(__xludf.DUMMYFUNCTION("""COMPUTED_VALUE"""),"#VALUE!")</f>
        <v>#VALUE!</v>
      </c>
      <c r="DC877" t="str">
        <f ca="1">IFERROR(__xludf.DUMMYFUNCTION("""COMPUTED_VALUE"""),"#VALUE!")</f>
        <v>#VALUE!</v>
      </c>
      <c r="DE877" t="str">
        <f ca="1">IFERROR(__xludf.DUMMYFUNCTION("""COMPUTED_VALUE"""),"#VALUE!")</f>
        <v>#VALUE!</v>
      </c>
    </row>
    <row r="878" spans="1:109" ht="13.2" x14ac:dyDescent="0.25">
      <c r="A878" t="str">
        <f ca="1">IFERROR(__xludf.DUMMYFUNCTION("""COMPUTED_VALUE"""),"P0887")</f>
        <v>P0887</v>
      </c>
      <c r="BC878" t="str">
        <f ca="1">IFERROR(__xludf.DUMMYFUNCTION("""COMPUTED_VALUE"""),"#VALUE!")</f>
        <v>#VALUE!</v>
      </c>
      <c r="BE878" t="str">
        <f ca="1">IFERROR(__xludf.DUMMYFUNCTION("""COMPUTED_VALUE"""),"#VALUE!")</f>
        <v>#VALUE!</v>
      </c>
      <c r="BG878" t="str">
        <f ca="1">IFERROR(__xludf.DUMMYFUNCTION("""COMPUTED_VALUE"""),"#VALUE!")</f>
        <v>#VALUE!</v>
      </c>
      <c r="BI878" t="str">
        <f ca="1">IFERROR(__xludf.DUMMYFUNCTION("""COMPUTED_VALUE"""),"#VALUE!")</f>
        <v>#VALUE!</v>
      </c>
      <c r="BK878" t="str">
        <f ca="1">IFERROR(__xludf.DUMMYFUNCTION("""COMPUTED_VALUE"""),"#VALUE!")</f>
        <v>#VALUE!</v>
      </c>
      <c r="BM878" t="str">
        <f ca="1">IFERROR(__xludf.DUMMYFUNCTION("""COMPUTED_VALUE"""),"#VALUE!")</f>
        <v>#VALUE!</v>
      </c>
      <c r="CS878" t="str">
        <f ca="1">IFERROR(__xludf.DUMMYFUNCTION("""COMPUTED_VALUE"""),"#VALUE!")</f>
        <v>#VALUE!</v>
      </c>
      <c r="CU878" t="str">
        <f ca="1">IFERROR(__xludf.DUMMYFUNCTION("""COMPUTED_VALUE"""),"#VALUE!")</f>
        <v>#VALUE!</v>
      </c>
      <c r="CW878" t="str">
        <f ca="1">IFERROR(__xludf.DUMMYFUNCTION("""COMPUTED_VALUE"""),"#VALUE!")</f>
        <v>#VALUE!</v>
      </c>
      <c r="CY878" t="str">
        <f ca="1">IFERROR(__xludf.DUMMYFUNCTION("""COMPUTED_VALUE"""),"#VALUE!")</f>
        <v>#VALUE!</v>
      </c>
      <c r="DC878" t="str">
        <f ca="1">IFERROR(__xludf.DUMMYFUNCTION("""COMPUTED_VALUE"""),"#VALUE!")</f>
        <v>#VALUE!</v>
      </c>
      <c r="DE878" t="str">
        <f ca="1">IFERROR(__xludf.DUMMYFUNCTION("""COMPUTED_VALUE"""),"#VALUE!")</f>
        <v>#VALUE!</v>
      </c>
    </row>
    <row r="879" spans="1:109" ht="13.2" x14ac:dyDescent="0.25">
      <c r="A879" t="str">
        <f ca="1">IFERROR(__xludf.DUMMYFUNCTION("""COMPUTED_VALUE"""),"P0888")</f>
        <v>P0888</v>
      </c>
      <c r="BC879" t="str">
        <f ca="1">IFERROR(__xludf.DUMMYFUNCTION("""COMPUTED_VALUE"""),"#VALUE!")</f>
        <v>#VALUE!</v>
      </c>
      <c r="BE879" t="str">
        <f ca="1">IFERROR(__xludf.DUMMYFUNCTION("""COMPUTED_VALUE"""),"#VALUE!")</f>
        <v>#VALUE!</v>
      </c>
      <c r="BG879" t="str">
        <f ca="1">IFERROR(__xludf.DUMMYFUNCTION("""COMPUTED_VALUE"""),"#VALUE!")</f>
        <v>#VALUE!</v>
      </c>
      <c r="BI879" t="str">
        <f ca="1">IFERROR(__xludf.DUMMYFUNCTION("""COMPUTED_VALUE"""),"#VALUE!")</f>
        <v>#VALUE!</v>
      </c>
      <c r="BK879" t="str">
        <f ca="1">IFERROR(__xludf.DUMMYFUNCTION("""COMPUTED_VALUE"""),"#VALUE!")</f>
        <v>#VALUE!</v>
      </c>
      <c r="BM879" t="str">
        <f ca="1">IFERROR(__xludf.DUMMYFUNCTION("""COMPUTED_VALUE"""),"#VALUE!")</f>
        <v>#VALUE!</v>
      </c>
      <c r="CS879" t="str">
        <f ca="1">IFERROR(__xludf.DUMMYFUNCTION("""COMPUTED_VALUE"""),"#VALUE!")</f>
        <v>#VALUE!</v>
      </c>
      <c r="CU879" t="str">
        <f ca="1">IFERROR(__xludf.DUMMYFUNCTION("""COMPUTED_VALUE"""),"#VALUE!")</f>
        <v>#VALUE!</v>
      </c>
      <c r="CW879" t="str">
        <f ca="1">IFERROR(__xludf.DUMMYFUNCTION("""COMPUTED_VALUE"""),"#VALUE!")</f>
        <v>#VALUE!</v>
      </c>
      <c r="CY879" t="str">
        <f ca="1">IFERROR(__xludf.DUMMYFUNCTION("""COMPUTED_VALUE"""),"#VALUE!")</f>
        <v>#VALUE!</v>
      </c>
      <c r="DC879" t="str">
        <f ca="1">IFERROR(__xludf.DUMMYFUNCTION("""COMPUTED_VALUE"""),"#VALUE!")</f>
        <v>#VALUE!</v>
      </c>
      <c r="DE879" t="str">
        <f ca="1">IFERROR(__xludf.DUMMYFUNCTION("""COMPUTED_VALUE"""),"#VALUE!")</f>
        <v>#VALUE!</v>
      </c>
    </row>
    <row r="880" spans="1:109" ht="13.2" x14ac:dyDescent="0.25">
      <c r="A880" t="str">
        <f ca="1">IFERROR(__xludf.DUMMYFUNCTION("""COMPUTED_VALUE"""),"P0889")</f>
        <v>P0889</v>
      </c>
      <c r="BC880" t="str">
        <f ca="1">IFERROR(__xludf.DUMMYFUNCTION("""COMPUTED_VALUE"""),"#VALUE!")</f>
        <v>#VALUE!</v>
      </c>
      <c r="BE880" t="str">
        <f ca="1">IFERROR(__xludf.DUMMYFUNCTION("""COMPUTED_VALUE"""),"#VALUE!")</f>
        <v>#VALUE!</v>
      </c>
      <c r="BG880" t="str">
        <f ca="1">IFERROR(__xludf.DUMMYFUNCTION("""COMPUTED_VALUE"""),"#VALUE!")</f>
        <v>#VALUE!</v>
      </c>
      <c r="BI880" t="str">
        <f ca="1">IFERROR(__xludf.DUMMYFUNCTION("""COMPUTED_VALUE"""),"#VALUE!")</f>
        <v>#VALUE!</v>
      </c>
      <c r="BK880" t="str">
        <f ca="1">IFERROR(__xludf.DUMMYFUNCTION("""COMPUTED_VALUE"""),"#VALUE!")</f>
        <v>#VALUE!</v>
      </c>
      <c r="BM880" t="str">
        <f ca="1">IFERROR(__xludf.DUMMYFUNCTION("""COMPUTED_VALUE"""),"#VALUE!")</f>
        <v>#VALUE!</v>
      </c>
      <c r="CS880" t="str">
        <f ca="1">IFERROR(__xludf.DUMMYFUNCTION("""COMPUTED_VALUE"""),"#VALUE!")</f>
        <v>#VALUE!</v>
      </c>
      <c r="CU880" t="str">
        <f ca="1">IFERROR(__xludf.DUMMYFUNCTION("""COMPUTED_VALUE"""),"#VALUE!")</f>
        <v>#VALUE!</v>
      </c>
      <c r="CW880" t="str">
        <f ca="1">IFERROR(__xludf.DUMMYFUNCTION("""COMPUTED_VALUE"""),"#VALUE!")</f>
        <v>#VALUE!</v>
      </c>
      <c r="CY880" t="str">
        <f ca="1">IFERROR(__xludf.DUMMYFUNCTION("""COMPUTED_VALUE"""),"#VALUE!")</f>
        <v>#VALUE!</v>
      </c>
      <c r="DC880" t="str">
        <f ca="1">IFERROR(__xludf.DUMMYFUNCTION("""COMPUTED_VALUE"""),"#VALUE!")</f>
        <v>#VALUE!</v>
      </c>
      <c r="DE880" t="str">
        <f ca="1">IFERROR(__xludf.DUMMYFUNCTION("""COMPUTED_VALUE"""),"#VALUE!")</f>
        <v>#VALUE!</v>
      </c>
    </row>
    <row r="881" spans="1:109" ht="13.2" x14ac:dyDescent="0.25">
      <c r="A881" t="str">
        <f ca="1">IFERROR(__xludf.DUMMYFUNCTION("""COMPUTED_VALUE"""),"P0890")</f>
        <v>P0890</v>
      </c>
      <c r="BC881" t="str">
        <f ca="1">IFERROR(__xludf.DUMMYFUNCTION("""COMPUTED_VALUE"""),"#VALUE!")</f>
        <v>#VALUE!</v>
      </c>
      <c r="BE881" t="str">
        <f ca="1">IFERROR(__xludf.DUMMYFUNCTION("""COMPUTED_VALUE"""),"#VALUE!")</f>
        <v>#VALUE!</v>
      </c>
      <c r="BG881" t="str">
        <f ca="1">IFERROR(__xludf.DUMMYFUNCTION("""COMPUTED_VALUE"""),"#VALUE!")</f>
        <v>#VALUE!</v>
      </c>
      <c r="BI881" t="str">
        <f ca="1">IFERROR(__xludf.DUMMYFUNCTION("""COMPUTED_VALUE"""),"#VALUE!")</f>
        <v>#VALUE!</v>
      </c>
      <c r="BK881" t="str">
        <f ca="1">IFERROR(__xludf.DUMMYFUNCTION("""COMPUTED_VALUE"""),"#VALUE!")</f>
        <v>#VALUE!</v>
      </c>
      <c r="BM881" t="str">
        <f ca="1">IFERROR(__xludf.DUMMYFUNCTION("""COMPUTED_VALUE"""),"#VALUE!")</f>
        <v>#VALUE!</v>
      </c>
      <c r="CS881" t="str">
        <f ca="1">IFERROR(__xludf.DUMMYFUNCTION("""COMPUTED_VALUE"""),"#VALUE!")</f>
        <v>#VALUE!</v>
      </c>
      <c r="CU881" t="str">
        <f ca="1">IFERROR(__xludf.DUMMYFUNCTION("""COMPUTED_VALUE"""),"#VALUE!")</f>
        <v>#VALUE!</v>
      </c>
      <c r="CW881" t="str">
        <f ca="1">IFERROR(__xludf.DUMMYFUNCTION("""COMPUTED_VALUE"""),"#VALUE!")</f>
        <v>#VALUE!</v>
      </c>
      <c r="CY881" t="str">
        <f ca="1">IFERROR(__xludf.DUMMYFUNCTION("""COMPUTED_VALUE"""),"#VALUE!")</f>
        <v>#VALUE!</v>
      </c>
      <c r="DC881" t="str">
        <f ca="1">IFERROR(__xludf.DUMMYFUNCTION("""COMPUTED_VALUE"""),"#VALUE!")</f>
        <v>#VALUE!</v>
      </c>
      <c r="DE881" t="str">
        <f ca="1">IFERROR(__xludf.DUMMYFUNCTION("""COMPUTED_VALUE"""),"#VALUE!")</f>
        <v>#VALUE!</v>
      </c>
    </row>
    <row r="882" spans="1:109" ht="13.2" x14ac:dyDescent="0.25">
      <c r="A882" t="str">
        <f ca="1">IFERROR(__xludf.DUMMYFUNCTION("""COMPUTED_VALUE"""),"P0891")</f>
        <v>P0891</v>
      </c>
      <c r="BC882" t="str">
        <f ca="1">IFERROR(__xludf.DUMMYFUNCTION("""COMPUTED_VALUE"""),"#VALUE!")</f>
        <v>#VALUE!</v>
      </c>
      <c r="BE882" t="str">
        <f ca="1">IFERROR(__xludf.DUMMYFUNCTION("""COMPUTED_VALUE"""),"#VALUE!")</f>
        <v>#VALUE!</v>
      </c>
      <c r="BG882" t="str">
        <f ca="1">IFERROR(__xludf.DUMMYFUNCTION("""COMPUTED_VALUE"""),"#VALUE!")</f>
        <v>#VALUE!</v>
      </c>
      <c r="BI882" t="str">
        <f ca="1">IFERROR(__xludf.DUMMYFUNCTION("""COMPUTED_VALUE"""),"#VALUE!")</f>
        <v>#VALUE!</v>
      </c>
      <c r="BK882" t="str">
        <f ca="1">IFERROR(__xludf.DUMMYFUNCTION("""COMPUTED_VALUE"""),"#VALUE!")</f>
        <v>#VALUE!</v>
      </c>
      <c r="BM882" t="str">
        <f ca="1">IFERROR(__xludf.DUMMYFUNCTION("""COMPUTED_VALUE"""),"#VALUE!")</f>
        <v>#VALUE!</v>
      </c>
      <c r="CS882" t="str">
        <f ca="1">IFERROR(__xludf.DUMMYFUNCTION("""COMPUTED_VALUE"""),"#VALUE!")</f>
        <v>#VALUE!</v>
      </c>
      <c r="CU882" t="str">
        <f ca="1">IFERROR(__xludf.DUMMYFUNCTION("""COMPUTED_VALUE"""),"#VALUE!")</f>
        <v>#VALUE!</v>
      </c>
      <c r="CW882" t="str">
        <f ca="1">IFERROR(__xludf.DUMMYFUNCTION("""COMPUTED_VALUE"""),"#VALUE!")</f>
        <v>#VALUE!</v>
      </c>
      <c r="CY882" t="str">
        <f ca="1">IFERROR(__xludf.DUMMYFUNCTION("""COMPUTED_VALUE"""),"#VALUE!")</f>
        <v>#VALUE!</v>
      </c>
      <c r="DC882" t="str">
        <f ca="1">IFERROR(__xludf.DUMMYFUNCTION("""COMPUTED_VALUE"""),"#VALUE!")</f>
        <v>#VALUE!</v>
      </c>
      <c r="DE882" t="str">
        <f ca="1">IFERROR(__xludf.DUMMYFUNCTION("""COMPUTED_VALUE"""),"#VALUE!")</f>
        <v>#VALUE!</v>
      </c>
    </row>
    <row r="883" spans="1:109" ht="13.2" x14ac:dyDescent="0.25">
      <c r="A883" t="str">
        <f ca="1">IFERROR(__xludf.DUMMYFUNCTION("""COMPUTED_VALUE"""),"P0892")</f>
        <v>P0892</v>
      </c>
      <c r="BC883" t="str">
        <f ca="1">IFERROR(__xludf.DUMMYFUNCTION("""COMPUTED_VALUE"""),"#VALUE!")</f>
        <v>#VALUE!</v>
      </c>
      <c r="BE883" t="str">
        <f ca="1">IFERROR(__xludf.DUMMYFUNCTION("""COMPUTED_VALUE"""),"#VALUE!")</f>
        <v>#VALUE!</v>
      </c>
      <c r="BG883" t="str">
        <f ca="1">IFERROR(__xludf.DUMMYFUNCTION("""COMPUTED_VALUE"""),"#VALUE!")</f>
        <v>#VALUE!</v>
      </c>
      <c r="BI883" t="str">
        <f ca="1">IFERROR(__xludf.DUMMYFUNCTION("""COMPUTED_VALUE"""),"#VALUE!")</f>
        <v>#VALUE!</v>
      </c>
      <c r="BK883" t="str">
        <f ca="1">IFERROR(__xludf.DUMMYFUNCTION("""COMPUTED_VALUE"""),"#VALUE!")</f>
        <v>#VALUE!</v>
      </c>
      <c r="BM883" t="str">
        <f ca="1">IFERROR(__xludf.DUMMYFUNCTION("""COMPUTED_VALUE"""),"#VALUE!")</f>
        <v>#VALUE!</v>
      </c>
      <c r="CS883" t="str">
        <f ca="1">IFERROR(__xludf.DUMMYFUNCTION("""COMPUTED_VALUE"""),"#VALUE!")</f>
        <v>#VALUE!</v>
      </c>
      <c r="CU883" t="str">
        <f ca="1">IFERROR(__xludf.DUMMYFUNCTION("""COMPUTED_VALUE"""),"#VALUE!")</f>
        <v>#VALUE!</v>
      </c>
      <c r="CW883" t="str">
        <f ca="1">IFERROR(__xludf.DUMMYFUNCTION("""COMPUTED_VALUE"""),"#VALUE!")</f>
        <v>#VALUE!</v>
      </c>
      <c r="CY883" t="str">
        <f ca="1">IFERROR(__xludf.DUMMYFUNCTION("""COMPUTED_VALUE"""),"#VALUE!")</f>
        <v>#VALUE!</v>
      </c>
      <c r="DC883" t="str">
        <f ca="1">IFERROR(__xludf.DUMMYFUNCTION("""COMPUTED_VALUE"""),"#VALUE!")</f>
        <v>#VALUE!</v>
      </c>
      <c r="DE883" t="str">
        <f ca="1">IFERROR(__xludf.DUMMYFUNCTION("""COMPUTED_VALUE"""),"#VALUE!")</f>
        <v>#VALUE!</v>
      </c>
    </row>
    <row r="884" spans="1:109" ht="13.2" x14ac:dyDescent="0.25">
      <c r="A884" t="str">
        <f ca="1">IFERROR(__xludf.DUMMYFUNCTION("""COMPUTED_VALUE"""),"P0893")</f>
        <v>P0893</v>
      </c>
      <c r="BC884" t="str">
        <f ca="1">IFERROR(__xludf.DUMMYFUNCTION("""COMPUTED_VALUE"""),"#VALUE!")</f>
        <v>#VALUE!</v>
      </c>
      <c r="BE884" t="str">
        <f ca="1">IFERROR(__xludf.DUMMYFUNCTION("""COMPUTED_VALUE"""),"#VALUE!")</f>
        <v>#VALUE!</v>
      </c>
      <c r="BG884" t="str">
        <f ca="1">IFERROR(__xludf.DUMMYFUNCTION("""COMPUTED_VALUE"""),"#VALUE!")</f>
        <v>#VALUE!</v>
      </c>
      <c r="BI884" t="str">
        <f ca="1">IFERROR(__xludf.DUMMYFUNCTION("""COMPUTED_VALUE"""),"#VALUE!")</f>
        <v>#VALUE!</v>
      </c>
      <c r="BK884" t="str">
        <f ca="1">IFERROR(__xludf.DUMMYFUNCTION("""COMPUTED_VALUE"""),"#VALUE!")</f>
        <v>#VALUE!</v>
      </c>
      <c r="BM884" t="str">
        <f ca="1">IFERROR(__xludf.DUMMYFUNCTION("""COMPUTED_VALUE"""),"#VALUE!")</f>
        <v>#VALUE!</v>
      </c>
      <c r="CS884" t="str">
        <f ca="1">IFERROR(__xludf.DUMMYFUNCTION("""COMPUTED_VALUE"""),"#VALUE!")</f>
        <v>#VALUE!</v>
      </c>
      <c r="CU884" t="str">
        <f ca="1">IFERROR(__xludf.DUMMYFUNCTION("""COMPUTED_VALUE"""),"#VALUE!")</f>
        <v>#VALUE!</v>
      </c>
      <c r="CW884" t="str">
        <f ca="1">IFERROR(__xludf.DUMMYFUNCTION("""COMPUTED_VALUE"""),"#VALUE!")</f>
        <v>#VALUE!</v>
      </c>
      <c r="CY884" t="str">
        <f ca="1">IFERROR(__xludf.DUMMYFUNCTION("""COMPUTED_VALUE"""),"#VALUE!")</f>
        <v>#VALUE!</v>
      </c>
      <c r="DC884" t="str">
        <f ca="1">IFERROR(__xludf.DUMMYFUNCTION("""COMPUTED_VALUE"""),"#VALUE!")</f>
        <v>#VALUE!</v>
      </c>
      <c r="DE884" t="str">
        <f ca="1">IFERROR(__xludf.DUMMYFUNCTION("""COMPUTED_VALUE"""),"#VALUE!")</f>
        <v>#VALUE!</v>
      </c>
    </row>
    <row r="885" spans="1:109" ht="13.2" x14ac:dyDescent="0.25">
      <c r="A885" t="str">
        <f ca="1">IFERROR(__xludf.DUMMYFUNCTION("""COMPUTED_VALUE"""),"P0894")</f>
        <v>P0894</v>
      </c>
      <c r="BC885" t="str">
        <f ca="1">IFERROR(__xludf.DUMMYFUNCTION("""COMPUTED_VALUE"""),"#VALUE!")</f>
        <v>#VALUE!</v>
      </c>
      <c r="BE885" t="str">
        <f ca="1">IFERROR(__xludf.DUMMYFUNCTION("""COMPUTED_VALUE"""),"#VALUE!")</f>
        <v>#VALUE!</v>
      </c>
      <c r="BG885" t="str">
        <f ca="1">IFERROR(__xludf.DUMMYFUNCTION("""COMPUTED_VALUE"""),"#VALUE!")</f>
        <v>#VALUE!</v>
      </c>
      <c r="BI885" t="str">
        <f ca="1">IFERROR(__xludf.DUMMYFUNCTION("""COMPUTED_VALUE"""),"#VALUE!")</f>
        <v>#VALUE!</v>
      </c>
      <c r="BK885" t="str">
        <f ca="1">IFERROR(__xludf.DUMMYFUNCTION("""COMPUTED_VALUE"""),"#VALUE!")</f>
        <v>#VALUE!</v>
      </c>
      <c r="BM885" t="str">
        <f ca="1">IFERROR(__xludf.DUMMYFUNCTION("""COMPUTED_VALUE"""),"#VALUE!")</f>
        <v>#VALUE!</v>
      </c>
      <c r="CS885" t="str">
        <f ca="1">IFERROR(__xludf.DUMMYFUNCTION("""COMPUTED_VALUE"""),"#VALUE!")</f>
        <v>#VALUE!</v>
      </c>
      <c r="CU885" t="str">
        <f ca="1">IFERROR(__xludf.DUMMYFUNCTION("""COMPUTED_VALUE"""),"#VALUE!")</f>
        <v>#VALUE!</v>
      </c>
      <c r="CW885" t="str">
        <f ca="1">IFERROR(__xludf.DUMMYFUNCTION("""COMPUTED_VALUE"""),"#VALUE!")</f>
        <v>#VALUE!</v>
      </c>
      <c r="CY885" t="str">
        <f ca="1">IFERROR(__xludf.DUMMYFUNCTION("""COMPUTED_VALUE"""),"#VALUE!")</f>
        <v>#VALUE!</v>
      </c>
      <c r="DC885" t="str">
        <f ca="1">IFERROR(__xludf.DUMMYFUNCTION("""COMPUTED_VALUE"""),"#VALUE!")</f>
        <v>#VALUE!</v>
      </c>
      <c r="DE885" t="str">
        <f ca="1">IFERROR(__xludf.DUMMYFUNCTION("""COMPUTED_VALUE"""),"#VALUE!")</f>
        <v>#VALUE!</v>
      </c>
    </row>
    <row r="886" spans="1:109" ht="13.2" x14ac:dyDescent="0.25">
      <c r="A886" t="str">
        <f ca="1">IFERROR(__xludf.DUMMYFUNCTION("""COMPUTED_VALUE"""),"P0895")</f>
        <v>P0895</v>
      </c>
      <c r="BC886" t="str">
        <f ca="1">IFERROR(__xludf.DUMMYFUNCTION("""COMPUTED_VALUE"""),"#VALUE!")</f>
        <v>#VALUE!</v>
      </c>
      <c r="BE886" t="str">
        <f ca="1">IFERROR(__xludf.DUMMYFUNCTION("""COMPUTED_VALUE"""),"#VALUE!")</f>
        <v>#VALUE!</v>
      </c>
      <c r="BG886" t="str">
        <f ca="1">IFERROR(__xludf.DUMMYFUNCTION("""COMPUTED_VALUE"""),"#VALUE!")</f>
        <v>#VALUE!</v>
      </c>
      <c r="BI886" t="str">
        <f ca="1">IFERROR(__xludf.DUMMYFUNCTION("""COMPUTED_VALUE"""),"#VALUE!")</f>
        <v>#VALUE!</v>
      </c>
      <c r="BK886" t="str">
        <f ca="1">IFERROR(__xludf.DUMMYFUNCTION("""COMPUTED_VALUE"""),"#VALUE!")</f>
        <v>#VALUE!</v>
      </c>
      <c r="BM886" t="str">
        <f ca="1">IFERROR(__xludf.DUMMYFUNCTION("""COMPUTED_VALUE"""),"#VALUE!")</f>
        <v>#VALUE!</v>
      </c>
      <c r="CS886" t="str">
        <f ca="1">IFERROR(__xludf.DUMMYFUNCTION("""COMPUTED_VALUE"""),"#VALUE!")</f>
        <v>#VALUE!</v>
      </c>
      <c r="CU886" t="str">
        <f ca="1">IFERROR(__xludf.DUMMYFUNCTION("""COMPUTED_VALUE"""),"#VALUE!")</f>
        <v>#VALUE!</v>
      </c>
      <c r="CW886" t="str">
        <f ca="1">IFERROR(__xludf.DUMMYFUNCTION("""COMPUTED_VALUE"""),"#VALUE!")</f>
        <v>#VALUE!</v>
      </c>
      <c r="CY886" t="str">
        <f ca="1">IFERROR(__xludf.DUMMYFUNCTION("""COMPUTED_VALUE"""),"#VALUE!")</f>
        <v>#VALUE!</v>
      </c>
      <c r="DC886" t="str">
        <f ca="1">IFERROR(__xludf.DUMMYFUNCTION("""COMPUTED_VALUE"""),"#VALUE!")</f>
        <v>#VALUE!</v>
      </c>
      <c r="DE886" t="str">
        <f ca="1">IFERROR(__xludf.DUMMYFUNCTION("""COMPUTED_VALUE"""),"#VALUE!")</f>
        <v>#VALUE!</v>
      </c>
    </row>
    <row r="887" spans="1:109" ht="13.2" x14ac:dyDescent="0.25">
      <c r="A887" t="str">
        <f ca="1">IFERROR(__xludf.DUMMYFUNCTION("""COMPUTED_VALUE"""),"P0896")</f>
        <v>P0896</v>
      </c>
      <c r="BC887" t="str">
        <f ca="1">IFERROR(__xludf.DUMMYFUNCTION("""COMPUTED_VALUE"""),"#VALUE!")</f>
        <v>#VALUE!</v>
      </c>
      <c r="BE887" t="str">
        <f ca="1">IFERROR(__xludf.DUMMYFUNCTION("""COMPUTED_VALUE"""),"#VALUE!")</f>
        <v>#VALUE!</v>
      </c>
      <c r="BG887" t="str">
        <f ca="1">IFERROR(__xludf.DUMMYFUNCTION("""COMPUTED_VALUE"""),"#VALUE!")</f>
        <v>#VALUE!</v>
      </c>
      <c r="BI887" t="str">
        <f ca="1">IFERROR(__xludf.DUMMYFUNCTION("""COMPUTED_VALUE"""),"#VALUE!")</f>
        <v>#VALUE!</v>
      </c>
      <c r="BK887" t="str">
        <f ca="1">IFERROR(__xludf.DUMMYFUNCTION("""COMPUTED_VALUE"""),"#VALUE!")</f>
        <v>#VALUE!</v>
      </c>
      <c r="BM887" t="str">
        <f ca="1">IFERROR(__xludf.DUMMYFUNCTION("""COMPUTED_VALUE"""),"#VALUE!")</f>
        <v>#VALUE!</v>
      </c>
      <c r="CS887" t="str">
        <f ca="1">IFERROR(__xludf.DUMMYFUNCTION("""COMPUTED_VALUE"""),"#VALUE!")</f>
        <v>#VALUE!</v>
      </c>
      <c r="CU887" t="str">
        <f ca="1">IFERROR(__xludf.DUMMYFUNCTION("""COMPUTED_VALUE"""),"#VALUE!")</f>
        <v>#VALUE!</v>
      </c>
      <c r="CW887" t="str">
        <f ca="1">IFERROR(__xludf.DUMMYFUNCTION("""COMPUTED_VALUE"""),"#VALUE!")</f>
        <v>#VALUE!</v>
      </c>
      <c r="CY887" t="str">
        <f ca="1">IFERROR(__xludf.DUMMYFUNCTION("""COMPUTED_VALUE"""),"#VALUE!")</f>
        <v>#VALUE!</v>
      </c>
      <c r="DC887" t="str">
        <f ca="1">IFERROR(__xludf.DUMMYFUNCTION("""COMPUTED_VALUE"""),"#VALUE!")</f>
        <v>#VALUE!</v>
      </c>
      <c r="DE887" t="str">
        <f ca="1">IFERROR(__xludf.DUMMYFUNCTION("""COMPUTED_VALUE"""),"#VALUE!")</f>
        <v>#VALUE!</v>
      </c>
    </row>
    <row r="888" spans="1:109" ht="13.2" x14ac:dyDescent="0.25">
      <c r="A888" t="str">
        <f ca="1">IFERROR(__xludf.DUMMYFUNCTION("""COMPUTED_VALUE"""),"P0897")</f>
        <v>P0897</v>
      </c>
      <c r="BC888" t="str">
        <f ca="1">IFERROR(__xludf.DUMMYFUNCTION("""COMPUTED_VALUE"""),"#VALUE!")</f>
        <v>#VALUE!</v>
      </c>
      <c r="BE888" t="str">
        <f ca="1">IFERROR(__xludf.DUMMYFUNCTION("""COMPUTED_VALUE"""),"#VALUE!")</f>
        <v>#VALUE!</v>
      </c>
      <c r="BG888" t="str">
        <f ca="1">IFERROR(__xludf.DUMMYFUNCTION("""COMPUTED_VALUE"""),"#VALUE!")</f>
        <v>#VALUE!</v>
      </c>
      <c r="BI888" t="str">
        <f ca="1">IFERROR(__xludf.DUMMYFUNCTION("""COMPUTED_VALUE"""),"#VALUE!")</f>
        <v>#VALUE!</v>
      </c>
      <c r="BK888" t="str">
        <f ca="1">IFERROR(__xludf.DUMMYFUNCTION("""COMPUTED_VALUE"""),"#VALUE!")</f>
        <v>#VALUE!</v>
      </c>
      <c r="BM888" t="str">
        <f ca="1">IFERROR(__xludf.DUMMYFUNCTION("""COMPUTED_VALUE"""),"#VALUE!")</f>
        <v>#VALUE!</v>
      </c>
      <c r="CS888" t="str">
        <f ca="1">IFERROR(__xludf.DUMMYFUNCTION("""COMPUTED_VALUE"""),"#VALUE!")</f>
        <v>#VALUE!</v>
      </c>
      <c r="CU888" t="str">
        <f ca="1">IFERROR(__xludf.DUMMYFUNCTION("""COMPUTED_VALUE"""),"#VALUE!")</f>
        <v>#VALUE!</v>
      </c>
      <c r="CW888" t="str">
        <f ca="1">IFERROR(__xludf.DUMMYFUNCTION("""COMPUTED_VALUE"""),"#VALUE!")</f>
        <v>#VALUE!</v>
      </c>
      <c r="CY888" t="str">
        <f ca="1">IFERROR(__xludf.DUMMYFUNCTION("""COMPUTED_VALUE"""),"#VALUE!")</f>
        <v>#VALUE!</v>
      </c>
      <c r="DC888" t="str">
        <f ca="1">IFERROR(__xludf.DUMMYFUNCTION("""COMPUTED_VALUE"""),"#VALUE!")</f>
        <v>#VALUE!</v>
      </c>
      <c r="DE888" t="str">
        <f ca="1">IFERROR(__xludf.DUMMYFUNCTION("""COMPUTED_VALUE"""),"#VALUE!")</f>
        <v>#VALUE!</v>
      </c>
    </row>
    <row r="889" spans="1:109" ht="13.2" x14ac:dyDescent="0.25">
      <c r="A889" t="str">
        <f ca="1">IFERROR(__xludf.DUMMYFUNCTION("""COMPUTED_VALUE"""),"P0898")</f>
        <v>P0898</v>
      </c>
      <c r="BC889" t="str">
        <f ca="1">IFERROR(__xludf.DUMMYFUNCTION("""COMPUTED_VALUE"""),"#VALUE!")</f>
        <v>#VALUE!</v>
      </c>
      <c r="BE889" t="str">
        <f ca="1">IFERROR(__xludf.DUMMYFUNCTION("""COMPUTED_VALUE"""),"#VALUE!")</f>
        <v>#VALUE!</v>
      </c>
      <c r="BG889" t="str">
        <f ca="1">IFERROR(__xludf.DUMMYFUNCTION("""COMPUTED_VALUE"""),"#VALUE!")</f>
        <v>#VALUE!</v>
      </c>
      <c r="BI889" t="str">
        <f ca="1">IFERROR(__xludf.DUMMYFUNCTION("""COMPUTED_VALUE"""),"#VALUE!")</f>
        <v>#VALUE!</v>
      </c>
      <c r="BK889" t="str">
        <f ca="1">IFERROR(__xludf.DUMMYFUNCTION("""COMPUTED_VALUE"""),"#VALUE!")</f>
        <v>#VALUE!</v>
      </c>
      <c r="BM889" t="str">
        <f ca="1">IFERROR(__xludf.DUMMYFUNCTION("""COMPUTED_VALUE"""),"#VALUE!")</f>
        <v>#VALUE!</v>
      </c>
      <c r="CS889" t="str">
        <f ca="1">IFERROR(__xludf.DUMMYFUNCTION("""COMPUTED_VALUE"""),"#VALUE!")</f>
        <v>#VALUE!</v>
      </c>
      <c r="CU889" t="str">
        <f ca="1">IFERROR(__xludf.DUMMYFUNCTION("""COMPUTED_VALUE"""),"#VALUE!")</f>
        <v>#VALUE!</v>
      </c>
      <c r="CW889" t="str">
        <f ca="1">IFERROR(__xludf.DUMMYFUNCTION("""COMPUTED_VALUE"""),"#VALUE!")</f>
        <v>#VALUE!</v>
      </c>
      <c r="CY889" t="str">
        <f ca="1">IFERROR(__xludf.DUMMYFUNCTION("""COMPUTED_VALUE"""),"#VALUE!")</f>
        <v>#VALUE!</v>
      </c>
      <c r="DC889" t="str">
        <f ca="1">IFERROR(__xludf.DUMMYFUNCTION("""COMPUTED_VALUE"""),"#VALUE!")</f>
        <v>#VALUE!</v>
      </c>
      <c r="DE889" t="str">
        <f ca="1">IFERROR(__xludf.DUMMYFUNCTION("""COMPUTED_VALUE"""),"#VALUE!")</f>
        <v>#VALUE!</v>
      </c>
    </row>
    <row r="890" spans="1:109" ht="13.2" x14ac:dyDescent="0.25">
      <c r="A890" t="str">
        <f ca="1">IFERROR(__xludf.DUMMYFUNCTION("""COMPUTED_VALUE"""),"P0899")</f>
        <v>P0899</v>
      </c>
      <c r="BC890" t="str">
        <f ca="1">IFERROR(__xludf.DUMMYFUNCTION("""COMPUTED_VALUE"""),"#VALUE!")</f>
        <v>#VALUE!</v>
      </c>
      <c r="BE890" t="str">
        <f ca="1">IFERROR(__xludf.DUMMYFUNCTION("""COMPUTED_VALUE"""),"#VALUE!")</f>
        <v>#VALUE!</v>
      </c>
      <c r="BG890" t="str">
        <f ca="1">IFERROR(__xludf.DUMMYFUNCTION("""COMPUTED_VALUE"""),"#VALUE!")</f>
        <v>#VALUE!</v>
      </c>
      <c r="BI890" t="str">
        <f ca="1">IFERROR(__xludf.DUMMYFUNCTION("""COMPUTED_VALUE"""),"#VALUE!")</f>
        <v>#VALUE!</v>
      </c>
      <c r="BK890" t="str">
        <f ca="1">IFERROR(__xludf.DUMMYFUNCTION("""COMPUTED_VALUE"""),"#VALUE!")</f>
        <v>#VALUE!</v>
      </c>
      <c r="BM890" t="str">
        <f ca="1">IFERROR(__xludf.DUMMYFUNCTION("""COMPUTED_VALUE"""),"#VALUE!")</f>
        <v>#VALUE!</v>
      </c>
      <c r="CS890" t="str">
        <f ca="1">IFERROR(__xludf.DUMMYFUNCTION("""COMPUTED_VALUE"""),"#VALUE!")</f>
        <v>#VALUE!</v>
      </c>
      <c r="CU890" t="str">
        <f ca="1">IFERROR(__xludf.DUMMYFUNCTION("""COMPUTED_VALUE"""),"#VALUE!")</f>
        <v>#VALUE!</v>
      </c>
      <c r="CW890" t="str">
        <f ca="1">IFERROR(__xludf.DUMMYFUNCTION("""COMPUTED_VALUE"""),"#VALUE!")</f>
        <v>#VALUE!</v>
      </c>
      <c r="CY890" t="str">
        <f ca="1">IFERROR(__xludf.DUMMYFUNCTION("""COMPUTED_VALUE"""),"#VALUE!")</f>
        <v>#VALUE!</v>
      </c>
      <c r="DC890" t="str">
        <f ca="1">IFERROR(__xludf.DUMMYFUNCTION("""COMPUTED_VALUE"""),"#VALUE!")</f>
        <v>#VALUE!</v>
      </c>
      <c r="DE890" t="str">
        <f ca="1">IFERROR(__xludf.DUMMYFUNCTION("""COMPUTED_VALUE"""),"#VALUE!")</f>
        <v>#VALUE!</v>
      </c>
    </row>
    <row r="891" spans="1:109" ht="13.2" x14ac:dyDescent="0.25">
      <c r="A891" t="str">
        <f ca="1">IFERROR(__xludf.DUMMYFUNCTION("""COMPUTED_VALUE"""),"P0900")</f>
        <v>P0900</v>
      </c>
      <c r="BC891" t="str">
        <f ca="1">IFERROR(__xludf.DUMMYFUNCTION("""COMPUTED_VALUE"""),"#VALUE!")</f>
        <v>#VALUE!</v>
      </c>
      <c r="BE891" t="str">
        <f ca="1">IFERROR(__xludf.DUMMYFUNCTION("""COMPUTED_VALUE"""),"#VALUE!")</f>
        <v>#VALUE!</v>
      </c>
      <c r="BG891" t="str">
        <f ca="1">IFERROR(__xludf.DUMMYFUNCTION("""COMPUTED_VALUE"""),"#VALUE!")</f>
        <v>#VALUE!</v>
      </c>
      <c r="BI891" t="str">
        <f ca="1">IFERROR(__xludf.DUMMYFUNCTION("""COMPUTED_VALUE"""),"#VALUE!")</f>
        <v>#VALUE!</v>
      </c>
      <c r="BK891" t="str">
        <f ca="1">IFERROR(__xludf.DUMMYFUNCTION("""COMPUTED_VALUE"""),"#VALUE!")</f>
        <v>#VALUE!</v>
      </c>
      <c r="BM891" t="str">
        <f ca="1">IFERROR(__xludf.DUMMYFUNCTION("""COMPUTED_VALUE"""),"#VALUE!")</f>
        <v>#VALUE!</v>
      </c>
      <c r="CS891" t="str">
        <f ca="1">IFERROR(__xludf.DUMMYFUNCTION("""COMPUTED_VALUE"""),"#VALUE!")</f>
        <v>#VALUE!</v>
      </c>
      <c r="CU891" t="str">
        <f ca="1">IFERROR(__xludf.DUMMYFUNCTION("""COMPUTED_VALUE"""),"#VALUE!")</f>
        <v>#VALUE!</v>
      </c>
      <c r="CW891" t="str">
        <f ca="1">IFERROR(__xludf.DUMMYFUNCTION("""COMPUTED_VALUE"""),"#VALUE!")</f>
        <v>#VALUE!</v>
      </c>
      <c r="CY891" t="str">
        <f ca="1">IFERROR(__xludf.DUMMYFUNCTION("""COMPUTED_VALUE"""),"#VALUE!")</f>
        <v>#VALUE!</v>
      </c>
      <c r="DC891" t="str">
        <f ca="1">IFERROR(__xludf.DUMMYFUNCTION("""COMPUTED_VALUE"""),"#VALUE!")</f>
        <v>#VALUE!</v>
      </c>
      <c r="DE891" t="str">
        <f ca="1">IFERROR(__xludf.DUMMYFUNCTION("""COMPUTED_VALUE"""),"#VALUE!")</f>
        <v>#VALUE!</v>
      </c>
    </row>
    <row r="892" spans="1:109" ht="13.2" x14ac:dyDescent="0.25">
      <c r="A892" t="str">
        <f ca="1">IFERROR(__xludf.DUMMYFUNCTION("""COMPUTED_VALUE"""),"P0901")</f>
        <v>P0901</v>
      </c>
      <c r="BC892" t="str">
        <f ca="1">IFERROR(__xludf.DUMMYFUNCTION("""COMPUTED_VALUE"""),"#VALUE!")</f>
        <v>#VALUE!</v>
      </c>
      <c r="BE892" t="str">
        <f ca="1">IFERROR(__xludf.DUMMYFUNCTION("""COMPUTED_VALUE"""),"#VALUE!")</f>
        <v>#VALUE!</v>
      </c>
      <c r="BG892" t="str">
        <f ca="1">IFERROR(__xludf.DUMMYFUNCTION("""COMPUTED_VALUE"""),"#VALUE!")</f>
        <v>#VALUE!</v>
      </c>
      <c r="BI892" t="str">
        <f ca="1">IFERROR(__xludf.DUMMYFUNCTION("""COMPUTED_VALUE"""),"#VALUE!")</f>
        <v>#VALUE!</v>
      </c>
      <c r="BK892" t="str">
        <f ca="1">IFERROR(__xludf.DUMMYFUNCTION("""COMPUTED_VALUE"""),"#VALUE!")</f>
        <v>#VALUE!</v>
      </c>
      <c r="BM892" t="str">
        <f ca="1">IFERROR(__xludf.DUMMYFUNCTION("""COMPUTED_VALUE"""),"#VALUE!")</f>
        <v>#VALUE!</v>
      </c>
      <c r="CS892" t="str">
        <f ca="1">IFERROR(__xludf.DUMMYFUNCTION("""COMPUTED_VALUE"""),"#VALUE!")</f>
        <v>#VALUE!</v>
      </c>
      <c r="CU892" t="str">
        <f ca="1">IFERROR(__xludf.DUMMYFUNCTION("""COMPUTED_VALUE"""),"#VALUE!")</f>
        <v>#VALUE!</v>
      </c>
      <c r="CW892" t="str">
        <f ca="1">IFERROR(__xludf.DUMMYFUNCTION("""COMPUTED_VALUE"""),"#VALUE!")</f>
        <v>#VALUE!</v>
      </c>
      <c r="CY892" t="str">
        <f ca="1">IFERROR(__xludf.DUMMYFUNCTION("""COMPUTED_VALUE"""),"#VALUE!")</f>
        <v>#VALUE!</v>
      </c>
      <c r="DC892" t="str">
        <f ca="1">IFERROR(__xludf.DUMMYFUNCTION("""COMPUTED_VALUE"""),"#VALUE!")</f>
        <v>#VALUE!</v>
      </c>
      <c r="DE892" t="str">
        <f ca="1">IFERROR(__xludf.DUMMYFUNCTION("""COMPUTED_VALUE"""),"#VALUE!")</f>
        <v>#VALUE!</v>
      </c>
    </row>
    <row r="893" spans="1:109" ht="13.2" x14ac:dyDescent="0.25">
      <c r="A893" t="str">
        <f ca="1">IFERROR(__xludf.DUMMYFUNCTION("""COMPUTED_VALUE"""),"P0902")</f>
        <v>P0902</v>
      </c>
      <c r="BC893" t="str">
        <f ca="1">IFERROR(__xludf.DUMMYFUNCTION("""COMPUTED_VALUE"""),"#VALUE!")</f>
        <v>#VALUE!</v>
      </c>
      <c r="BE893" t="str">
        <f ca="1">IFERROR(__xludf.DUMMYFUNCTION("""COMPUTED_VALUE"""),"#VALUE!")</f>
        <v>#VALUE!</v>
      </c>
      <c r="BG893" t="str">
        <f ca="1">IFERROR(__xludf.DUMMYFUNCTION("""COMPUTED_VALUE"""),"#VALUE!")</f>
        <v>#VALUE!</v>
      </c>
      <c r="BI893" t="str">
        <f ca="1">IFERROR(__xludf.DUMMYFUNCTION("""COMPUTED_VALUE"""),"#VALUE!")</f>
        <v>#VALUE!</v>
      </c>
      <c r="BK893" t="str">
        <f ca="1">IFERROR(__xludf.DUMMYFUNCTION("""COMPUTED_VALUE"""),"#VALUE!")</f>
        <v>#VALUE!</v>
      </c>
      <c r="BM893" t="str">
        <f ca="1">IFERROR(__xludf.DUMMYFUNCTION("""COMPUTED_VALUE"""),"#VALUE!")</f>
        <v>#VALUE!</v>
      </c>
      <c r="CS893" t="str">
        <f ca="1">IFERROR(__xludf.DUMMYFUNCTION("""COMPUTED_VALUE"""),"#VALUE!")</f>
        <v>#VALUE!</v>
      </c>
      <c r="CU893" t="str">
        <f ca="1">IFERROR(__xludf.DUMMYFUNCTION("""COMPUTED_VALUE"""),"#VALUE!")</f>
        <v>#VALUE!</v>
      </c>
      <c r="CW893" t="str">
        <f ca="1">IFERROR(__xludf.DUMMYFUNCTION("""COMPUTED_VALUE"""),"#VALUE!")</f>
        <v>#VALUE!</v>
      </c>
      <c r="CY893" t="str">
        <f ca="1">IFERROR(__xludf.DUMMYFUNCTION("""COMPUTED_VALUE"""),"#VALUE!")</f>
        <v>#VALUE!</v>
      </c>
      <c r="DC893" t="str">
        <f ca="1">IFERROR(__xludf.DUMMYFUNCTION("""COMPUTED_VALUE"""),"#VALUE!")</f>
        <v>#VALUE!</v>
      </c>
      <c r="DE893" t="str">
        <f ca="1">IFERROR(__xludf.DUMMYFUNCTION("""COMPUTED_VALUE"""),"#VALUE!")</f>
        <v>#VALUE!</v>
      </c>
    </row>
    <row r="894" spans="1:109" ht="13.2" x14ac:dyDescent="0.25">
      <c r="A894" t="str">
        <f ca="1">IFERROR(__xludf.DUMMYFUNCTION("""COMPUTED_VALUE"""),"P0903")</f>
        <v>P0903</v>
      </c>
      <c r="BC894" t="str">
        <f ca="1">IFERROR(__xludf.DUMMYFUNCTION("""COMPUTED_VALUE"""),"#VALUE!")</f>
        <v>#VALUE!</v>
      </c>
      <c r="BE894" t="str">
        <f ca="1">IFERROR(__xludf.DUMMYFUNCTION("""COMPUTED_VALUE"""),"#VALUE!")</f>
        <v>#VALUE!</v>
      </c>
      <c r="BG894" t="str">
        <f ca="1">IFERROR(__xludf.DUMMYFUNCTION("""COMPUTED_VALUE"""),"#VALUE!")</f>
        <v>#VALUE!</v>
      </c>
      <c r="BI894" t="str">
        <f ca="1">IFERROR(__xludf.DUMMYFUNCTION("""COMPUTED_VALUE"""),"#VALUE!")</f>
        <v>#VALUE!</v>
      </c>
      <c r="BK894" t="str">
        <f ca="1">IFERROR(__xludf.DUMMYFUNCTION("""COMPUTED_VALUE"""),"#VALUE!")</f>
        <v>#VALUE!</v>
      </c>
      <c r="BM894" t="str">
        <f ca="1">IFERROR(__xludf.DUMMYFUNCTION("""COMPUTED_VALUE"""),"#VALUE!")</f>
        <v>#VALUE!</v>
      </c>
      <c r="CS894" t="str">
        <f ca="1">IFERROR(__xludf.DUMMYFUNCTION("""COMPUTED_VALUE"""),"#VALUE!")</f>
        <v>#VALUE!</v>
      </c>
      <c r="CU894" t="str">
        <f ca="1">IFERROR(__xludf.DUMMYFUNCTION("""COMPUTED_VALUE"""),"#VALUE!")</f>
        <v>#VALUE!</v>
      </c>
      <c r="CW894" t="str">
        <f ca="1">IFERROR(__xludf.DUMMYFUNCTION("""COMPUTED_VALUE"""),"#VALUE!")</f>
        <v>#VALUE!</v>
      </c>
      <c r="CY894" t="str">
        <f ca="1">IFERROR(__xludf.DUMMYFUNCTION("""COMPUTED_VALUE"""),"#VALUE!")</f>
        <v>#VALUE!</v>
      </c>
      <c r="DC894" t="str">
        <f ca="1">IFERROR(__xludf.DUMMYFUNCTION("""COMPUTED_VALUE"""),"#VALUE!")</f>
        <v>#VALUE!</v>
      </c>
      <c r="DE894" t="str">
        <f ca="1">IFERROR(__xludf.DUMMYFUNCTION("""COMPUTED_VALUE"""),"#VALUE!")</f>
        <v>#VALUE!</v>
      </c>
    </row>
    <row r="895" spans="1:109" ht="13.2" x14ac:dyDescent="0.25">
      <c r="A895" t="str">
        <f ca="1">IFERROR(__xludf.DUMMYFUNCTION("""COMPUTED_VALUE"""),"P0904")</f>
        <v>P0904</v>
      </c>
      <c r="BC895" t="str">
        <f ca="1">IFERROR(__xludf.DUMMYFUNCTION("""COMPUTED_VALUE"""),"#VALUE!")</f>
        <v>#VALUE!</v>
      </c>
      <c r="BE895" t="str">
        <f ca="1">IFERROR(__xludf.DUMMYFUNCTION("""COMPUTED_VALUE"""),"#VALUE!")</f>
        <v>#VALUE!</v>
      </c>
      <c r="BG895" t="str">
        <f ca="1">IFERROR(__xludf.DUMMYFUNCTION("""COMPUTED_VALUE"""),"#VALUE!")</f>
        <v>#VALUE!</v>
      </c>
      <c r="BI895" t="str">
        <f ca="1">IFERROR(__xludf.DUMMYFUNCTION("""COMPUTED_VALUE"""),"#VALUE!")</f>
        <v>#VALUE!</v>
      </c>
      <c r="BK895" t="str">
        <f ca="1">IFERROR(__xludf.DUMMYFUNCTION("""COMPUTED_VALUE"""),"#VALUE!")</f>
        <v>#VALUE!</v>
      </c>
      <c r="BM895" t="str">
        <f ca="1">IFERROR(__xludf.DUMMYFUNCTION("""COMPUTED_VALUE"""),"#VALUE!")</f>
        <v>#VALUE!</v>
      </c>
      <c r="CS895" t="str">
        <f ca="1">IFERROR(__xludf.DUMMYFUNCTION("""COMPUTED_VALUE"""),"#VALUE!")</f>
        <v>#VALUE!</v>
      </c>
      <c r="CU895" t="str">
        <f ca="1">IFERROR(__xludf.DUMMYFUNCTION("""COMPUTED_VALUE"""),"#VALUE!")</f>
        <v>#VALUE!</v>
      </c>
      <c r="CW895" t="str">
        <f ca="1">IFERROR(__xludf.DUMMYFUNCTION("""COMPUTED_VALUE"""),"#VALUE!")</f>
        <v>#VALUE!</v>
      </c>
      <c r="CY895" t="str">
        <f ca="1">IFERROR(__xludf.DUMMYFUNCTION("""COMPUTED_VALUE"""),"#VALUE!")</f>
        <v>#VALUE!</v>
      </c>
      <c r="DC895" t="str">
        <f ca="1">IFERROR(__xludf.DUMMYFUNCTION("""COMPUTED_VALUE"""),"#VALUE!")</f>
        <v>#VALUE!</v>
      </c>
      <c r="DE895" t="str">
        <f ca="1">IFERROR(__xludf.DUMMYFUNCTION("""COMPUTED_VALUE"""),"#VALUE!")</f>
        <v>#VALUE!</v>
      </c>
    </row>
    <row r="896" spans="1:109" ht="13.2" x14ac:dyDescent="0.25">
      <c r="A896" t="str">
        <f ca="1">IFERROR(__xludf.DUMMYFUNCTION("""COMPUTED_VALUE"""),"P0905")</f>
        <v>P0905</v>
      </c>
      <c r="BC896" t="str">
        <f ca="1">IFERROR(__xludf.DUMMYFUNCTION("""COMPUTED_VALUE"""),"#VALUE!")</f>
        <v>#VALUE!</v>
      </c>
      <c r="BE896" t="str">
        <f ca="1">IFERROR(__xludf.DUMMYFUNCTION("""COMPUTED_VALUE"""),"#VALUE!")</f>
        <v>#VALUE!</v>
      </c>
      <c r="BG896" t="str">
        <f ca="1">IFERROR(__xludf.DUMMYFUNCTION("""COMPUTED_VALUE"""),"#VALUE!")</f>
        <v>#VALUE!</v>
      </c>
      <c r="BI896" t="str">
        <f ca="1">IFERROR(__xludf.DUMMYFUNCTION("""COMPUTED_VALUE"""),"#VALUE!")</f>
        <v>#VALUE!</v>
      </c>
      <c r="BK896" t="str">
        <f ca="1">IFERROR(__xludf.DUMMYFUNCTION("""COMPUTED_VALUE"""),"#VALUE!")</f>
        <v>#VALUE!</v>
      </c>
      <c r="BM896" t="str">
        <f ca="1">IFERROR(__xludf.DUMMYFUNCTION("""COMPUTED_VALUE"""),"#VALUE!")</f>
        <v>#VALUE!</v>
      </c>
      <c r="CS896" t="str">
        <f ca="1">IFERROR(__xludf.DUMMYFUNCTION("""COMPUTED_VALUE"""),"#VALUE!")</f>
        <v>#VALUE!</v>
      </c>
      <c r="CU896" t="str">
        <f ca="1">IFERROR(__xludf.DUMMYFUNCTION("""COMPUTED_VALUE"""),"#VALUE!")</f>
        <v>#VALUE!</v>
      </c>
      <c r="CW896" t="str">
        <f ca="1">IFERROR(__xludf.DUMMYFUNCTION("""COMPUTED_VALUE"""),"#VALUE!")</f>
        <v>#VALUE!</v>
      </c>
      <c r="CY896" t="str">
        <f ca="1">IFERROR(__xludf.DUMMYFUNCTION("""COMPUTED_VALUE"""),"#VALUE!")</f>
        <v>#VALUE!</v>
      </c>
      <c r="DC896" t="str">
        <f ca="1">IFERROR(__xludf.DUMMYFUNCTION("""COMPUTED_VALUE"""),"#VALUE!")</f>
        <v>#VALUE!</v>
      </c>
      <c r="DE896" t="str">
        <f ca="1">IFERROR(__xludf.DUMMYFUNCTION("""COMPUTED_VALUE"""),"#VALUE!")</f>
        <v>#VALUE!</v>
      </c>
    </row>
    <row r="897" spans="1:109" ht="13.2" x14ac:dyDescent="0.25">
      <c r="A897" t="str">
        <f ca="1">IFERROR(__xludf.DUMMYFUNCTION("""COMPUTED_VALUE"""),"P0906")</f>
        <v>P0906</v>
      </c>
      <c r="BC897" t="str">
        <f ca="1">IFERROR(__xludf.DUMMYFUNCTION("""COMPUTED_VALUE"""),"#VALUE!")</f>
        <v>#VALUE!</v>
      </c>
      <c r="BE897" t="str">
        <f ca="1">IFERROR(__xludf.DUMMYFUNCTION("""COMPUTED_VALUE"""),"#VALUE!")</f>
        <v>#VALUE!</v>
      </c>
      <c r="BG897" t="str">
        <f ca="1">IFERROR(__xludf.DUMMYFUNCTION("""COMPUTED_VALUE"""),"#VALUE!")</f>
        <v>#VALUE!</v>
      </c>
      <c r="BI897" t="str">
        <f ca="1">IFERROR(__xludf.DUMMYFUNCTION("""COMPUTED_VALUE"""),"#VALUE!")</f>
        <v>#VALUE!</v>
      </c>
      <c r="BK897" t="str">
        <f ca="1">IFERROR(__xludf.DUMMYFUNCTION("""COMPUTED_VALUE"""),"#VALUE!")</f>
        <v>#VALUE!</v>
      </c>
      <c r="BM897" t="str">
        <f ca="1">IFERROR(__xludf.DUMMYFUNCTION("""COMPUTED_VALUE"""),"#VALUE!")</f>
        <v>#VALUE!</v>
      </c>
      <c r="CS897" t="str">
        <f ca="1">IFERROR(__xludf.DUMMYFUNCTION("""COMPUTED_VALUE"""),"#VALUE!")</f>
        <v>#VALUE!</v>
      </c>
      <c r="CU897" t="str">
        <f ca="1">IFERROR(__xludf.DUMMYFUNCTION("""COMPUTED_VALUE"""),"#VALUE!")</f>
        <v>#VALUE!</v>
      </c>
      <c r="CW897" t="str">
        <f ca="1">IFERROR(__xludf.DUMMYFUNCTION("""COMPUTED_VALUE"""),"#VALUE!")</f>
        <v>#VALUE!</v>
      </c>
      <c r="CY897" t="str">
        <f ca="1">IFERROR(__xludf.DUMMYFUNCTION("""COMPUTED_VALUE"""),"#VALUE!")</f>
        <v>#VALUE!</v>
      </c>
      <c r="DC897" t="str">
        <f ca="1">IFERROR(__xludf.DUMMYFUNCTION("""COMPUTED_VALUE"""),"#VALUE!")</f>
        <v>#VALUE!</v>
      </c>
      <c r="DE897" t="str">
        <f ca="1">IFERROR(__xludf.DUMMYFUNCTION("""COMPUTED_VALUE"""),"#VALUE!")</f>
        <v>#VALUE!</v>
      </c>
    </row>
    <row r="898" spans="1:109" ht="13.2" x14ac:dyDescent="0.25">
      <c r="A898" t="str">
        <f ca="1">IFERROR(__xludf.DUMMYFUNCTION("""COMPUTED_VALUE"""),"P0907")</f>
        <v>P0907</v>
      </c>
      <c r="BC898" t="str">
        <f ca="1">IFERROR(__xludf.DUMMYFUNCTION("""COMPUTED_VALUE"""),"#VALUE!")</f>
        <v>#VALUE!</v>
      </c>
      <c r="BE898" t="str">
        <f ca="1">IFERROR(__xludf.DUMMYFUNCTION("""COMPUTED_VALUE"""),"#VALUE!")</f>
        <v>#VALUE!</v>
      </c>
      <c r="BG898" t="str">
        <f ca="1">IFERROR(__xludf.DUMMYFUNCTION("""COMPUTED_VALUE"""),"#VALUE!")</f>
        <v>#VALUE!</v>
      </c>
      <c r="BI898" t="str">
        <f ca="1">IFERROR(__xludf.DUMMYFUNCTION("""COMPUTED_VALUE"""),"#VALUE!")</f>
        <v>#VALUE!</v>
      </c>
      <c r="BK898" t="str">
        <f ca="1">IFERROR(__xludf.DUMMYFUNCTION("""COMPUTED_VALUE"""),"#VALUE!")</f>
        <v>#VALUE!</v>
      </c>
      <c r="BM898" t="str">
        <f ca="1">IFERROR(__xludf.DUMMYFUNCTION("""COMPUTED_VALUE"""),"#VALUE!")</f>
        <v>#VALUE!</v>
      </c>
      <c r="CS898" t="str">
        <f ca="1">IFERROR(__xludf.DUMMYFUNCTION("""COMPUTED_VALUE"""),"#VALUE!")</f>
        <v>#VALUE!</v>
      </c>
      <c r="CU898" t="str">
        <f ca="1">IFERROR(__xludf.DUMMYFUNCTION("""COMPUTED_VALUE"""),"#VALUE!")</f>
        <v>#VALUE!</v>
      </c>
      <c r="CW898" t="str">
        <f ca="1">IFERROR(__xludf.DUMMYFUNCTION("""COMPUTED_VALUE"""),"#VALUE!")</f>
        <v>#VALUE!</v>
      </c>
      <c r="CY898" t="str">
        <f ca="1">IFERROR(__xludf.DUMMYFUNCTION("""COMPUTED_VALUE"""),"#VALUE!")</f>
        <v>#VALUE!</v>
      </c>
      <c r="DC898" t="str">
        <f ca="1">IFERROR(__xludf.DUMMYFUNCTION("""COMPUTED_VALUE"""),"#VALUE!")</f>
        <v>#VALUE!</v>
      </c>
      <c r="DE898" t="str">
        <f ca="1">IFERROR(__xludf.DUMMYFUNCTION("""COMPUTED_VALUE"""),"#VALUE!")</f>
        <v>#VALUE!</v>
      </c>
    </row>
    <row r="899" spans="1:109" ht="13.2" x14ac:dyDescent="0.25">
      <c r="A899" t="str">
        <f ca="1">IFERROR(__xludf.DUMMYFUNCTION("""COMPUTED_VALUE"""),"P0908")</f>
        <v>P0908</v>
      </c>
      <c r="BC899" t="str">
        <f ca="1">IFERROR(__xludf.DUMMYFUNCTION("""COMPUTED_VALUE"""),"#VALUE!")</f>
        <v>#VALUE!</v>
      </c>
      <c r="BE899" t="str">
        <f ca="1">IFERROR(__xludf.DUMMYFUNCTION("""COMPUTED_VALUE"""),"#VALUE!")</f>
        <v>#VALUE!</v>
      </c>
      <c r="BG899" t="str">
        <f ca="1">IFERROR(__xludf.DUMMYFUNCTION("""COMPUTED_VALUE"""),"#VALUE!")</f>
        <v>#VALUE!</v>
      </c>
      <c r="BI899" t="str">
        <f ca="1">IFERROR(__xludf.DUMMYFUNCTION("""COMPUTED_VALUE"""),"#VALUE!")</f>
        <v>#VALUE!</v>
      </c>
      <c r="BK899" t="str">
        <f ca="1">IFERROR(__xludf.DUMMYFUNCTION("""COMPUTED_VALUE"""),"#VALUE!")</f>
        <v>#VALUE!</v>
      </c>
      <c r="BM899" t="str">
        <f ca="1">IFERROR(__xludf.DUMMYFUNCTION("""COMPUTED_VALUE"""),"#VALUE!")</f>
        <v>#VALUE!</v>
      </c>
      <c r="CS899" t="str">
        <f ca="1">IFERROR(__xludf.DUMMYFUNCTION("""COMPUTED_VALUE"""),"#VALUE!")</f>
        <v>#VALUE!</v>
      </c>
      <c r="CU899" t="str">
        <f ca="1">IFERROR(__xludf.DUMMYFUNCTION("""COMPUTED_VALUE"""),"#VALUE!")</f>
        <v>#VALUE!</v>
      </c>
      <c r="CW899" t="str">
        <f ca="1">IFERROR(__xludf.DUMMYFUNCTION("""COMPUTED_VALUE"""),"#VALUE!")</f>
        <v>#VALUE!</v>
      </c>
      <c r="CY899" t="str">
        <f ca="1">IFERROR(__xludf.DUMMYFUNCTION("""COMPUTED_VALUE"""),"#VALUE!")</f>
        <v>#VALUE!</v>
      </c>
      <c r="DC899" t="str">
        <f ca="1">IFERROR(__xludf.DUMMYFUNCTION("""COMPUTED_VALUE"""),"#VALUE!")</f>
        <v>#VALUE!</v>
      </c>
      <c r="DE899" t="str">
        <f ca="1">IFERROR(__xludf.DUMMYFUNCTION("""COMPUTED_VALUE"""),"#VALUE!")</f>
        <v>#VALUE!</v>
      </c>
    </row>
    <row r="900" spans="1:109" ht="13.2" x14ac:dyDescent="0.25">
      <c r="A900" t="str">
        <f ca="1">IFERROR(__xludf.DUMMYFUNCTION("""COMPUTED_VALUE"""),"P0909")</f>
        <v>P0909</v>
      </c>
      <c r="BC900" t="str">
        <f ca="1">IFERROR(__xludf.DUMMYFUNCTION("""COMPUTED_VALUE"""),"#VALUE!")</f>
        <v>#VALUE!</v>
      </c>
      <c r="BE900" t="str">
        <f ca="1">IFERROR(__xludf.DUMMYFUNCTION("""COMPUTED_VALUE"""),"#VALUE!")</f>
        <v>#VALUE!</v>
      </c>
      <c r="BG900" t="str">
        <f ca="1">IFERROR(__xludf.DUMMYFUNCTION("""COMPUTED_VALUE"""),"#VALUE!")</f>
        <v>#VALUE!</v>
      </c>
      <c r="BI900" t="str">
        <f ca="1">IFERROR(__xludf.DUMMYFUNCTION("""COMPUTED_VALUE"""),"#VALUE!")</f>
        <v>#VALUE!</v>
      </c>
      <c r="BK900" t="str">
        <f ca="1">IFERROR(__xludf.DUMMYFUNCTION("""COMPUTED_VALUE"""),"#VALUE!")</f>
        <v>#VALUE!</v>
      </c>
      <c r="BM900" t="str">
        <f ca="1">IFERROR(__xludf.DUMMYFUNCTION("""COMPUTED_VALUE"""),"#VALUE!")</f>
        <v>#VALUE!</v>
      </c>
      <c r="CS900" t="str">
        <f ca="1">IFERROR(__xludf.DUMMYFUNCTION("""COMPUTED_VALUE"""),"#VALUE!")</f>
        <v>#VALUE!</v>
      </c>
      <c r="CU900" t="str">
        <f ca="1">IFERROR(__xludf.DUMMYFUNCTION("""COMPUTED_VALUE"""),"#VALUE!")</f>
        <v>#VALUE!</v>
      </c>
      <c r="CW900" t="str">
        <f ca="1">IFERROR(__xludf.DUMMYFUNCTION("""COMPUTED_VALUE"""),"#VALUE!")</f>
        <v>#VALUE!</v>
      </c>
      <c r="CY900" t="str">
        <f ca="1">IFERROR(__xludf.DUMMYFUNCTION("""COMPUTED_VALUE"""),"#VALUE!")</f>
        <v>#VALUE!</v>
      </c>
      <c r="DC900" t="str">
        <f ca="1">IFERROR(__xludf.DUMMYFUNCTION("""COMPUTED_VALUE"""),"#VALUE!")</f>
        <v>#VALUE!</v>
      </c>
      <c r="DE900" t="str">
        <f ca="1">IFERROR(__xludf.DUMMYFUNCTION("""COMPUTED_VALUE"""),"#VALUE!")</f>
        <v>#VALUE!</v>
      </c>
    </row>
    <row r="901" spans="1:109" ht="13.2" x14ac:dyDescent="0.25">
      <c r="A901" t="str">
        <f ca="1">IFERROR(__xludf.DUMMYFUNCTION("""COMPUTED_VALUE"""),"P0910")</f>
        <v>P0910</v>
      </c>
      <c r="BC901" t="str">
        <f ca="1">IFERROR(__xludf.DUMMYFUNCTION("""COMPUTED_VALUE"""),"#VALUE!")</f>
        <v>#VALUE!</v>
      </c>
      <c r="BE901" t="str">
        <f ca="1">IFERROR(__xludf.DUMMYFUNCTION("""COMPUTED_VALUE"""),"#VALUE!")</f>
        <v>#VALUE!</v>
      </c>
      <c r="BG901" t="str">
        <f ca="1">IFERROR(__xludf.DUMMYFUNCTION("""COMPUTED_VALUE"""),"#VALUE!")</f>
        <v>#VALUE!</v>
      </c>
      <c r="BI901" t="str">
        <f ca="1">IFERROR(__xludf.DUMMYFUNCTION("""COMPUTED_VALUE"""),"#VALUE!")</f>
        <v>#VALUE!</v>
      </c>
      <c r="BK901" t="str">
        <f ca="1">IFERROR(__xludf.DUMMYFUNCTION("""COMPUTED_VALUE"""),"#VALUE!")</f>
        <v>#VALUE!</v>
      </c>
      <c r="BM901" t="str">
        <f ca="1">IFERROR(__xludf.DUMMYFUNCTION("""COMPUTED_VALUE"""),"#VALUE!")</f>
        <v>#VALUE!</v>
      </c>
      <c r="CS901" t="str">
        <f ca="1">IFERROR(__xludf.DUMMYFUNCTION("""COMPUTED_VALUE"""),"#VALUE!")</f>
        <v>#VALUE!</v>
      </c>
      <c r="CU901" t="str">
        <f ca="1">IFERROR(__xludf.DUMMYFUNCTION("""COMPUTED_VALUE"""),"#VALUE!")</f>
        <v>#VALUE!</v>
      </c>
      <c r="CW901" t="str">
        <f ca="1">IFERROR(__xludf.DUMMYFUNCTION("""COMPUTED_VALUE"""),"#VALUE!")</f>
        <v>#VALUE!</v>
      </c>
      <c r="CY901" t="str">
        <f ca="1">IFERROR(__xludf.DUMMYFUNCTION("""COMPUTED_VALUE"""),"#VALUE!")</f>
        <v>#VALUE!</v>
      </c>
      <c r="DC901" t="str">
        <f ca="1">IFERROR(__xludf.DUMMYFUNCTION("""COMPUTED_VALUE"""),"#VALUE!")</f>
        <v>#VALUE!</v>
      </c>
      <c r="DE901" t="str">
        <f ca="1">IFERROR(__xludf.DUMMYFUNCTION("""COMPUTED_VALUE"""),"#VALUE!")</f>
        <v>#VALUE!</v>
      </c>
    </row>
    <row r="902" spans="1:109" ht="13.2" x14ac:dyDescent="0.25">
      <c r="A902" t="str">
        <f ca="1">IFERROR(__xludf.DUMMYFUNCTION("""COMPUTED_VALUE"""),"P0911")</f>
        <v>P0911</v>
      </c>
      <c r="BC902" t="str">
        <f ca="1">IFERROR(__xludf.DUMMYFUNCTION("""COMPUTED_VALUE"""),"#VALUE!")</f>
        <v>#VALUE!</v>
      </c>
      <c r="BE902" t="str">
        <f ca="1">IFERROR(__xludf.DUMMYFUNCTION("""COMPUTED_VALUE"""),"#VALUE!")</f>
        <v>#VALUE!</v>
      </c>
      <c r="BG902" t="str">
        <f ca="1">IFERROR(__xludf.DUMMYFUNCTION("""COMPUTED_VALUE"""),"#VALUE!")</f>
        <v>#VALUE!</v>
      </c>
      <c r="BI902" t="str">
        <f ca="1">IFERROR(__xludf.DUMMYFUNCTION("""COMPUTED_VALUE"""),"#VALUE!")</f>
        <v>#VALUE!</v>
      </c>
      <c r="BK902" t="str">
        <f ca="1">IFERROR(__xludf.DUMMYFUNCTION("""COMPUTED_VALUE"""),"#VALUE!")</f>
        <v>#VALUE!</v>
      </c>
      <c r="BM902" t="str">
        <f ca="1">IFERROR(__xludf.DUMMYFUNCTION("""COMPUTED_VALUE"""),"#VALUE!")</f>
        <v>#VALUE!</v>
      </c>
      <c r="CS902" t="str">
        <f ca="1">IFERROR(__xludf.DUMMYFUNCTION("""COMPUTED_VALUE"""),"#VALUE!")</f>
        <v>#VALUE!</v>
      </c>
      <c r="CU902" t="str">
        <f ca="1">IFERROR(__xludf.DUMMYFUNCTION("""COMPUTED_VALUE"""),"#VALUE!")</f>
        <v>#VALUE!</v>
      </c>
      <c r="CW902" t="str">
        <f ca="1">IFERROR(__xludf.DUMMYFUNCTION("""COMPUTED_VALUE"""),"#VALUE!")</f>
        <v>#VALUE!</v>
      </c>
      <c r="CY902" t="str">
        <f ca="1">IFERROR(__xludf.DUMMYFUNCTION("""COMPUTED_VALUE"""),"#VALUE!")</f>
        <v>#VALUE!</v>
      </c>
      <c r="DC902" t="str">
        <f ca="1">IFERROR(__xludf.DUMMYFUNCTION("""COMPUTED_VALUE"""),"#VALUE!")</f>
        <v>#VALUE!</v>
      </c>
      <c r="DE902" t="str">
        <f ca="1">IFERROR(__xludf.DUMMYFUNCTION("""COMPUTED_VALUE"""),"#VALUE!")</f>
        <v>#VALUE!</v>
      </c>
    </row>
    <row r="903" spans="1:109" ht="13.2" x14ac:dyDescent="0.25">
      <c r="A903" t="str">
        <f ca="1">IFERROR(__xludf.DUMMYFUNCTION("""COMPUTED_VALUE"""),"P0912")</f>
        <v>P0912</v>
      </c>
      <c r="BC903" t="str">
        <f ca="1">IFERROR(__xludf.DUMMYFUNCTION("""COMPUTED_VALUE"""),"#VALUE!")</f>
        <v>#VALUE!</v>
      </c>
      <c r="BE903" t="str">
        <f ca="1">IFERROR(__xludf.DUMMYFUNCTION("""COMPUTED_VALUE"""),"#VALUE!")</f>
        <v>#VALUE!</v>
      </c>
      <c r="BG903" t="str">
        <f ca="1">IFERROR(__xludf.DUMMYFUNCTION("""COMPUTED_VALUE"""),"#VALUE!")</f>
        <v>#VALUE!</v>
      </c>
      <c r="BI903" t="str">
        <f ca="1">IFERROR(__xludf.DUMMYFUNCTION("""COMPUTED_VALUE"""),"#VALUE!")</f>
        <v>#VALUE!</v>
      </c>
      <c r="BK903" t="str">
        <f ca="1">IFERROR(__xludf.DUMMYFUNCTION("""COMPUTED_VALUE"""),"#VALUE!")</f>
        <v>#VALUE!</v>
      </c>
      <c r="BM903" t="str">
        <f ca="1">IFERROR(__xludf.DUMMYFUNCTION("""COMPUTED_VALUE"""),"#VALUE!")</f>
        <v>#VALUE!</v>
      </c>
      <c r="CS903" t="str">
        <f ca="1">IFERROR(__xludf.DUMMYFUNCTION("""COMPUTED_VALUE"""),"#VALUE!")</f>
        <v>#VALUE!</v>
      </c>
      <c r="CU903" t="str">
        <f ca="1">IFERROR(__xludf.DUMMYFUNCTION("""COMPUTED_VALUE"""),"#VALUE!")</f>
        <v>#VALUE!</v>
      </c>
      <c r="CW903" t="str">
        <f ca="1">IFERROR(__xludf.DUMMYFUNCTION("""COMPUTED_VALUE"""),"#VALUE!")</f>
        <v>#VALUE!</v>
      </c>
      <c r="CY903" t="str">
        <f ca="1">IFERROR(__xludf.DUMMYFUNCTION("""COMPUTED_VALUE"""),"#VALUE!")</f>
        <v>#VALUE!</v>
      </c>
      <c r="DC903" t="str">
        <f ca="1">IFERROR(__xludf.DUMMYFUNCTION("""COMPUTED_VALUE"""),"#VALUE!")</f>
        <v>#VALUE!</v>
      </c>
      <c r="DE903" t="str">
        <f ca="1">IFERROR(__xludf.DUMMYFUNCTION("""COMPUTED_VALUE"""),"#VALUE!")</f>
        <v>#VALUE!</v>
      </c>
    </row>
    <row r="904" spans="1:109" ht="13.2" x14ac:dyDescent="0.25">
      <c r="A904" t="str">
        <f ca="1">IFERROR(__xludf.DUMMYFUNCTION("""COMPUTED_VALUE"""),"P0913")</f>
        <v>P0913</v>
      </c>
      <c r="BC904" t="str">
        <f ca="1">IFERROR(__xludf.DUMMYFUNCTION("""COMPUTED_VALUE"""),"#VALUE!")</f>
        <v>#VALUE!</v>
      </c>
      <c r="BE904" t="str">
        <f ca="1">IFERROR(__xludf.DUMMYFUNCTION("""COMPUTED_VALUE"""),"#VALUE!")</f>
        <v>#VALUE!</v>
      </c>
      <c r="BG904" t="str">
        <f ca="1">IFERROR(__xludf.DUMMYFUNCTION("""COMPUTED_VALUE"""),"#VALUE!")</f>
        <v>#VALUE!</v>
      </c>
      <c r="BI904" t="str">
        <f ca="1">IFERROR(__xludf.DUMMYFUNCTION("""COMPUTED_VALUE"""),"#VALUE!")</f>
        <v>#VALUE!</v>
      </c>
      <c r="BK904" t="str">
        <f ca="1">IFERROR(__xludf.DUMMYFUNCTION("""COMPUTED_VALUE"""),"#VALUE!")</f>
        <v>#VALUE!</v>
      </c>
      <c r="BM904" t="str">
        <f ca="1">IFERROR(__xludf.DUMMYFUNCTION("""COMPUTED_VALUE"""),"#VALUE!")</f>
        <v>#VALUE!</v>
      </c>
      <c r="CS904" t="str">
        <f ca="1">IFERROR(__xludf.DUMMYFUNCTION("""COMPUTED_VALUE"""),"#VALUE!")</f>
        <v>#VALUE!</v>
      </c>
      <c r="CU904" t="str">
        <f ca="1">IFERROR(__xludf.DUMMYFUNCTION("""COMPUTED_VALUE"""),"#VALUE!")</f>
        <v>#VALUE!</v>
      </c>
      <c r="CW904" t="str">
        <f ca="1">IFERROR(__xludf.DUMMYFUNCTION("""COMPUTED_VALUE"""),"#VALUE!")</f>
        <v>#VALUE!</v>
      </c>
      <c r="CY904" t="str">
        <f ca="1">IFERROR(__xludf.DUMMYFUNCTION("""COMPUTED_VALUE"""),"#VALUE!")</f>
        <v>#VALUE!</v>
      </c>
      <c r="DC904" t="str">
        <f ca="1">IFERROR(__xludf.DUMMYFUNCTION("""COMPUTED_VALUE"""),"#VALUE!")</f>
        <v>#VALUE!</v>
      </c>
      <c r="DE904" t="str">
        <f ca="1">IFERROR(__xludf.DUMMYFUNCTION("""COMPUTED_VALUE"""),"#VALUE!")</f>
        <v>#VALUE!</v>
      </c>
    </row>
    <row r="905" spans="1:109" ht="13.2" x14ac:dyDescent="0.25">
      <c r="A905" t="str">
        <f ca="1">IFERROR(__xludf.DUMMYFUNCTION("""COMPUTED_VALUE"""),"P0914")</f>
        <v>P0914</v>
      </c>
      <c r="BC905" t="str">
        <f ca="1">IFERROR(__xludf.DUMMYFUNCTION("""COMPUTED_VALUE"""),"#VALUE!")</f>
        <v>#VALUE!</v>
      </c>
      <c r="BE905" t="str">
        <f ca="1">IFERROR(__xludf.DUMMYFUNCTION("""COMPUTED_VALUE"""),"#VALUE!")</f>
        <v>#VALUE!</v>
      </c>
      <c r="BG905" t="str">
        <f ca="1">IFERROR(__xludf.DUMMYFUNCTION("""COMPUTED_VALUE"""),"#VALUE!")</f>
        <v>#VALUE!</v>
      </c>
      <c r="BI905" t="str">
        <f ca="1">IFERROR(__xludf.DUMMYFUNCTION("""COMPUTED_VALUE"""),"#VALUE!")</f>
        <v>#VALUE!</v>
      </c>
      <c r="BK905" t="str">
        <f ca="1">IFERROR(__xludf.DUMMYFUNCTION("""COMPUTED_VALUE"""),"#VALUE!")</f>
        <v>#VALUE!</v>
      </c>
      <c r="BM905" t="str">
        <f ca="1">IFERROR(__xludf.DUMMYFUNCTION("""COMPUTED_VALUE"""),"#VALUE!")</f>
        <v>#VALUE!</v>
      </c>
      <c r="CS905" t="str">
        <f ca="1">IFERROR(__xludf.DUMMYFUNCTION("""COMPUTED_VALUE"""),"#VALUE!")</f>
        <v>#VALUE!</v>
      </c>
      <c r="CU905" t="str">
        <f ca="1">IFERROR(__xludf.DUMMYFUNCTION("""COMPUTED_VALUE"""),"#VALUE!")</f>
        <v>#VALUE!</v>
      </c>
      <c r="CW905" t="str">
        <f ca="1">IFERROR(__xludf.DUMMYFUNCTION("""COMPUTED_VALUE"""),"#VALUE!")</f>
        <v>#VALUE!</v>
      </c>
      <c r="CY905" t="str">
        <f ca="1">IFERROR(__xludf.DUMMYFUNCTION("""COMPUTED_VALUE"""),"#VALUE!")</f>
        <v>#VALUE!</v>
      </c>
      <c r="DC905" t="str">
        <f ca="1">IFERROR(__xludf.DUMMYFUNCTION("""COMPUTED_VALUE"""),"#VALUE!")</f>
        <v>#VALUE!</v>
      </c>
      <c r="DE905" t="str">
        <f ca="1">IFERROR(__xludf.DUMMYFUNCTION("""COMPUTED_VALUE"""),"#VALUE!")</f>
        <v>#VALUE!</v>
      </c>
    </row>
    <row r="906" spans="1:109" ht="13.2" x14ac:dyDescent="0.25">
      <c r="A906" t="str">
        <f ca="1">IFERROR(__xludf.DUMMYFUNCTION("""COMPUTED_VALUE"""),"P0915")</f>
        <v>P0915</v>
      </c>
      <c r="BC906" t="str">
        <f ca="1">IFERROR(__xludf.DUMMYFUNCTION("""COMPUTED_VALUE"""),"#VALUE!")</f>
        <v>#VALUE!</v>
      </c>
      <c r="BE906" t="str">
        <f ca="1">IFERROR(__xludf.DUMMYFUNCTION("""COMPUTED_VALUE"""),"#VALUE!")</f>
        <v>#VALUE!</v>
      </c>
      <c r="BG906" t="str">
        <f ca="1">IFERROR(__xludf.DUMMYFUNCTION("""COMPUTED_VALUE"""),"#VALUE!")</f>
        <v>#VALUE!</v>
      </c>
      <c r="BI906" t="str">
        <f ca="1">IFERROR(__xludf.DUMMYFUNCTION("""COMPUTED_VALUE"""),"#VALUE!")</f>
        <v>#VALUE!</v>
      </c>
      <c r="BK906" t="str">
        <f ca="1">IFERROR(__xludf.DUMMYFUNCTION("""COMPUTED_VALUE"""),"#VALUE!")</f>
        <v>#VALUE!</v>
      </c>
      <c r="BM906" t="str">
        <f ca="1">IFERROR(__xludf.DUMMYFUNCTION("""COMPUTED_VALUE"""),"#VALUE!")</f>
        <v>#VALUE!</v>
      </c>
      <c r="CS906" t="str">
        <f ca="1">IFERROR(__xludf.DUMMYFUNCTION("""COMPUTED_VALUE"""),"#VALUE!")</f>
        <v>#VALUE!</v>
      </c>
      <c r="CU906" t="str">
        <f ca="1">IFERROR(__xludf.DUMMYFUNCTION("""COMPUTED_VALUE"""),"#VALUE!")</f>
        <v>#VALUE!</v>
      </c>
      <c r="CW906" t="str">
        <f ca="1">IFERROR(__xludf.DUMMYFUNCTION("""COMPUTED_VALUE"""),"#VALUE!")</f>
        <v>#VALUE!</v>
      </c>
      <c r="CY906" t="str">
        <f ca="1">IFERROR(__xludf.DUMMYFUNCTION("""COMPUTED_VALUE"""),"#VALUE!")</f>
        <v>#VALUE!</v>
      </c>
      <c r="DC906" t="str">
        <f ca="1">IFERROR(__xludf.DUMMYFUNCTION("""COMPUTED_VALUE"""),"#VALUE!")</f>
        <v>#VALUE!</v>
      </c>
      <c r="DE906" t="str">
        <f ca="1">IFERROR(__xludf.DUMMYFUNCTION("""COMPUTED_VALUE"""),"#VALUE!")</f>
        <v>#VALUE!</v>
      </c>
    </row>
    <row r="907" spans="1:109" ht="13.2" x14ac:dyDescent="0.25">
      <c r="A907" t="str">
        <f ca="1">IFERROR(__xludf.DUMMYFUNCTION("""COMPUTED_VALUE"""),"P0916")</f>
        <v>P0916</v>
      </c>
      <c r="BC907" t="str">
        <f ca="1">IFERROR(__xludf.DUMMYFUNCTION("""COMPUTED_VALUE"""),"#VALUE!")</f>
        <v>#VALUE!</v>
      </c>
      <c r="BE907" t="str">
        <f ca="1">IFERROR(__xludf.DUMMYFUNCTION("""COMPUTED_VALUE"""),"#VALUE!")</f>
        <v>#VALUE!</v>
      </c>
      <c r="BG907" t="str">
        <f ca="1">IFERROR(__xludf.DUMMYFUNCTION("""COMPUTED_VALUE"""),"#VALUE!")</f>
        <v>#VALUE!</v>
      </c>
      <c r="BI907" t="str">
        <f ca="1">IFERROR(__xludf.DUMMYFUNCTION("""COMPUTED_VALUE"""),"#VALUE!")</f>
        <v>#VALUE!</v>
      </c>
      <c r="BK907" t="str">
        <f ca="1">IFERROR(__xludf.DUMMYFUNCTION("""COMPUTED_VALUE"""),"#VALUE!")</f>
        <v>#VALUE!</v>
      </c>
      <c r="BM907" t="str">
        <f ca="1">IFERROR(__xludf.DUMMYFUNCTION("""COMPUTED_VALUE"""),"#VALUE!")</f>
        <v>#VALUE!</v>
      </c>
      <c r="CS907" t="str">
        <f ca="1">IFERROR(__xludf.DUMMYFUNCTION("""COMPUTED_VALUE"""),"#VALUE!")</f>
        <v>#VALUE!</v>
      </c>
      <c r="CU907" t="str">
        <f ca="1">IFERROR(__xludf.DUMMYFUNCTION("""COMPUTED_VALUE"""),"#VALUE!")</f>
        <v>#VALUE!</v>
      </c>
      <c r="CW907" t="str">
        <f ca="1">IFERROR(__xludf.DUMMYFUNCTION("""COMPUTED_VALUE"""),"#VALUE!")</f>
        <v>#VALUE!</v>
      </c>
      <c r="CY907" t="str">
        <f ca="1">IFERROR(__xludf.DUMMYFUNCTION("""COMPUTED_VALUE"""),"#VALUE!")</f>
        <v>#VALUE!</v>
      </c>
      <c r="DC907" t="str">
        <f ca="1">IFERROR(__xludf.DUMMYFUNCTION("""COMPUTED_VALUE"""),"#VALUE!")</f>
        <v>#VALUE!</v>
      </c>
      <c r="DE907" t="str">
        <f ca="1">IFERROR(__xludf.DUMMYFUNCTION("""COMPUTED_VALUE"""),"#VALUE!")</f>
        <v>#VALUE!</v>
      </c>
    </row>
    <row r="908" spans="1:109" ht="13.2" x14ac:dyDescent="0.25">
      <c r="A908" t="str">
        <f ca="1">IFERROR(__xludf.DUMMYFUNCTION("""COMPUTED_VALUE"""),"P0917")</f>
        <v>P0917</v>
      </c>
      <c r="BC908" t="str">
        <f ca="1">IFERROR(__xludf.DUMMYFUNCTION("""COMPUTED_VALUE"""),"#VALUE!")</f>
        <v>#VALUE!</v>
      </c>
      <c r="BE908" t="str">
        <f ca="1">IFERROR(__xludf.DUMMYFUNCTION("""COMPUTED_VALUE"""),"#VALUE!")</f>
        <v>#VALUE!</v>
      </c>
      <c r="BG908" t="str">
        <f ca="1">IFERROR(__xludf.DUMMYFUNCTION("""COMPUTED_VALUE"""),"#VALUE!")</f>
        <v>#VALUE!</v>
      </c>
      <c r="BI908" t="str">
        <f ca="1">IFERROR(__xludf.DUMMYFUNCTION("""COMPUTED_VALUE"""),"#VALUE!")</f>
        <v>#VALUE!</v>
      </c>
      <c r="BK908" t="str">
        <f ca="1">IFERROR(__xludf.DUMMYFUNCTION("""COMPUTED_VALUE"""),"#VALUE!")</f>
        <v>#VALUE!</v>
      </c>
      <c r="BM908" t="str">
        <f ca="1">IFERROR(__xludf.DUMMYFUNCTION("""COMPUTED_VALUE"""),"#VALUE!")</f>
        <v>#VALUE!</v>
      </c>
      <c r="CS908" t="str">
        <f ca="1">IFERROR(__xludf.DUMMYFUNCTION("""COMPUTED_VALUE"""),"#VALUE!")</f>
        <v>#VALUE!</v>
      </c>
      <c r="CU908" t="str">
        <f ca="1">IFERROR(__xludf.DUMMYFUNCTION("""COMPUTED_VALUE"""),"#VALUE!")</f>
        <v>#VALUE!</v>
      </c>
      <c r="CW908" t="str">
        <f ca="1">IFERROR(__xludf.DUMMYFUNCTION("""COMPUTED_VALUE"""),"#VALUE!")</f>
        <v>#VALUE!</v>
      </c>
      <c r="CY908" t="str">
        <f ca="1">IFERROR(__xludf.DUMMYFUNCTION("""COMPUTED_VALUE"""),"#VALUE!")</f>
        <v>#VALUE!</v>
      </c>
      <c r="DC908" t="str">
        <f ca="1">IFERROR(__xludf.DUMMYFUNCTION("""COMPUTED_VALUE"""),"#VALUE!")</f>
        <v>#VALUE!</v>
      </c>
      <c r="DE908" t="str">
        <f ca="1">IFERROR(__xludf.DUMMYFUNCTION("""COMPUTED_VALUE"""),"#VALUE!")</f>
        <v>#VALUE!</v>
      </c>
    </row>
    <row r="909" spans="1:109" ht="13.2" x14ac:dyDescent="0.25">
      <c r="A909" t="str">
        <f ca="1">IFERROR(__xludf.DUMMYFUNCTION("""COMPUTED_VALUE"""),"P0918")</f>
        <v>P0918</v>
      </c>
      <c r="BC909" t="str">
        <f ca="1">IFERROR(__xludf.DUMMYFUNCTION("""COMPUTED_VALUE"""),"#VALUE!")</f>
        <v>#VALUE!</v>
      </c>
      <c r="BE909" t="str">
        <f ca="1">IFERROR(__xludf.DUMMYFUNCTION("""COMPUTED_VALUE"""),"#VALUE!")</f>
        <v>#VALUE!</v>
      </c>
      <c r="BG909" t="str">
        <f ca="1">IFERROR(__xludf.DUMMYFUNCTION("""COMPUTED_VALUE"""),"#VALUE!")</f>
        <v>#VALUE!</v>
      </c>
      <c r="BI909" t="str">
        <f ca="1">IFERROR(__xludf.DUMMYFUNCTION("""COMPUTED_VALUE"""),"#VALUE!")</f>
        <v>#VALUE!</v>
      </c>
      <c r="BK909" t="str">
        <f ca="1">IFERROR(__xludf.DUMMYFUNCTION("""COMPUTED_VALUE"""),"#VALUE!")</f>
        <v>#VALUE!</v>
      </c>
      <c r="BM909" t="str">
        <f ca="1">IFERROR(__xludf.DUMMYFUNCTION("""COMPUTED_VALUE"""),"#VALUE!")</f>
        <v>#VALUE!</v>
      </c>
      <c r="CS909" t="str">
        <f ca="1">IFERROR(__xludf.DUMMYFUNCTION("""COMPUTED_VALUE"""),"#VALUE!")</f>
        <v>#VALUE!</v>
      </c>
      <c r="CU909" t="str">
        <f ca="1">IFERROR(__xludf.DUMMYFUNCTION("""COMPUTED_VALUE"""),"#VALUE!")</f>
        <v>#VALUE!</v>
      </c>
      <c r="CW909" t="str">
        <f ca="1">IFERROR(__xludf.DUMMYFUNCTION("""COMPUTED_VALUE"""),"#VALUE!")</f>
        <v>#VALUE!</v>
      </c>
      <c r="CY909" t="str">
        <f ca="1">IFERROR(__xludf.DUMMYFUNCTION("""COMPUTED_VALUE"""),"#VALUE!")</f>
        <v>#VALUE!</v>
      </c>
      <c r="DC909" t="str">
        <f ca="1">IFERROR(__xludf.DUMMYFUNCTION("""COMPUTED_VALUE"""),"#VALUE!")</f>
        <v>#VALUE!</v>
      </c>
      <c r="DE909" t="str">
        <f ca="1">IFERROR(__xludf.DUMMYFUNCTION("""COMPUTED_VALUE"""),"#VALUE!")</f>
        <v>#VALUE!</v>
      </c>
    </row>
    <row r="910" spans="1:109" ht="13.2" x14ac:dyDescent="0.25">
      <c r="A910" t="str">
        <f ca="1">IFERROR(__xludf.DUMMYFUNCTION("""COMPUTED_VALUE"""),"P0919")</f>
        <v>P0919</v>
      </c>
      <c r="BC910" t="str">
        <f ca="1">IFERROR(__xludf.DUMMYFUNCTION("""COMPUTED_VALUE"""),"#VALUE!")</f>
        <v>#VALUE!</v>
      </c>
      <c r="BE910" t="str">
        <f ca="1">IFERROR(__xludf.DUMMYFUNCTION("""COMPUTED_VALUE"""),"#VALUE!")</f>
        <v>#VALUE!</v>
      </c>
      <c r="BG910" t="str">
        <f ca="1">IFERROR(__xludf.DUMMYFUNCTION("""COMPUTED_VALUE"""),"#VALUE!")</f>
        <v>#VALUE!</v>
      </c>
      <c r="BI910" t="str">
        <f ca="1">IFERROR(__xludf.DUMMYFUNCTION("""COMPUTED_VALUE"""),"#VALUE!")</f>
        <v>#VALUE!</v>
      </c>
      <c r="BK910" t="str">
        <f ca="1">IFERROR(__xludf.DUMMYFUNCTION("""COMPUTED_VALUE"""),"#VALUE!")</f>
        <v>#VALUE!</v>
      </c>
      <c r="BM910" t="str">
        <f ca="1">IFERROR(__xludf.DUMMYFUNCTION("""COMPUTED_VALUE"""),"#VALUE!")</f>
        <v>#VALUE!</v>
      </c>
      <c r="CS910" t="str">
        <f ca="1">IFERROR(__xludf.DUMMYFUNCTION("""COMPUTED_VALUE"""),"#VALUE!")</f>
        <v>#VALUE!</v>
      </c>
      <c r="CU910" t="str">
        <f ca="1">IFERROR(__xludf.DUMMYFUNCTION("""COMPUTED_VALUE"""),"#VALUE!")</f>
        <v>#VALUE!</v>
      </c>
      <c r="CW910" t="str">
        <f ca="1">IFERROR(__xludf.DUMMYFUNCTION("""COMPUTED_VALUE"""),"#VALUE!")</f>
        <v>#VALUE!</v>
      </c>
      <c r="CY910" t="str">
        <f ca="1">IFERROR(__xludf.DUMMYFUNCTION("""COMPUTED_VALUE"""),"#VALUE!")</f>
        <v>#VALUE!</v>
      </c>
      <c r="DC910" t="str">
        <f ca="1">IFERROR(__xludf.DUMMYFUNCTION("""COMPUTED_VALUE"""),"#VALUE!")</f>
        <v>#VALUE!</v>
      </c>
      <c r="DE910" t="str">
        <f ca="1">IFERROR(__xludf.DUMMYFUNCTION("""COMPUTED_VALUE"""),"#VALUE!")</f>
        <v>#VALUE!</v>
      </c>
    </row>
    <row r="911" spans="1:109" ht="13.2" x14ac:dyDescent="0.25">
      <c r="A911" t="str">
        <f ca="1">IFERROR(__xludf.DUMMYFUNCTION("""COMPUTED_VALUE"""),"P0920")</f>
        <v>P0920</v>
      </c>
      <c r="BC911" t="str">
        <f ca="1">IFERROR(__xludf.DUMMYFUNCTION("""COMPUTED_VALUE"""),"#VALUE!")</f>
        <v>#VALUE!</v>
      </c>
      <c r="BE911" t="str">
        <f ca="1">IFERROR(__xludf.DUMMYFUNCTION("""COMPUTED_VALUE"""),"#VALUE!")</f>
        <v>#VALUE!</v>
      </c>
      <c r="BG911" t="str">
        <f ca="1">IFERROR(__xludf.DUMMYFUNCTION("""COMPUTED_VALUE"""),"#VALUE!")</f>
        <v>#VALUE!</v>
      </c>
      <c r="BI911" t="str">
        <f ca="1">IFERROR(__xludf.DUMMYFUNCTION("""COMPUTED_VALUE"""),"#VALUE!")</f>
        <v>#VALUE!</v>
      </c>
      <c r="BK911" t="str">
        <f ca="1">IFERROR(__xludf.DUMMYFUNCTION("""COMPUTED_VALUE"""),"#VALUE!")</f>
        <v>#VALUE!</v>
      </c>
      <c r="BM911" t="str">
        <f ca="1">IFERROR(__xludf.DUMMYFUNCTION("""COMPUTED_VALUE"""),"#VALUE!")</f>
        <v>#VALUE!</v>
      </c>
      <c r="CS911" t="str">
        <f ca="1">IFERROR(__xludf.DUMMYFUNCTION("""COMPUTED_VALUE"""),"#VALUE!")</f>
        <v>#VALUE!</v>
      </c>
      <c r="CU911" t="str">
        <f ca="1">IFERROR(__xludf.DUMMYFUNCTION("""COMPUTED_VALUE"""),"#VALUE!")</f>
        <v>#VALUE!</v>
      </c>
      <c r="CW911" t="str">
        <f ca="1">IFERROR(__xludf.DUMMYFUNCTION("""COMPUTED_VALUE"""),"#VALUE!")</f>
        <v>#VALUE!</v>
      </c>
      <c r="CY911" t="str">
        <f ca="1">IFERROR(__xludf.DUMMYFUNCTION("""COMPUTED_VALUE"""),"#VALUE!")</f>
        <v>#VALUE!</v>
      </c>
      <c r="DC911" t="str">
        <f ca="1">IFERROR(__xludf.DUMMYFUNCTION("""COMPUTED_VALUE"""),"#VALUE!")</f>
        <v>#VALUE!</v>
      </c>
      <c r="DE911" t="str">
        <f ca="1">IFERROR(__xludf.DUMMYFUNCTION("""COMPUTED_VALUE"""),"#VALUE!")</f>
        <v>#VALUE!</v>
      </c>
    </row>
    <row r="912" spans="1:109" ht="13.2" x14ac:dyDescent="0.25">
      <c r="A912" t="str">
        <f ca="1">IFERROR(__xludf.DUMMYFUNCTION("""COMPUTED_VALUE"""),"P0921")</f>
        <v>P0921</v>
      </c>
      <c r="BC912" t="str">
        <f ca="1">IFERROR(__xludf.DUMMYFUNCTION("""COMPUTED_VALUE"""),"#VALUE!")</f>
        <v>#VALUE!</v>
      </c>
      <c r="BE912" t="str">
        <f ca="1">IFERROR(__xludf.DUMMYFUNCTION("""COMPUTED_VALUE"""),"#VALUE!")</f>
        <v>#VALUE!</v>
      </c>
      <c r="BG912" t="str">
        <f ca="1">IFERROR(__xludf.DUMMYFUNCTION("""COMPUTED_VALUE"""),"#VALUE!")</f>
        <v>#VALUE!</v>
      </c>
      <c r="BI912" t="str">
        <f ca="1">IFERROR(__xludf.DUMMYFUNCTION("""COMPUTED_VALUE"""),"#VALUE!")</f>
        <v>#VALUE!</v>
      </c>
      <c r="BK912" t="str">
        <f ca="1">IFERROR(__xludf.DUMMYFUNCTION("""COMPUTED_VALUE"""),"#VALUE!")</f>
        <v>#VALUE!</v>
      </c>
      <c r="BM912" t="str">
        <f ca="1">IFERROR(__xludf.DUMMYFUNCTION("""COMPUTED_VALUE"""),"#VALUE!")</f>
        <v>#VALUE!</v>
      </c>
      <c r="CS912" t="str">
        <f ca="1">IFERROR(__xludf.DUMMYFUNCTION("""COMPUTED_VALUE"""),"#VALUE!")</f>
        <v>#VALUE!</v>
      </c>
      <c r="CU912" t="str">
        <f ca="1">IFERROR(__xludf.DUMMYFUNCTION("""COMPUTED_VALUE"""),"#VALUE!")</f>
        <v>#VALUE!</v>
      </c>
      <c r="CW912" t="str">
        <f ca="1">IFERROR(__xludf.DUMMYFUNCTION("""COMPUTED_VALUE"""),"#VALUE!")</f>
        <v>#VALUE!</v>
      </c>
      <c r="CY912" t="str">
        <f ca="1">IFERROR(__xludf.DUMMYFUNCTION("""COMPUTED_VALUE"""),"#VALUE!")</f>
        <v>#VALUE!</v>
      </c>
      <c r="DC912" t="str">
        <f ca="1">IFERROR(__xludf.DUMMYFUNCTION("""COMPUTED_VALUE"""),"#VALUE!")</f>
        <v>#VALUE!</v>
      </c>
      <c r="DE912" t="str">
        <f ca="1">IFERROR(__xludf.DUMMYFUNCTION("""COMPUTED_VALUE"""),"#VALUE!")</f>
        <v>#VALUE!</v>
      </c>
    </row>
    <row r="913" spans="1:109" ht="13.2" x14ac:dyDescent="0.25">
      <c r="A913" t="str">
        <f ca="1">IFERROR(__xludf.DUMMYFUNCTION("""COMPUTED_VALUE"""),"P0922")</f>
        <v>P0922</v>
      </c>
      <c r="BC913" t="str">
        <f ca="1">IFERROR(__xludf.DUMMYFUNCTION("""COMPUTED_VALUE"""),"#VALUE!")</f>
        <v>#VALUE!</v>
      </c>
      <c r="BE913" t="str">
        <f ca="1">IFERROR(__xludf.DUMMYFUNCTION("""COMPUTED_VALUE"""),"#VALUE!")</f>
        <v>#VALUE!</v>
      </c>
      <c r="BG913" t="str">
        <f ca="1">IFERROR(__xludf.DUMMYFUNCTION("""COMPUTED_VALUE"""),"#VALUE!")</f>
        <v>#VALUE!</v>
      </c>
      <c r="BI913" t="str">
        <f ca="1">IFERROR(__xludf.DUMMYFUNCTION("""COMPUTED_VALUE"""),"#VALUE!")</f>
        <v>#VALUE!</v>
      </c>
      <c r="BK913" t="str">
        <f ca="1">IFERROR(__xludf.DUMMYFUNCTION("""COMPUTED_VALUE"""),"#VALUE!")</f>
        <v>#VALUE!</v>
      </c>
      <c r="BM913" t="str">
        <f ca="1">IFERROR(__xludf.DUMMYFUNCTION("""COMPUTED_VALUE"""),"#VALUE!")</f>
        <v>#VALUE!</v>
      </c>
      <c r="CS913" t="str">
        <f ca="1">IFERROR(__xludf.DUMMYFUNCTION("""COMPUTED_VALUE"""),"#VALUE!")</f>
        <v>#VALUE!</v>
      </c>
      <c r="CU913" t="str">
        <f ca="1">IFERROR(__xludf.DUMMYFUNCTION("""COMPUTED_VALUE"""),"#VALUE!")</f>
        <v>#VALUE!</v>
      </c>
      <c r="CW913" t="str">
        <f ca="1">IFERROR(__xludf.DUMMYFUNCTION("""COMPUTED_VALUE"""),"#VALUE!")</f>
        <v>#VALUE!</v>
      </c>
      <c r="CY913" t="str">
        <f ca="1">IFERROR(__xludf.DUMMYFUNCTION("""COMPUTED_VALUE"""),"#VALUE!")</f>
        <v>#VALUE!</v>
      </c>
      <c r="DC913" t="str">
        <f ca="1">IFERROR(__xludf.DUMMYFUNCTION("""COMPUTED_VALUE"""),"#VALUE!")</f>
        <v>#VALUE!</v>
      </c>
      <c r="DE913" t="str">
        <f ca="1">IFERROR(__xludf.DUMMYFUNCTION("""COMPUTED_VALUE"""),"#VALUE!")</f>
        <v>#VALUE!</v>
      </c>
    </row>
    <row r="914" spans="1:109" ht="13.2" x14ac:dyDescent="0.25">
      <c r="A914" t="str">
        <f ca="1">IFERROR(__xludf.DUMMYFUNCTION("""COMPUTED_VALUE"""),"P0923")</f>
        <v>P0923</v>
      </c>
      <c r="BC914" t="str">
        <f ca="1">IFERROR(__xludf.DUMMYFUNCTION("""COMPUTED_VALUE"""),"#VALUE!")</f>
        <v>#VALUE!</v>
      </c>
      <c r="BE914" t="str">
        <f ca="1">IFERROR(__xludf.DUMMYFUNCTION("""COMPUTED_VALUE"""),"#VALUE!")</f>
        <v>#VALUE!</v>
      </c>
      <c r="BG914" t="str">
        <f ca="1">IFERROR(__xludf.DUMMYFUNCTION("""COMPUTED_VALUE"""),"#VALUE!")</f>
        <v>#VALUE!</v>
      </c>
      <c r="BI914" t="str">
        <f ca="1">IFERROR(__xludf.DUMMYFUNCTION("""COMPUTED_VALUE"""),"#VALUE!")</f>
        <v>#VALUE!</v>
      </c>
      <c r="BK914" t="str">
        <f ca="1">IFERROR(__xludf.DUMMYFUNCTION("""COMPUTED_VALUE"""),"#VALUE!")</f>
        <v>#VALUE!</v>
      </c>
      <c r="BM914" t="str">
        <f ca="1">IFERROR(__xludf.DUMMYFUNCTION("""COMPUTED_VALUE"""),"#VALUE!")</f>
        <v>#VALUE!</v>
      </c>
      <c r="CS914" t="str">
        <f ca="1">IFERROR(__xludf.DUMMYFUNCTION("""COMPUTED_VALUE"""),"#VALUE!")</f>
        <v>#VALUE!</v>
      </c>
      <c r="CU914" t="str">
        <f ca="1">IFERROR(__xludf.DUMMYFUNCTION("""COMPUTED_VALUE"""),"#VALUE!")</f>
        <v>#VALUE!</v>
      </c>
      <c r="CW914" t="str">
        <f ca="1">IFERROR(__xludf.DUMMYFUNCTION("""COMPUTED_VALUE"""),"#VALUE!")</f>
        <v>#VALUE!</v>
      </c>
      <c r="CY914" t="str">
        <f ca="1">IFERROR(__xludf.DUMMYFUNCTION("""COMPUTED_VALUE"""),"#VALUE!")</f>
        <v>#VALUE!</v>
      </c>
      <c r="DC914" t="str">
        <f ca="1">IFERROR(__xludf.DUMMYFUNCTION("""COMPUTED_VALUE"""),"#VALUE!")</f>
        <v>#VALUE!</v>
      </c>
      <c r="DE914" t="str">
        <f ca="1">IFERROR(__xludf.DUMMYFUNCTION("""COMPUTED_VALUE"""),"#VALUE!")</f>
        <v>#VALUE!</v>
      </c>
    </row>
    <row r="915" spans="1:109" ht="13.2" x14ac:dyDescent="0.25">
      <c r="A915" t="str">
        <f ca="1">IFERROR(__xludf.DUMMYFUNCTION("""COMPUTED_VALUE"""),"P0924")</f>
        <v>P0924</v>
      </c>
      <c r="BC915" t="str">
        <f ca="1">IFERROR(__xludf.DUMMYFUNCTION("""COMPUTED_VALUE"""),"#VALUE!")</f>
        <v>#VALUE!</v>
      </c>
      <c r="BE915" t="str">
        <f ca="1">IFERROR(__xludf.DUMMYFUNCTION("""COMPUTED_VALUE"""),"#VALUE!")</f>
        <v>#VALUE!</v>
      </c>
      <c r="BG915" t="str">
        <f ca="1">IFERROR(__xludf.DUMMYFUNCTION("""COMPUTED_VALUE"""),"#VALUE!")</f>
        <v>#VALUE!</v>
      </c>
      <c r="BI915" t="str">
        <f ca="1">IFERROR(__xludf.DUMMYFUNCTION("""COMPUTED_VALUE"""),"#VALUE!")</f>
        <v>#VALUE!</v>
      </c>
      <c r="BK915" t="str">
        <f ca="1">IFERROR(__xludf.DUMMYFUNCTION("""COMPUTED_VALUE"""),"#VALUE!")</f>
        <v>#VALUE!</v>
      </c>
      <c r="BM915" t="str">
        <f ca="1">IFERROR(__xludf.DUMMYFUNCTION("""COMPUTED_VALUE"""),"#VALUE!")</f>
        <v>#VALUE!</v>
      </c>
      <c r="CS915" t="str">
        <f ca="1">IFERROR(__xludf.DUMMYFUNCTION("""COMPUTED_VALUE"""),"#VALUE!")</f>
        <v>#VALUE!</v>
      </c>
      <c r="CU915" t="str">
        <f ca="1">IFERROR(__xludf.DUMMYFUNCTION("""COMPUTED_VALUE"""),"#VALUE!")</f>
        <v>#VALUE!</v>
      </c>
      <c r="CW915" t="str">
        <f ca="1">IFERROR(__xludf.DUMMYFUNCTION("""COMPUTED_VALUE"""),"#VALUE!")</f>
        <v>#VALUE!</v>
      </c>
      <c r="CY915" t="str">
        <f ca="1">IFERROR(__xludf.DUMMYFUNCTION("""COMPUTED_VALUE"""),"#VALUE!")</f>
        <v>#VALUE!</v>
      </c>
      <c r="DC915" t="str">
        <f ca="1">IFERROR(__xludf.DUMMYFUNCTION("""COMPUTED_VALUE"""),"#VALUE!")</f>
        <v>#VALUE!</v>
      </c>
      <c r="DE915" t="str">
        <f ca="1">IFERROR(__xludf.DUMMYFUNCTION("""COMPUTED_VALUE"""),"#VALUE!")</f>
        <v>#VALUE!</v>
      </c>
    </row>
    <row r="916" spans="1:109" ht="13.2" x14ac:dyDescent="0.25">
      <c r="A916" t="str">
        <f ca="1">IFERROR(__xludf.DUMMYFUNCTION("""COMPUTED_VALUE"""),"P0925")</f>
        <v>P0925</v>
      </c>
      <c r="BC916" t="str">
        <f ca="1">IFERROR(__xludf.DUMMYFUNCTION("""COMPUTED_VALUE"""),"#VALUE!")</f>
        <v>#VALUE!</v>
      </c>
      <c r="BE916" t="str">
        <f ca="1">IFERROR(__xludf.DUMMYFUNCTION("""COMPUTED_VALUE"""),"#VALUE!")</f>
        <v>#VALUE!</v>
      </c>
      <c r="BG916" t="str">
        <f ca="1">IFERROR(__xludf.DUMMYFUNCTION("""COMPUTED_VALUE"""),"#VALUE!")</f>
        <v>#VALUE!</v>
      </c>
      <c r="BI916" t="str">
        <f ca="1">IFERROR(__xludf.DUMMYFUNCTION("""COMPUTED_VALUE"""),"#VALUE!")</f>
        <v>#VALUE!</v>
      </c>
      <c r="BK916" t="str">
        <f ca="1">IFERROR(__xludf.DUMMYFUNCTION("""COMPUTED_VALUE"""),"#VALUE!")</f>
        <v>#VALUE!</v>
      </c>
      <c r="BM916" t="str">
        <f ca="1">IFERROR(__xludf.DUMMYFUNCTION("""COMPUTED_VALUE"""),"#VALUE!")</f>
        <v>#VALUE!</v>
      </c>
      <c r="CS916" t="str">
        <f ca="1">IFERROR(__xludf.DUMMYFUNCTION("""COMPUTED_VALUE"""),"#VALUE!")</f>
        <v>#VALUE!</v>
      </c>
      <c r="CU916" t="str">
        <f ca="1">IFERROR(__xludf.DUMMYFUNCTION("""COMPUTED_VALUE"""),"#VALUE!")</f>
        <v>#VALUE!</v>
      </c>
      <c r="CW916" t="str">
        <f ca="1">IFERROR(__xludf.DUMMYFUNCTION("""COMPUTED_VALUE"""),"#VALUE!")</f>
        <v>#VALUE!</v>
      </c>
      <c r="CY916" t="str">
        <f ca="1">IFERROR(__xludf.DUMMYFUNCTION("""COMPUTED_VALUE"""),"#VALUE!")</f>
        <v>#VALUE!</v>
      </c>
      <c r="DC916" t="str">
        <f ca="1">IFERROR(__xludf.DUMMYFUNCTION("""COMPUTED_VALUE"""),"#VALUE!")</f>
        <v>#VALUE!</v>
      </c>
      <c r="DE916" t="str">
        <f ca="1">IFERROR(__xludf.DUMMYFUNCTION("""COMPUTED_VALUE"""),"#VALUE!")</f>
        <v>#VALUE!</v>
      </c>
    </row>
    <row r="917" spans="1:109" ht="13.2" x14ac:dyDescent="0.25">
      <c r="A917" t="str">
        <f ca="1">IFERROR(__xludf.DUMMYFUNCTION("""COMPUTED_VALUE"""),"P0926")</f>
        <v>P0926</v>
      </c>
      <c r="BC917" t="str">
        <f ca="1">IFERROR(__xludf.DUMMYFUNCTION("""COMPUTED_VALUE"""),"#VALUE!")</f>
        <v>#VALUE!</v>
      </c>
      <c r="BE917" t="str">
        <f ca="1">IFERROR(__xludf.DUMMYFUNCTION("""COMPUTED_VALUE"""),"#VALUE!")</f>
        <v>#VALUE!</v>
      </c>
      <c r="BG917" t="str">
        <f ca="1">IFERROR(__xludf.DUMMYFUNCTION("""COMPUTED_VALUE"""),"#VALUE!")</f>
        <v>#VALUE!</v>
      </c>
      <c r="BI917" t="str">
        <f ca="1">IFERROR(__xludf.DUMMYFUNCTION("""COMPUTED_VALUE"""),"#VALUE!")</f>
        <v>#VALUE!</v>
      </c>
      <c r="BK917" t="str">
        <f ca="1">IFERROR(__xludf.DUMMYFUNCTION("""COMPUTED_VALUE"""),"#VALUE!")</f>
        <v>#VALUE!</v>
      </c>
      <c r="BM917" t="str">
        <f ca="1">IFERROR(__xludf.DUMMYFUNCTION("""COMPUTED_VALUE"""),"#VALUE!")</f>
        <v>#VALUE!</v>
      </c>
      <c r="CS917" t="str">
        <f ca="1">IFERROR(__xludf.DUMMYFUNCTION("""COMPUTED_VALUE"""),"#VALUE!")</f>
        <v>#VALUE!</v>
      </c>
      <c r="CU917" t="str">
        <f ca="1">IFERROR(__xludf.DUMMYFUNCTION("""COMPUTED_VALUE"""),"#VALUE!")</f>
        <v>#VALUE!</v>
      </c>
      <c r="CW917" t="str">
        <f ca="1">IFERROR(__xludf.DUMMYFUNCTION("""COMPUTED_VALUE"""),"#VALUE!")</f>
        <v>#VALUE!</v>
      </c>
      <c r="CY917" t="str">
        <f ca="1">IFERROR(__xludf.DUMMYFUNCTION("""COMPUTED_VALUE"""),"#VALUE!")</f>
        <v>#VALUE!</v>
      </c>
      <c r="DC917" t="str">
        <f ca="1">IFERROR(__xludf.DUMMYFUNCTION("""COMPUTED_VALUE"""),"#VALUE!")</f>
        <v>#VALUE!</v>
      </c>
      <c r="DE917" t="str">
        <f ca="1">IFERROR(__xludf.DUMMYFUNCTION("""COMPUTED_VALUE"""),"#VALUE!")</f>
        <v>#VALUE!</v>
      </c>
    </row>
    <row r="918" spans="1:109" ht="13.2" x14ac:dyDescent="0.25">
      <c r="A918" t="str">
        <f ca="1">IFERROR(__xludf.DUMMYFUNCTION("""COMPUTED_VALUE"""),"P0927")</f>
        <v>P0927</v>
      </c>
      <c r="BC918" t="str">
        <f ca="1">IFERROR(__xludf.DUMMYFUNCTION("""COMPUTED_VALUE"""),"#VALUE!")</f>
        <v>#VALUE!</v>
      </c>
      <c r="BE918" t="str">
        <f ca="1">IFERROR(__xludf.DUMMYFUNCTION("""COMPUTED_VALUE"""),"#VALUE!")</f>
        <v>#VALUE!</v>
      </c>
      <c r="BG918" t="str">
        <f ca="1">IFERROR(__xludf.DUMMYFUNCTION("""COMPUTED_VALUE"""),"#VALUE!")</f>
        <v>#VALUE!</v>
      </c>
      <c r="BI918" t="str">
        <f ca="1">IFERROR(__xludf.DUMMYFUNCTION("""COMPUTED_VALUE"""),"#VALUE!")</f>
        <v>#VALUE!</v>
      </c>
      <c r="BK918" t="str">
        <f ca="1">IFERROR(__xludf.DUMMYFUNCTION("""COMPUTED_VALUE"""),"#VALUE!")</f>
        <v>#VALUE!</v>
      </c>
      <c r="BM918" t="str">
        <f ca="1">IFERROR(__xludf.DUMMYFUNCTION("""COMPUTED_VALUE"""),"#VALUE!")</f>
        <v>#VALUE!</v>
      </c>
      <c r="CS918" t="str">
        <f ca="1">IFERROR(__xludf.DUMMYFUNCTION("""COMPUTED_VALUE"""),"#VALUE!")</f>
        <v>#VALUE!</v>
      </c>
      <c r="CU918" t="str">
        <f ca="1">IFERROR(__xludf.DUMMYFUNCTION("""COMPUTED_VALUE"""),"#VALUE!")</f>
        <v>#VALUE!</v>
      </c>
      <c r="CW918" t="str">
        <f ca="1">IFERROR(__xludf.DUMMYFUNCTION("""COMPUTED_VALUE"""),"#VALUE!")</f>
        <v>#VALUE!</v>
      </c>
      <c r="CY918" t="str">
        <f ca="1">IFERROR(__xludf.DUMMYFUNCTION("""COMPUTED_VALUE"""),"#VALUE!")</f>
        <v>#VALUE!</v>
      </c>
      <c r="DC918" t="str">
        <f ca="1">IFERROR(__xludf.DUMMYFUNCTION("""COMPUTED_VALUE"""),"#VALUE!")</f>
        <v>#VALUE!</v>
      </c>
      <c r="DE918" t="str">
        <f ca="1">IFERROR(__xludf.DUMMYFUNCTION("""COMPUTED_VALUE"""),"#VALUE!")</f>
        <v>#VALUE!</v>
      </c>
    </row>
    <row r="919" spans="1:109" ht="13.2" x14ac:dyDescent="0.25">
      <c r="A919" t="str">
        <f ca="1">IFERROR(__xludf.DUMMYFUNCTION("""COMPUTED_VALUE"""),"P0928")</f>
        <v>P0928</v>
      </c>
      <c r="BC919" t="str">
        <f ca="1">IFERROR(__xludf.DUMMYFUNCTION("""COMPUTED_VALUE"""),"#VALUE!")</f>
        <v>#VALUE!</v>
      </c>
      <c r="BE919" t="str">
        <f ca="1">IFERROR(__xludf.DUMMYFUNCTION("""COMPUTED_VALUE"""),"#VALUE!")</f>
        <v>#VALUE!</v>
      </c>
      <c r="BG919" t="str">
        <f ca="1">IFERROR(__xludf.DUMMYFUNCTION("""COMPUTED_VALUE"""),"#VALUE!")</f>
        <v>#VALUE!</v>
      </c>
      <c r="BI919" t="str">
        <f ca="1">IFERROR(__xludf.DUMMYFUNCTION("""COMPUTED_VALUE"""),"#VALUE!")</f>
        <v>#VALUE!</v>
      </c>
      <c r="BK919" t="str">
        <f ca="1">IFERROR(__xludf.DUMMYFUNCTION("""COMPUTED_VALUE"""),"#VALUE!")</f>
        <v>#VALUE!</v>
      </c>
      <c r="BM919" t="str">
        <f ca="1">IFERROR(__xludf.DUMMYFUNCTION("""COMPUTED_VALUE"""),"#VALUE!")</f>
        <v>#VALUE!</v>
      </c>
      <c r="CS919" t="str">
        <f ca="1">IFERROR(__xludf.DUMMYFUNCTION("""COMPUTED_VALUE"""),"#VALUE!")</f>
        <v>#VALUE!</v>
      </c>
      <c r="CU919" t="str">
        <f ca="1">IFERROR(__xludf.DUMMYFUNCTION("""COMPUTED_VALUE"""),"#VALUE!")</f>
        <v>#VALUE!</v>
      </c>
      <c r="CW919" t="str">
        <f ca="1">IFERROR(__xludf.DUMMYFUNCTION("""COMPUTED_VALUE"""),"#VALUE!")</f>
        <v>#VALUE!</v>
      </c>
      <c r="CY919" t="str">
        <f ca="1">IFERROR(__xludf.DUMMYFUNCTION("""COMPUTED_VALUE"""),"#VALUE!")</f>
        <v>#VALUE!</v>
      </c>
      <c r="DC919" t="str">
        <f ca="1">IFERROR(__xludf.DUMMYFUNCTION("""COMPUTED_VALUE"""),"#VALUE!")</f>
        <v>#VALUE!</v>
      </c>
      <c r="DE919" t="str">
        <f ca="1">IFERROR(__xludf.DUMMYFUNCTION("""COMPUTED_VALUE"""),"#VALUE!")</f>
        <v>#VALUE!</v>
      </c>
    </row>
    <row r="920" spans="1:109" ht="13.2" x14ac:dyDescent="0.25">
      <c r="A920" t="str">
        <f ca="1">IFERROR(__xludf.DUMMYFUNCTION("""COMPUTED_VALUE"""),"P0929")</f>
        <v>P0929</v>
      </c>
      <c r="BC920" t="str">
        <f ca="1">IFERROR(__xludf.DUMMYFUNCTION("""COMPUTED_VALUE"""),"#VALUE!")</f>
        <v>#VALUE!</v>
      </c>
      <c r="BE920" t="str">
        <f ca="1">IFERROR(__xludf.DUMMYFUNCTION("""COMPUTED_VALUE"""),"#VALUE!")</f>
        <v>#VALUE!</v>
      </c>
      <c r="BG920" t="str">
        <f ca="1">IFERROR(__xludf.DUMMYFUNCTION("""COMPUTED_VALUE"""),"#VALUE!")</f>
        <v>#VALUE!</v>
      </c>
      <c r="BI920" t="str">
        <f ca="1">IFERROR(__xludf.DUMMYFUNCTION("""COMPUTED_VALUE"""),"#VALUE!")</f>
        <v>#VALUE!</v>
      </c>
      <c r="BK920" t="str">
        <f ca="1">IFERROR(__xludf.DUMMYFUNCTION("""COMPUTED_VALUE"""),"#VALUE!")</f>
        <v>#VALUE!</v>
      </c>
      <c r="BM920" t="str">
        <f ca="1">IFERROR(__xludf.DUMMYFUNCTION("""COMPUTED_VALUE"""),"#VALUE!")</f>
        <v>#VALUE!</v>
      </c>
      <c r="CS920" t="str">
        <f ca="1">IFERROR(__xludf.DUMMYFUNCTION("""COMPUTED_VALUE"""),"#VALUE!")</f>
        <v>#VALUE!</v>
      </c>
      <c r="CU920" t="str">
        <f ca="1">IFERROR(__xludf.DUMMYFUNCTION("""COMPUTED_VALUE"""),"#VALUE!")</f>
        <v>#VALUE!</v>
      </c>
      <c r="CW920" t="str">
        <f ca="1">IFERROR(__xludf.DUMMYFUNCTION("""COMPUTED_VALUE"""),"#VALUE!")</f>
        <v>#VALUE!</v>
      </c>
      <c r="CY920" t="str">
        <f ca="1">IFERROR(__xludf.DUMMYFUNCTION("""COMPUTED_VALUE"""),"#VALUE!")</f>
        <v>#VALUE!</v>
      </c>
      <c r="DC920" t="str">
        <f ca="1">IFERROR(__xludf.DUMMYFUNCTION("""COMPUTED_VALUE"""),"#VALUE!")</f>
        <v>#VALUE!</v>
      </c>
      <c r="DE920" t="str">
        <f ca="1">IFERROR(__xludf.DUMMYFUNCTION("""COMPUTED_VALUE"""),"#VALUE!")</f>
        <v>#VALUE!</v>
      </c>
    </row>
    <row r="921" spans="1:109" ht="13.2" x14ac:dyDescent="0.25">
      <c r="A921" t="str">
        <f ca="1">IFERROR(__xludf.DUMMYFUNCTION("""COMPUTED_VALUE"""),"P0930")</f>
        <v>P0930</v>
      </c>
      <c r="BC921" t="str">
        <f ca="1">IFERROR(__xludf.DUMMYFUNCTION("""COMPUTED_VALUE"""),"#VALUE!")</f>
        <v>#VALUE!</v>
      </c>
      <c r="BE921" t="str">
        <f ca="1">IFERROR(__xludf.DUMMYFUNCTION("""COMPUTED_VALUE"""),"#VALUE!")</f>
        <v>#VALUE!</v>
      </c>
      <c r="BG921" t="str">
        <f ca="1">IFERROR(__xludf.DUMMYFUNCTION("""COMPUTED_VALUE"""),"#VALUE!")</f>
        <v>#VALUE!</v>
      </c>
      <c r="BI921" t="str">
        <f ca="1">IFERROR(__xludf.DUMMYFUNCTION("""COMPUTED_VALUE"""),"#VALUE!")</f>
        <v>#VALUE!</v>
      </c>
      <c r="BK921" t="str">
        <f ca="1">IFERROR(__xludf.DUMMYFUNCTION("""COMPUTED_VALUE"""),"#VALUE!")</f>
        <v>#VALUE!</v>
      </c>
      <c r="BM921" t="str">
        <f ca="1">IFERROR(__xludf.DUMMYFUNCTION("""COMPUTED_VALUE"""),"#VALUE!")</f>
        <v>#VALUE!</v>
      </c>
      <c r="CS921" t="str">
        <f ca="1">IFERROR(__xludf.DUMMYFUNCTION("""COMPUTED_VALUE"""),"#VALUE!")</f>
        <v>#VALUE!</v>
      </c>
      <c r="CU921" t="str">
        <f ca="1">IFERROR(__xludf.DUMMYFUNCTION("""COMPUTED_VALUE"""),"#VALUE!")</f>
        <v>#VALUE!</v>
      </c>
      <c r="CW921" t="str">
        <f ca="1">IFERROR(__xludf.DUMMYFUNCTION("""COMPUTED_VALUE"""),"#VALUE!")</f>
        <v>#VALUE!</v>
      </c>
      <c r="CY921" t="str">
        <f ca="1">IFERROR(__xludf.DUMMYFUNCTION("""COMPUTED_VALUE"""),"#VALUE!")</f>
        <v>#VALUE!</v>
      </c>
      <c r="DC921" t="str">
        <f ca="1">IFERROR(__xludf.DUMMYFUNCTION("""COMPUTED_VALUE"""),"#VALUE!")</f>
        <v>#VALUE!</v>
      </c>
      <c r="DE921" t="str">
        <f ca="1">IFERROR(__xludf.DUMMYFUNCTION("""COMPUTED_VALUE"""),"#VALUE!")</f>
        <v>#VALUE!</v>
      </c>
    </row>
    <row r="922" spans="1:109" ht="13.2" x14ac:dyDescent="0.25">
      <c r="A922" t="str">
        <f ca="1">IFERROR(__xludf.DUMMYFUNCTION("""COMPUTED_VALUE"""),"P0931")</f>
        <v>P0931</v>
      </c>
      <c r="BC922" t="str">
        <f ca="1">IFERROR(__xludf.DUMMYFUNCTION("""COMPUTED_VALUE"""),"#VALUE!")</f>
        <v>#VALUE!</v>
      </c>
      <c r="BE922" t="str">
        <f ca="1">IFERROR(__xludf.DUMMYFUNCTION("""COMPUTED_VALUE"""),"#VALUE!")</f>
        <v>#VALUE!</v>
      </c>
      <c r="BG922" t="str">
        <f ca="1">IFERROR(__xludf.DUMMYFUNCTION("""COMPUTED_VALUE"""),"#VALUE!")</f>
        <v>#VALUE!</v>
      </c>
      <c r="BI922" t="str">
        <f ca="1">IFERROR(__xludf.DUMMYFUNCTION("""COMPUTED_VALUE"""),"#VALUE!")</f>
        <v>#VALUE!</v>
      </c>
      <c r="BK922" t="str">
        <f ca="1">IFERROR(__xludf.DUMMYFUNCTION("""COMPUTED_VALUE"""),"#VALUE!")</f>
        <v>#VALUE!</v>
      </c>
      <c r="BM922" t="str">
        <f ca="1">IFERROR(__xludf.DUMMYFUNCTION("""COMPUTED_VALUE"""),"#VALUE!")</f>
        <v>#VALUE!</v>
      </c>
      <c r="CS922" t="str">
        <f ca="1">IFERROR(__xludf.DUMMYFUNCTION("""COMPUTED_VALUE"""),"#VALUE!")</f>
        <v>#VALUE!</v>
      </c>
      <c r="CU922" t="str">
        <f ca="1">IFERROR(__xludf.DUMMYFUNCTION("""COMPUTED_VALUE"""),"#VALUE!")</f>
        <v>#VALUE!</v>
      </c>
      <c r="CW922" t="str">
        <f ca="1">IFERROR(__xludf.DUMMYFUNCTION("""COMPUTED_VALUE"""),"#VALUE!")</f>
        <v>#VALUE!</v>
      </c>
      <c r="CY922" t="str">
        <f ca="1">IFERROR(__xludf.DUMMYFUNCTION("""COMPUTED_VALUE"""),"#VALUE!")</f>
        <v>#VALUE!</v>
      </c>
      <c r="DC922" t="str">
        <f ca="1">IFERROR(__xludf.DUMMYFUNCTION("""COMPUTED_VALUE"""),"#VALUE!")</f>
        <v>#VALUE!</v>
      </c>
      <c r="DE922" t="str">
        <f ca="1">IFERROR(__xludf.DUMMYFUNCTION("""COMPUTED_VALUE"""),"#VALUE!")</f>
        <v>#VALUE!</v>
      </c>
    </row>
    <row r="923" spans="1:109" ht="13.2" x14ac:dyDescent="0.25">
      <c r="A923" t="str">
        <f ca="1">IFERROR(__xludf.DUMMYFUNCTION("""COMPUTED_VALUE"""),"P0932")</f>
        <v>P0932</v>
      </c>
      <c r="BC923" t="str">
        <f ca="1">IFERROR(__xludf.DUMMYFUNCTION("""COMPUTED_VALUE"""),"#VALUE!")</f>
        <v>#VALUE!</v>
      </c>
      <c r="BE923" t="str">
        <f ca="1">IFERROR(__xludf.DUMMYFUNCTION("""COMPUTED_VALUE"""),"#VALUE!")</f>
        <v>#VALUE!</v>
      </c>
      <c r="BG923" t="str">
        <f ca="1">IFERROR(__xludf.DUMMYFUNCTION("""COMPUTED_VALUE"""),"#VALUE!")</f>
        <v>#VALUE!</v>
      </c>
      <c r="BI923" t="str">
        <f ca="1">IFERROR(__xludf.DUMMYFUNCTION("""COMPUTED_VALUE"""),"#VALUE!")</f>
        <v>#VALUE!</v>
      </c>
      <c r="BK923" t="str">
        <f ca="1">IFERROR(__xludf.DUMMYFUNCTION("""COMPUTED_VALUE"""),"#VALUE!")</f>
        <v>#VALUE!</v>
      </c>
      <c r="BM923" t="str">
        <f ca="1">IFERROR(__xludf.DUMMYFUNCTION("""COMPUTED_VALUE"""),"#VALUE!")</f>
        <v>#VALUE!</v>
      </c>
      <c r="CS923" t="str">
        <f ca="1">IFERROR(__xludf.DUMMYFUNCTION("""COMPUTED_VALUE"""),"#VALUE!")</f>
        <v>#VALUE!</v>
      </c>
      <c r="CU923" t="str">
        <f ca="1">IFERROR(__xludf.DUMMYFUNCTION("""COMPUTED_VALUE"""),"#VALUE!")</f>
        <v>#VALUE!</v>
      </c>
      <c r="CW923" t="str">
        <f ca="1">IFERROR(__xludf.DUMMYFUNCTION("""COMPUTED_VALUE"""),"#VALUE!")</f>
        <v>#VALUE!</v>
      </c>
      <c r="CY923" t="str">
        <f ca="1">IFERROR(__xludf.DUMMYFUNCTION("""COMPUTED_VALUE"""),"#VALUE!")</f>
        <v>#VALUE!</v>
      </c>
      <c r="DC923" t="str">
        <f ca="1">IFERROR(__xludf.DUMMYFUNCTION("""COMPUTED_VALUE"""),"#VALUE!")</f>
        <v>#VALUE!</v>
      </c>
      <c r="DE923" t="str">
        <f ca="1">IFERROR(__xludf.DUMMYFUNCTION("""COMPUTED_VALUE"""),"#VALUE!")</f>
        <v>#VALUE!</v>
      </c>
    </row>
    <row r="924" spans="1:109" ht="13.2" x14ac:dyDescent="0.25">
      <c r="A924" t="str">
        <f ca="1">IFERROR(__xludf.DUMMYFUNCTION("""COMPUTED_VALUE"""),"P0933")</f>
        <v>P0933</v>
      </c>
      <c r="BC924" t="str">
        <f ca="1">IFERROR(__xludf.DUMMYFUNCTION("""COMPUTED_VALUE"""),"#VALUE!")</f>
        <v>#VALUE!</v>
      </c>
      <c r="BE924" t="str">
        <f ca="1">IFERROR(__xludf.DUMMYFUNCTION("""COMPUTED_VALUE"""),"#VALUE!")</f>
        <v>#VALUE!</v>
      </c>
      <c r="BG924" t="str">
        <f ca="1">IFERROR(__xludf.DUMMYFUNCTION("""COMPUTED_VALUE"""),"#VALUE!")</f>
        <v>#VALUE!</v>
      </c>
      <c r="BI924" t="str">
        <f ca="1">IFERROR(__xludf.DUMMYFUNCTION("""COMPUTED_VALUE"""),"#VALUE!")</f>
        <v>#VALUE!</v>
      </c>
      <c r="BK924" t="str">
        <f ca="1">IFERROR(__xludf.DUMMYFUNCTION("""COMPUTED_VALUE"""),"#VALUE!")</f>
        <v>#VALUE!</v>
      </c>
      <c r="BM924" t="str">
        <f ca="1">IFERROR(__xludf.DUMMYFUNCTION("""COMPUTED_VALUE"""),"#VALUE!")</f>
        <v>#VALUE!</v>
      </c>
      <c r="CS924" t="str">
        <f ca="1">IFERROR(__xludf.DUMMYFUNCTION("""COMPUTED_VALUE"""),"#VALUE!")</f>
        <v>#VALUE!</v>
      </c>
      <c r="CU924" t="str">
        <f ca="1">IFERROR(__xludf.DUMMYFUNCTION("""COMPUTED_VALUE"""),"#VALUE!")</f>
        <v>#VALUE!</v>
      </c>
      <c r="CW924" t="str">
        <f ca="1">IFERROR(__xludf.DUMMYFUNCTION("""COMPUTED_VALUE"""),"#VALUE!")</f>
        <v>#VALUE!</v>
      </c>
      <c r="CY924" t="str">
        <f ca="1">IFERROR(__xludf.DUMMYFUNCTION("""COMPUTED_VALUE"""),"#VALUE!")</f>
        <v>#VALUE!</v>
      </c>
      <c r="DC924" t="str">
        <f ca="1">IFERROR(__xludf.DUMMYFUNCTION("""COMPUTED_VALUE"""),"#VALUE!")</f>
        <v>#VALUE!</v>
      </c>
      <c r="DE924" t="str">
        <f ca="1">IFERROR(__xludf.DUMMYFUNCTION("""COMPUTED_VALUE"""),"#VALUE!")</f>
        <v>#VALUE!</v>
      </c>
    </row>
    <row r="925" spans="1:109" ht="13.2" x14ac:dyDescent="0.25">
      <c r="A925" t="str">
        <f ca="1">IFERROR(__xludf.DUMMYFUNCTION("""COMPUTED_VALUE"""),"P0934")</f>
        <v>P0934</v>
      </c>
      <c r="BC925" t="str">
        <f ca="1">IFERROR(__xludf.DUMMYFUNCTION("""COMPUTED_VALUE"""),"#VALUE!")</f>
        <v>#VALUE!</v>
      </c>
      <c r="BE925" t="str">
        <f ca="1">IFERROR(__xludf.DUMMYFUNCTION("""COMPUTED_VALUE"""),"#VALUE!")</f>
        <v>#VALUE!</v>
      </c>
      <c r="BG925" t="str">
        <f ca="1">IFERROR(__xludf.DUMMYFUNCTION("""COMPUTED_VALUE"""),"#VALUE!")</f>
        <v>#VALUE!</v>
      </c>
      <c r="BI925" t="str">
        <f ca="1">IFERROR(__xludf.DUMMYFUNCTION("""COMPUTED_VALUE"""),"#VALUE!")</f>
        <v>#VALUE!</v>
      </c>
      <c r="BK925" t="str">
        <f ca="1">IFERROR(__xludf.DUMMYFUNCTION("""COMPUTED_VALUE"""),"#VALUE!")</f>
        <v>#VALUE!</v>
      </c>
      <c r="BM925" t="str">
        <f ca="1">IFERROR(__xludf.DUMMYFUNCTION("""COMPUTED_VALUE"""),"#VALUE!")</f>
        <v>#VALUE!</v>
      </c>
      <c r="CS925" t="str">
        <f ca="1">IFERROR(__xludf.DUMMYFUNCTION("""COMPUTED_VALUE"""),"#VALUE!")</f>
        <v>#VALUE!</v>
      </c>
      <c r="CU925" t="str">
        <f ca="1">IFERROR(__xludf.DUMMYFUNCTION("""COMPUTED_VALUE"""),"#VALUE!")</f>
        <v>#VALUE!</v>
      </c>
      <c r="CW925" t="str">
        <f ca="1">IFERROR(__xludf.DUMMYFUNCTION("""COMPUTED_VALUE"""),"#VALUE!")</f>
        <v>#VALUE!</v>
      </c>
      <c r="CY925" t="str">
        <f ca="1">IFERROR(__xludf.DUMMYFUNCTION("""COMPUTED_VALUE"""),"#VALUE!")</f>
        <v>#VALUE!</v>
      </c>
      <c r="DC925" t="str">
        <f ca="1">IFERROR(__xludf.DUMMYFUNCTION("""COMPUTED_VALUE"""),"#VALUE!")</f>
        <v>#VALUE!</v>
      </c>
      <c r="DE925" t="str">
        <f ca="1">IFERROR(__xludf.DUMMYFUNCTION("""COMPUTED_VALUE"""),"#VALUE!")</f>
        <v>#VALUE!</v>
      </c>
    </row>
    <row r="926" spans="1:109" ht="13.2" x14ac:dyDescent="0.25">
      <c r="A926" t="str">
        <f ca="1">IFERROR(__xludf.DUMMYFUNCTION("""COMPUTED_VALUE"""),"P0935")</f>
        <v>P0935</v>
      </c>
      <c r="BC926" t="str">
        <f ca="1">IFERROR(__xludf.DUMMYFUNCTION("""COMPUTED_VALUE"""),"#VALUE!")</f>
        <v>#VALUE!</v>
      </c>
      <c r="BE926" t="str">
        <f ca="1">IFERROR(__xludf.DUMMYFUNCTION("""COMPUTED_VALUE"""),"#VALUE!")</f>
        <v>#VALUE!</v>
      </c>
      <c r="BG926" t="str">
        <f ca="1">IFERROR(__xludf.DUMMYFUNCTION("""COMPUTED_VALUE"""),"#VALUE!")</f>
        <v>#VALUE!</v>
      </c>
      <c r="BI926" t="str">
        <f ca="1">IFERROR(__xludf.DUMMYFUNCTION("""COMPUTED_VALUE"""),"#VALUE!")</f>
        <v>#VALUE!</v>
      </c>
      <c r="BK926" t="str">
        <f ca="1">IFERROR(__xludf.DUMMYFUNCTION("""COMPUTED_VALUE"""),"#VALUE!")</f>
        <v>#VALUE!</v>
      </c>
      <c r="BM926" t="str">
        <f ca="1">IFERROR(__xludf.DUMMYFUNCTION("""COMPUTED_VALUE"""),"#VALUE!")</f>
        <v>#VALUE!</v>
      </c>
      <c r="CS926" t="str">
        <f ca="1">IFERROR(__xludf.DUMMYFUNCTION("""COMPUTED_VALUE"""),"#VALUE!")</f>
        <v>#VALUE!</v>
      </c>
      <c r="CU926" t="str">
        <f ca="1">IFERROR(__xludf.DUMMYFUNCTION("""COMPUTED_VALUE"""),"#VALUE!")</f>
        <v>#VALUE!</v>
      </c>
      <c r="CW926" t="str">
        <f ca="1">IFERROR(__xludf.DUMMYFUNCTION("""COMPUTED_VALUE"""),"#VALUE!")</f>
        <v>#VALUE!</v>
      </c>
      <c r="CY926" t="str">
        <f ca="1">IFERROR(__xludf.DUMMYFUNCTION("""COMPUTED_VALUE"""),"#VALUE!")</f>
        <v>#VALUE!</v>
      </c>
      <c r="DC926" t="str">
        <f ca="1">IFERROR(__xludf.DUMMYFUNCTION("""COMPUTED_VALUE"""),"#VALUE!")</f>
        <v>#VALUE!</v>
      </c>
      <c r="DE926" t="str">
        <f ca="1">IFERROR(__xludf.DUMMYFUNCTION("""COMPUTED_VALUE"""),"#VALUE!")</f>
        <v>#VALUE!</v>
      </c>
    </row>
    <row r="927" spans="1:109" ht="13.2" x14ac:dyDescent="0.25">
      <c r="A927" t="str">
        <f ca="1">IFERROR(__xludf.DUMMYFUNCTION("""COMPUTED_VALUE"""),"P0936")</f>
        <v>P0936</v>
      </c>
      <c r="BC927" t="str">
        <f ca="1">IFERROR(__xludf.DUMMYFUNCTION("""COMPUTED_VALUE"""),"#VALUE!")</f>
        <v>#VALUE!</v>
      </c>
      <c r="BE927" t="str">
        <f ca="1">IFERROR(__xludf.DUMMYFUNCTION("""COMPUTED_VALUE"""),"#VALUE!")</f>
        <v>#VALUE!</v>
      </c>
      <c r="BG927" t="str">
        <f ca="1">IFERROR(__xludf.DUMMYFUNCTION("""COMPUTED_VALUE"""),"#VALUE!")</f>
        <v>#VALUE!</v>
      </c>
      <c r="BI927" t="str">
        <f ca="1">IFERROR(__xludf.DUMMYFUNCTION("""COMPUTED_VALUE"""),"#VALUE!")</f>
        <v>#VALUE!</v>
      </c>
      <c r="BK927" t="str">
        <f ca="1">IFERROR(__xludf.DUMMYFUNCTION("""COMPUTED_VALUE"""),"#VALUE!")</f>
        <v>#VALUE!</v>
      </c>
      <c r="BM927" t="str">
        <f ca="1">IFERROR(__xludf.DUMMYFUNCTION("""COMPUTED_VALUE"""),"#VALUE!")</f>
        <v>#VALUE!</v>
      </c>
      <c r="CS927" t="str">
        <f ca="1">IFERROR(__xludf.DUMMYFUNCTION("""COMPUTED_VALUE"""),"#VALUE!")</f>
        <v>#VALUE!</v>
      </c>
      <c r="CU927" t="str">
        <f ca="1">IFERROR(__xludf.DUMMYFUNCTION("""COMPUTED_VALUE"""),"#VALUE!")</f>
        <v>#VALUE!</v>
      </c>
      <c r="CW927" t="str">
        <f ca="1">IFERROR(__xludf.DUMMYFUNCTION("""COMPUTED_VALUE"""),"#VALUE!")</f>
        <v>#VALUE!</v>
      </c>
      <c r="CY927" t="str">
        <f ca="1">IFERROR(__xludf.DUMMYFUNCTION("""COMPUTED_VALUE"""),"#VALUE!")</f>
        <v>#VALUE!</v>
      </c>
      <c r="DC927" t="str">
        <f ca="1">IFERROR(__xludf.DUMMYFUNCTION("""COMPUTED_VALUE"""),"#VALUE!")</f>
        <v>#VALUE!</v>
      </c>
      <c r="DE927" t="str">
        <f ca="1">IFERROR(__xludf.DUMMYFUNCTION("""COMPUTED_VALUE"""),"#VALUE!")</f>
        <v>#VALUE!</v>
      </c>
    </row>
    <row r="928" spans="1:109" ht="13.2" x14ac:dyDescent="0.25">
      <c r="A928" t="str">
        <f ca="1">IFERROR(__xludf.DUMMYFUNCTION("""COMPUTED_VALUE"""),"P0937")</f>
        <v>P0937</v>
      </c>
      <c r="BC928" t="str">
        <f ca="1">IFERROR(__xludf.DUMMYFUNCTION("""COMPUTED_VALUE"""),"#VALUE!")</f>
        <v>#VALUE!</v>
      </c>
      <c r="BE928" t="str">
        <f ca="1">IFERROR(__xludf.DUMMYFUNCTION("""COMPUTED_VALUE"""),"#VALUE!")</f>
        <v>#VALUE!</v>
      </c>
      <c r="BG928" t="str">
        <f ca="1">IFERROR(__xludf.DUMMYFUNCTION("""COMPUTED_VALUE"""),"#VALUE!")</f>
        <v>#VALUE!</v>
      </c>
      <c r="BI928" t="str">
        <f ca="1">IFERROR(__xludf.DUMMYFUNCTION("""COMPUTED_VALUE"""),"#VALUE!")</f>
        <v>#VALUE!</v>
      </c>
      <c r="BK928" t="str">
        <f ca="1">IFERROR(__xludf.DUMMYFUNCTION("""COMPUTED_VALUE"""),"#VALUE!")</f>
        <v>#VALUE!</v>
      </c>
      <c r="BM928" t="str">
        <f ca="1">IFERROR(__xludf.DUMMYFUNCTION("""COMPUTED_VALUE"""),"#VALUE!")</f>
        <v>#VALUE!</v>
      </c>
      <c r="CS928" t="str">
        <f ca="1">IFERROR(__xludf.DUMMYFUNCTION("""COMPUTED_VALUE"""),"#VALUE!")</f>
        <v>#VALUE!</v>
      </c>
      <c r="CU928" t="str">
        <f ca="1">IFERROR(__xludf.DUMMYFUNCTION("""COMPUTED_VALUE"""),"#VALUE!")</f>
        <v>#VALUE!</v>
      </c>
      <c r="CW928" t="str">
        <f ca="1">IFERROR(__xludf.DUMMYFUNCTION("""COMPUTED_VALUE"""),"#VALUE!")</f>
        <v>#VALUE!</v>
      </c>
      <c r="CY928" t="str">
        <f ca="1">IFERROR(__xludf.DUMMYFUNCTION("""COMPUTED_VALUE"""),"#VALUE!")</f>
        <v>#VALUE!</v>
      </c>
      <c r="DC928" t="str">
        <f ca="1">IFERROR(__xludf.DUMMYFUNCTION("""COMPUTED_VALUE"""),"#VALUE!")</f>
        <v>#VALUE!</v>
      </c>
      <c r="DE928" t="str">
        <f ca="1">IFERROR(__xludf.DUMMYFUNCTION("""COMPUTED_VALUE"""),"#VALUE!")</f>
        <v>#VALUE!</v>
      </c>
    </row>
    <row r="929" spans="1:109" ht="13.2" x14ac:dyDescent="0.25">
      <c r="A929" t="str">
        <f ca="1">IFERROR(__xludf.DUMMYFUNCTION("""COMPUTED_VALUE"""),"P0938")</f>
        <v>P0938</v>
      </c>
      <c r="BC929" t="str">
        <f ca="1">IFERROR(__xludf.DUMMYFUNCTION("""COMPUTED_VALUE"""),"#VALUE!")</f>
        <v>#VALUE!</v>
      </c>
      <c r="BE929" t="str">
        <f ca="1">IFERROR(__xludf.DUMMYFUNCTION("""COMPUTED_VALUE"""),"#VALUE!")</f>
        <v>#VALUE!</v>
      </c>
      <c r="BG929" t="str">
        <f ca="1">IFERROR(__xludf.DUMMYFUNCTION("""COMPUTED_VALUE"""),"#VALUE!")</f>
        <v>#VALUE!</v>
      </c>
      <c r="BI929" t="str">
        <f ca="1">IFERROR(__xludf.DUMMYFUNCTION("""COMPUTED_VALUE"""),"#VALUE!")</f>
        <v>#VALUE!</v>
      </c>
      <c r="BK929" t="str">
        <f ca="1">IFERROR(__xludf.DUMMYFUNCTION("""COMPUTED_VALUE"""),"#VALUE!")</f>
        <v>#VALUE!</v>
      </c>
      <c r="BM929" t="str">
        <f ca="1">IFERROR(__xludf.DUMMYFUNCTION("""COMPUTED_VALUE"""),"#VALUE!")</f>
        <v>#VALUE!</v>
      </c>
      <c r="CS929" t="str">
        <f ca="1">IFERROR(__xludf.DUMMYFUNCTION("""COMPUTED_VALUE"""),"#VALUE!")</f>
        <v>#VALUE!</v>
      </c>
      <c r="CU929" t="str">
        <f ca="1">IFERROR(__xludf.DUMMYFUNCTION("""COMPUTED_VALUE"""),"#VALUE!")</f>
        <v>#VALUE!</v>
      </c>
      <c r="CW929" t="str">
        <f ca="1">IFERROR(__xludf.DUMMYFUNCTION("""COMPUTED_VALUE"""),"#VALUE!")</f>
        <v>#VALUE!</v>
      </c>
      <c r="CY929" t="str">
        <f ca="1">IFERROR(__xludf.DUMMYFUNCTION("""COMPUTED_VALUE"""),"#VALUE!")</f>
        <v>#VALUE!</v>
      </c>
      <c r="DC929" t="str">
        <f ca="1">IFERROR(__xludf.DUMMYFUNCTION("""COMPUTED_VALUE"""),"#VALUE!")</f>
        <v>#VALUE!</v>
      </c>
      <c r="DE929" t="str">
        <f ca="1">IFERROR(__xludf.DUMMYFUNCTION("""COMPUTED_VALUE"""),"#VALUE!")</f>
        <v>#VALUE!</v>
      </c>
    </row>
    <row r="930" spans="1:109" ht="13.2" x14ac:dyDescent="0.25">
      <c r="A930" t="str">
        <f ca="1">IFERROR(__xludf.DUMMYFUNCTION("""COMPUTED_VALUE"""),"P0939")</f>
        <v>P0939</v>
      </c>
      <c r="BC930" t="str">
        <f ca="1">IFERROR(__xludf.DUMMYFUNCTION("""COMPUTED_VALUE"""),"#VALUE!")</f>
        <v>#VALUE!</v>
      </c>
      <c r="BE930" t="str">
        <f ca="1">IFERROR(__xludf.DUMMYFUNCTION("""COMPUTED_VALUE"""),"#VALUE!")</f>
        <v>#VALUE!</v>
      </c>
      <c r="BG930" t="str">
        <f ca="1">IFERROR(__xludf.DUMMYFUNCTION("""COMPUTED_VALUE"""),"#VALUE!")</f>
        <v>#VALUE!</v>
      </c>
      <c r="BI930" t="str">
        <f ca="1">IFERROR(__xludf.DUMMYFUNCTION("""COMPUTED_VALUE"""),"#VALUE!")</f>
        <v>#VALUE!</v>
      </c>
      <c r="BK930" t="str">
        <f ca="1">IFERROR(__xludf.DUMMYFUNCTION("""COMPUTED_VALUE"""),"#VALUE!")</f>
        <v>#VALUE!</v>
      </c>
      <c r="BM930" t="str">
        <f ca="1">IFERROR(__xludf.DUMMYFUNCTION("""COMPUTED_VALUE"""),"#VALUE!")</f>
        <v>#VALUE!</v>
      </c>
      <c r="CS930" t="str">
        <f ca="1">IFERROR(__xludf.DUMMYFUNCTION("""COMPUTED_VALUE"""),"#VALUE!")</f>
        <v>#VALUE!</v>
      </c>
      <c r="CU930" t="str">
        <f ca="1">IFERROR(__xludf.DUMMYFUNCTION("""COMPUTED_VALUE"""),"#VALUE!")</f>
        <v>#VALUE!</v>
      </c>
      <c r="CW930" t="str">
        <f ca="1">IFERROR(__xludf.DUMMYFUNCTION("""COMPUTED_VALUE"""),"#VALUE!")</f>
        <v>#VALUE!</v>
      </c>
      <c r="CY930" t="str">
        <f ca="1">IFERROR(__xludf.DUMMYFUNCTION("""COMPUTED_VALUE"""),"#VALUE!")</f>
        <v>#VALUE!</v>
      </c>
      <c r="DC930" t="str">
        <f ca="1">IFERROR(__xludf.DUMMYFUNCTION("""COMPUTED_VALUE"""),"#VALUE!")</f>
        <v>#VALUE!</v>
      </c>
      <c r="DE930" t="str">
        <f ca="1">IFERROR(__xludf.DUMMYFUNCTION("""COMPUTED_VALUE"""),"#VALUE!")</f>
        <v>#VALUE!</v>
      </c>
    </row>
    <row r="931" spans="1:109" ht="13.2" x14ac:dyDescent="0.25">
      <c r="A931" t="str">
        <f ca="1">IFERROR(__xludf.DUMMYFUNCTION("""COMPUTED_VALUE"""),"P0940")</f>
        <v>P0940</v>
      </c>
      <c r="BC931" t="str">
        <f ca="1">IFERROR(__xludf.DUMMYFUNCTION("""COMPUTED_VALUE"""),"#VALUE!")</f>
        <v>#VALUE!</v>
      </c>
      <c r="BE931" t="str">
        <f ca="1">IFERROR(__xludf.DUMMYFUNCTION("""COMPUTED_VALUE"""),"#VALUE!")</f>
        <v>#VALUE!</v>
      </c>
      <c r="BG931" t="str">
        <f ca="1">IFERROR(__xludf.DUMMYFUNCTION("""COMPUTED_VALUE"""),"#VALUE!")</f>
        <v>#VALUE!</v>
      </c>
      <c r="BI931" t="str">
        <f ca="1">IFERROR(__xludf.DUMMYFUNCTION("""COMPUTED_VALUE"""),"#VALUE!")</f>
        <v>#VALUE!</v>
      </c>
      <c r="BK931" t="str">
        <f ca="1">IFERROR(__xludf.DUMMYFUNCTION("""COMPUTED_VALUE"""),"#VALUE!")</f>
        <v>#VALUE!</v>
      </c>
      <c r="BM931" t="str">
        <f ca="1">IFERROR(__xludf.DUMMYFUNCTION("""COMPUTED_VALUE"""),"#VALUE!")</f>
        <v>#VALUE!</v>
      </c>
      <c r="CS931" t="str">
        <f ca="1">IFERROR(__xludf.DUMMYFUNCTION("""COMPUTED_VALUE"""),"#VALUE!")</f>
        <v>#VALUE!</v>
      </c>
      <c r="CU931" t="str">
        <f ca="1">IFERROR(__xludf.DUMMYFUNCTION("""COMPUTED_VALUE"""),"#VALUE!")</f>
        <v>#VALUE!</v>
      </c>
      <c r="CW931" t="str">
        <f ca="1">IFERROR(__xludf.DUMMYFUNCTION("""COMPUTED_VALUE"""),"#VALUE!")</f>
        <v>#VALUE!</v>
      </c>
      <c r="CY931" t="str">
        <f ca="1">IFERROR(__xludf.DUMMYFUNCTION("""COMPUTED_VALUE"""),"#VALUE!")</f>
        <v>#VALUE!</v>
      </c>
      <c r="DC931" t="str">
        <f ca="1">IFERROR(__xludf.DUMMYFUNCTION("""COMPUTED_VALUE"""),"#VALUE!")</f>
        <v>#VALUE!</v>
      </c>
      <c r="DE931" t="str">
        <f ca="1">IFERROR(__xludf.DUMMYFUNCTION("""COMPUTED_VALUE"""),"#VALUE!")</f>
        <v>#VALUE!</v>
      </c>
    </row>
    <row r="932" spans="1:109" ht="13.2" x14ac:dyDescent="0.25">
      <c r="A932" t="str">
        <f ca="1">IFERROR(__xludf.DUMMYFUNCTION("""COMPUTED_VALUE"""),"P0941")</f>
        <v>P0941</v>
      </c>
      <c r="BC932" t="str">
        <f ca="1">IFERROR(__xludf.DUMMYFUNCTION("""COMPUTED_VALUE"""),"#VALUE!")</f>
        <v>#VALUE!</v>
      </c>
      <c r="BE932" t="str">
        <f ca="1">IFERROR(__xludf.DUMMYFUNCTION("""COMPUTED_VALUE"""),"#VALUE!")</f>
        <v>#VALUE!</v>
      </c>
      <c r="BG932" t="str">
        <f ca="1">IFERROR(__xludf.DUMMYFUNCTION("""COMPUTED_VALUE"""),"#VALUE!")</f>
        <v>#VALUE!</v>
      </c>
      <c r="BI932" t="str">
        <f ca="1">IFERROR(__xludf.DUMMYFUNCTION("""COMPUTED_VALUE"""),"#VALUE!")</f>
        <v>#VALUE!</v>
      </c>
      <c r="BK932" t="str">
        <f ca="1">IFERROR(__xludf.DUMMYFUNCTION("""COMPUTED_VALUE"""),"#VALUE!")</f>
        <v>#VALUE!</v>
      </c>
      <c r="BM932" t="str">
        <f ca="1">IFERROR(__xludf.DUMMYFUNCTION("""COMPUTED_VALUE"""),"#VALUE!")</f>
        <v>#VALUE!</v>
      </c>
      <c r="CS932" t="str">
        <f ca="1">IFERROR(__xludf.DUMMYFUNCTION("""COMPUTED_VALUE"""),"#VALUE!")</f>
        <v>#VALUE!</v>
      </c>
      <c r="CU932" t="str">
        <f ca="1">IFERROR(__xludf.DUMMYFUNCTION("""COMPUTED_VALUE"""),"#VALUE!")</f>
        <v>#VALUE!</v>
      </c>
      <c r="CW932" t="str">
        <f ca="1">IFERROR(__xludf.DUMMYFUNCTION("""COMPUTED_VALUE"""),"#VALUE!")</f>
        <v>#VALUE!</v>
      </c>
      <c r="CY932" t="str">
        <f ca="1">IFERROR(__xludf.DUMMYFUNCTION("""COMPUTED_VALUE"""),"#VALUE!")</f>
        <v>#VALUE!</v>
      </c>
      <c r="DC932" t="str">
        <f ca="1">IFERROR(__xludf.DUMMYFUNCTION("""COMPUTED_VALUE"""),"#VALUE!")</f>
        <v>#VALUE!</v>
      </c>
      <c r="DE932" t="str">
        <f ca="1">IFERROR(__xludf.DUMMYFUNCTION("""COMPUTED_VALUE"""),"#VALUE!")</f>
        <v>#VALUE!</v>
      </c>
    </row>
    <row r="933" spans="1:109" ht="13.2" x14ac:dyDescent="0.25">
      <c r="A933" t="str">
        <f ca="1">IFERROR(__xludf.DUMMYFUNCTION("""COMPUTED_VALUE"""),"P0942")</f>
        <v>P0942</v>
      </c>
      <c r="BC933" t="str">
        <f ca="1">IFERROR(__xludf.DUMMYFUNCTION("""COMPUTED_VALUE"""),"#VALUE!")</f>
        <v>#VALUE!</v>
      </c>
      <c r="BE933" t="str">
        <f ca="1">IFERROR(__xludf.DUMMYFUNCTION("""COMPUTED_VALUE"""),"#VALUE!")</f>
        <v>#VALUE!</v>
      </c>
      <c r="BG933" t="str">
        <f ca="1">IFERROR(__xludf.DUMMYFUNCTION("""COMPUTED_VALUE"""),"#VALUE!")</f>
        <v>#VALUE!</v>
      </c>
      <c r="BI933" t="str">
        <f ca="1">IFERROR(__xludf.DUMMYFUNCTION("""COMPUTED_VALUE"""),"#VALUE!")</f>
        <v>#VALUE!</v>
      </c>
      <c r="BK933" t="str">
        <f ca="1">IFERROR(__xludf.DUMMYFUNCTION("""COMPUTED_VALUE"""),"#VALUE!")</f>
        <v>#VALUE!</v>
      </c>
      <c r="BM933" t="str">
        <f ca="1">IFERROR(__xludf.DUMMYFUNCTION("""COMPUTED_VALUE"""),"#VALUE!")</f>
        <v>#VALUE!</v>
      </c>
      <c r="CS933" t="str">
        <f ca="1">IFERROR(__xludf.DUMMYFUNCTION("""COMPUTED_VALUE"""),"#VALUE!")</f>
        <v>#VALUE!</v>
      </c>
      <c r="CU933" t="str">
        <f ca="1">IFERROR(__xludf.DUMMYFUNCTION("""COMPUTED_VALUE"""),"#VALUE!")</f>
        <v>#VALUE!</v>
      </c>
      <c r="CW933" t="str">
        <f ca="1">IFERROR(__xludf.DUMMYFUNCTION("""COMPUTED_VALUE"""),"#VALUE!")</f>
        <v>#VALUE!</v>
      </c>
      <c r="CY933" t="str">
        <f ca="1">IFERROR(__xludf.DUMMYFUNCTION("""COMPUTED_VALUE"""),"#VALUE!")</f>
        <v>#VALUE!</v>
      </c>
      <c r="DC933" t="str">
        <f ca="1">IFERROR(__xludf.DUMMYFUNCTION("""COMPUTED_VALUE"""),"#VALUE!")</f>
        <v>#VALUE!</v>
      </c>
      <c r="DE933" t="str">
        <f ca="1">IFERROR(__xludf.DUMMYFUNCTION("""COMPUTED_VALUE"""),"#VALUE!")</f>
        <v>#VALUE!</v>
      </c>
    </row>
    <row r="934" spans="1:109" ht="13.2" x14ac:dyDescent="0.25">
      <c r="A934" t="str">
        <f ca="1">IFERROR(__xludf.DUMMYFUNCTION("""COMPUTED_VALUE"""),"P0943")</f>
        <v>P0943</v>
      </c>
      <c r="BC934" t="str">
        <f ca="1">IFERROR(__xludf.DUMMYFUNCTION("""COMPUTED_VALUE"""),"#VALUE!")</f>
        <v>#VALUE!</v>
      </c>
      <c r="BE934" t="str">
        <f ca="1">IFERROR(__xludf.DUMMYFUNCTION("""COMPUTED_VALUE"""),"#VALUE!")</f>
        <v>#VALUE!</v>
      </c>
      <c r="BG934" t="str">
        <f ca="1">IFERROR(__xludf.DUMMYFUNCTION("""COMPUTED_VALUE"""),"#VALUE!")</f>
        <v>#VALUE!</v>
      </c>
      <c r="BI934" t="str">
        <f ca="1">IFERROR(__xludf.DUMMYFUNCTION("""COMPUTED_VALUE"""),"#VALUE!")</f>
        <v>#VALUE!</v>
      </c>
      <c r="BK934" t="str">
        <f ca="1">IFERROR(__xludf.DUMMYFUNCTION("""COMPUTED_VALUE"""),"#VALUE!")</f>
        <v>#VALUE!</v>
      </c>
      <c r="BM934" t="str">
        <f ca="1">IFERROR(__xludf.DUMMYFUNCTION("""COMPUTED_VALUE"""),"#VALUE!")</f>
        <v>#VALUE!</v>
      </c>
      <c r="CS934" t="str">
        <f ca="1">IFERROR(__xludf.DUMMYFUNCTION("""COMPUTED_VALUE"""),"#VALUE!")</f>
        <v>#VALUE!</v>
      </c>
      <c r="CU934" t="str">
        <f ca="1">IFERROR(__xludf.DUMMYFUNCTION("""COMPUTED_VALUE"""),"#VALUE!")</f>
        <v>#VALUE!</v>
      </c>
      <c r="CW934" t="str">
        <f ca="1">IFERROR(__xludf.DUMMYFUNCTION("""COMPUTED_VALUE"""),"#VALUE!")</f>
        <v>#VALUE!</v>
      </c>
      <c r="CY934" t="str">
        <f ca="1">IFERROR(__xludf.DUMMYFUNCTION("""COMPUTED_VALUE"""),"#VALUE!")</f>
        <v>#VALUE!</v>
      </c>
      <c r="DC934" t="str">
        <f ca="1">IFERROR(__xludf.DUMMYFUNCTION("""COMPUTED_VALUE"""),"#VALUE!")</f>
        <v>#VALUE!</v>
      </c>
      <c r="DE934" t="str">
        <f ca="1">IFERROR(__xludf.DUMMYFUNCTION("""COMPUTED_VALUE"""),"#VALUE!")</f>
        <v>#VALUE!</v>
      </c>
    </row>
    <row r="935" spans="1:109" ht="13.2" x14ac:dyDescent="0.25">
      <c r="A935" t="str">
        <f ca="1">IFERROR(__xludf.DUMMYFUNCTION("""COMPUTED_VALUE"""),"P0944")</f>
        <v>P0944</v>
      </c>
      <c r="BC935" t="str">
        <f ca="1">IFERROR(__xludf.DUMMYFUNCTION("""COMPUTED_VALUE"""),"#VALUE!")</f>
        <v>#VALUE!</v>
      </c>
      <c r="BE935" t="str">
        <f ca="1">IFERROR(__xludf.DUMMYFUNCTION("""COMPUTED_VALUE"""),"#VALUE!")</f>
        <v>#VALUE!</v>
      </c>
      <c r="BG935" t="str">
        <f ca="1">IFERROR(__xludf.DUMMYFUNCTION("""COMPUTED_VALUE"""),"#VALUE!")</f>
        <v>#VALUE!</v>
      </c>
      <c r="BI935" t="str">
        <f ca="1">IFERROR(__xludf.DUMMYFUNCTION("""COMPUTED_VALUE"""),"#VALUE!")</f>
        <v>#VALUE!</v>
      </c>
      <c r="BK935" t="str">
        <f ca="1">IFERROR(__xludf.DUMMYFUNCTION("""COMPUTED_VALUE"""),"#VALUE!")</f>
        <v>#VALUE!</v>
      </c>
      <c r="BM935" t="str">
        <f ca="1">IFERROR(__xludf.DUMMYFUNCTION("""COMPUTED_VALUE"""),"#VALUE!")</f>
        <v>#VALUE!</v>
      </c>
      <c r="CS935" t="str">
        <f ca="1">IFERROR(__xludf.DUMMYFUNCTION("""COMPUTED_VALUE"""),"#VALUE!")</f>
        <v>#VALUE!</v>
      </c>
      <c r="CU935" t="str">
        <f ca="1">IFERROR(__xludf.DUMMYFUNCTION("""COMPUTED_VALUE"""),"#VALUE!")</f>
        <v>#VALUE!</v>
      </c>
      <c r="CW935" t="str">
        <f ca="1">IFERROR(__xludf.DUMMYFUNCTION("""COMPUTED_VALUE"""),"#VALUE!")</f>
        <v>#VALUE!</v>
      </c>
      <c r="CY935" t="str">
        <f ca="1">IFERROR(__xludf.DUMMYFUNCTION("""COMPUTED_VALUE"""),"#VALUE!")</f>
        <v>#VALUE!</v>
      </c>
      <c r="DC935" t="str">
        <f ca="1">IFERROR(__xludf.DUMMYFUNCTION("""COMPUTED_VALUE"""),"#VALUE!")</f>
        <v>#VALUE!</v>
      </c>
      <c r="DE935" t="str">
        <f ca="1">IFERROR(__xludf.DUMMYFUNCTION("""COMPUTED_VALUE"""),"#VALUE!")</f>
        <v>#VALUE!</v>
      </c>
    </row>
    <row r="936" spans="1:109" ht="13.2" x14ac:dyDescent="0.25">
      <c r="A936" t="str">
        <f ca="1">IFERROR(__xludf.DUMMYFUNCTION("""COMPUTED_VALUE"""),"P0945")</f>
        <v>P0945</v>
      </c>
      <c r="BC936" t="str">
        <f ca="1">IFERROR(__xludf.DUMMYFUNCTION("""COMPUTED_VALUE"""),"#VALUE!")</f>
        <v>#VALUE!</v>
      </c>
      <c r="BE936" t="str">
        <f ca="1">IFERROR(__xludf.DUMMYFUNCTION("""COMPUTED_VALUE"""),"#VALUE!")</f>
        <v>#VALUE!</v>
      </c>
      <c r="BG936" t="str">
        <f ca="1">IFERROR(__xludf.DUMMYFUNCTION("""COMPUTED_VALUE"""),"#VALUE!")</f>
        <v>#VALUE!</v>
      </c>
      <c r="BI936" t="str">
        <f ca="1">IFERROR(__xludf.DUMMYFUNCTION("""COMPUTED_VALUE"""),"#VALUE!")</f>
        <v>#VALUE!</v>
      </c>
      <c r="BK936" t="str">
        <f ca="1">IFERROR(__xludf.DUMMYFUNCTION("""COMPUTED_VALUE"""),"#VALUE!")</f>
        <v>#VALUE!</v>
      </c>
      <c r="BM936" t="str">
        <f ca="1">IFERROR(__xludf.DUMMYFUNCTION("""COMPUTED_VALUE"""),"#VALUE!")</f>
        <v>#VALUE!</v>
      </c>
      <c r="CS936" t="str">
        <f ca="1">IFERROR(__xludf.DUMMYFUNCTION("""COMPUTED_VALUE"""),"#VALUE!")</f>
        <v>#VALUE!</v>
      </c>
      <c r="CU936" t="str">
        <f ca="1">IFERROR(__xludf.DUMMYFUNCTION("""COMPUTED_VALUE"""),"#VALUE!")</f>
        <v>#VALUE!</v>
      </c>
      <c r="CW936" t="str">
        <f ca="1">IFERROR(__xludf.DUMMYFUNCTION("""COMPUTED_VALUE"""),"#VALUE!")</f>
        <v>#VALUE!</v>
      </c>
      <c r="CY936" t="str">
        <f ca="1">IFERROR(__xludf.DUMMYFUNCTION("""COMPUTED_VALUE"""),"#VALUE!")</f>
        <v>#VALUE!</v>
      </c>
      <c r="DC936" t="str">
        <f ca="1">IFERROR(__xludf.DUMMYFUNCTION("""COMPUTED_VALUE"""),"#VALUE!")</f>
        <v>#VALUE!</v>
      </c>
      <c r="DE936" t="str">
        <f ca="1">IFERROR(__xludf.DUMMYFUNCTION("""COMPUTED_VALUE"""),"#VALUE!")</f>
        <v>#VALUE!</v>
      </c>
    </row>
    <row r="937" spans="1:109" ht="13.2" x14ac:dyDescent="0.25">
      <c r="A937" t="str">
        <f ca="1">IFERROR(__xludf.DUMMYFUNCTION("""COMPUTED_VALUE"""),"P0946")</f>
        <v>P0946</v>
      </c>
      <c r="BC937" t="str">
        <f ca="1">IFERROR(__xludf.DUMMYFUNCTION("""COMPUTED_VALUE"""),"#VALUE!")</f>
        <v>#VALUE!</v>
      </c>
      <c r="BE937" t="str">
        <f ca="1">IFERROR(__xludf.DUMMYFUNCTION("""COMPUTED_VALUE"""),"#VALUE!")</f>
        <v>#VALUE!</v>
      </c>
      <c r="BG937" t="str">
        <f ca="1">IFERROR(__xludf.DUMMYFUNCTION("""COMPUTED_VALUE"""),"#VALUE!")</f>
        <v>#VALUE!</v>
      </c>
      <c r="BI937" t="str">
        <f ca="1">IFERROR(__xludf.DUMMYFUNCTION("""COMPUTED_VALUE"""),"#VALUE!")</f>
        <v>#VALUE!</v>
      </c>
      <c r="BK937" t="str">
        <f ca="1">IFERROR(__xludf.DUMMYFUNCTION("""COMPUTED_VALUE"""),"#VALUE!")</f>
        <v>#VALUE!</v>
      </c>
      <c r="BM937" t="str">
        <f ca="1">IFERROR(__xludf.DUMMYFUNCTION("""COMPUTED_VALUE"""),"#VALUE!")</f>
        <v>#VALUE!</v>
      </c>
      <c r="CS937" t="str">
        <f ca="1">IFERROR(__xludf.DUMMYFUNCTION("""COMPUTED_VALUE"""),"#VALUE!")</f>
        <v>#VALUE!</v>
      </c>
      <c r="CU937" t="str">
        <f ca="1">IFERROR(__xludf.DUMMYFUNCTION("""COMPUTED_VALUE"""),"#VALUE!")</f>
        <v>#VALUE!</v>
      </c>
      <c r="CW937" t="str">
        <f ca="1">IFERROR(__xludf.DUMMYFUNCTION("""COMPUTED_VALUE"""),"#VALUE!")</f>
        <v>#VALUE!</v>
      </c>
      <c r="CY937" t="str">
        <f ca="1">IFERROR(__xludf.DUMMYFUNCTION("""COMPUTED_VALUE"""),"#VALUE!")</f>
        <v>#VALUE!</v>
      </c>
      <c r="DC937" t="str">
        <f ca="1">IFERROR(__xludf.DUMMYFUNCTION("""COMPUTED_VALUE"""),"#VALUE!")</f>
        <v>#VALUE!</v>
      </c>
      <c r="DE937" t="str">
        <f ca="1">IFERROR(__xludf.DUMMYFUNCTION("""COMPUTED_VALUE"""),"#VALUE!")</f>
        <v>#VALUE!</v>
      </c>
    </row>
    <row r="938" spans="1:109" ht="13.2" x14ac:dyDescent="0.25">
      <c r="A938" t="str">
        <f ca="1">IFERROR(__xludf.DUMMYFUNCTION("""COMPUTED_VALUE"""),"P0947")</f>
        <v>P0947</v>
      </c>
      <c r="BC938" t="str">
        <f ca="1">IFERROR(__xludf.DUMMYFUNCTION("""COMPUTED_VALUE"""),"#VALUE!")</f>
        <v>#VALUE!</v>
      </c>
      <c r="BE938" t="str">
        <f ca="1">IFERROR(__xludf.DUMMYFUNCTION("""COMPUTED_VALUE"""),"#VALUE!")</f>
        <v>#VALUE!</v>
      </c>
      <c r="BG938" t="str">
        <f ca="1">IFERROR(__xludf.DUMMYFUNCTION("""COMPUTED_VALUE"""),"#VALUE!")</f>
        <v>#VALUE!</v>
      </c>
      <c r="BI938" t="str">
        <f ca="1">IFERROR(__xludf.DUMMYFUNCTION("""COMPUTED_VALUE"""),"#VALUE!")</f>
        <v>#VALUE!</v>
      </c>
      <c r="BK938" t="str">
        <f ca="1">IFERROR(__xludf.DUMMYFUNCTION("""COMPUTED_VALUE"""),"#VALUE!")</f>
        <v>#VALUE!</v>
      </c>
      <c r="BM938" t="str">
        <f ca="1">IFERROR(__xludf.DUMMYFUNCTION("""COMPUTED_VALUE"""),"#VALUE!")</f>
        <v>#VALUE!</v>
      </c>
      <c r="CS938" t="str">
        <f ca="1">IFERROR(__xludf.DUMMYFUNCTION("""COMPUTED_VALUE"""),"#VALUE!")</f>
        <v>#VALUE!</v>
      </c>
      <c r="CU938" t="str">
        <f ca="1">IFERROR(__xludf.DUMMYFUNCTION("""COMPUTED_VALUE"""),"#VALUE!")</f>
        <v>#VALUE!</v>
      </c>
      <c r="CW938" t="str">
        <f ca="1">IFERROR(__xludf.DUMMYFUNCTION("""COMPUTED_VALUE"""),"#VALUE!")</f>
        <v>#VALUE!</v>
      </c>
      <c r="CY938" t="str">
        <f ca="1">IFERROR(__xludf.DUMMYFUNCTION("""COMPUTED_VALUE"""),"#VALUE!")</f>
        <v>#VALUE!</v>
      </c>
      <c r="DC938" t="str">
        <f ca="1">IFERROR(__xludf.DUMMYFUNCTION("""COMPUTED_VALUE"""),"#VALUE!")</f>
        <v>#VALUE!</v>
      </c>
      <c r="DE938" t="str">
        <f ca="1">IFERROR(__xludf.DUMMYFUNCTION("""COMPUTED_VALUE"""),"#VALUE!")</f>
        <v>#VALUE!</v>
      </c>
    </row>
    <row r="939" spans="1:109" ht="13.2" x14ac:dyDescent="0.25">
      <c r="A939" t="str">
        <f ca="1">IFERROR(__xludf.DUMMYFUNCTION("""COMPUTED_VALUE"""),"P0948")</f>
        <v>P0948</v>
      </c>
      <c r="BC939" t="str">
        <f ca="1">IFERROR(__xludf.DUMMYFUNCTION("""COMPUTED_VALUE"""),"#VALUE!")</f>
        <v>#VALUE!</v>
      </c>
      <c r="BE939" t="str">
        <f ca="1">IFERROR(__xludf.DUMMYFUNCTION("""COMPUTED_VALUE"""),"#VALUE!")</f>
        <v>#VALUE!</v>
      </c>
      <c r="BG939" t="str">
        <f ca="1">IFERROR(__xludf.DUMMYFUNCTION("""COMPUTED_VALUE"""),"#VALUE!")</f>
        <v>#VALUE!</v>
      </c>
      <c r="BI939" t="str">
        <f ca="1">IFERROR(__xludf.DUMMYFUNCTION("""COMPUTED_VALUE"""),"#VALUE!")</f>
        <v>#VALUE!</v>
      </c>
      <c r="BK939" t="str">
        <f ca="1">IFERROR(__xludf.DUMMYFUNCTION("""COMPUTED_VALUE"""),"#VALUE!")</f>
        <v>#VALUE!</v>
      </c>
      <c r="BM939" t="str">
        <f ca="1">IFERROR(__xludf.DUMMYFUNCTION("""COMPUTED_VALUE"""),"#VALUE!")</f>
        <v>#VALUE!</v>
      </c>
      <c r="CS939" t="str">
        <f ca="1">IFERROR(__xludf.DUMMYFUNCTION("""COMPUTED_VALUE"""),"#VALUE!")</f>
        <v>#VALUE!</v>
      </c>
      <c r="CU939" t="str">
        <f ca="1">IFERROR(__xludf.DUMMYFUNCTION("""COMPUTED_VALUE"""),"#VALUE!")</f>
        <v>#VALUE!</v>
      </c>
      <c r="CW939" t="str">
        <f ca="1">IFERROR(__xludf.DUMMYFUNCTION("""COMPUTED_VALUE"""),"#VALUE!")</f>
        <v>#VALUE!</v>
      </c>
      <c r="CY939" t="str">
        <f ca="1">IFERROR(__xludf.DUMMYFUNCTION("""COMPUTED_VALUE"""),"#VALUE!")</f>
        <v>#VALUE!</v>
      </c>
      <c r="DC939" t="str">
        <f ca="1">IFERROR(__xludf.DUMMYFUNCTION("""COMPUTED_VALUE"""),"#VALUE!")</f>
        <v>#VALUE!</v>
      </c>
      <c r="DE939" t="str">
        <f ca="1">IFERROR(__xludf.DUMMYFUNCTION("""COMPUTED_VALUE"""),"#VALUE!")</f>
        <v>#VALUE!</v>
      </c>
    </row>
    <row r="940" spans="1:109" ht="13.2" x14ac:dyDescent="0.25">
      <c r="A940" t="str">
        <f ca="1">IFERROR(__xludf.DUMMYFUNCTION("""COMPUTED_VALUE"""),"P0949")</f>
        <v>P0949</v>
      </c>
      <c r="BC940" t="str">
        <f ca="1">IFERROR(__xludf.DUMMYFUNCTION("""COMPUTED_VALUE"""),"#VALUE!")</f>
        <v>#VALUE!</v>
      </c>
      <c r="BE940" t="str">
        <f ca="1">IFERROR(__xludf.DUMMYFUNCTION("""COMPUTED_VALUE"""),"#VALUE!")</f>
        <v>#VALUE!</v>
      </c>
      <c r="BG940" t="str">
        <f ca="1">IFERROR(__xludf.DUMMYFUNCTION("""COMPUTED_VALUE"""),"#VALUE!")</f>
        <v>#VALUE!</v>
      </c>
      <c r="BI940" t="str">
        <f ca="1">IFERROR(__xludf.DUMMYFUNCTION("""COMPUTED_VALUE"""),"#VALUE!")</f>
        <v>#VALUE!</v>
      </c>
      <c r="BK940" t="str">
        <f ca="1">IFERROR(__xludf.DUMMYFUNCTION("""COMPUTED_VALUE"""),"#VALUE!")</f>
        <v>#VALUE!</v>
      </c>
      <c r="BM940" t="str">
        <f ca="1">IFERROR(__xludf.DUMMYFUNCTION("""COMPUTED_VALUE"""),"#VALUE!")</f>
        <v>#VALUE!</v>
      </c>
      <c r="CS940" t="str">
        <f ca="1">IFERROR(__xludf.DUMMYFUNCTION("""COMPUTED_VALUE"""),"#VALUE!")</f>
        <v>#VALUE!</v>
      </c>
      <c r="CU940" t="str">
        <f ca="1">IFERROR(__xludf.DUMMYFUNCTION("""COMPUTED_VALUE"""),"#VALUE!")</f>
        <v>#VALUE!</v>
      </c>
      <c r="CW940" t="str">
        <f ca="1">IFERROR(__xludf.DUMMYFUNCTION("""COMPUTED_VALUE"""),"#VALUE!")</f>
        <v>#VALUE!</v>
      </c>
      <c r="CY940" t="str">
        <f ca="1">IFERROR(__xludf.DUMMYFUNCTION("""COMPUTED_VALUE"""),"#VALUE!")</f>
        <v>#VALUE!</v>
      </c>
      <c r="DC940" t="str">
        <f ca="1">IFERROR(__xludf.DUMMYFUNCTION("""COMPUTED_VALUE"""),"#VALUE!")</f>
        <v>#VALUE!</v>
      </c>
      <c r="DE940" t="str">
        <f ca="1">IFERROR(__xludf.DUMMYFUNCTION("""COMPUTED_VALUE"""),"#VALUE!")</f>
        <v>#VALUE!</v>
      </c>
    </row>
    <row r="941" spans="1:109" ht="13.2" x14ac:dyDescent="0.25">
      <c r="A941" t="str">
        <f ca="1">IFERROR(__xludf.DUMMYFUNCTION("""COMPUTED_VALUE"""),"P0950")</f>
        <v>P0950</v>
      </c>
      <c r="BC941" t="str">
        <f ca="1">IFERROR(__xludf.DUMMYFUNCTION("""COMPUTED_VALUE"""),"#VALUE!")</f>
        <v>#VALUE!</v>
      </c>
      <c r="BE941" t="str">
        <f ca="1">IFERROR(__xludf.DUMMYFUNCTION("""COMPUTED_VALUE"""),"#VALUE!")</f>
        <v>#VALUE!</v>
      </c>
      <c r="BG941" t="str">
        <f ca="1">IFERROR(__xludf.DUMMYFUNCTION("""COMPUTED_VALUE"""),"#VALUE!")</f>
        <v>#VALUE!</v>
      </c>
      <c r="BI941" t="str">
        <f ca="1">IFERROR(__xludf.DUMMYFUNCTION("""COMPUTED_VALUE"""),"#VALUE!")</f>
        <v>#VALUE!</v>
      </c>
      <c r="BK941" t="str">
        <f ca="1">IFERROR(__xludf.DUMMYFUNCTION("""COMPUTED_VALUE"""),"#VALUE!")</f>
        <v>#VALUE!</v>
      </c>
      <c r="BM941" t="str">
        <f ca="1">IFERROR(__xludf.DUMMYFUNCTION("""COMPUTED_VALUE"""),"#VALUE!")</f>
        <v>#VALUE!</v>
      </c>
      <c r="CS941" t="str">
        <f ca="1">IFERROR(__xludf.DUMMYFUNCTION("""COMPUTED_VALUE"""),"#VALUE!")</f>
        <v>#VALUE!</v>
      </c>
      <c r="CU941" t="str">
        <f ca="1">IFERROR(__xludf.DUMMYFUNCTION("""COMPUTED_VALUE"""),"#VALUE!")</f>
        <v>#VALUE!</v>
      </c>
      <c r="CW941" t="str">
        <f ca="1">IFERROR(__xludf.DUMMYFUNCTION("""COMPUTED_VALUE"""),"#VALUE!")</f>
        <v>#VALUE!</v>
      </c>
      <c r="CY941" t="str">
        <f ca="1">IFERROR(__xludf.DUMMYFUNCTION("""COMPUTED_VALUE"""),"#VALUE!")</f>
        <v>#VALUE!</v>
      </c>
      <c r="DC941" t="str">
        <f ca="1">IFERROR(__xludf.DUMMYFUNCTION("""COMPUTED_VALUE"""),"#VALUE!")</f>
        <v>#VALUE!</v>
      </c>
      <c r="DE941" t="str">
        <f ca="1">IFERROR(__xludf.DUMMYFUNCTION("""COMPUTED_VALUE"""),"#VALUE!")</f>
        <v>#VALUE!</v>
      </c>
    </row>
    <row r="942" spans="1:109" ht="13.2" x14ac:dyDescent="0.25">
      <c r="A942" t="str">
        <f ca="1">IFERROR(__xludf.DUMMYFUNCTION("""COMPUTED_VALUE"""),"P0951")</f>
        <v>P0951</v>
      </c>
      <c r="BC942" t="str">
        <f ca="1">IFERROR(__xludf.DUMMYFUNCTION("""COMPUTED_VALUE"""),"#VALUE!")</f>
        <v>#VALUE!</v>
      </c>
      <c r="BE942" t="str">
        <f ca="1">IFERROR(__xludf.DUMMYFUNCTION("""COMPUTED_VALUE"""),"#VALUE!")</f>
        <v>#VALUE!</v>
      </c>
      <c r="BG942" t="str">
        <f ca="1">IFERROR(__xludf.DUMMYFUNCTION("""COMPUTED_VALUE"""),"#VALUE!")</f>
        <v>#VALUE!</v>
      </c>
      <c r="BI942" t="str">
        <f ca="1">IFERROR(__xludf.DUMMYFUNCTION("""COMPUTED_VALUE"""),"#VALUE!")</f>
        <v>#VALUE!</v>
      </c>
      <c r="BK942" t="str">
        <f ca="1">IFERROR(__xludf.DUMMYFUNCTION("""COMPUTED_VALUE"""),"#VALUE!")</f>
        <v>#VALUE!</v>
      </c>
      <c r="BM942" t="str">
        <f ca="1">IFERROR(__xludf.DUMMYFUNCTION("""COMPUTED_VALUE"""),"#VALUE!")</f>
        <v>#VALUE!</v>
      </c>
      <c r="CS942" t="str">
        <f ca="1">IFERROR(__xludf.DUMMYFUNCTION("""COMPUTED_VALUE"""),"#VALUE!")</f>
        <v>#VALUE!</v>
      </c>
      <c r="CU942" t="str">
        <f ca="1">IFERROR(__xludf.DUMMYFUNCTION("""COMPUTED_VALUE"""),"#VALUE!")</f>
        <v>#VALUE!</v>
      </c>
      <c r="CW942" t="str">
        <f ca="1">IFERROR(__xludf.DUMMYFUNCTION("""COMPUTED_VALUE"""),"#VALUE!")</f>
        <v>#VALUE!</v>
      </c>
      <c r="CY942" t="str">
        <f ca="1">IFERROR(__xludf.DUMMYFUNCTION("""COMPUTED_VALUE"""),"#VALUE!")</f>
        <v>#VALUE!</v>
      </c>
      <c r="DC942" t="str">
        <f ca="1">IFERROR(__xludf.DUMMYFUNCTION("""COMPUTED_VALUE"""),"#VALUE!")</f>
        <v>#VALUE!</v>
      </c>
      <c r="DE942" t="str">
        <f ca="1">IFERROR(__xludf.DUMMYFUNCTION("""COMPUTED_VALUE"""),"#VALUE!")</f>
        <v>#VALUE!</v>
      </c>
    </row>
    <row r="943" spans="1:109" ht="13.2" x14ac:dyDescent="0.25">
      <c r="A943" t="str">
        <f ca="1">IFERROR(__xludf.DUMMYFUNCTION("""COMPUTED_VALUE"""),"P0952")</f>
        <v>P0952</v>
      </c>
      <c r="BC943" t="str">
        <f ca="1">IFERROR(__xludf.DUMMYFUNCTION("""COMPUTED_VALUE"""),"#VALUE!")</f>
        <v>#VALUE!</v>
      </c>
      <c r="BE943" t="str">
        <f ca="1">IFERROR(__xludf.DUMMYFUNCTION("""COMPUTED_VALUE"""),"#VALUE!")</f>
        <v>#VALUE!</v>
      </c>
      <c r="BG943" t="str">
        <f ca="1">IFERROR(__xludf.DUMMYFUNCTION("""COMPUTED_VALUE"""),"#VALUE!")</f>
        <v>#VALUE!</v>
      </c>
      <c r="BI943" t="str">
        <f ca="1">IFERROR(__xludf.DUMMYFUNCTION("""COMPUTED_VALUE"""),"#VALUE!")</f>
        <v>#VALUE!</v>
      </c>
      <c r="BK943" t="str">
        <f ca="1">IFERROR(__xludf.DUMMYFUNCTION("""COMPUTED_VALUE"""),"#VALUE!")</f>
        <v>#VALUE!</v>
      </c>
      <c r="BM943" t="str">
        <f ca="1">IFERROR(__xludf.DUMMYFUNCTION("""COMPUTED_VALUE"""),"#VALUE!")</f>
        <v>#VALUE!</v>
      </c>
      <c r="CS943" t="str">
        <f ca="1">IFERROR(__xludf.DUMMYFUNCTION("""COMPUTED_VALUE"""),"#VALUE!")</f>
        <v>#VALUE!</v>
      </c>
      <c r="CU943" t="str">
        <f ca="1">IFERROR(__xludf.DUMMYFUNCTION("""COMPUTED_VALUE"""),"#VALUE!")</f>
        <v>#VALUE!</v>
      </c>
      <c r="CW943" t="str">
        <f ca="1">IFERROR(__xludf.DUMMYFUNCTION("""COMPUTED_VALUE"""),"#VALUE!")</f>
        <v>#VALUE!</v>
      </c>
      <c r="CY943" t="str">
        <f ca="1">IFERROR(__xludf.DUMMYFUNCTION("""COMPUTED_VALUE"""),"#VALUE!")</f>
        <v>#VALUE!</v>
      </c>
      <c r="DC943" t="str">
        <f ca="1">IFERROR(__xludf.DUMMYFUNCTION("""COMPUTED_VALUE"""),"#VALUE!")</f>
        <v>#VALUE!</v>
      </c>
      <c r="DE943" t="str">
        <f ca="1">IFERROR(__xludf.DUMMYFUNCTION("""COMPUTED_VALUE"""),"#VALUE!")</f>
        <v>#VALUE!</v>
      </c>
    </row>
    <row r="944" spans="1:109" ht="13.2" x14ac:dyDescent="0.25">
      <c r="A944" t="str">
        <f ca="1">IFERROR(__xludf.DUMMYFUNCTION("""COMPUTED_VALUE"""),"P0953")</f>
        <v>P0953</v>
      </c>
      <c r="BC944" t="str">
        <f ca="1">IFERROR(__xludf.DUMMYFUNCTION("""COMPUTED_VALUE"""),"#VALUE!")</f>
        <v>#VALUE!</v>
      </c>
      <c r="BE944" t="str">
        <f ca="1">IFERROR(__xludf.DUMMYFUNCTION("""COMPUTED_VALUE"""),"#VALUE!")</f>
        <v>#VALUE!</v>
      </c>
      <c r="BG944" t="str">
        <f ca="1">IFERROR(__xludf.DUMMYFUNCTION("""COMPUTED_VALUE"""),"#VALUE!")</f>
        <v>#VALUE!</v>
      </c>
      <c r="BI944" t="str">
        <f ca="1">IFERROR(__xludf.DUMMYFUNCTION("""COMPUTED_VALUE"""),"#VALUE!")</f>
        <v>#VALUE!</v>
      </c>
      <c r="BK944" t="str">
        <f ca="1">IFERROR(__xludf.DUMMYFUNCTION("""COMPUTED_VALUE"""),"#VALUE!")</f>
        <v>#VALUE!</v>
      </c>
      <c r="BM944" t="str">
        <f ca="1">IFERROR(__xludf.DUMMYFUNCTION("""COMPUTED_VALUE"""),"#VALUE!")</f>
        <v>#VALUE!</v>
      </c>
      <c r="CS944" t="str">
        <f ca="1">IFERROR(__xludf.DUMMYFUNCTION("""COMPUTED_VALUE"""),"#VALUE!")</f>
        <v>#VALUE!</v>
      </c>
      <c r="CU944" t="str">
        <f ca="1">IFERROR(__xludf.DUMMYFUNCTION("""COMPUTED_VALUE"""),"#VALUE!")</f>
        <v>#VALUE!</v>
      </c>
      <c r="CW944" t="str">
        <f ca="1">IFERROR(__xludf.DUMMYFUNCTION("""COMPUTED_VALUE"""),"#VALUE!")</f>
        <v>#VALUE!</v>
      </c>
      <c r="CY944" t="str">
        <f ca="1">IFERROR(__xludf.DUMMYFUNCTION("""COMPUTED_VALUE"""),"#VALUE!")</f>
        <v>#VALUE!</v>
      </c>
      <c r="DC944" t="str">
        <f ca="1">IFERROR(__xludf.DUMMYFUNCTION("""COMPUTED_VALUE"""),"#VALUE!")</f>
        <v>#VALUE!</v>
      </c>
      <c r="DE944" t="str">
        <f ca="1">IFERROR(__xludf.DUMMYFUNCTION("""COMPUTED_VALUE"""),"#VALUE!")</f>
        <v>#VALUE!</v>
      </c>
    </row>
    <row r="945" spans="1:109" ht="13.2" x14ac:dyDescent="0.25">
      <c r="A945" t="str">
        <f ca="1">IFERROR(__xludf.DUMMYFUNCTION("""COMPUTED_VALUE"""),"P0954")</f>
        <v>P0954</v>
      </c>
      <c r="BC945" t="str">
        <f ca="1">IFERROR(__xludf.DUMMYFUNCTION("""COMPUTED_VALUE"""),"#VALUE!")</f>
        <v>#VALUE!</v>
      </c>
      <c r="BE945" t="str">
        <f ca="1">IFERROR(__xludf.DUMMYFUNCTION("""COMPUTED_VALUE"""),"#VALUE!")</f>
        <v>#VALUE!</v>
      </c>
      <c r="BG945" t="str">
        <f ca="1">IFERROR(__xludf.DUMMYFUNCTION("""COMPUTED_VALUE"""),"#VALUE!")</f>
        <v>#VALUE!</v>
      </c>
      <c r="BI945" t="str">
        <f ca="1">IFERROR(__xludf.DUMMYFUNCTION("""COMPUTED_VALUE"""),"#VALUE!")</f>
        <v>#VALUE!</v>
      </c>
      <c r="BK945" t="str">
        <f ca="1">IFERROR(__xludf.DUMMYFUNCTION("""COMPUTED_VALUE"""),"#VALUE!")</f>
        <v>#VALUE!</v>
      </c>
      <c r="BM945" t="str">
        <f ca="1">IFERROR(__xludf.DUMMYFUNCTION("""COMPUTED_VALUE"""),"#VALUE!")</f>
        <v>#VALUE!</v>
      </c>
      <c r="CS945" t="str">
        <f ca="1">IFERROR(__xludf.DUMMYFUNCTION("""COMPUTED_VALUE"""),"#VALUE!")</f>
        <v>#VALUE!</v>
      </c>
      <c r="CU945" t="str">
        <f ca="1">IFERROR(__xludf.DUMMYFUNCTION("""COMPUTED_VALUE"""),"#VALUE!")</f>
        <v>#VALUE!</v>
      </c>
      <c r="CW945" t="str">
        <f ca="1">IFERROR(__xludf.DUMMYFUNCTION("""COMPUTED_VALUE"""),"#VALUE!")</f>
        <v>#VALUE!</v>
      </c>
      <c r="CY945" t="str">
        <f ca="1">IFERROR(__xludf.DUMMYFUNCTION("""COMPUTED_VALUE"""),"#VALUE!")</f>
        <v>#VALUE!</v>
      </c>
      <c r="DC945" t="str">
        <f ca="1">IFERROR(__xludf.DUMMYFUNCTION("""COMPUTED_VALUE"""),"#VALUE!")</f>
        <v>#VALUE!</v>
      </c>
      <c r="DE945" t="str">
        <f ca="1">IFERROR(__xludf.DUMMYFUNCTION("""COMPUTED_VALUE"""),"#VALUE!")</f>
        <v>#VALUE!</v>
      </c>
    </row>
    <row r="946" spans="1:109" ht="13.2" x14ac:dyDescent="0.25">
      <c r="A946" t="str">
        <f ca="1">IFERROR(__xludf.DUMMYFUNCTION("""COMPUTED_VALUE"""),"P0955")</f>
        <v>P0955</v>
      </c>
      <c r="BC946" t="str">
        <f ca="1">IFERROR(__xludf.DUMMYFUNCTION("""COMPUTED_VALUE"""),"#VALUE!")</f>
        <v>#VALUE!</v>
      </c>
      <c r="BE946" t="str">
        <f ca="1">IFERROR(__xludf.DUMMYFUNCTION("""COMPUTED_VALUE"""),"#VALUE!")</f>
        <v>#VALUE!</v>
      </c>
      <c r="BG946" t="str">
        <f ca="1">IFERROR(__xludf.DUMMYFUNCTION("""COMPUTED_VALUE"""),"#VALUE!")</f>
        <v>#VALUE!</v>
      </c>
      <c r="BI946" t="str">
        <f ca="1">IFERROR(__xludf.DUMMYFUNCTION("""COMPUTED_VALUE"""),"#VALUE!")</f>
        <v>#VALUE!</v>
      </c>
      <c r="BK946" t="str">
        <f ca="1">IFERROR(__xludf.DUMMYFUNCTION("""COMPUTED_VALUE"""),"#VALUE!")</f>
        <v>#VALUE!</v>
      </c>
      <c r="BM946" t="str">
        <f ca="1">IFERROR(__xludf.DUMMYFUNCTION("""COMPUTED_VALUE"""),"#VALUE!")</f>
        <v>#VALUE!</v>
      </c>
      <c r="CS946" t="str">
        <f ca="1">IFERROR(__xludf.DUMMYFUNCTION("""COMPUTED_VALUE"""),"#VALUE!")</f>
        <v>#VALUE!</v>
      </c>
      <c r="CU946" t="str">
        <f ca="1">IFERROR(__xludf.DUMMYFUNCTION("""COMPUTED_VALUE"""),"#VALUE!")</f>
        <v>#VALUE!</v>
      </c>
      <c r="CW946" t="str">
        <f ca="1">IFERROR(__xludf.DUMMYFUNCTION("""COMPUTED_VALUE"""),"#VALUE!")</f>
        <v>#VALUE!</v>
      </c>
      <c r="CY946" t="str">
        <f ca="1">IFERROR(__xludf.DUMMYFUNCTION("""COMPUTED_VALUE"""),"#VALUE!")</f>
        <v>#VALUE!</v>
      </c>
      <c r="DC946" t="str">
        <f ca="1">IFERROR(__xludf.DUMMYFUNCTION("""COMPUTED_VALUE"""),"#VALUE!")</f>
        <v>#VALUE!</v>
      </c>
      <c r="DE946" t="str">
        <f ca="1">IFERROR(__xludf.DUMMYFUNCTION("""COMPUTED_VALUE"""),"#VALUE!")</f>
        <v>#VALUE!</v>
      </c>
    </row>
    <row r="947" spans="1:109" ht="13.2" x14ac:dyDescent="0.25">
      <c r="A947" t="str">
        <f ca="1">IFERROR(__xludf.DUMMYFUNCTION("""COMPUTED_VALUE"""),"P0956")</f>
        <v>P0956</v>
      </c>
      <c r="BC947" t="str">
        <f ca="1">IFERROR(__xludf.DUMMYFUNCTION("""COMPUTED_VALUE"""),"#VALUE!")</f>
        <v>#VALUE!</v>
      </c>
      <c r="BE947" t="str">
        <f ca="1">IFERROR(__xludf.DUMMYFUNCTION("""COMPUTED_VALUE"""),"#VALUE!")</f>
        <v>#VALUE!</v>
      </c>
      <c r="BG947" t="str">
        <f ca="1">IFERROR(__xludf.DUMMYFUNCTION("""COMPUTED_VALUE"""),"#VALUE!")</f>
        <v>#VALUE!</v>
      </c>
      <c r="BI947" t="str">
        <f ca="1">IFERROR(__xludf.DUMMYFUNCTION("""COMPUTED_VALUE"""),"#VALUE!")</f>
        <v>#VALUE!</v>
      </c>
      <c r="BK947" t="str">
        <f ca="1">IFERROR(__xludf.DUMMYFUNCTION("""COMPUTED_VALUE"""),"#VALUE!")</f>
        <v>#VALUE!</v>
      </c>
      <c r="BM947" t="str">
        <f ca="1">IFERROR(__xludf.DUMMYFUNCTION("""COMPUTED_VALUE"""),"#VALUE!")</f>
        <v>#VALUE!</v>
      </c>
      <c r="CS947" t="str">
        <f ca="1">IFERROR(__xludf.DUMMYFUNCTION("""COMPUTED_VALUE"""),"#VALUE!")</f>
        <v>#VALUE!</v>
      </c>
      <c r="CU947" t="str">
        <f ca="1">IFERROR(__xludf.DUMMYFUNCTION("""COMPUTED_VALUE"""),"#VALUE!")</f>
        <v>#VALUE!</v>
      </c>
      <c r="CW947" t="str">
        <f ca="1">IFERROR(__xludf.DUMMYFUNCTION("""COMPUTED_VALUE"""),"#VALUE!")</f>
        <v>#VALUE!</v>
      </c>
      <c r="CY947" t="str">
        <f ca="1">IFERROR(__xludf.DUMMYFUNCTION("""COMPUTED_VALUE"""),"#VALUE!")</f>
        <v>#VALUE!</v>
      </c>
      <c r="DC947" t="str">
        <f ca="1">IFERROR(__xludf.DUMMYFUNCTION("""COMPUTED_VALUE"""),"#VALUE!")</f>
        <v>#VALUE!</v>
      </c>
      <c r="DE947" t="str">
        <f ca="1">IFERROR(__xludf.DUMMYFUNCTION("""COMPUTED_VALUE"""),"#VALUE!")</f>
        <v>#VALUE!</v>
      </c>
    </row>
    <row r="948" spans="1:109" ht="13.2" x14ac:dyDescent="0.25">
      <c r="A948" t="str">
        <f ca="1">IFERROR(__xludf.DUMMYFUNCTION("""COMPUTED_VALUE"""),"P0957")</f>
        <v>P0957</v>
      </c>
      <c r="BC948" t="str">
        <f ca="1">IFERROR(__xludf.DUMMYFUNCTION("""COMPUTED_VALUE"""),"#VALUE!")</f>
        <v>#VALUE!</v>
      </c>
      <c r="BE948" t="str">
        <f ca="1">IFERROR(__xludf.DUMMYFUNCTION("""COMPUTED_VALUE"""),"#VALUE!")</f>
        <v>#VALUE!</v>
      </c>
      <c r="BG948" t="str">
        <f ca="1">IFERROR(__xludf.DUMMYFUNCTION("""COMPUTED_VALUE"""),"#VALUE!")</f>
        <v>#VALUE!</v>
      </c>
      <c r="BI948" t="str">
        <f ca="1">IFERROR(__xludf.DUMMYFUNCTION("""COMPUTED_VALUE"""),"#VALUE!")</f>
        <v>#VALUE!</v>
      </c>
      <c r="BK948" t="str">
        <f ca="1">IFERROR(__xludf.DUMMYFUNCTION("""COMPUTED_VALUE"""),"#VALUE!")</f>
        <v>#VALUE!</v>
      </c>
      <c r="BM948" t="str">
        <f ca="1">IFERROR(__xludf.DUMMYFUNCTION("""COMPUTED_VALUE"""),"#VALUE!")</f>
        <v>#VALUE!</v>
      </c>
      <c r="CS948" t="str">
        <f ca="1">IFERROR(__xludf.DUMMYFUNCTION("""COMPUTED_VALUE"""),"#VALUE!")</f>
        <v>#VALUE!</v>
      </c>
      <c r="CU948" t="str">
        <f ca="1">IFERROR(__xludf.DUMMYFUNCTION("""COMPUTED_VALUE"""),"#VALUE!")</f>
        <v>#VALUE!</v>
      </c>
      <c r="CW948" t="str">
        <f ca="1">IFERROR(__xludf.DUMMYFUNCTION("""COMPUTED_VALUE"""),"#VALUE!")</f>
        <v>#VALUE!</v>
      </c>
      <c r="CY948" t="str">
        <f ca="1">IFERROR(__xludf.DUMMYFUNCTION("""COMPUTED_VALUE"""),"#VALUE!")</f>
        <v>#VALUE!</v>
      </c>
      <c r="DC948" t="str">
        <f ca="1">IFERROR(__xludf.DUMMYFUNCTION("""COMPUTED_VALUE"""),"#VALUE!")</f>
        <v>#VALUE!</v>
      </c>
      <c r="DE948" t="str">
        <f ca="1">IFERROR(__xludf.DUMMYFUNCTION("""COMPUTED_VALUE"""),"#VALUE!")</f>
        <v>#VALUE!</v>
      </c>
    </row>
    <row r="949" spans="1:109" ht="13.2" x14ac:dyDescent="0.25">
      <c r="A949" t="str">
        <f ca="1">IFERROR(__xludf.DUMMYFUNCTION("""COMPUTED_VALUE"""),"P0958")</f>
        <v>P0958</v>
      </c>
      <c r="BC949" t="str">
        <f ca="1">IFERROR(__xludf.DUMMYFUNCTION("""COMPUTED_VALUE"""),"#VALUE!")</f>
        <v>#VALUE!</v>
      </c>
      <c r="BE949" t="str">
        <f ca="1">IFERROR(__xludf.DUMMYFUNCTION("""COMPUTED_VALUE"""),"#VALUE!")</f>
        <v>#VALUE!</v>
      </c>
      <c r="BG949" t="str">
        <f ca="1">IFERROR(__xludf.DUMMYFUNCTION("""COMPUTED_VALUE"""),"#VALUE!")</f>
        <v>#VALUE!</v>
      </c>
      <c r="BI949" t="str">
        <f ca="1">IFERROR(__xludf.DUMMYFUNCTION("""COMPUTED_VALUE"""),"#VALUE!")</f>
        <v>#VALUE!</v>
      </c>
      <c r="BK949" t="str">
        <f ca="1">IFERROR(__xludf.DUMMYFUNCTION("""COMPUTED_VALUE"""),"#VALUE!")</f>
        <v>#VALUE!</v>
      </c>
      <c r="BM949" t="str">
        <f ca="1">IFERROR(__xludf.DUMMYFUNCTION("""COMPUTED_VALUE"""),"#VALUE!")</f>
        <v>#VALUE!</v>
      </c>
      <c r="CS949" t="str">
        <f ca="1">IFERROR(__xludf.DUMMYFUNCTION("""COMPUTED_VALUE"""),"#VALUE!")</f>
        <v>#VALUE!</v>
      </c>
      <c r="CU949" t="str">
        <f ca="1">IFERROR(__xludf.DUMMYFUNCTION("""COMPUTED_VALUE"""),"#VALUE!")</f>
        <v>#VALUE!</v>
      </c>
      <c r="CW949" t="str">
        <f ca="1">IFERROR(__xludf.DUMMYFUNCTION("""COMPUTED_VALUE"""),"#VALUE!")</f>
        <v>#VALUE!</v>
      </c>
      <c r="CY949" t="str">
        <f ca="1">IFERROR(__xludf.DUMMYFUNCTION("""COMPUTED_VALUE"""),"#VALUE!")</f>
        <v>#VALUE!</v>
      </c>
      <c r="DC949" t="str">
        <f ca="1">IFERROR(__xludf.DUMMYFUNCTION("""COMPUTED_VALUE"""),"#VALUE!")</f>
        <v>#VALUE!</v>
      </c>
      <c r="DE949" t="str">
        <f ca="1">IFERROR(__xludf.DUMMYFUNCTION("""COMPUTED_VALUE"""),"#VALUE!")</f>
        <v>#VALUE!</v>
      </c>
    </row>
    <row r="950" spans="1:109" ht="13.2" x14ac:dyDescent="0.25">
      <c r="A950" t="str">
        <f ca="1">IFERROR(__xludf.DUMMYFUNCTION("""COMPUTED_VALUE"""),"P0959")</f>
        <v>P0959</v>
      </c>
      <c r="BC950" t="str">
        <f ca="1">IFERROR(__xludf.DUMMYFUNCTION("""COMPUTED_VALUE"""),"#VALUE!")</f>
        <v>#VALUE!</v>
      </c>
      <c r="BE950" t="str">
        <f ca="1">IFERROR(__xludf.DUMMYFUNCTION("""COMPUTED_VALUE"""),"#VALUE!")</f>
        <v>#VALUE!</v>
      </c>
      <c r="BG950" t="str">
        <f ca="1">IFERROR(__xludf.DUMMYFUNCTION("""COMPUTED_VALUE"""),"#VALUE!")</f>
        <v>#VALUE!</v>
      </c>
      <c r="BI950" t="str">
        <f ca="1">IFERROR(__xludf.DUMMYFUNCTION("""COMPUTED_VALUE"""),"#VALUE!")</f>
        <v>#VALUE!</v>
      </c>
      <c r="BK950" t="str">
        <f ca="1">IFERROR(__xludf.DUMMYFUNCTION("""COMPUTED_VALUE"""),"#VALUE!")</f>
        <v>#VALUE!</v>
      </c>
      <c r="BM950" t="str">
        <f ca="1">IFERROR(__xludf.DUMMYFUNCTION("""COMPUTED_VALUE"""),"#VALUE!")</f>
        <v>#VALUE!</v>
      </c>
      <c r="CS950" t="str">
        <f ca="1">IFERROR(__xludf.DUMMYFUNCTION("""COMPUTED_VALUE"""),"#VALUE!")</f>
        <v>#VALUE!</v>
      </c>
      <c r="CU950" t="str">
        <f ca="1">IFERROR(__xludf.DUMMYFUNCTION("""COMPUTED_VALUE"""),"#VALUE!")</f>
        <v>#VALUE!</v>
      </c>
      <c r="CW950" t="str">
        <f ca="1">IFERROR(__xludf.DUMMYFUNCTION("""COMPUTED_VALUE"""),"#VALUE!")</f>
        <v>#VALUE!</v>
      </c>
      <c r="CY950" t="str">
        <f ca="1">IFERROR(__xludf.DUMMYFUNCTION("""COMPUTED_VALUE"""),"#VALUE!")</f>
        <v>#VALUE!</v>
      </c>
      <c r="DC950" t="str">
        <f ca="1">IFERROR(__xludf.DUMMYFUNCTION("""COMPUTED_VALUE"""),"#VALUE!")</f>
        <v>#VALUE!</v>
      </c>
      <c r="DE950" t="str">
        <f ca="1">IFERROR(__xludf.DUMMYFUNCTION("""COMPUTED_VALUE"""),"#VALUE!")</f>
        <v>#VALUE!</v>
      </c>
    </row>
    <row r="951" spans="1:109" ht="13.2" x14ac:dyDescent="0.25">
      <c r="A951" t="str">
        <f ca="1">IFERROR(__xludf.DUMMYFUNCTION("""COMPUTED_VALUE"""),"P0960")</f>
        <v>P0960</v>
      </c>
      <c r="BC951" t="str">
        <f ca="1">IFERROR(__xludf.DUMMYFUNCTION("""COMPUTED_VALUE"""),"#VALUE!")</f>
        <v>#VALUE!</v>
      </c>
      <c r="BE951" t="str">
        <f ca="1">IFERROR(__xludf.DUMMYFUNCTION("""COMPUTED_VALUE"""),"#VALUE!")</f>
        <v>#VALUE!</v>
      </c>
      <c r="BG951" t="str">
        <f ca="1">IFERROR(__xludf.DUMMYFUNCTION("""COMPUTED_VALUE"""),"#VALUE!")</f>
        <v>#VALUE!</v>
      </c>
      <c r="BI951" t="str">
        <f ca="1">IFERROR(__xludf.DUMMYFUNCTION("""COMPUTED_VALUE"""),"#VALUE!")</f>
        <v>#VALUE!</v>
      </c>
      <c r="BK951" t="str">
        <f ca="1">IFERROR(__xludf.DUMMYFUNCTION("""COMPUTED_VALUE"""),"#VALUE!")</f>
        <v>#VALUE!</v>
      </c>
      <c r="BM951" t="str">
        <f ca="1">IFERROR(__xludf.DUMMYFUNCTION("""COMPUTED_VALUE"""),"#VALUE!")</f>
        <v>#VALUE!</v>
      </c>
      <c r="CS951" t="str">
        <f ca="1">IFERROR(__xludf.DUMMYFUNCTION("""COMPUTED_VALUE"""),"#VALUE!")</f>
        <v>#VALUE!</v>
      </c>
      <c r="CU951" t="str">
        <f ca="1">IFERROR(__xludf.DUMMYFUNCTION("""COMPUTED_VALUE"""),"#VALUE!")</f>
        <v>#VALUE!</v>
      </c>
      <c r="CW951" t="str">
        <f ca="1">IFERROR(__xludf.DUMMYFUNCTION("""COMPUTED_VALUE"""),"#VALUE!")</f>
        <v>#VALUE!</v>
      </c>
      <c r="CY951" t="str">
        <f ca="1">IFERROR(__xludf.DUMMYFUNCTION("""COMPUTED_VALUE"""),"#VALUE!")</f>
        <v>#VALUE!</v>
      </c>
      <c r="DC951" t="str">
        <f ca="1">IFERROR(__xludf.DUMMYFUNCTION("""COMPUTED_VALUE"""),"#VALUE!")</f>
        <v>#VALUE!</v>
      </c>
      <c r="DE951" t="str">
        <f ca="1">IFERROR(__xludf.DUMMYFUNCTION("""COMPUTED_VALUE"""),"#VALUE!")</f>
        <v>#VALUE!</v>
      </c>
    </row>
    <row r="952" spans="1:109" ht="13.2" x14ac:dyDescent="0.25">
      <c r="A952" t="str">
        <f ca="1">IFERROR(__xludf.DUMMYFUNCTION("""COMPUTED_VALUE"""),"P0961")</f>
        <v>P0961</v>
      </c>
      <c r="BC952" t="str">
        <f ca="1">IFERROR(__xludf.DUMMYFUNCTION("""COMPUTED_VALUE"""),"#VALUE!")</f>
        <v>#VALUE!</v>
      </c>
      <c r="BE952" t="str">
        <f ca="1">IFERROR(__xludf.DUMMYFUNCTION("""COMPUTED_VALUE"""),"#VALUE!")</f>
        <v>#VALUE!</v>
      </c>
      <c r="BG952" t="str">
        <f ca="1">IFERROR(__xludf.DUMMYFUNCTION("""COMPUTED_VALUE"""),"#VALUE!")</f>
        <v>#VALUE!</v>
      </c>
      <c r="BI952" t="str">
        <f ca="1">IFERROR(__xludf.DUMMYFUNCTION("""COMPUTED_VALUE"""),"#VALUE!")</f>
        <v>#VALUE!</v>
      </c>
      <c r="BK952" t="str">
        <f ca="1">IFERROR(__xludf.DUMMYFUNCTION("""COMPUTED_VALUE"""),"#VALUE!")</f>
        <v>#VALUE!</v>
      </c>
      <c r="BM952" t="str">
        <f ca="1">IFERROR(__xludf.DUMMYFUNCTION("""COMPUTED_VALUE"""),"#VALUE!")</f>
        <v>#VALUE!</v>
      </c>
      <c r="CS952" t="str">
        <f ca="1">IFERROR(__xludf.DUMMYFUNCTION("""COMPUTED_VALUE"""),"#VALUE!")</f>
        <v>#VALUE!</v>
      </c>
      <c r="CU952" t="str">
        <f ca="1">IFERROR(__xludf.DUMMYFUNCTION("""COMPUTED_VALUE"""),"#VALUE!")</f>
        <v>#VALUE!</v>
      </c>
      <c r="CW952" t="str">
        <f ca="1">IFERROR(__xludf.DUMMYFUNCTION("""COMPUTED_VALUE"""),"#VALUE!")</f>
        <v>#VALUE!</v>
      </c>
      <c r="CY952" t="str">
        <f ca="1">IFERROR(__xludf.DUMMYFUNCTION("""COMPUTED_VALUE"""),"#VALUE!")</f>
        <v>#VALUE!</v>
      </c>
      <c r="DC952" t="str">
        <f ca="1">IFERROR(__xludf.DUMMYFUNCTION("""COMPUTED_VALUE"""),"#VALUE!")</f>
        <v>#VALUE!</v>
      </c>
      <c r="DE952" t="str">
        <f ca="1">IFERROR(__xludf.DUMMYFUNCTION("""COMPUTED_VALUE"""),"#VALUE!")</f>
        <v>#VALUE!</v>
      </c>
    </row>
    <row r="953" spans="1:109" ht="13.2" x14ac:dyDescent="0.25">
      <c r="A953" t="str">
        <f ca="1">IFERROR(__xludf.DUMMYFUNCTION("""COMPUTED_VALUE"""),"P0962")</f>
        <v>P0962</v>
      </c>
      <c r="BC953" t="str">
        <f ca="1">IFERROR(__xludf.DUMMYFUNCTION("""COMPUTED_VALUE"""),"#VALUE!")</f>
        <v>#VALUE!</v>
      </c>
      <c r="BE953" t="str">
        <f ca="1">IFERROR(__xludf.DUMMYFUNCTION("""COMPUTED_VALUE"""),"#VALUE!")</f>
        <v>#VALUE!</v>
      </c>
      <c r="BG953" t="str">
        <f ca="1">IFERROR(__xludf.DUMMYFUNCTION("""COMPUTED_VALUE"""),"#VALUE!")</f>
        <v>#VALUE!</v>
      </c>
      <c r="BI953" t="str">
        <f ca="1">IFERROR(__xludf.DUMMYFUNCTION("""COMPUTED_VALUE"""),"#VALUE!")</f>
        <v>#VALUE!</v>
      </c>
      <c r="BK953" t="str">
        <f ca="1">IFERROR(__xludf.DUMMYFUNCTION("""COMPUTED_VALUE"""),"#VALUE!")</f>
        <v>#VALUE!</v>
      </c>
      <c r="BM953" t="str">
        <f ca="1">IFERROR(__xludf.DUMMYFUNCTION("""COMPUTED_VALUE"""),"#VALUE!")</f>
        <v>#VALUE!</v>
      </c>
      <c r="CS953" t="str">
        <f ca="1">IFERROR(__xludf.DUMMYFUNCTION("""COMPUTED_VALUE"""),"#VALUE!")</f>
        <v>#VALUE!</v>
      </c>
      <c r="CU953" t="str">
        <f ca="1">IFERROR(__xludf.DUMMYFUNCTION("""COMPUTED_VALUE"""),"#VALUE!")</f>
        <v>#VALUE!</v>
      </c>
      <c r="CW953" t="str">
        <f ca="1">IFERROR(__xludf.DUMMYFUNCTION("""COMPUTED_VALUE"""),"#VALUE!")</f>
        <v>#VALUE!</v>
      </c>
      <c r="CY953" t="str">
        <f ca="1">IFERROR(__xludf.DUMMYFUNCTION("""COMPUTED_VALUE"""),"#VALUE!")</f>
        <v>#VALUE!</v>
      </c>
      <c r="DC953" t="str">
        <f ca="1">IFERROR(__xludf.DUMMYFUNCTION("""COMPUTED_VALUE"""),"#VALUE!")</f>
        <v>#VALUE!</v>
      </c>
      <c r="DE953" t="str">
        <f ca="1">IFERROR(__xludf.DUMMYFUNCTION("""COMPUTED_VALUE"""),"#VALUE!")</f>
        <v>#VALUE!</v>
      </c>
    </row>
    <row r="954" spans="1:109" ht="13.2" x14ac:dyDescent="0.25">
      <c r="A954" t="str">
        <f ca="1">IFERROR(__xludf.DUMMYFUNCTION("""COMPUTED_VALUE"""),"P0963")</f>
        <v>P0963</v>
      </c>
      <c r="BC954" t="str">
        <f ca="1">IFERROR(__xludf.DUMMYFUNCTION("""COMPUTED_VALUE"""),"#VALUE!")</f>
        <v>#VALUE!</v>
      </c>
      <c r="BE954" t="str">
        <f ca="1">IFERROR(__xludf.DUMMYFUNCTION("""COMPUTED_VALUE"""),"#VALUE!")</f>
        <v>#VALUE!</v>
      </c>
      <c r="BG954" t="str">
        <f ca="1">IFERROR(__xludf.DUMMYFUNCTION("""COMPUTED_VALUE"""),"#VALUE!")</f>
        <v>#VALUE!</v>
      </c>
      <c r="BI954" t="str">
        <f ca="1">IFERROR(__xludf.DUMMYFUNCTION("""COMPUTED_VALUE"""),"#VALUE!")</f>
        <v>#VALUE!</v>
      </c>
      <c r="BK954" t="str">
        <f ca="1">IFERROR(__xludf.DUMMYFUNCTION("""COMPUTED_VALUE"""),"#VALUE!")</f>
        <v>#VALUE!</v>
      </c>
      <c r="BM954" t="str">
        <f ca="1">IFERROR(__xludf.DUMMYFUNCTION("""COMPUTED_VALUE"""),"#VALUE!")</f>
        <v>#VALUE!</v>
      </c>
      <c r="CS954" t="str">
        <f ca="1">IFERROR(__xludf.DUMMYFUNCTION("""COMPUTED_VALUE"""),"#VALUE!")</f>
        <v>#VALUE!</v>
      </c>
      <c r="CU954" t="str">
        <f ca="1">IFERROR(__xludf.DUMMYFUNCTION("""COMPUTED_VALUE"""),"#VALUE!")</f>
        <v>#VALUE!</v>
      </c>
      <c r="CW954" t="str">
        <f ca="1">IFERROR(__xludf.DUMMYFUNCTION("""COMPUTED_VALUE"""),"#VALUE!")</f>
        <v>#VALUE!</v>
      </c>
      <c r="CY954" t="str">
        <f ca="1">IFERROR(__xludf.DUMMYFUNCTION("""COMPUTED_VALUE"""),"#VALUE!")</f>
        <v>#VALUE!</v>
      </c>
      <c r="DC954" t="str">
        <f ca="1">IFERROR(__xludf.DUMMYFUNCTION("""COMPUTED_VALUE"""),"#VALUE!")</f>
        <v>#VALUE!</v>
      </c>
      <c r="DE954" t="str">
        <f ca="1">IFERROR(__xludf.DUMMYFUNCTION("""COMPUTED_VALUE"""),"#VALUE!")</f>
        <v>#VALUE!</v>
      </c>
    </row>
    <row r="955" spans="1:109" ht="13.2" x14ac:dyDescent="0.25">
      <c r="A955" t="str">
        <f ca="1">IFERROR(__xludf.DUMMYFUNCTION("""COMPUTED_VALUE"""),"P0964")</f>
        <v>P0964</v>
      </c>
      <c r="BC955" t="str">
        <f ca="1">IFERROR(__xludf.DUMMYFUNCTION("""COMPUTED_VALUE"""),"#VALUE!")</f>
        <v>#VALUE!</v>
      </c>
      <c r="BE955" t="str">
        <f ca="1">IFERROR(__xludf.DUMMYFUNCTION("""COMPUTED_VALUE"""),"#VALUE!")</f>
        <v>#VALUE!</v>
      </c>
      <c r="BG955" t="str">
        <f ca="1">IFERROR(__xludf.DUMMYFUNCTION("""COMPUTED_VALUE"""),"#VALUE!")</f>
        <v>#VALUE!</v>
      </c>
      <c r="BI955" t="str">
        <f ca="1">IFERROR(__xludf.DUMMYFUNCTION("""COMPUTED_VALUE"""),"#VALUE!")</f>
        <v>#VALUE!</v>
      </c>
      <c r="BK955" t="str">
        <f ca="1">IFERROR(__xludf.DUMMYFUNCTION("""COMPUTED_VALUE"""),"#VALUE!")</f>
        <v>#VALUE!</v>
      </c>
      <c r="BM955" t="str">
        <f ca="1">IFERROR(__xludf.DUMMYFUNCTION("""COMPUTED_VALUE"""),"#VALUE!")</f>
        <v>#VALUE!</v>
      </c>
      <c r="CS955" t="str">
        <f ca="1">IFERROR(__xludf.DUMMYFUNCTION("""COMPUTED_VALUE"""),"#VALUE!")</f>
        <v>#VALUE!</v>
      </c>
      <c r="CU955" t="str">
        <f ca="1">IFERROR(__xludf.DUMMYFUNCTION("""COMPUTED_VALUE"""),"#VALUE!")</f>
        <v>#VALUE!</v>
      </c>
      <c r="CW955" t="str">
        <f ca="1">IFERROR(__xludf.DUMMYFUNCTION("""COMPUTED_VALUE"""),"#VALUE!")</f>
        <v>#VALUE!</v>
      </c>
      <c r="CY955" t="str">
        <f ca="1">IFERROR(__xludf.DUMMYFUNCTION("""COMPUTED_VALUE"""),"#VALUE!")</f>
        <v>#VALUE!</v>
      </c>
      <c r="DC955" t="str">
        <f ca="1">IFERROR(__xludf.DUMMYFUNCTION("""COMPUTED_VALUE"""),"#VALUE!")</f>
        <v>#VALUE!</v>
      </c>
      <c r="DE955" t="str">
        <f ca="1">IFERROR(__xludf.DUMMYFUNCTION("""COMPUTED_VALUE"""),"#VALUE!")</f>
        <v>#VALUE!</v>
      </c>
    </row>
    <row r="956" spans="1:109" ht="13.2" x14ac:dyDescent="0.25">
      <c r="A956" t="str">
        <f ca="1">IFERROR(__xludf.DUMMYFUNCTION("""COMPUTED_VALUE"""),"P0965")</f>
        <v>P0965</v>
      </c>
      <c r="BC956" t="str">
        <f ca="1">IFERROR(__xludf.DUMMYFUNCTION("""COMPUTED_VALUE"""),"#VALUE!")</f>
        <v>#VALUE!</v>
      </c>
      <c r="BE956" t="str">
        <f ca="1">IFERROR(__xludf.DUMMYFUNCTION("""COMPUTED_VALUE"""),"#VALUE!")</f>
        <v>#VALUE!</v>
      </c>
      <c r="BG956" t="str">
        <f ca="1">IFERROR(__xludf.DUMMYFUNCTION("""COMPUTED_VALUE"""),"#VALUE!")</f>
        <v>#VALUE!</v>
      </c>
      <c r="BI956" t="str">
        <f ca="1">IFERROR(__xludf.DUMMYFUNCTION("""COMPUTED_VALUE"""),"#VALUE!")</f>
        <v>#VALUE!</v>
      </c>
      <c r="BK956" t="str">
        <f ca="1">IFERROR(__xludf.DUMMYFUNCTION("""COMPUTED_VALUE"""),"#VALUE!")</f>
        <v>#VALUE!</v>
      </c>
      <c r="BM956" t="str">
        <f ca="1">IFERROR(__xludf.DUMMYFUNCTION("""COMPUTED_VALUE"""),"#VALUE!")</f>
        <v>#VALUE!</v>
      </c>
      <c r="CS956" t="str">
        <f ca="1">IFERROR(__xludf.DUMMYFUNCTION("""COMPUTED_VALUE"""),"#VALUE!")</f>
        <v>#VALUE!</v>
      </c>
      <c r="CU956" t="str">
        <f ca="1">IFERROR(__xludf.DUMMYFUNCTION("""COMPUTED_VALUE"""),"#VALUE!")</f>
        <v>#VALUE!</v>
      </c>
      <c r="CW956" t="str">
        <f ca="1">IFERROR(__xludf.DUMMYFUNCTION("""COMPUTED_VALUE"""),"#VALUE!")</f>
        <v>#VALUE!</v>
      </c>
      <c r="CY956" t="str">
        <f ca="1">IFERROR(__xludf.DUMMYFUNCTION("""COMPUTED_VALUE"""),"#VALUE!")</f>
        <v>#VALUE!</v>
      </c>
      <c r="DC956" t="str">
        <f ca="1">IFERROR(__xludf.DUMMYFUNCTION("""COMPUTED_VALUE"""),"#VALUE!")</f>
        <v>#VALUE!</v>
      </c>
      <c r="DE956" t="str">
        <f ca="1">IFERROR(__xludf.DUMMYFUNCTION("""COMPUTED_VALUE"""),"#VALUE!")</f>
        <v>#VALUE!</v>
      </c>
    </row>
    <row r="957" spans="1:109" ht="13.2" x14ac:dyDescent="0.25">
      <c r="A957" t="str">
        <f ca="1">IFERROR(__xludf.DUMMYFUNCTION("""COMPUTED_VALUE"""),"P0966")</f>
        <v>P0966</v>
      </c>
      <c r="BC957" t="str">
        <f ca="1">IFERROR(__xludf.DUMMYFUNCTION("""COMPUTED_VALUE"""),"#VALUE!")</f>
        <v>#VALUE!</v>
      </c>
      <c r="BE957" t="str">
        <f ca="1">IFERROR(__xludf.DUMMYFUNCTION("""COMPUTED_VALUE"""),"#VALUE!")</f>
        <v>#VALUE!</v>
      </c>
      <c r="BG957" t="str">
        <f ca="1">IFERROR(__xludf.DUMMYFUNCTION("""COMPUTED_VALUE"""),"#VALUE!")</f>
        <v>#VALUE!</v>
      </c>
      <c r="BI957" t="str">
        <f ca="1">IFERROR(__xludf.DUMMYFUNCTION("""COMPUTED_VALUE"""),"#VALUE!")</f>
        <v>#VALUE!</v>
      </c>
      <c r="BK957" t="str">
        <f ca="1">IFERROR(__xludf.DUMMYFUNCTION("""COMPUTED_VALUE"""),"#VALUE!")</f>
        <v>#VALUE!</v>
      </c>
      <c r="BM957" t="str">
        <f ca="1">IFERROR(__xludf.DUMMYFUNCTION("""COMPUTED_VALUE"""),"#VALUE!")</f>
        <v>#VALUE!</v>
      </c>
      <c r="CS957" t="str">
        <f ca="1">IFERROR(__xludf.DUMMYFUNCTION("""COMPUTED_VALUE"""),"#VALUE!")</f>
        <v>#VALUE!</v>
      </c>
      <c r="CU957" t="str">
        <f ca="1">IFERROR(__xludf.DUMMYFUNCTION("""COMPUTED_VALUE"""),"#VALUE!")</f>
        <v>#VALUE!</v>
      </c>
      <c r="CW957" t="str">
        <f ca="1">IFERROR(__xludf.DUMMYFUNCTION("""COMPUTED_VALUE"""),"#VALUE!")</f>
        <v>#VALUE!</v>
      </c>
      <c r="CY957" t="str">
        <f ca="1">IFERROR(__xludf.DUMMYFUNCTION("""COMPUTED_VALUE"""),"#VALUE!")</f>
        <v>#VALUE!</v>
      </c>
      <c r="DC957" t="str">
        <f ca="1">IFERROR(__xludf.DUMMYFUNCTION("""COMPUTED_VALUE"""),"#VALUE!")</f>
        <v>#VALUE!</v>
      </c>
      <c r="DE957" t="str">
        <f ca="1">IFERROR(__xludf.DUMMYFUNCTION("""COMPUTED_VALUE"""),"#VALUE!")</f>
        <v>#VALUE!</v>
      </c>
    </row>
    <row r="958" spans="1:109" ht="13.2" x14ac:dyDescent="0.25">
      <c r="A958" t="str">
        <f ca="1">IFERROR(__xludf.DUMMYFUNCTION("""COMPUTED_VALUE"""),"P0967")</f>
        <v>P0967</v>
      </c>
      <c r="BC958" t="str">
        <f ca="1">IFERROR(__xludf.DUMMYFUNCTION("""COMPUTED_VALUE"""),"#VALUE!")</f>
        <v>#VALUE!</v>
      </c>
      <c r="BE958" t="str">
        <f ca="1">IFERROR(__xludf.DUMMYFUNCTION("""COMPUTED_VALUE"""),"#VALUE!")</f>
        <v>#VALUE!</v>
      </c>
      <c r="BG958" t="str">
        <f ca="1">IFERROR(__xludf.DUMMYFUNCTION("""COMPUTED_VALUE"""),"#VALUE!")</f>
        <v>#VALUE!</v>
      </c>
      <c r="BI958" t="str">
        <f ca="1">IFERROR(__xludf.DUMMYFUNCTION("""COMPUTED_VALUE"""),"#VALUE!")</f>
        <v>#VALUE!</v>
      </c>
      <c r="BK958" t="str">
        <f ca="1">IFERROR(__xludf.DUMMYFUNCTION("""COMPUTED_VALUE"""),"#VALUE!")</f>
        <v>#VALUE!</v>
      </c>
      <c r="BM958" t="str">
        <f ca="1">IFERROR(__xludf.DUMMYFUNCTION("""COMPUTED_VALUE"""),"#VALUE!")</f>
        <v>#VALUE!</v>
      </c>
      <c r="CS958" t="str">
        <f ca="1">IFERROR(__xludf.DUMMYFUNCTION("""COMPUTED_VALUE"""),"#VALUE!")</f>
        <v>#VALUE!</v>
      </c>
      <c r="CU958" t="str">
        <f ca="1">IFERROR(__xludf.DUMMYFUNCTION("""COMPUTED_VALUE"""),"#VALUE!")</f>
        <v>#VALUE!</v>
      </c>
      <c r="CW958" t="str">
        <f ca="1">IFERROR(__xludf.DUMMYFUNCTION("""COMPUTED_VALUE"""),"#VALUE!")</f>
        <v>#VALUE!</v>
      </c>
      <c r="CY958" t="str">
        <f ca="1">IFERROR(__xludf.DUMMYFUNCTION("""COMPUTED_VALUE"""),"#VALUE!")</f>
        <v>#VALUE!</v>
      </c>
      <c r="DC958" t="str">
        <f ca="1">IFERROR(__xludf.DUMMYFUNCTION("""COMPUTED_VALUE"""),"#VALUE!")</f>
        <v>#VALUE!</v>
      </c>
      <c r="DE958" t="str">
        <f ca="1">IFERROR(__xludf.DUMMYFUNCTION("""COMPUTED_VALUE"""),"#VALUE!")</f>
        <v>#VALUE!</v>
      </c>
    </row>
    <row r="959" spans="1:109" ht="13.2" x14ac:dyDescent="0.25">
      <c r="A959" t="str">
        <f ca="1">IFERROR(__xludf.DUMMYFUNCTION("""COMPUTED_VALUE"""),"P0968")</f>
        <v>P0968</v>
      </c>
      <c r="BC959" t="str">
        <f ca="1">IFERROR(__xludf.DUMMYFUNCTION("""COMPUTED_VALUE"""),"#VALUE!")</f>
        <v>#VALUE!</v>
      </c>
      <c r="BE959" t="str">
        <f ca="1">IFERROR(__xludf.DUMMYFUNCTION("""COMPUTED_VALUE"""),"#VALUE!")</f>
        <v>#VALUE!</v>
      </c>
      <c r="BG959" t="str">
        <f ca="1">IFERROR(__xludf.DUMMYFUNCTION("""COMPUTED_VALUE"""),"#VALUE!")</f>
        <v>#VALUE!</v>
      </c>
      <c r="BI959" t="str">
        <f ca="1">IFERROR(__xludf.DUMMYFUNCTION("""COMPUTED_VALUE"""),"#VALUE!")</f>
        <v>#VALUE!</v>
      </c>
      <c r="BK959" t="str">
        <f ca="1">IFERROR(__xludf.DUMMYFUNCTION("""COMPUTED_VALUE"""),"#VALUE!")</f>
        <v>#VALUE!</v>
      </c>
      <c r="BM959" t="str">
        <f ca="1">IFERROR(__xludf.DUMMYFUNCTION("""COMPUTED_VALUE"""),"#VALUE!")</f>
        <v>#VALUE!</v>
      </c>
      <c r="CS959" t="str">
        <f ca="1">IFERROR(__xludf.DUMMYFUNCTION("""COMPUTED_VALUE"""),"#VALUE!")</f>
        <v>#VALUE!</v>
      </c>
      <c r="CU959" t="str">
        <f ca="1">IFERROR(__xludf.DUMMYFUNCTION("""COMPUTED_VALUE"""),"#VALUE!")</f>
        <v>#VALUE!</v>
      </c>
      <c r="CW959" t="str">
        <f ca="1">IFERROR(__xludf.DUMMYFUNCTION("""COMPUTED_VALUE"""),"#VALUE!")</f>
        <v>#VALUE!</v>
      </c>
      <c r="CY959" t="str">
        <f ca="1">IFERROR(__xludf.DUMMYFUNCTION("""COMPUTED_VALUE"""),"#VALUE!")</f>
        <v>#VALUE!</v>
      </c>
      <c r="DC959" t="str">
        <f ca="1">IFERROR(__xludf.DUMMYFUNCTION("""COMPUTED_VALUE"""),"#VALUE!")</f>
        <v>#VALUE!</v>
      </c>
      <c r="DE959" t="str">
        <f ca="1">IFERROR(__xludf.DUMMYFUNCTION("""COMPUTED_VALUE"""),"#VALUE!")</f>
        <v>#VALUE!</v>
      </c>
    </row>
    <row r="960" spans="1:109" ht="13.2" x14ac:dyDescent="0.25">
      <c r="A960" t="str">
        <f ca="1">IFERROR(__xludf.DUMMYFUNCTION("""COMPUTED_VALUE"""),"P0969")</f>
        <v>P0969</v>
      </c>
      <c r="BC960" t="str">
        <f ca="1">IFERROR(__xludf.DUMMYFUNCTION("""COMPUTED_VALUE"""),"#VALUE!")</f>
        <v>#VALUE!</v>
      </c>
      <c r="BE960" t="str">
        <f ca="1">IFERROR(__xludf.DUMMYFUNCTION("""COMPUTED_VALUE"""),"#VALUE!")</f>
        <v>#VALUE!</v>
      </c>
      <c r="BG960" t="str">
        <f ca="1">IFERROR(__xludf.DUMMYFUNCTION("""COMPUTED_VALUE"""),"#VALUE!")</f>
        <v>#VALUE!</v>
      </c>
      <c r="BI960" t="str">
        <f ca="1">IFERROR(__xludf.DUMMYFUNCTION("""COMPUTED_VALUE"""),"#VALUE!")</f>
        <v>#VALUE!</v>
      </c>
      <c r="BK960" t="str">
        <f ca="1">IFERROR(__xludf.DUMMYFUNCTION("""COMPUTED_VALUE"""),"#VALUE!")</f>
        <v>#VALUE!</v>
      </c>
      <c r="BM960" t="str">
        <f ca="1">IFERROR(__xludf.DUMMYFUNCTION("""COMPUTED_VALUE"""),"#VALUE!")</f>
        <v>#VALUE!</v>
      </c>
      <c r="CS960" t="str">
        <f ca="1">IFERROR(__xludf.DUMMYFUNCTION("""COMPUTED_VALUE"""),"#VALUE!")</f>
        <v>#VALUE!</v>
      </c>
      <c r="CU960" t="str">
        <f ca="1">IFERROR(__xludf.DUMMYFUNCTION("""COMPUTED_VALUE"""),"#VALUE!")</f>
        <v>#VALUE!</v>
      </c>
      <c r="CW960" t="str">
        <f ca="1">IFERROR(__xludf.DUMMYFUNCTION("""COMPUTED_VALUE"""),"#VALUE!")</f>
        <v>#VALUE!</v>
      </c>
      <c r="CY960" t="str">
        <f ca="1">IFERROR(__xludf.DUMMYFUNCTION("""COMPUTED_VALUE"""),"#VALUE!")</f>
        <v>#VALUE!</v>
      </c>
      <c r="DC960" t="str">
        <f ca="1">IFERROR(__xludf.DUMMYFUNCTION("""COMPUTED_VALUE"""),"#VALUE!")</f>
        <v>#VALUE!</v>
      </c>
      <c r="DE960" t="str">
        <f ca="1">IFERROR(__xludf.DUMMYFUNCTION("""COMPUTED_VALUE"""),"#VALUE!")</f>
        <v>#VALUE!</v>
      </c>
    </row>
    <row r="961" spans="1:109" ht="13.2" x14ac:dyDescent="0.25">
      <c r="A961" t="str">
        <f ca="1">IFERROR(__xludf.DUMMYFUNCTION("""COMPUTED_VALUE"""),"P0970")</f>
        <v>P0970</v>
      </c>
      <c r="BC961" t="str">
        <f ca="1">IFERROR(__xludf.DUMMYFUNCTION("""COMPUTED_VALUE"""),"#VALUE!")</f>
        <v>#VALUE!</v>
      </c>
      <c r="BE961" t="str">
        <f ca="1">IFERROR(__xludf.DUMMYFUNCTION("""COMPUTED_VALUE"""),"#VALUE!")</f>
        <v>#VALUE!</v>
      </c>
      <c r="BG961" t="str">
        <f ca="1">IFERROR(__xludf.DUMMYFUNCTION("""COMPUTED_VALUE"""),"#VALUE!")</f>
        <v>#VALUE!</v>
      </c>
      <c r="BI961" t="str">
        <f ca="1">IFERROR(__xludf.DUMMYFUNCTION("""COMPUTED_VALUE"""),"#VALUE!")</f>
        <v>#VALUE!</v>
      </c>
      <c r="BK961" t="str">
        <f ca="1">IFERROR(__xludf.DUMMYFUNCTION("""COMPUTED_VALUE"""),"#VALUE!")</f>
        <v>#VALUE!</v>
      </c>
      <c r="BM961" t="str">
        <f ca="1">IFERROR(__xludf.DUMMYFUNCTION("""COMPUTED_VALUE"""),"#VALUE!")</f>
        <v>#VALUE!</v>
      </c>
      <c r="CS961" t="str">
        <f ca="1">IFERROR(__xludf.DUMMYFUNCTION("""COMPUTED_VALUE"""),"#VALUE!")</f>
        <v>#VALUE!</v>
      </c>
      <c r="CU961" t="str">
        <f ca="1">IFERROR(__xludf.DUMMYFUNCTION("""COMPUTED_VALUE"""),"#VALUE!")</f>
        <v>#VALUE!</v>
      </c>
      <c r="CW961" t="str">
        <f ca="1">IFERROR(__xludf.DUMMYFUNCTION("""COMPUTED_VALUE"""),"#VALUE!")</f>
        <v>#VALUE!</v>
      </c>
      <c r="CY961" t="str">
        <f ca="1">IFERROR(__xludf.DUMMYFUNCTION("""COMPUTED_VALUE"""),"#VALUE!")</f>
        <v>#VALUE!</v>
      </c>
      <c r="DC961" t="str">
        <f ca="1">IFERROR(__xludf.DUMMYFUNCTION("""COMPUTED_VALUE"""),"#VALUE!")</f>
        <v>#VALUE!</v>
      </c>
      <c r="DE961" t="str">
        <f ca="1">IFERROR(__xludf.DUMMYFUNCTION("""COMPUTED_VALUE"""),"#VALUE!")</f>
        <v>#VALUE!</v>
      </c>
    </row>
    <row r="962" spans="1:109" ht="13.2" x14ac:dyDescent="0.25">
      <c r="A962" t="str">
        <f ca="1">IFERROR(__xludf.DUMMYFUNCTION("""COMPUTED_VALUE"""),"P0971")</f>
        <v>P0971</v>
      </c>
      <c r="BC962" t="str">
        <f ca="1">IFERROR(__xludf.DUMMYFUNCTION("""COMPUTED_VALUE"""),"#VALUE!")</f>
        <v>#VALUE!</v>
      </c>
      <c r="BE962" t="str">
        <f ca="1">IFERROR(__xludf.DUMMYFUNCTION("""COMPUTED_VALUE"""),"#VALUE!")</f>
        <v>#VALUE!</v>
      </c>
      <c r="BG962" t="str">
        <f ca="1">IFERROR(__xludf.DUMMYFUNCTION("""COMPUTED_VALUE"""),"#VALUE!")</f>
        <v>#VALUE!</v>
      </c>
      <c r="BI962" t="str">
        <f ca="1">IFERROR(__xludf.DUMMYFUNCTION("""COMPUTED_VALUE"""),"#VALUE!")</f>
        <v>#VALUE!</v>
      </c>
      <c r="BK962" t="str">
        <f ca="1">IFERROR(__xludf.DUMMYFUNCTION("""COMPUTED_VALUE"""),"#VALUE!")</f>
        <v>#VALUE!</v>
      </c>
      <c r="BM962" t="str">
        <f ca="1">IFERROR(__xludf.DUMMYFUNCTION("""COMPUTED_VALUE"""),"#VALUE!")</f>
        <v>#VALUE!</v>
      </c>
      <c r="CS962" t="str">
        <f ca="1">IFERROR(__xludf.DUMMYFUNCTION("""COMPUTED_VALUE"""),"#VALUE!")</f>
        <v>#VALUE!</v>
      </c>
      <c r="CU962" t="str">
        <f ca="1">IFERROR(__xludf.DUMMYFUNCTION("""COMPUTED_VALUE"""),"#VALUE!")</f>
        <v>#VALUE!</v>
      </c>
      <c r="CW962" t="str">
        <f ca="1">IFERROR(__xludf.DUMMYFUNCTION("""COMPUTED_VALUE"""),"#VALUE!")</f>
        <v>#VALUE!</v>
      </c>
      <c r="CY962" t="str">
        <f ca="1">IFERROR(__xludf.DUMMYFUNCTION("""COMPUTED_VALUE"""),"#VALUE!")</f>
        <v>#VALUE!</v>
      </c>
      <c r="DC962" t="str">
        <f ca="1">IFERROR(__xludf.DUMMYFUNCTION("""COMPUTED_VALUE"""),"#VALUE!")</f>
        <v>#VALUE!</v>
      </c>
      <c r="DE962" t="str">
        <f ca="1">IFERROR(__xludf.DUMMYFUNCTION("""COMPUTED_VALUE"""),"#VALUE!")</f>
        <v>#VALUE!</v>
      </c>
    </row>
    <row r="963" spans="1:109" ht="13.2" x14ac:dyDescent="0.25">
      <c r="A963" t="str">
        <f ca="1">IFERROR(__xludf.DUMMYFUNCTION("""COMPUTED_VALUE"""),"P0972")</f>
        <v>P0972</v>
      </c>
      <c r="BC963" t="str">
        <f ca="1">IFERROR(__xludf.DUMMYFUNCTION("""COMPUTED_VALUE"""),"#VALUE!")</f>
        <v>#VALUE!</v>
      </c>
      <c r="BE963" t="str">
        <f ca="1">IFERROR(__xludf.DUMMYFUNCTION("""COMPUTED_VALUE"""),"#VALUE!")</f>
        <v>#VALUE!</v>
      </c>
      <c r="BG963" t="str">
        <f ca="1">IFERROR(__xludf.DUMMYFUNCTION("""COMPUTED_VALUE"""),"#VALUE!")</f>
        <v>#VALUE!</v>
      </c>
      <c r="BI963" t="str">
        <f ca="1">IFERROR(__xludf.DUMMYFUNCTION("""COMPUTED_VALUE"""),"#VALUE!")</f>
        <v>#VALUE!</v>
      </c>
      <c r="BK963" t="str">
        <f ca="1">IFERROR(__xludf.DUMMYFUNCTION("""COMPUTED_VALUE"""),"#VALUE!")</f>
        <v>#VALUE!</v>
      </c>
      <c r="BM963" t="str">
        <f ca="1">IFERROR(__xludf.DUMMYFUNCTION("""COMPUTED_VALUE"""),"#VALUE!")</f>
        <v>#VALUE!</v>
      </c>
      <c r="CS963" t="str">
        <f ca="1">IFERROR(__xludf.DUMMYFUNCTION("""COMPUTED_VALUE"""),"#VALUE!")</f>
        <v>#VALUE!</v>
      </c>
      <c r="CU963" t="str">
        <f ca="1">IFERROR(__xludf.DUMMYFUNCTION("""COMPUTED_VALUE"""),"#VALUE!")</f>
        <v>#VALUE!</v>
      </c>
      <c r="CW963" t="str">
        <f ca="1">IFERROR(__xludf.DUMMYFUNCTION("""COMPUTED_VALUE"""),"#VALUE!")</f>
        <v>#VALUE!</v>
      </c>
      <c r="CY963" t="str">
        <f ca="1">IFERROR(__xludf.DUMMYFUNCTION("""COMPUTED_VALUE"""),"#VALUE!")</f>
        <v>#VALUE!</v>
      </c>
      <c r="DC963" t="str">
        <f ca="1">IFERROR(__xludf.DUMMYFUNCTION("""COMPUTED_VALUE"""),"#VALUE!")</f>
        <v>#VALUE!</v>
      </c>
      <c r="DE963" t="str">
        <f ca="1">IFERROR(__xludf.DUMMYFUNCTION("""COMPUTED_VALUE"""),"#VALUE!")</f>
        <v>#VALUE!</v>
      </c>
    </row>
    <row r="964" spans="1:109" ht="13.2" x14ac:dyDescent="0.25">
      <c r="A964" t="str">
        <f ca="1">IFERROR(__xludf.DUMMYFUNCTION("""COMPUTED_VALUE"""),"P0973")</f>
        <v>P0973</v>
      </c>
      <c r="BC964" t="str">
        <f ca="1">IFERROR(__xludf.DUMMYFUNCTION("""COMPUTED_VALUE"""),"#VALUE!")</f>
        <v>#VALUE!</v>
      </c>
      <c r="BE964" t="str">
        <f ca="1">IFERROR(__xludf.DUMMYFUNCTION("""COMPUTED_VALUE"""),"#VALUE!")</f>
        <v>#VALUE!</v>
      </c>
      <c r="BG964" t="str">
        <f ca="1">IFERROR(__xludf.DUMMYFUNCTION("""COMPUTED_VALUE"""),"#VALUE!")</f>
        <v>#VALUE!</v>
      </c>
      <c r="BI964" t="str">
        <f ca="1">IFERROR(__xludf.DUMMYFUNCTION("""COMPUTED_VALUE"""),"#VALUE!")</f>
        <v>#VALUE!</v>
      </c>
      <c r="BK964" t="str">
        <f ca="1">IFERROR(__xludf.DUMMYFUNCTION("""COMPUTED_VALUE"""),"#VALUE!")</f>
        <v>#VALUE!</v>
      </c>
      <c r="BM964" t="str">
        <f ca="1">IFERROR(__xludf.DUMMYFUNCTION("""COMPUTED_VALUE"""),"#VALUE!")</f>
        <v>#VALUE!</v>
      </c>
      <c r="CS964" t="str">
        <f ca="1">IFERROR(__xludf.DUMMYFUNCTION("""COMPUTED_VALUE"""),"#VALUE!")</f>
        <v>#VALUE!</v>
      </c>
      <c r="CU964" t="str">
        <f ca="1">IFERROR(__xludf.DUMMYFUNCTION("""COMPUTED_VALUE"""),"#VALUE!")</f>
        <v>#VALUE!</v>
      </c>
      <c r="CW964" t="str">
        <f ca="1">IFERROR(__xludf.DUMMYFUNCTION("""COMPUTED_VALUE"""),"#VALUE!")</f>
        <v>#VALUE!</v>
      </c>
      <c r="CY964" t="str">
        <f ca="1">IFERROR(__xludf.DUMMYFUNCTION("""COMPUTED_VALUE"""),"#VALUE!")</f>
        <v>#VALUE!</v>
      </c>
      <c r="DC964" t="str">
        <f ca="1">IFERROR(__xludf.DUMMYFUNCTION("""COMPUTED_VALUE"""),"#VALUE!")</f>
        <v>#VALUE!</v>
      </c>
      <c r="DE964" t="str">
        <f ca="1">IFERROR(__xludf.DUMMYFUNCTION("""COMPUTED_VALUE"""),"#VALUE!")</f>
        <v>#VALUE!</v>
      </c>
    </row>
    <row r="965" spans="1:109" ht="13.2" x14ac:dyDescent="0.25">
      <c r="A965" t="str">
        <f ca="1">IFERROR(__xludf.DUMMYFUNCTION("""COMPUTED_VALUE"""),"P0974")</f>
        <v>P0974</v>
      </c>
      <c r="BC965" t="str">
        <f ca="1">IFERROR(__xludf.DUMMYFUNCTION("""COMPUTED_VALUE"""),"#VALUE!")</f>
        <v>#VALUE!</v>
      </c>
      <c r="BE965" t="str">
        <f ca="1">IFERROR(__xludf.DUMMYFUNCTION("""COMPUTED_VALUE"""),"#VALUE!")</f>
        <v>#VALUE!</v>
      </c>
      <c r="BG965" t="str">
        <f ca="1">IFERROR(__xludf.DUMMYFUNCTION("""COMPUTED_VALUE"""),"#VALUE!")</f>
        <v>#VALUE!</v>
      </c>
      <c r="BI965" t="str">
        <f ca="1">IFERROR(__xludf.DUMMYFUNCTION("""COMPUTED_VALUE"""),"#VALUE!")</f>
        <v>#VALUE!</v>
      </c>
      <c r="BK965" t="str">
        <f ca="1">IFERROR(__xludf.DUMMYFUNCTION("""COMPUTED_VALUE"""),"#VALUE!")</f>
        <v>#VALUE!</v>
      </c>
      <c r="BM965" t="str">
        <f ca="1">IFERROR(__xludf.DUMMYFUNCTION("""COMPUTED_VALUE"""),"#VALUE!")</f>
        <v>#VALUE!</v>
      </c>
      <c r="CS965" t="str">
        <f ca="1">IFERROR(__xludf.DUMMYFUNCTION("""COMPUTED_VALUE"""),"#VALUE!")</f>
        <v>#VALUE!</v>
      </c>
      <c r="CU965" t="str">
        <f ca="1">IFERROR(__xludf.DUMMYFUNCTION("""COMPUTED_VALUE"""),"#VALUE!")</f>
        <v>#VALUE!</v>
      </c>
      <c r="CW965" t="str">
        <f ca="1">IFERROR(__xludf.DUMMYFUNCTION("""COMPUTED_VALUE"""),"#VALUE!")</f>
        <v>#VALUE!</v>
      </c>
      <c r="CY965" t="str">
        <f ca="1">IFERROR(__xludf.DUMMYFUNCTION("""COMPUTED_VALUE"""),"#VALUE!")</f>
        <v>#VALUE!</v>
      </c>
      <c r="DC965" t="str">
        <f ca="1">IFERROR(__xludf.DUMMYFUNCTION("""COMPUTED_VALUE"""),"#VALUE!")</f>
        <v>#VALUE!</v>
      </c>
      <c r="DE965" t="str">
        <f ca="1">IFERROR(__xludf.DUMMYFUNCTION("""COMPUTED_VALUE"""),"#VALUE!")</f>
        <v>#VALUE!</v>
      </c>
    </row>
    <row r="966" spans="1:109" ht="13.2" x14ac:dyDescent="0.25">
      <c r="A966" t="str">
        <f ca="1">IFERROR(__xludf.DUMMYFUNCTION("""COMPUTED_VALUE"""),"P0975")</f>
        <v>P0975</v>
      </c>
      <c r="BC966" t="str">
        <f ca="1">IFERROR(__xludf.DUMMYFUNCTION("""COMPUTED_VALUE"""),"#VALUE!")</f>
        <v>#VALUE!</v>
      </c>
      <c r="BE966" t="str">
        <f ca="1">IFERROR(__xludf.DUMMYFUNCTION("""COMPUTED_VALUE"""),"#VALUE!")</f>
        <v>#VALUE!</v>
      </c>
      <c r="BG966" t="str">
        <f ca="1">IFERROR(__xludf.DUMMYFUNCTION("""COMPUTED_VALUE"""),"#VALUE!")</f>
        <v>#VALUE!</v>
      </c>
      <c r="BI966" t="str">
        <f ca="1">IFERROR(__xludf.DUMMYFUNCTION("""COMPUTED_VALUE"""),"#VALUE!")</f>
        <v>#VALUE!</v>
      </c>
      <c r="BK966" t="str">
        <f ca="1">IFERROR(__xludf.DUMMYFUNCTION("""COMPUTED_VALUE"""),"#VALUE!")</f>
        <v>#VALUE!</v>
      </c>
      <c r="BM966" t="str">
        <f ca="1">IFERROR(__xludf.DUMMYFUNCTION("""COMPUTED_VALUE"""),"#VALUE!")</f>
        <v>#VALUE!</v>
      </c>
      <c r="CS966" t="str">
        <f ca="1">IFERROR(__xludf.DUMMYFUNCTION("""COMPUTED_VALUE"""),"#VALUE!")</f>
        <v>#VALUE!</v>
      </c>
      <c r="CU966" t="str">
        <f ca="1">IFERROR(__xludf.DUMMYFUNCTION("""COMPUTED_VALUE"""),"#VALUE!")</f>
        <v>#VALUE!</v>
      </c>
      <c r="CW966" t="str">
        <f ca="1">IFERROR(__xludf.DUMMYFUNCTION("""COMPUTED_VALUE"""),"#VALUE!")</f>
        <v>#VALUE!</v>
      </c>
      <c r="CY966" t="str">
        <f ca="1">IFERROR(__xludf.DUMMYFUNCTION("""COMPUTED_VALUE"""),"#VALUE!")</f>
        <v>#VALUE!</v>
      </c>
      <c r="DC966" t="str">
        <f ca="1">IFERROR(__xludf.DUMMYFUNCTION("""COMPUTED_VALUE"""),"#VALUE!")</f>
        <v>#VALUE!</v>
      </c>
      <c r="DE966" t="str">
        <f ca="1">IFERROR(__xludf.DUMMYFUNCTION("""COMPUTED_VALUE"""),"#VALUE!")</f>
        <v>#VALUE!</v>
      </c>
    </row>
    <row r="967" spans="1:109" ht="13.2" x14ac:dyDescent="0.25">
      <c r="A967" t="str">
        <f ca="1">IFERROR(__xludf.DUMMYFUNCTION("""COMPUTED_VALUE"""),"P0976")</f>
        <v>P0976</v>
      </c>
      <c r="BC967" t="str">
        <f ca="1">IFERROR(__xludf.DUMMYFUNCTION("""COMPUTED_VALUE"""),"#VALUE!")</f>
        <v>#VALUE!</v>
      </c>
      <c r="BE967" t="str">
        <f ca="1">IFERROR(__xludf.DUMMYFUNCTION("""COMPUTED_VALUE"""),"#VALUE!")</f>
        <v>#VALUE!</v>
      </c>
      <c r="BG967" t="str">
        <f ca="1">IFERROR(__xludf.DUMMYFUNCTION("""COMPUTED_VALUE"""),"#VALUE!")</f>
        <v>#VALUE!</v>
      </c>
      <c r="BI967" t="str">
        <f ca="1">IFERROR(__xludf.DUMMYFUNCTION("""COMPUTED_VALUE"""),"#VALUE!")</f>
        <v>#VALUE!</v>
      </c>
      <c r="BK967" t="str">
        <f ca="1">IFERROR(__xludf.DUMMYFUNCTION("""COMPUTED_VALUE"""),"#VALUE!")</f>
        <v>#VALUE!</v>
      </c>
      <c r="BM967" t="str">
        <f ca="1">IFERROR(__xludf.DUMMYFUNCTION("""COMPUTED_VALUE"""),"#VALUE!")</f>
        <v>#VALUE!</v>
      </c>
      <c r="CS967" t="str">
        <f ca="1">IFERROR(__xludf.DUMMYFUNCTION("""COMPUTED_VALUE"""),"#VALUE!")</f>
        <v>#VALUE!</v>
      </c>
      <c r="CU967" t="str">
        <f ca="1">IFERROR(__xludf.DUMMYFUNCTION("""COMPUTED_VALUE"""),"#VALUE!")</f>
        <v>#VALUE!</v>
      </c>
      <c r="CW967" t="str">
        <f ca="1">IFERROR(__xludf.DUMMYFUNCTION("""COMPUTED_VALUE"""),"#VALUE!")</f>
        <v>#VALUE!</v>
      </c>
      <c r="CY967" t="str">
        <f ca="1">IFERROR(__xludf.DUMMYFUNCTION("""COMPUTED_VALUE"""),"#VALUE!")</f>
        <v>#VALUE!</v>
      </c>
      <c r="DC967" t="str">
        <f ca="1">IFERROR(__xludf.DUMMYFUNCTION("""COMPUTED_VALUE"""),"#VALUE!")</f>
        <v>#VALUE!</v>
      </c>
      <c r="DE967" t="str">
        <f ca="1">IFERROR(__xludf.DUMMYFUNCTION("""COMPUTED_VALUE"""),"#VALUE!")</f>
        <v>#VALUE!</v>
      </c>
    </row>
    <row r="968" spans="1:109" ht="13.2" x14ac:dyDescent="0.25">
      <c r="A968" t="str">
        <f ca="1">IFERROR(__xludf.DUMMYFUNCTION("""COMPUTED_VALUE"""),"P0977")</f>
        <v>P0977</v>
      </c>
      <c r="BC968" t="str">
        <f ca="1">IFERROR(__xludf.DUMMYFUNCTION("""COMPUTED_VALUE"""),"#VALUE!")</f>
        <v>#VALUE!</v>
      </c>
      <c r="BE968" t="str">
        <f ca="1">IFERROR(__xludf.DUMMYFUNCTION("""COMPUTED_VALUE"""),"#VALUE!")</f>
        <v>#VALUE!</v>
      </c>
      <c r="BG968" t="str">
        <f ca="1">IFERROR(__xludf.DUMMYFUNCTION("""COMPUTED_VALUE"""),"#VALUE!")</f>
        <v>#VALUE!</v>
      </c>
      <c r="BI968" t="str">
        <f ca="1">IFERROR(__xludf.DUMMYFUNCTION("""COMPUTED_VALUE"""),"#VALUE!")</f>
        <v>#VALUE!</v>
      </c>
      <c r="BK968" t="str">
        <f ca="1">IFERROR(__xludf.DUMMYFUNCTION("""COMPUTED_VALUE"""),"#VALUE!")</f>
        <v>#VALUE!</v>
      </c>
      <c r="BM968" t="str">
        <f ca="1">IFERROR(__xludf.DUMMYFUNCTION("""COMPUTED_VALUE"""),"#VALUE!")</f>
        <v>#VALUE!</v>
      </c>
      <c r="CS968" t="str">
        <f ca="1">IFERROR(__xludf.DUMMYFUNCTION("""COMPUTED_VALUE"""),"#VALUE!")</f>
        <v>#VALUE!</v>
      </c>
      <c r="CU968" t="str">
        <f ca="1">IFERROR(__xludf.DUMMYFUNCTION("""COMPUTED_VALUE"""),"#VALUE!")</f>
        <v>#VALUE!</v>
      </c>
      <c r="CW968" t="str">
        <f ca="1">IFERROR(__xludf.DUMMYFUNCTION("""COMPUTED_VALUE"""),"#VALUE!")</f>
        <v>#VALUE!</v>
      </c>
      <c r="CY968" t="str">
        <f ca="1">IFERROR(__xludf.DUMMYFUNCTION("""COMPUTED_VALUE"""),"#VALUE!")</f>
        <v>#VALUE!</v>
      </c>
      <c r="DC968" t="str">
        <f ca="1">IFERROR(__xludf.DUMMYFUNCTION("""COMPUTED_VALUE"""),"#VALUE!")</f>
        <v>#VALUE!</v>
      </c>
      <c r="DE968" t="str">
        <f ca="1">IFERROR(__xludf.DUMMYFUNCTION("""COMPUTED_VALUE"""),"#VALUE!")</f>
        <v>#VALUE!</v>
      </c>
    </row>
    <row r="969" spans="1:109" ht="13.2" x14ac:dyDescent="0.25">
      <c r="A969" t="str">
        <f ca="1">IFERROR(__xludf.DUMMYFUNCTION("""COMPUTED_VALUE"""),"P0978")</f>
        <v>P0978</v>
      </c>
      <c r="BC969" t="str">
        <f ca="1">IFERROR(__xludf.DUMMYFUNCTION("""COMPUTED_VALUE"""),"#VALUE!")</f>
        <v>#VALUE!</v>
      </c>
      <c r="BE969" t="str">
        <f ca="1">IFERROR(__xludf.DUMMYFUNCTION("""COMPUTED_VALUE"""),"#VALUE!")</f>
        <v>#VALUE!</v>
      </c>
      <c r="BG969" t="str">
        <f ca="1">IFERROR(__xludf.DUMMYFUNCTION("""COMPUTED_VALUE"""),"#VALUE!")</f>
        <v>#VALUE!</v>
      </c>
      <c r="BI969" t="str">
        <f ca="1">IFERROR(__xludf.DUMMYFUNCTION("""COMPUTED_VALUE"""),"#VALUE!")</f>
        <v>#VALUE!</v>
      </c>
      <c r="BK969" t="str">
        <f ca="1">IFERROR(__xludf.DUMMYFUNCTION("""COMPUTED_VALUE"""),"#VALUE!")</f>
        <v>#VALUE!</v>
      </c>
      <c r="BM969" t="str">
        <f ca="1">IFERROR(__xludf.DUMMYFUNCTION("""COMPUTED_VALUE"""),"#VALUE!")</f>
        <v>#VALUE!</v>
      </c>
      <c r="CS969" t="str">
        <f ca="1">IFERROR(__xludf.DUMMYFUNCTION("""COMPUTED_VALUE"""),"#VALUE!")</f>
        <v>#VALUE!</v>
      </c>
      <c r="CU969" t="str">
        <f ca="1">IFERROR(__xludf.DUMMYFUNCTION("""COMPUTED_VALUE"""),"#VALUE!")</f>
        <v>#VALUE!</v>
      </c>
      <c r="CW969" t="str">
        <f ca="1">IFERROR(__xludf.DUMMYFUNCTION("""COMPUTED_VALUE"""),"#VALUE!")</f>
        <v>#VALUE!</v>
      </c>
      <c r="CY969" t="str">
        <f ca="1">IFERROR(__xludf.DUMMYFUNCTION("""COMPUTED_VALUE"""),"#VALUE!")</f>
        <v>#VALUE!</v>
      </c>
      <c r="DC969" t="str">
        <f ca="1">IFERROR(__xludf.DUMMYFUNCTION("""COMPUTED_VALUE"""),"#VALUE!")</f>
        <v>#VALUE!</v>
      </c>
      <c r="DE969" t="str">
        <f ca="1">IFERROR(__xludf.DUMMYFUNCTION("""COMPUTED_VALUE"""),"#VALUE!")</f>
        <v>#VALUE!</v>
      </c>
    </row>
    <row r="970" spans="1:109" ht="13.2" x14ac:dyDescent="0.25">
      <c r="A970" t="str">
        <f ca="1">IFERROR(__xludf.DUMMYFUNCTION("""COMPUTED_VALUE"""),"P0979")</f>
        <v>P0979</v>
      </c>
      <c r="BC970" t="str">
        <f ca="1">IFERROR(__xludf.DUMMYFUNCTION("""COMPUTED_VALUE"""),"#VALUE!")</f>
        <v>#VALUE!</v>
      </c>
      <c r="BE970" t="str">
        <f ca="1">IFERROR(__xludf.DUMMYFUNCTION("""COMPUTED_VALUE"""),"#VALUE!")</f>
        <v>#VALUE!</v>
      </c>
      <c r="BG970" t="str">
        <f ca="1">IFERROR(__xludf.DUMMYFUNCTION("""COMPUTED_VALUE"""),"#VALUE!")</f>
        <v>#VALUE!</v>
      </c>
      <c r="BI970" t="str">
        <f ca="1">IFERROR(__xludf.DUMMYFUNCTION("""COMPUTED_VALUE"""),"#VALUE!")</f>
        <v>#VALUE!</v>
      </c>
      <c r="BK970" t="str">
        <f ca="1">IFERROR(__xludf.DUMMYFUNCTION("""COMPUTED_VALUE"""),"#VALUE!")</f>
        <v>#VALUE!</v>
      </c>
      <c r="BM970" t="str">
        <f ca="1">IFERROR(__xludf.DUMMYFUNCTION("""COMPUTED_VALUE"""),"#VALUE!")</f>
        <v>#VALUE!</v>
      </c>
      <c r="CS970" t="str">
        <f ca="1">IFERROR(__xludf.DUMMYFUNCTION("""COMPUTED_VALUE"""),"#VALUE!")</f>
        <v>#VALUE!</v>
      </c>
      <c r="CU970" t="str">
        <f ca="1">IFERROR(__xludf.DUMMYFUNCTION("""COMPUTED_VALUE"""),"#VALUE!")</f>
        <v>#VALUE!</v>
      </c>
      <c r="CW970" t="str">
        <f ca="1">IFERROR(__xludf.DUMMYFUNCTION("""COMPUTED_VALUE"""),"#VALUE!")</f>
        <v>#VALUE!</v>
      </c>
      <c r="CY970" t="str">
        <f ca="1">IFERROR(__xludf.DUMMYFUNCTION("""COMPUTED_VALUE"""),"#VALUE!")</f>
        <v>#VALUE!</v>
      </c>
      <c r="DC970" t="str">
        <f ca="1">IFERROR(__xludf.DUMMYFUNCTION("""COMPUTED_VALUE"""),"#VALUE!")</f>
        <v>#VALUE!</v>
      </c>
      <c r="DE970" t="str">
        <f ca="1">IFERROR(__xludf.DUMMYFUNCTION("""COMPUTED_VALUE"""),"#VALUE!")</f>
        <v>#VALUE!</v>
      </c>
    </row>
    <row r="971" spans="1:109" ht="13.2" x14ac:dyDescent="0.25">
      <c r="A971" t="str">
        <f ca="1">IFERROR(__xludf.DUMMYFUNCTION("""COMPUTED_VALUE"""),"P0980")</f>
        <v>P0980</v>
      </c>
      <c r="BC971" t="str">
        <f ca="1">IFERROR(__xludf.DUMMYFUNCTION("""COMPUTED_VALUE"""),"#VALUE!")</f>
        <v>#VALUE!</v>
      </c>
      <c r="BE971" t="str">
        <f ca="1">IFERROR(__xludf.DUMMYFUNCTION("""COMPUTED_VALUE"""),"#VALUE!")</f>
        <v>#VALUE!</v>
      </c>
      <c r="BG971" t="str">
        <f ca="1">IFERROR(__xludf.DUMMYFUNCTION("""COMPUTED_VALUE"""),"#VALUE!")</f>
        <v>#VALUE!</v>
      </c>
      <c r="BI971" t="str">
        <f ca="1">IFERROR(__xludf.DUMMYFUNCTION("""COMPUTED_VALUE"""),"#VALUE!")</f>
        <v>#VALUE!</v>
      </c>
      <c r="BK971" t="str">
        <f ca="1">IFERROR(__xludf.DUMMYFUNCTION("""COMPUTED_VALUE"""),"#VALUE!")</f>
        <v>#VALUE!</v>
      </c>
      <c r="BM971" t="str">
        <f ca="1">IFERROR(__xludf.DUMMYFUNCTION("""COMPUTED_VALUE"""),"#VALUE!")</f>
        <v>#VALUE!</v>
      </c>
      <c r="CS971" t="str">
        <f ca="1">IFERROR(__xludf.DUMMYFUNCTION("""COMPUTED_VALUE"""),"#VALUE!")</f>
        <v>#VALUE!</v>
      </c>
      <c r="CU971" t="str">
        <f ca="1">IFERROR(__xludf.DUMMYFUNCTION("""COMPUTED_VALUE"""),"#VALUE!")</f>
        <v>#VALUE!</v>
      </c>
      <c r="CW971" t="str">
        <f ca="1">IFERROR(__xludf.DUMMYFUNCTION("""COMPUTED_VALUE"""),"#VALUE!")</f>
        <v>#VALUE!</v>
      </c>
      <c r="CY971" t="str">
        <f ca="1">IFERROR(__xludf.DUMMYFUNCTION("""COMPUTED_VALUE"""),"#VALUE!")</f>
        <v>#VALUE!</v>
      </c>
      <c r="DC971" t="str">
        <f ca="1">IFERROR(__xludf.DUMMYFUNCTION("""COMPUTED_VALUE"""),"#VALUE!")</f>
        <v>#VALUE!</v>
      </c>
      <c r="DE971" t="str">
        <f ca="1">IFERROR(__xludf.DUMMYFUNCTION("""COMPUTED_VALUE"""),"#VALUE!")</f>
        <v>#VALUE!</v>
      </c>
    </row>
    <row r="972" spans="1:109" ht="13.2" x14ac:dyDescent="0.25">
      <c r="A972" t="str">
        <f ca="1">IFERROR(__xludf.DUMMYFUNCTION("""COMPUTED_VALUE"""),"P0981")</f>
        <v>P0981</v>
      </c>
      <c r="BC972" t="str">
        <f ca="1">IFERROR(__xludf.DUMMYFUNCTION("""COMPUTED_VALUE"""),"#VALUE!")</f>
        <v>#VALUE!</v>
      </c>
      <c r="BE972" t="str">
        <f ca="1">IFERROR(__xludf.DUMMYFUNCTION("""COMPUTED_VALUE"""),"#VALUE!")</f>
        <v>#VALUE!</v>
      </c>
      <c r="BG972" t="str">
        <f ca="1">IFERROR(__xludf.DUMMYFUNCTION("""COMPUTED_VALUE"""),"#VALUE!")</f>
        <v>#VALUE!</v>
      </c>
      <c r="BI972" t="str">
        <f ca="1">IFERROR(__xludf.DUMMYFUNCTION("""COMPUTED_VALUE"""),"#VALUE!")</f>
        <v>#VALUE!</v>
      </c>
      <c r="BK972" t="str">
        <f ca="1">IFERROR(__xludf.DUMMYFUNCTION("""COMPUTED_VALUE"""),"#VALUE!")</f>
        <v>#VALUE!</v>
      </c>
      <c r="BM972" t="str">
        <f ca="1">IFERROR(__xludf.DUMMYFUNCTION("""COMPUTED_VALUE"""),"#VALUE!")</f>
        <v>#VALUE!</v>
      </c>
      <c r="CS972" t="str">
        <f ca="1">IFERROR(__xludf.DUMMYFUNCTION("""COMPUTED_VALUE"""),"#VALUE!")</f>
        <v>#VALUE!</v>
      </c>
      <c r="CU972" t="str">
        <f ca="1">IFERROR(__xludf.DUMMYFUNCTION("""COMPUTED_VALUE"""),"#VALUE!")</f>
        <v>#VALUE!</v>
      </c>
      <c r="CW972" t="str">
        <f ca="1">IFERROR(__xludf.DUMMYFUNCTION("""COMPUTED_VALUE"""),"#VALUE!")</f>
        <v>#VALUE!</v>
      </c>
      <c r="CY972" t="str">
        <f ca="1">IFERROR(__xludf.DUMMYFUNCTION("""COMPUTED_VALUE"""),"#VALUE!")</f>
        <v>#VALUE!</v>
      </c>
      <c r="DC972" t="str">
        <f ca="1">IFERROR(__xludf.DUMMYFUNCTION("""COMPUTED_VALUE"""),"#VALUE!")</f>
        <v>#VALUE!</v>
      </c>
      <c r="DE972" t="str">
        <f ca="1">IFERROR(__xludf.DUMMYFUNCTION("""COMPUTED_VALUE"""),"#VALUE!")</f>
        <v>#VALUE!</v>
      </c>
    </row>
    <row r="973" spans="1:109" ht="13.2" x14ac:dyDescent="0.25">
      <c r="A973" t="str">
        <f ca="1">IFERROR(__xludf.DUMMYFUNCTION("""COMPUTED_VALUE"""),"P0982")</f>
        <v>P0982</v>
      </c>
      <c r="BC973" t="str">
        <f ca="1">IFERROR(__xludf.DUMMYFUNCTION("""COMPUTED_VALUE"""),"#VALUE!")</f>
        <v>#VALUE!</v>
      </c>
      <c r="BE973" t="str">
        <f ca="1">IFERROR(__xludf.DUMMYFUNCTION("""COMPUTED_VALUE"""),"#VALUE!")</f>
        <v>#VALUE!</v>
      </c>
      <c r="BG973" t="str">
        <f ca="1">IFERROR(__xludf.DUMMYFUNCTION("""COMPUTED_VALUE"""),"#VALUE!")</f>
        <v>#VALUE!</v>
      </c>
      <c r="BI973" t="str">
        <f ca="1">IFERROR(__xludf.DUMMYFUNCTION("""COMPUTED_VALUE"""),"#VALUE!")</f>
        <v>#VALUE!</v>
      </c>
      <c r="BK973" t="str">
        <f ca="1">IFERROR(__xludf.DUMMYFUNCTION("""COMPUTED_VALUE"""),"#VALUE!")</f>
        <v>#VALUE!</v>
      </c>
      <c r="BM973" t="str">
        <f ca="1">IFERROR(__xludf.DUMMYFUNCTION("""COMPUTED_VALUE"""),"#VALUE!")</f>
        <v>#VALUE!</v>
      </c>
      <c r="CS973" t="str">
        <f ca="1">IFERROR(__xludf.DUMMYFUNCTION("""COMPUTED_VALUE"""),"#VALUE!")</f>
        <v>#VALUE!</v>
      </c>
      <c r="CU973" t="str">
        <f ca="1">IFERROR(__xludf.DUMMYFUNCTION("""COMPUTED_VALUE"""),"#VALUE!")</f>
        <v>#VALUE!</v>
      </c>
      <c r="CW973" t="str">
        <f ca="1">IFERROR(__xludf.DUMMYFUNCTION("""COMPUTED_VALUE"""),"#VALUE!")</f>
        <v>#VALUE!</v>
      </c>
      <c r="CY973" t="str">
        <f ca="1">IFERROR(__xludf.DUMMYFUNCTION("""COMPUTED_VALUE"""),"#VALUE!")</f>
        <v>#VALUE!</v>
      </c>
      <c r="DC973" t="str">
        <f ca="1">IFERROR(__xludf.DUMMYFUNCTION("""COMPUTED_VALUE"""),"#VALUE!")</f>
        <v>#VALUE!</v>
      </c>
      <c r="DE973" t="str">
        <f ca="1">IFERROR(__xludf.DUMMYFUNCTION("""COMPUTED_VALUE"""),"#VALUE!")</f>
        <v>#VALUE!</v>
      </c>
    </row>
    <row r="974" spans="1:109" ht="13.2" x14ac:dyDescent="0.25">
      <c r="A974" t="str">
        <f ca="1">IFERROR(__xludf.DUMMYFUNCTION("""COMPUTED_VALUE"""),"P0983")</f>
        <v>P0983</v>
      </c>
      <c r="BC974" t="str">
        <f ca="1">IFERROR(__xludf.DUMMYFUNCTION("""COMPUTED_VALUE"""),"#VALUE!")</f>
        <v>#VALUE!</v>
      </c>
      <c r="BE974" t="str">
        <f ca="1">IFERROR(__xludf.DUMMYFUNCTION("""COMPUTED_VALUE"""),"#VALUE!")</f>
        <v>#VALUE!</v>
      </c>
      <c r="BG974" t="str">
        <f ca="1">IFERROR(__xludf.DUMMYFUNCTION("""COMPUTED_VALUE"""),"#VALUE!")</f>
        <v>#VALUE!</v>
      </c>
      <c r="BI974" t="str">
        <f ca="1">IFERROR(__xludf.DUMMYFUNCTION("""COMPUTED_VALUE"""),"#VALUE!")</f>
        <v>#VALUE!</v>
      </c>
      <c r="BK974" t="str">
        <f ca="1">IFERROR(__xludf.DUMMYFUNCTION("""COMPUTED_VALUE"""),"#VALUE!")</f>
        <v>#VALUE!</v>
      </c>
      <c r="BM974" t="str">
        <f ca="1">IFERROR(__xludf.DUMMYFUNCTION("""COMPUTED_VALUE"""),"#VALUE!")</f>
        <v>#VALUE!</v>
      </c>
      <c r="CS974" t="str">
        <f ca="1">IFERROR(__xludf.DUMMYFUNCTION("""COMPUTED_VALUE"""),"#VALUE!")</f>
        <v>#VALUE!</v>
      </c>
      <c r="CU974" t="str">
        <f ca="1">IFERROR(__xludf.DUMMYFUNCTION("""COMPUTED_VALUE"""),"#VALUE!")</f>
        <v>#VALUE!</v>
      </c>
      <c r="CW974" t="str">
        <f ca="1">IFERROR(__xludf.DUMMYFUNCTION("""COMPUTED_VALUE"""),"#VALUE!")</f>
        <v>#VALUE!</v>
      </c>
      <c r="CY974" t="str">
        <f ca="1">IFERROR(__xludf.DUMMYFUNCTION("""COMPUTED_VALUE"""),"#VALUE!")</f>
        <v>#VALUE!</v>
      </c>
      <c r="DC974" t="str">
        <f ca="1">IFERROR(__xludf.DUMMYFUNCTION("""COMPUTED_VALUE"""),"#VALUE!")</f>
        <v>#VALUE!</v>
      </c>
      <c r="DE974" t="str">
        <f ca="1">IFERROR(__xludf.DUMMYFUNCTION("""COMPUTED_VALUE"""),"#VALUE!")</f>
        <v>#VALUE!</v>
      </c>
    </row>
    <row r="975" spans="1:109" ht="13.2" x14ac:dyDescent="0.25">
      <c r="A975" t="str">
        <f ca="1">IFERROR(__xludf.DUMMYFUNCTION("""COMPUTED_VALUE"""),"P0984")</f>
        <v>P0984</v>
      </c>
      <c r="BC975" t="str">
        <f ca="1">IFERROR(__xludf.DUMMYFUNCTION("""COMPUTED_VALUE"""),"#VALUE!")</f>
        <v>#VALUE!</v>
      </c>
      <c r="BE975" t="str">
        <f ca="1">IFERROR(__xludf.DUMMYFUNCTION("""COMPUTED_VALUE"""),"#VALUE!")</f>
        <v>#VALUE!</v>
      </c>
      <c r="BG975" t="str">
        <f ca="1">IFERROR(__xludf.DUMMYFUNCTION("""COMPUTED_VALUE"""),"#VALUE!")</f>
        <v>#VALUE!</v>
      </c>
      <c r="BI975" t="str">
        <f ca="1">IFERROR(__xludf.DUMMYFUNCTION("""COMPUTED_VALUE"""),"#VALUE!")</f>
        <v>#VALUE!</v>
      </c>
      <c r="BK975" t="str">
        <f ca="1">IFERROR(__xludf.DUMMYFUNCTION("""COMPUTED_VALUE"""),"#VALUE!")</f>
        <v>#VALUE!</v>
      </c>
      <c r="BM975" t="str">
        <f ca="1">IFERROR(__xludf.DUMMYFUNCTION("""COMPUTED_VALUE"""),"#VALUE!")</f>
        <v>#VALUE!</v>
      </c>
      <c r="CS975" t="str">
        <f ca="1">IFERROR(__xludf.DUMMYFUNCTION("""COMPUTED_VALUE"""),"#VALUE!")</f>
        <v>#VALUE!</v>
      </c>
      <c r="CU975" t="str">
        <f ca="1">IFERROR(__xludf.DUMMYFUNCTION("""COMPUTED_VALUE"""),"#VALUE!")</f>
        <v>#VALUE!</v>
      </c>
      <c r="CW975" t="str">
        <f ca="1">IFERROR(__xludf.DUMMYFUNCTION("""COMPUTED_VALUE"""),"#VALUE!")</f>
        <v>#VALUE!</v>
      </c>
      <c r="CY975" t="str">
        <f ca="1">IFERROR(__xludf.DUMMYFUNCTION("""COMPUTED_VALUE"""),"#VALUE!")</f>
        <v>#VALUE!</v>
      </c>
      <c r="DC975" t="str">
        <f ca="1">IFERROR(__xludf.DUMMYFUNCTION("""COMPUTED_VALUE"""),"#VALUE!")</f>
        <v>#VALUE!</v>
      </c>
      <c r="DE975" t="str">
        <f ca="1">IFERROR(__xludf.DUMMYFUNCTION("""COMPUTED_VALUE"""),"#VALUE!")</f>
        <v>#VALUE!</v>
      </c>
    </row>
    <row r="976" spans="1:109" ht="13.2" x14ac:dyDescent="0.25">
      <c r="A976" t="str">
        <f ca="1">IFERROR(__xludf.DUMMYFUNCTION("""COMPUTED_VALUE"""),"P0985")</f>
        <v>P0985</v>
      </c>
      <c r="BC976" t="str">
        <f ca="1">IFERROR(__xludf.DUMMYFUNCTION("""COMPUTED_VALUE"""),"#VALUE!")</f>
        <v>#VALUE!</v>
      </c>
      <c r="BE976" t="str">
        <f ca="1">IFERROR(__xludf.DUMMYFUNCTION("""COMPUTED_VALUE"""),"#VALUE!")</f>
        <v>#VALUE!</v>
      </c>
      <c r="BG976" t="str">
        <f ca="1">IFERROR(__xludf.DUMMYFUNCTION("""COMPUTED_VALUE"""),"#VALUE!")</f>
        <v>#VALUE!</v>
      </c>
      <c r="BI976" t="str">
        <f ca="1">IFERROR(__xludf.DUMMYFUNCTION("""COMPUTED_VALUE"""),"#VALUE!")</f>
        <v>#VALUE!</v>
      </c>
      <c r="BK976" t="str">
        <f ca="1">IFERROR(__xludf.DUMMYFUNCTION("""COMPUTED_VALUE"""),"#VALUE!")</f>
        <v>#VALUE!</v>
      </c>
      <c r="BM976" t="str">
        <f ca="1">IFERROR(__xludf.DUMMYFUNCTION("""COMPUTED_VALUE"""),"#VALUE!")</f>
        <v>#VALUE!</v>
      </c>
      <c r="CS976" t="str">
        <f ca="1">IFERROR(__xludf.DUMMYFUNCTION("""COMPUTED_VALUE"""),"#VALUE!")</f>
        <v>#VALUE!</v>
      </c>
      <c r="CU976" t="str">
        <f ca="1">IFERROR(__xludf.DUMMYFUNCTION("""COMPUTED_VALUE"""),"#VALUE!")</f>
        <v>#VALUE!</v>
      </c>
      <c r="CW976" t="str">
        <f ca="1">IFERROR(__xludf.DUMMYFUNCTION("""COMPUTED_VALUE"""),"#VALUE!")</f>
        <v>#VALUE!</v>
      </c>
      <c r="CY976" t="str">
        <f ca="1">IFERROR(__xludf.DUMMYFUNCTION("""COMPUTED_VALUE"""),"#VALUE!")</f>
        <v>#VALUE!</v>
      </c>
      <c r="DC976" t="str">
        <f ca="1">IFERROR(__xludf.DUMMYFUNCTION("""COMPUTED_VALUE"""),"#VALUE!")</f>
        <v>#VALUE!</v>
      </c>
      <c r="DE976" t="str">
        <f ca="1">IFERROR(__xludf.DUMMYFUNCTION("""COMPUTED_VALUE"""),"#VALUE!")</f>
        <v>#VALUE!</v>
      </c>
    </row>
    <row r="977" spans="1:109" ht="13.2" x14ac:dyDescent="0.25">
      <c r="A977" t="str">
        <f ca="1">IFERROR(__xludf.DUMMYFUNCTION("""COMPUTED_VALUE"""),"P0986")</f>
        <v>P0986</v>
      </c>
      <c r="BC977" t="str">
        <f ca="1">IFERROR(__xludf.DUMMYFUNCTION("""COMPUTED_VALUE"""),"#VALUE!")</f>
        <v>#VALUE!</v>
      </c>
      <c r="BE977" t="str">
        <f ca="1">IFERROR(__xludf.DUMMYFUNCTION("""COMPUTED_VALUE"""),"#VALUE!")</f>
        <v>#VALUE!</v>
      </c>
      <c r="BG977" t="str">
        <f ca="1">IFERROR(__xludf.DUMMYFUNCTION("""COMPUTED_VALUE"""),"#VALUE!")</f>
        <v>#VALUE!</v>
      </c>
      <c r="BI977" t="str">
        <f ca="1">IFERROR(__xludf.DUMMYFUNCTION("""COMPUTED_VALUE"""),"#VALUE!")</f>
        <v>#VALUE!</v>
      </c>
      <c r="BK977" t="str">
        <f ca="1">IFERROR(__xludf.DUMMYFUNCTION("""COMPUTED_VALUE"""),"#VALUE!")</f>
        <v>#VALUE!</v>
      </c>
      <c r="BM977" t="str">
        <f ca="1">IFERROR(__xludf.DUMMYFUNCTION("""COMPUTED_VALUE"""),"#VALUE!")</f>
        <v>#VALUE!</v>
      </c>
      <c r="CS977" t="str">
        <f ca="1">IFERROR(__xludf.DUMMYFUNCTION("""COMPUTED_VALUE"""),"#VALUE!")</f>
        <v>#VALUE!</v>
      </c>
      <c r="CU977" t="str">
        <f ca="1">IFERROR(__xludf.DUMMYFUNCTION("""COMPUTED_VALUE"""),"#VALUE!")</f>
        <v>#VALUE!</v>
      </c>
      <c r="CW977" t="str">
        <f ca="1">IFERROR(__xludf.DUMMYFUNCTION("""COMPUTED_VALUE"""),"#VALUE!")</f>
        <v>#VALUE!</v>
      </c>
      <c r="CY977" t="str">
        <f ca="1">IFERROR(__xludf.DUMMYFUNCTION("""COMPUTED_VALUE"""),"#VALUE!")</f>
        <v>#VALUE!</v>
      </c>
      <c r="DC977" t="str">
        <f ca="1">IFERROR(__xludf.DUMMYFUNCTION("""COMPUTED_VALUE"""),"#VALUE!")</f>
        <v>#VALUE!</v>
      </c>
      <c r="DE977" t="str">
        <f ca="1">IFERROR(__xludf.DUMMYFUNCTION("""COMPUTED_VALUE"""),"#VALUE!")</f>
        <v>#VALUE!</v>
      </c>
    </row>
    <row r="978" spans="1:109" ht="13.2" x14ac:dyDescent="0.25">
      <c r="A978" t="str">
        <f ca="1">IFERROR(__xludf.DUMMYFUNCTION("""COMPUTED_VALUE"""),"P0987")</f>
        <v>P0987</v>
      </c>
      <c r="BC978" t="str">
        <f ca="1">IFERROR(__xludf.DUMMYFUNCTION("""COMPUTED_VALUE"""),"#VALUE!")</f>
        <v>#VALUE!</v>
      </c>
      <c r="BE978" t="str">
        <f ca="1">IFERROR(__xludf.DUMMYFUNCTION("""COMPUTED_VALUE"""),"#VALUE!")</f>
        <v>#VALUE!</v>
      </c>
      <c r="BG978" t="str">
        <f ca="1">IFERROR(__xludf.DUMMYFUNCTION("""COMPUTED_VALUE"""),"#VALUE!")</f>
        <v>#VALUE!</v>
      </c>
      <c r="BI978" t="str">
        <f ca="1">IFERROR(__xludf.DUMMYFUNCTION("""COMPUTED_VALUE"""),"#VALUE!")</f>
        <v>#VALUE!</v>
      </c>
      <c r="BK978" t="str">
        <f ca="1">IFERROR(__xludf.DUMMYFUNCTION("""COMPUTED_VALUE"""),"#VALUE!")</f>
        <v>#VALUE!</v>
      </c>
      <c r="BM978" t="str">
        <f ca="1">IFERROR(__xludf.DUMMYFUNCTION("""COMPUTED_VALUE"""),"#VALUE!")</f>
        <v>#VALUE!</v>
      </c>
      <c r="CS978" t="str">
        <f ca="1">IFERROR(__xludf.DUMMYFUNCTION("""COMPUTED_VALUE"""),"#VALUE!")</f>
        <v>#VALUE!</v>
      </c>
      <c r="CU978" t="str">
        <f ca="1">IFERROR(__xludf.DUMMYFUNCTION("""COMPUTED_VALUE"""),"#VALUE!")</f>
        <v>#VALUE!</v>
      </c>
      <c r="CW978" t="str">
        <f ca="1">IFERROR(__xludf.DUMMYFUNCTION("""COMPUTED_VALUE"""),"#VALUE!")</f>
        <v>#VALUE!</v>
      </c>
      <c r="CY978" t="str">
        <f ca="1">IFERROR(__xludf.DUMMYFUNCTION("""COMPUTED_VALUE"""),"#VALUE!")</f>
        <v>#VALUE!</v>
      </c>
      <c r="DC978" t="str">
        <f ca="1">IFERROR(__xludf.DUMMYFUNCTION("""COMPUTED_VALUE"""),"#VALUE!")</f>
        <v>#VALUE!</v>
      </c>
      <c r="DE978" t="str">
        <f ca="1">IFERROR(__xludf.DUMMYFUNCTION("""COMPUTED_VALUE"""),"#VALUE!")</f>
        <v>#VALUE!</v>
      </c>
    </row>
    <row r="979" spans="1:109" ht="13.2" x14ac:dyDescent="0.25">
      <c r="A979" t="str">
        <f ca="1">IFERROR(__xludf.DUMMYFUNCTION("""COMPUTED_VALUE"""),"P0988")</f>
        <v>P0988</v>
      </c>
      <c r="BC979" t="str">
        <f ca="1">IFERROR(__xludf.DUMMYFUNCTION("""COMPUTED_VALUE"""),"#VALUE!")</f>
        <v>#VALUE!</v>
      </c>
      <c r="BE979" t="str">
        <f ca="1">IFERROR(__xludf.DUMMYFUNCTION("""COMPUTED_VALUE"""),"#VALUE!")</f>
        <v>#VALUE!</v>
      </c>
      <c r="BG979" t="str">
        <f ca="1">IFERROR(__xludf.DUMMYFUNCTION("""COMPUTED_VALUE"""),"#VALUE!")</f>
        <v>#VALUE!</v>
      </c>
      <c r="BI979" t="str">
        <f ca="1">IFERROR(__xludf.DUMMYFUNCTION("""COMPUTED_VALUE"""),"#VALUE!")</f>
        <v>#VALUE!</v>
      </c>
      <c r="BK979" t="str">
        <f ca="1">IFERROR(__xludf.DUMMYFUNCTION("""COMPUTED_VALUE"""),"#VALUE!")</f>
        <v>#VALUE!</v>
      </c>
      <c r="BM979" t="str">
        <f ca="1">IFERROR(__xludf.DUMMYFUNCTION("""COMPUTED_VALUE"""),"#VALUE!")</f>
        <v>#VALUE!</v>
      </c>
      <c r="CS979" t="str">
        <f ca="1">IFERROR(__xludf.DUMMYFUNCTION("""COMPUTED_VALUE"""),"#VALUE!")</f>
        <v>#VALUE!</v>
      </c>
      <c r="CU979" t="str">
        <f ca="1">IFERROR(__xludf.DUMMYFUNCTION("""COMPUTED_VALUE"""),"#VALUE!")</f>
        <v>#VALUE!</v>
      </c>
      <c r="CW979" t="str">
        <f ca="1">IFERROR(__xludf.DUMMYFUNCTION("""COMPUTED_VALUE"""),"#VALUE!")</f>
        <v>#VALUE!</v>
      </c>
      <c r="CY979" t="str">
        <f ca="1">IFERROR(__xludf.DUMMYFUNCTION("""COMPUTED_VALUE"""),"#VALUE!")</f>
        <v>#VALUE!</v>
      </c>
      <c r="DC979" t="str">
        <f ca="1">IFERROR(__xludf.DUMMYFUNCTION("""COMPUTED_VALUE"""),"#VALUE!")</f>
        <v>#VALUE!</v>
      </c>
      <c r="DE979" t="str">
        <f ca="1">IFERROR(__xludf.DUMMYFUNCTION("""COMPUTED_VALUE"""),"#VALUE!")</f>
        <v>#VALUE!</v>
      </c>
    </row>
    <row r="980" spans="1:109" ht="13.2" x14ac:dyDescent="0.25">
      <c r="A980" t="str">
        <f ca="1">IFERROR(__xludf.DUMMYFUNCTION("""COMPUTED_VALUE"""),"P0989")</f>
        <v>P0989</v>
      </c>
      <c r="BC980" t="str">
        <f ca="1">IFERROR(__xludf.DUMMYFUNCTION("""COMPUTED_VALUE"""),"#VALUE!")</f>
        <v>#VALUE!</v>
      </c>
      <c r="BE980" t="str">
        <f ca="1">IFERROR(__xludf.DUMMYFUNCTION("""COMPUTED_VALUE"""),"#VALUE!")</f>
        <v>#VALUE!</v>
      </c>
      <c r="BG980" t="str">
        <f ca="1">IFERROR(__xludf.DUMMYFUNCTION("""COMPUTED_VALUE"""),"#VALUE!")</f>
        <v>#VALUE!</v>
      </c>
      <c r="BI980" t="str">
        <f ca="1">IFERROR(__xludf.DUMMYFUNCTION("""COMPUTED_VALUE"""),"#VALUE!")</f>
        <v>#VALUE!</v>
      </c>
      <c r="BK980" t="str">
        <f ca="1">IFERROR(__xludf.DUMMYFUNCTION("""COMPUTED_VALUE"""),"#VALUE!")</f>
        <v>#VALUE!</v>
      </c>
      <c r="BM980" t="str">
        <f ca="1">IFERROR(__xludf.DUMMYFUNCTION("""COMPUTED_VALUE"""),"#VALUE!")</f>
        <v>#VALUE!</v>
      </c>
      <c r="CS980" t="str">
        <f ca="1">IFERROR(__xludf.DUMMYFUNCTION("""COMPUTED_VALUE"""),"#VALUE!")</f>
        <v>#VALUE!</v>
      </c>
      <c r="CU980" t="str">
        <f ca="1">IFERROR(__xludf.DUMMYFUNCTION("""COMPUTED_VALUE"""),"#VALUE!")</f>
        <v>#VALUE!</v>
      </c>
      <c r="CW980" t="str">
        <f ca="1">IFERROR(__xludf.DUMMYFUNCTION("""COMPUTED_VALUE"""),"#VALUE!")</f>
        <v>#VALUE!</v>
      </c>
      <c r="CY980" t="str">
        <f ca="1">IFERROR(__xludf.DUMMYFUNCTION("""COMPUTED_VALUE"""),"#VALUE!")</f>
        <v>#VALUE!</v>
      </c>
      <c r="DC980" t="str">
        <f ca="1">IFERROR(__xludf.DUMMYFUNCTION("""COMPUTED_VALUE"""),"#VALUE!")</f>
        <v>#VALUE!</v>
      </c>
      <c r="DE980" t="str">
        <f ca="1">IFERROR(__xludf.DUMMYFUNCTION("""COMPUTED_VALUE"""),"#VALUE!")</f>
        <v>#VALUE!</v>
      </c>
    </row>
    <row r="981" spans="1:109" ht="13.2" x14ac:dyDescent="0.25">
      <c r="A981" t="str">
        <f ca="1">IFERROR(__xludf.DUMMYFUNCTION("""COMPUTED_VALUE"""),"P0990")</f>
        <v>P0990</v>
      </c>
      <c r="BC981" t="str">
        <f ca="1">IFERROR(__xludf.DUMMYFUNCTION("""COMPUTED_VALUE"""),"#VALUE!")</f>
        <v>#VALUE!</v>
      </c>
      <c r="BE981" t="str">
        <f ca="1">IFERROR(__xludf.DUMMYFUNCTION("""COMPUTED_VALUE"""),"#VALUE!")</f>
        <v>#VALUE!</v>
      </c>
      <c r="BG981" t="str">
        <f ca="1">IFERROR(__xludf.DUMMYFUNCTION("""COMPUTED_VALUE"""),"#VALUE!")</f>
        <v>#VALUE!</v>
      </c>
      <c r="BI981" t="str">
        <f ca="1">IFERROR(__xludf.DUMMYFUNCTION("""COMPUTED_VALUE"""),"#VALUE!")</f>
        <v>#VALUE!</v>
      </c>
      <c r="BK981" t="str">
        <f ca="1">IFERROR(__xludf.DUMMYFUNCTION("""COMPUTED_VALUE"""),"#VALUE!")</f>
        <v>#VALUE!</v>
      </c>
      <c r="BM981" t="str">
        <f ca="1">IFERROR(__xludf.DUMMYFUNCTION("""COMPUTED_VALUE"""),"#VALUE!")</f>
        <v>#VALUE!</v>
      </c>
      <c r="CS981" t="str">
        <f ca="1">IFERROR(__xludf.DUMMYFUNCTION("""COMPUTED_VALUE"""),"#VALUE!")</f>
        <v>#VALUE!</v>
      </c>
      <c r="CU981" t="str">
        <f ca="1">IFERROR(__xludf.DUMMYFUNCTION("""COMPUTED_VALUE"""),"#VALUE!")</f>
        <v>#VALUE!</v>
      </c>
      <c r="CW981" t="str">
        <f ca="1">IFERROR(__xludf.DUMMYFUNCTION("""COMPUTED_VALUE"""),"#VALUE!")</f>
        <v>#VALUE!</v>
      </c>
      <c r="CY981" t="str">
        <f ca="1">IFERROR(__xludf.DUMMYFUNCTION("""COMPUTED_VALUE"""),"#VALUE!")</f>
        <v>#VALUE!</v>
      </c>
      <c r="DC981" t="str">
        <f ca="1">IFERROR(__xludf.DUMMYFUNCTION("""COMPUTED_VALUE"""),"#VALUE!")</f>
        <v>#VALUE!</v>
      </c>
      <c r="DE981" t="str">
        <f ca="1">IFERROR(__xludf.DUMMYFUNCTION("""COMPUTED_VALUE"""),"#VALUE!")</f>
        <v>#VALUE!</v>
      </c>
    </row>
    <row r="982" spans="1:109" ht="13.2" x14ac:dyDescent="0.25">
      <c r="A982" t="str">
        <f ca="1">IFERROR(__xludf.DUMMYFUNCTION("""COMPUTED_VALUE"""),"P0991")</f>
        <v>P0991</v>
      </c>
      <c r="BC982" t="str">
        <f ca="1">IFERROR(__xludf.DUMMYFUNCTION("""COMPUTED_VALUE"""),"#VALUE!")</f>
        <v>#VALUE!</v>
      </c>
      <c r="BE982" t="str">
        <f ca="1">IFERROR(__xludf.DUMMYFUNCTION("""COMPUTED_VALUE"""),"#VALUE!")</f>
        <v>#VALUE!</v>
      </c>
      <c r="BG982" t="str">
        <f ca="1">IFERROR(__xludf.DUMMYFUNCTION("""COMPUTED_VALUE"""),"#VALUE!")</f>
        <v>#VALUE!</v>
      </c>
      <c r="BI982" t="str">
        <f ca="1">IFERROR(__xludf.DUMMYFUNCTION("""COMPUTED_VALUE"""),"#VALUE!")</f>
        <v>#VALUE!</v>
      </c>
      <c r="BK982" t="str">
        <f ca="1">IFERROR(__xludf.DUMMYFUNCTION("""COMPUTED_VALUE"""),"#VALUE!")</f>
        <v>#VALUE!</v>
      </c>
      <c r="BM982" t="str">
        <f ca="1">IFERROR(__xludf.DUMMYFUNCTION("""COMPUTED_VALUE"""),"#VALUE!")</f>
        <v>#VALUE!</v>
      </c>
      <c r="CS982" t="str">
        <f ca="1">IFERROR(__xludf.DUMMYFUNCTION("""COMPUTED_VALUE"""),"#VALUE!")</f>
        <v>#VALUE!</v>
      </c>
      <c r="CU982" t="str">
        <f ca="1">IFERROR(__xludf.DUMMYFUNCTION("""COMPUTED_VALUE"""),"#VALUE!")</f>
        <v>#VALUE!</v>
      </c>
      <c r="CW982" t="str">
        <f ca="1">IFERROR(__xludf.DUMMYFUNCTION("""COMPUTED_VALUE"""),"#VALUE!")</f>
        <v>#VALUE!</v>
      </c>
      <c r="CY982" t="str">
        <f ca="1">IFERROR(__xludf.DUMMYFUNCTION("""COMPUTED_VALUE"""),"#VALUE!")</f>
        <v>#VALUE!</v>
      </c>
      <c r="DC982" t="str">
        <f ca="1">IFERROR(__xludf.DUMMYFUNCTION("""COMPUTED_VALUE"""),"#VALUE!")</f>
        <v>#VALUE!</v>
      </c>
      <c r="DE982" t="str">
        <f ca="1">IFERROR(__xludf.DUMMYFUNCTION("""COMPUTED_VALUE"""),"#VALUE!")</f>
        <v>#VALUE!</v>
      </c>
    </row>
    <row r="983" spans="1:109" ht="13.2" x14ac:dyDescent="0.25">
      <c r="A983" t="str">
        <f ca="1">IFERROR(__xludf.DUMMYFUNCTION("""COMPUTED_VALUE"""),"P0992")</f>
        <v>P0992</v>
      </c>
      <c r="BC983" t="str">
        <f ca="1">IFERROR(__xludf.DUMMYFUNCTION("""COMPUTED_VALUE"""),"#VALUE!")</f>
        <v>#VALUE!</v>
      </c>
      <c r="BE983" t="str">
        <f ca="1">IFERROR(__xludf.DUMMYFUNCTION("""COMPUTED_VALUE"""),"#VALUE!")</f>
        <v>#VALUE!</v>
      </c>
      <c r="BG983" t="str">
        <f ca="1">IFERROR(__xludf.DUMMYFUNCTION("""COMPUTED_VALUE"""),"#VALUE!")</f>
        <v>#VALUE!</v>
      </c>
      <c r="BI983" t="str">
        <f ca="1">IFERROR(__xludf.DUMMYFUNCTION("""COMPUTED_VALUE"""),"#VALUE!")</f>
        <v>#VALUE!</v>
      </c>
      <c r="BK983" t="str">
        <f ca="1">IFERROR(__xludf.DUMMYFUNCTION("""COMPUTED_VALUE"""),"#VALUE!")</f>
        <v>#VALUE!</v>
      </c>
      <c r="BM983" t="str">
        <f ca="1">IFERROR(__xludf.DUMMYFUNCTION("""COMPUTED_VALUE"""),"#VALUE!")</f>
        <v>#VALUE!</v>
      </c>
      <c r="CS983" t="str">
        <f ca="1">IFERROR(__xludf.DUMMYFUNCTION("""COMPUTED_VALUE"""),"#VALUE!")</f>
        <v>#VALUE!</v>
      </c>
      <c r="CU983" t="str">
        <f ca="1">IFERROR(__xludf.DUMMYFUNCTION("""COMPUTED_VALUE"""),"#VALUE!")</f>
        <v>#VALUE!</v>
      </c>
      <c r="CW983" t="str">
        <f ca="1">IFERROR(__xludf.DUMMYFUNCTION("""COMPUTED_VALUE"""),"#VALUE!")</f>
        <v>#VALUE!</v>
      </c>
      <c r="CY983" t="str">
        <f ca="1">IFERROR(__xludf.DUMMYFUNCTION("""COMPUTED_VALUE"""),"#VALUE!")</f>
        <v>#VALUE!</v>
      </c>
      <c r="DC983" t="str">
        <f ca="1">IFERROR(__xludf.DUMMYFUNCTION("""COMPUTED_VALUE"""),"#VALUE!")</f>
        <v>#VALUE!</v>
      </c>
      <c r="DE983" t="str">
        <f ca="1">IFERROR(__xludf.DUMMYFUNCTION("""COMPUTED_VALUE"""),"#VALUE!")</f>
        <v>#VALUE!</v>
      </c>
    </row>
    <row r="984" spans="1:109" ht="13.2" x14ac:dyDescent="0.25">
      <c r="A984" t="str">
        <f ca="1">IFERROR(__xludf.DUMMYFUNCTION("""COMPUTED_VALUE"""),"P0993")</f>
        <v>P0993</v>
      </c>
      <c r="BC984" t="str">
        <f ca="1">IFERROR(__xludf.DUMMYFUNCTION("""COMPUTED_VALUE"""),"#VALUE!")</f>
        <v>#VALUE!</v>
      </c>
      <c r="BE984" t="str">
        <f ca="1">IFERROR(__xludf.DUMMYFUNCTION("""COMPUTED_VALUE"""),"#VALUE!")</f>
        <v>#VALUE!</v>
      </c>
      <c r="BG984" t="str">
        <f ca="1">IFERROR(__xludf.DUMMYFUNCTION("""COMPUTED_VALUE"""),"#VALUE!")</f>
        <v>#VALUE!</v>
      </c>
      <c r="BI984" t="str">
        <f ca="1">IFERROR(__xludf.DUMMYFUNCTION("""COMPUTED_VALUE"""),"#VALUE!")</f>
        <v>#VALUE!</v>
      </c>
      <c r="BK984" t="str">
        <f ca="1">IFERROR(__xludf.DUMMYFUNCTION("""COMPUTED_VALUE"""),"#VALUE!")</f>
        <v>#VALUE!</v>
      </c>
      <c r="BM984" t="str">
        <f ca="1">IFERROR(__xludf.DUMMYFUNCTION("""COMPUTED_VALUE"""),"#VALUE!")</f>
        <v>#VALUE!</v>
      </c>
      <c r="CS984" t="str">
        <f ca="1">IFERROR(__xludf.DUMMYFUNCTION("""COMPUTED_VALUE"""),"#VALUE!")</f>
        <v>#VALUE!</v>
      </c>
      <c r="CU984" t="str">
        <f ca="1">IFERROR(__xludf.DUMMYFUNCTION("""COMPUTED_VALUE"""),"#VALUE!")</f>
        <v>#VALUE!</v>
      </c>
      <c r="CW984" t="str">
        <f ca="1">IFERROR(__xludf.DUMMYFUNCTION("""COMPUTED_VALUE"""),"#VALUE!")</f>
        <v>#VALUE!</v>
      </c>
      <c r="CY984" t="str">
        <f ca="1">IFERROR(__xludf.DUMMYFUNCTION("""COMPUTED_VALUE"""),"#VALUE!")</f>
        <v>#VALUE!</v>
      </c>
      <c r="DC984" t="str">
        <f ca="1">IFERROR(__xludf.DUMMYFUNCTION("""COMPUTED_VALUE"""),"#VALUE!")</f>
        <v>#VALUE!</v>
      </c>
      <c r="DE984" t="str">
        <f ca="1">IFERROR(__xludf.DUMMYFUNCTION("""COMPUTED_VALUE"""),"#VALUE!")</f>
        <v>#VALUE!</v>
      </c>
    </row>
    <row r="985" spans="1:109" ht="13.2" x14ac:dyDescent="0.25">
      <c r="A985" t="str">
        <f ca="1">IFERROR(__xludf.DUMMYFUNCTION("""COMPUTED_VALUE"""),"P0994")</f>
        <v>P0994</v>
      </c>
      <c r="BC985" t="str">
        <f ca="1">IFERROR(__xludf.DUMMYFUNCTION("""COMPUTED_VALUE"""),"#VALUE!")</f>
        <v>#VALUE!</v>
      </c>
      <c r="BE985" t="str">
        <f ca="1">IFERROR(__xludf.DUMMYFUNCTION("""COMPUTED_VALUE"""),"#VALUE!")</f>
        <v>#VALUE!</v>
      </c>
      <c r="BG985" t="str">
        <f ca="1">IFERROR(__xludf.DUMMYFUNCTION("""COMPUTED_VALUE"""),"#VALUE!")</f>
        <v>#VALUE!</v>
      </c>
      <c r="BI985" t="str">
        <f ca="1">IFERROR(__xludf.DUMMYFUNCTION("""COMPUTED_VALUE"""),"#VALUE!")</f>
        <v>#VALUE!</v>
      </c>
      <c r="BK985" t="str">
        <f ca="1">IFERROR(__xludf.DUMMYFUNCTION("""COMPUTED_VALUE"""),"#VALUE!")</f>
        <v>#VALUE!</v>
      </c>
      <c r="BM985" t="str">
        <f ca="1">IFERROR(__xludf.DUMMYFUNCTION("""COMPUTED_VALUE"""),"#VALUE!")</f>
        <v>#VALUE!</v>
      </c>
      <c r="CS985" t="str">
        <f ca="1">IFERROR(__xludf.DUMMYFUNCTION("""COMPUTED_VALUE"""),"#VALUE!")</f>
        <v>#VALUE!</v>
      </c>
      <c r="CU985" t="str">
        <f ca="1">IFERROR(__xludf.DUMMYFUNCTION("""COMPUTED_VALUE"""),"#VALUE!")</f>
        <v>#VALUE!</v>
      </c>
      <c r="CW985" t="str">
        <f ca="1">IFERROR(__xludf.DUMMYFUNCTION("""COMPUTED_VALUE"""),"#VALUE!")</f>
        <v>#VALUE!</v>
      </c>
      <c r="CY985" t="str">
        <f ca="1">IFERROR(__xludf.DUMMYFUNCTION("""COMPUTED_VALUE"""),"#VALUE!")</f>
        <v>#VALUE!</v>
      </c>
      <c r="DC985" t="str">
        <f ca="1">IFERROR(__xludf.DUMMYFUNCTION("""COMPUTED_VALUE"""),"#VALUE!")</f>
        <v>#VALUE!</v>
      </c>
      <c r="DE985" t="str">
        <f ca="1">IFERROR(__xludf.DUMMYFUNCTION("""COMPUTED_VALUE"""),"#VALUE!")</f>
        <v>#VALUE!</v>
      </c>
    </row>
    <row r="986" spans="1:109" ht="13.2" x14ac:dyDescent="0.25">
      <c r="A986" t="str">
        <f ca="1">IFERROR(__xludf.DUMMYFUNCTION("""COMPUTED_VALUE"""),"P0995")</f>
        <v>P0995</v>
      </c>
      <c r="BC986" t="str">
        <f ca="1">IFERROR(__xludf.DUMMYFUNCTION("""COMPUTED_VALUE"""),"#VALUE!")</f>
        <v>#VALUE!</v>
      </c>
      <c r="BE986" t="str">
        <f ca="1">IFERROR(__xludf.DUMMYFUNCTION("""COMPUTED_VALUE"""),"#VALUE!")</f>
        <v>#VALUE!</v>
      </c>
      <c r="BG986" t="str">
        <f ca="1">IFERROR(__xludf.DUMMYFUNCTION("""COMPUTED_VALUE"""),"#VALUE!")</f>
        <v>#VALUE!</v>
      </c>
      <c r="BI986" t="str">
        <f ca="1">IFERROR(__xludf.DUMMYFUNCTION("""COMPUTED_VALUE"""),"#VALUE!")</f>
        <v>#VALUE!</v>
      </c>
      <c r="BK986" t="str">
        <f ca="1">IFERROR(__xludf.DUMMYFUNCTION("""COMPUTED_VALUE"""),"#VALUE!")</f>
        <v>#VALUE!</v>
      </c>
      <c r="BM986" t="str">
        <f ca="1">IFERROR(__xludf.DUMMYFUNCTION("""COMPUTED_VALUE"""),"#VALUE!")</f>
        <v>#VALUE!</v>
      </c>
      <c r="CS986" t="str">
        <f ca="1">IFERROR(__xludf.DUMMYFUNCTION("""COMPUTED_VALUE"""),"#VALUE!")</f>
        <v>#VALUE!</v>
      </c>
      <c r="CU986" t="str">
        <f ca="1">IFERROR(__xludf.DUMMYFUNCTION("""COMPUTED_VALUE"""),"#VALUE!")</f>
        <v>#VALUE!</v>
      </c>
      <c r="CW986" t="str">
        <f ca="1">IFERROR(__xludf.DUMMYFUNCTION("""COMPUTED_VALUE"""),"#VALUE!")</f>
        <v>#VALUE!</v>
      </c>
      <c r="CY986" t="str">
        <f ca="1">IFERROR(__xludf.DUMMYFUNCTION("""COMPUTED_VALUE"""),"#VALUE!")</f>
        <v>#VALUE!</v>
      </c>
      <c r="DC986" t="str">
        <f ca="1">IFERROR(__xludf.DUMMYFUNCTION("""COMPUTED_VALUE"""),"#VALUE!")</f>
        <v>#VALUE!</v>
      </c>
      <c r="DE986" t="str">
        <f ca="1">IFERROR(__xludf.DUMMYFUNCTION("""COMPUTED_VALUE"""),"#VALUE!")</f>
        <v>#VALUE!</v>
      </c>
    </row>
    <row r="987" spans="1:109" ht="13.2" x14ac:dyDescent="0.25">
      <c r="A987" t="str">
        <f ca="1">IFERROR(__xludf.DUMMYFUNCTION("""COMPUTED_VALUE"""),"P0996")</f>
        <v>P0996</v>
      </c>
      <c r="BC987" t="str">
        <f ca="1">IFERROR(__xludf.DUMMYFUNCTION("""COMPUTED_VALUE"""),"#VALUE!")</f>
        <v>#VALUE!</v>
      </c>
      <c r="BE987" t="str">
        <f ca="1">IFERROR(__xludf.DUMMYFUNCTION("""COMPUTED_VALUE"""),"#VALUE!")</f>
        <v>#VALUE!</v>
      </c>
      <c r="BG987" t="str">
        <f ca="1">IFERROR(__xludf.DUMMYFUNCTION("""COMPUTED_VALUE"""),"#VALUE!")</f>
        <v>#VALUE!</v>
      </c>
      <c r="BI987" t="str">
        <f ca="1">IFERROR(__xludf.DUMMYFUNCTION("""COMPUTED_VALUE"""),"#VALUE!")</f>
        <v>#VALUE!</v>
      </c>
      <c r="BK987" t="str">
        <f ca="1">IFERROR(__xludf.DUMMYFUNCTION("""COMPUTED_VALUE"""),"#VALUE!")</f>
        <v>#VALUE!</v>
      </c>
      <c r="BM987" t="str">
        <f ca="1">IFERROR(__xludf.DUMMYFUNCTION("""COMPUTED_VALUE"""),"#VALUE!")</f>
        <v>#VALUE!</v>
      </c>
      <c r="CS987" t="str">
        <f ca="1">IFERROR(__xludf.DUMMYFUNCTION("""COMPUTED_VALUE"""),"#VALUE!")</f>
        <v>#VALUE!</v>
      </c>
      <c r="CU987" t="str">
        <f ca="1">IFERROR(__xludf.DUMMYFUNCTION("""COMPUTED_VALUE"""),"#VALUE!")</f>
        <v>#VALUE!</v>
      </c>
      <c r="CW987" t="str">
        <f ca="1">IFERROR(__xludf.DUMMYFUNCTION("""COMPUTED_VALUE"""),"#VALUE!")</f>
        <v>#VALUE!</v>
      </c>
      <c r="CY987" t="str">
        <f ca="1">IFERROR(__xludf.DUMMYFUNCTION("""COMPUTED_VALUE"""),"#VALUE!")</f>
        <v>#VALUE!</v>
      </c>
      <c r="DC987" t="str">
        <f ca="1">IFERROR(__xludf.DUMMYFUNCTION("""COMPUTED_VALUE"""),"#VALUE!")</f>
        <v>#VALUE!</v>
      </c>
      <c r="DE987" t="str">
        <f ca="1">IFERROR(__xludf.DUMMYFUNCTION("""COMPUTED_VALUE"""),"#VALUE!")</f>
        <v>#VALUE!</v>
      </c>
    </row>
    <row r="988" spans="1:109" ht="13.2" x14ac:dyDescent="0.25">
      <c r="A988" t="str">
        <f ca="1">IFERROR(__xludf.DUMMYFUNCTION("""COMPUTED_VALUE"""),"P0997")</f>
        <v>P0997</v>
      </c>
      <c r="BC988" t="str">
        <f ca="1">IFERROR(__xludf.DUMMYFUNCTION("""COMPUTED_VALUE"""),"#VALUE!")</f>
        <v>#VALUE!</v>
      </c>
      <c r="BE988" t="str">
        <f ca="1">IFERROR(__xludf.DUMMYFUNCTION("""COMPUTED_VALUE"""),"#VALUE!")</f>
        <v>#VALUE!</v>
      </c>
      <c r="BG988" t="str">
        <f ca="1">IFERROR(__xludf.DUMMYFUNCTION("""COMPUTED_VALUE"""),"#VALUE!")</f>
        <v>#VALUE!</v>
      </c>
      <c r="BI988" t="str">
        <f ca="1">IFERROR(__xludf.DUMMYFUNCTION("""COMPUTED_VALUE"""),"#VALUE!")</f>
        <v>#VALUE!</v>
      </c>
      <c r="BK988" t="str">
        <f ca="1">IFERROR(__xludf.DUMMYFUNCTION("""COMPUTED_VALUE"""),"#VALUE!")</f>
        <v>#VALUE!</v>
      </c>
      <c r="BM988" t="str">
        <f ca="1">IFERROR(__xludf.DUMMYFUNCTION("""COMPUTED_VALUE"""),"#VALUE!")</f>
        <v>#VALUE!</v>
      </c>
      <c r="CS988" t="str">
        <f ca="1">IFERROR(__xludf.DUMMYFUNCTION("""COMPUTED_VALUE"""),"#VALUE!")</f>
        <v>#VALUE!</v>
      </c>
      <c r="CU988" t="str">
        <f ca="1">IFERROR(__xludf.DUMMYFUNCTION("""COMPUTED_VALUE"""),"#VALUE!")</f>
        <v>#VALUE!</v>
      </c>
      <c r="CW988" t="str">
        <f ca="1">IFERROR(__xludf.DUMMYFUNCTION("""COMPUTED_VALUE"""),"#VALUE!")</f>
        <v>#VALUE!</v>
      </c>
      <c r="CY988" t="str">
        <f ca="1">IFERROR(__xludf.DUMMYFUNCTION("""COMPUTED_VALUE"""),"#VALUE!")</f>
        <v>#VALUE!</v>
      </c>
      <c r="DC988" t="str">
        <f ca="1">IFERROR(__xludf.DUMMYFUNCTION("""COMPUTED_VALUE"""),"#VALUE!")</f>
        <v>#VALUE!</v>
      </c>
      <c r="DE988" t="str">
        <f ca="1">IFERROR(__xludf.DUMMYFUNCTION("""COMPUTED_VALUE"""),"#VALUE!")</f>
        <v>#VALUE!</v>
      </c>
    </row>
    <row r="989" spans="1:109" ht="13.2" x14ac:dyDescent="0.25">
      <c r="A989" t="str">
        <f ca="1">IFERROR(__xludf.DUMMYFUNCTION("""COMPUTED_VALUE"""),"P0998")</f>
        <v>P0998</v>
      </c>
      <c r="BC989" t="str">
        <f ca="1">IFERROR(__xludf.DUMMYFUNCTION("""COMPUTED_VALUE"""),"#VALUE!")</f>
        <v>#VALUE!</v>
      </c>
      <c r="BE989" t="str">
        <f ca="1">IFERROR(__xludf.DUMMYFUNCTION("""COMPUTED_VALUE"""),"#VALUE!")</f>
        <v>#VALUE!</v>
      </c>
      <c r="BG989" t="str">
        <f ca="1">IFERROR(__xludf.DUMMYFUNCTION("""COMPUTED_VALUE"""),"#VALUE!")</f>
        <v>#VALUE!</v>
      </c>
      <c r="BI989" t="str">
        <f ca="1">IFERROR(__xludf.DUMMYFUNCTION("""COMPUTED_VALUE"""),"#VALUE!")</f>
        <v>#VALUE!</v>
      </c>
      <c r="BK989" t="str">
        <f ca="1">IFERROR(__xludf.DUMMYFUNCTION("""COMPUTED_VALUE"""),"#VALUE!")</f>
        <v>#VALUE!</v>
      </c>
      <c r="BM989" t="str">
        <f ca="1">IFERROR(__xludf.DUMMYFUNCTION("""COMPUTED_VALUE"""),"#VALUE!")</f>
        <v>#VALUE!</v>
      </c>
      <c r="CS989" t="str">
        <f ca="1">IFERROR(__xludf.DUMMYFUNCTION("""COMPUTED_VALUE"""),"#VALUE!")</f>
        <v>#VALUE!</v>
      </c>
      <c r="CU989" t="str">
        <f ca="1">IFERROR(__xludf.DUMMYFUNCTION("""COMPUTED_VALUE"""),"#VALUE!")</f>
        <v>#VALUE!</v>
      </c>
      <c r="CW989" t="str">
        <f ca="1">IFERROR(__xludf.DUMMYFUNCTION("""COMPUTED_VALUE"""),"#VALUE!")</f>
        <v>#VALUE!</v>
      </c>
      <c r="CY989" t="str">
        <f ca="1">IFERROR(__xludf.DUMMYFUNCTION("""COMPUTED_VALUE"""),"#VALUE!")</f>
        <v>#VALUE!</v>
      </c>
      <c r="DC989" t="str">
        <f ca="1">IFERROR(__xludf.DUMMYFUNCTION("""COMPUTED_VALUE"""),"#VALUE!")</f>
        <v>#VALUE!</v>
      </c>
      <c r="DE989" t="str">
        <f ca="1">IFERROR(__xludf.DUMMYFUNCTION("""COMPUTED_VALUE"""),"#VALUE!")</f>
        <v>#VALUE!</v>
      </c>
    </row>
    <row r="990" spans="1:109" ht="13.2" x14ac:dyDescent="0.25">
      <c r="A990" t="str">
        <f ca="1">IFERROR(__xludf.DUMMYFUNCTION("""COMPUTED_VALUE"""),"P0999")</f>
        <v>P0999</v>
      </c>
      <c r="BC990" t="str">
        <f ca="1">IFERROR(__xludf.DUMMYFUNCTION("""COMPUTED_VALUE"""),"#VALUE!")</f>
        <v>#VALUE!</v>
      </c>
      <c r="BE990" t="str">
        <f ca="1">IFERROR(__xludf.DUMMYFUNCTION("""COMPUTED_VALUE"""),"#VALUE!")</f>
        <v>#VALUE!</v>
      </c>
      <c r="BG990" t="str">
        <f ca="1">IFERROR(__xludf.DUMMYFUNCTION("""COMPUTED_VALUE"""),"#VALUE!")</f>
        <v>#VALUE!</v>
      </c>
      <c r="BI990" t="str">
        <f ca="1">IFERROR(__xludf.DUMMYFUNCTION("""COMPUTED_VALUE"""),"#VALUE!")</f>
        <v>#VALUE!</v>
      </c>
      <c r="BK990" t="str">
        <f ca="1">IFERROR(__xludf.DUMMYFUNCTION("""COMPUTED_VALUE"""),"#VALUE!")</f>
        <v>#VALUE!</v>
      </c>
      <c r="BM990" t="str">
        <f ca="1">IFERROR(__xludf.DUMMYFUNCTION("""COMPUTED_VALUE"""),"#VALUE!")</f>
        <v>#VALUE!</v>
      </c>
      <c r="CS990" t="str">
        <f ca="1">IFERROR(__xludf.DUMMYFUNCTION("""COMPUTED_VALUE"""),"#VALUE!")</f>
        <v>#VALUE!</v>
      </c>
      <c r="CU990" t="str">
        <f ca="1">IFERROR(__xludf.DUMMYFUNCTION("""COMPUTED_VALUE"""),"#VALUE!")</f>
        <v>#VALUE!</v>
      </c>
      <c r="CW990" t="str">
        <f ca="1">IFERROR(__xludf.DUMMYFUNCTION("""COMPUTED_VALUE"""),"#VALUE!")</f>
        <v>#VALUE!</v>
      </c>
      <c r="CY990" t="str">
        <f ca="1">IFERROR(__xludf.DUMMYFUNCTION("""COMPUTED_VALUE"""),"#VALUE!")</f>
        <v>#VALUE!</v>
      </c>
      <c r="DC990" t="str">
        <f ca="1">IFERROR(__xludf.DUMMYFUNCTION("""COMPUTED_VALUE"""),"#VALUE!")</f>
        <v>#VALUE!</v>
      </c>
      <c r="DE990" t="str">
        <f ca="1">IFERROR(__xludf.DUMMYFUNCTION("""COMPUTED_VALUE"""),"#VALUE!")</f>
        <v>#VALUE!</v>
      </c>
    </row>
    <row r="991" spans="1:109" ht="13.2" x14ac:dyDescent="0.25">
      <c r="A991" t="str">
        <f ca="1">IFERROR(__xludf.DUMMYFUNCTION("""COMPUTED_VALUE"""),"P1000")</f>
        <v>P1000</v>
      </c>
      <c r="BC991" t="str">
        <f ca="1">IFERROR(__xludf.DUMMYFUNCTION("""COMPUTED_VALUE"""),"#VALUE!")</f>
        <v>#VALUE!</v>
      </c>
      <c r="BE991" t="str">
        <f ca="1">IFERROR(__xludf.DUMMYFUNCTION("""COMPUTED_VALUE"""),"#VALUE!")</f>
        <v>#VALUE!</v>
      </c>
      <c r="BG991" t="str">
        <f ca="1">IFERROR(__xludf.DUMMYFUNCTION("""COMPUTED_VALUE"""),"#VALUE!")</f>
        <v>#VALUE!</v>
      </c>
      <c r="BI991" t="str">
        <f ca="1">IFERROR(__xludf.DUMMYFUNCTION("""COMPUTED_VALUE"""),"#VALUE!")</f>
        <v>#VALUE!</v>
      </c>
      <c r="BK991" t="str">
        <f ca="1">IFERROR(__xludf.DUMMYFUNCTION("""COMPUTED_VALUE"""),"#VALUE!")</f>
        <v>#VALUE!</v>
      </c>
      <c r="BM991" t="str">
        <f ca="1">IFERROR(__xludf.DUMMYFUNCTION("""COMPUTED_VALUE"""),"#VALUE!")</f>
        <v>#VALUE!</v>
      </c>
      <c r="CS991" t="str">
        <f ca="1">IFERROR(__xludf.DUMMYFUNCTION("""COMPUTED_VALUE"""),"#VALUE!")</f>
        <v>#VALUE!</v>
      </c>
      <c r="CU991" t="str">
        <f ca="1">IFERROR(__xludf.DUMMYFUNCTION("""COMPUTED_VALUE"""),"#VALUE!")</f>
        <v>#VALUE!</v>
      </c>
      <c r="CW991" t="str">
        <f ca="1">IFERROR(__xludf.DUMMYFUNCTION("""COMPUTED_VALUE"""),"#VALUE!")</f>
        <v>#VALUE!</v>
      </c>
      <c r="CY991" t="str">
        <f ca="1">IFERROR(__xludf.DUMMYFUNCTION("""COMPUTED_VALUE"""),"#VALUE!")</f>
        <v>#VALUE!</v>
      </c>
      <c r="DC991" t="str">
        <f ca="1">IFERROR(__xludf.DUMMYFUNCTION("""COMPUTED_VALUE"""),"#VALUE!")</f>
        <v>#VALUE!</v>
      </c>
      <c r="DE991" t="str">
        <f ca="1">IFERROR(__xludf.DUMMYFUNCTION("""COMPUTED_VALUE"""),"#VALUE!")</f>
        <v>#VALUE!</v>
      </c>
    </row>
    <row r="992" spans="1:109" ht="13.2" x14ac:dyDescent="0.25">
      <c r="A992" t="str">
        <f ca="1">IFERROR(__xludf.DUMMYFUNCTION("""COMPUTED_VALUE"""),"P1001")</f>
        <v>P1001</v>
      </c>
      <c r="BC992" t="str">
        <f ca="1">IFERROR(__xludf.DUMMYFUNCTION("""COMPUTED_VALUE"""),"#VALUE!")</f>
        <v>#VALUE!</v>
      </c>
      <c r="BE992" t="str">
        <f ca="1">IFERROR(__xludf.DUMMYFUNCTION("""COMPUTED_VALUE"""),"#VALUE!")</f>
        <v>#VALUE!</v>
      </c>
      <c r="BG992" t="str">
        <f ca="1">IFERROR(__xludf.DUMMYFUNCTION("""COMPUTED_VALUE"""),"#VALUE!")</f>
        <v>#VALUE!</v>
      </c>
      <c r="BI992" t="str">
        <f ca="1">IFERROR(__xludf.DUMMYFUNCTION("""COMPUTED_VALUE"""),"#VALUE!")</f>
        <v>#VALUE!</v>
      </c>
      <c r="BK992" t="str">
        <f ca="1">IFERROR(__xludf.DUMMYFUNCTION("""COMPUTED_VALUE"""),"#VALUE!")</f>
        <v>#VALUE!</v>
      </c>
      <c r="BM992" t="str">
        <f ca="1">IFERROR(__xludf.DUMMYFUNCTION("""COMPUTED_VALUE"""),"#VALUE!")</f>
        <v>#VALUE!</v>
      </c>
      <c r="CS992" t="str">
        <f ca="1">IFERROR(__xludf.DUMMYFUNCTION("""COMPUTED_VALUE"""),"#VALUE!")</f>
        <v>#VALUE!</v>
      </c>
      <c r="CU992" t="str">
        <f ca="1">IFERROR(__xludf.DUMMYFUNCTION("""COMPUTED_VALUE"""),"#VALUE!")</f>
        <v>#VALUE!</v>
      </c>
      <c r="CW992" t="str">
        <f ca="1">IFERROR(__xludf.DUMMYFUNCTION("""COMPUTED_VALUE"""),"#VALUE!")</f>
        <v>#VALUE!</v>
      </c>
      <c r="CY992" t="str">
        <f ca="1">IFERROR(__xludf.DUMMYFUNCTION("""COMPUTED_VALUE"""),"#VALUE!")</f>
        <v>#VALUE!</v>
      </c>
      <c r="DC992" t="str">
        <f ca="1">IFERROR(__xludf.DUMMYFUNCTION("""COMPUTED_VALUE"""),"#VALUE!")</f>
        <v>#VALUE!</v>
      </c>
      <c r="DE992" t="str">
        <f ca="1">IFERROR(__xludf.DUMMYFUNCTION("""COMPUTED_VALUE"""),"#VALUE!")</f>
        <v>#VALUE!</v>
      </c>
    </row>
    <row r="993" spans="1:109" ht="13.2" x14ac:dyDescent="0.25">
      <c r="A993" t="str">
        <f ca="1">IFERROR(__xludf.DUMMYFUNCTION("""COMPUTED_VALUE"""),"P1002")</f>
        <v>P1002</v>
      </c>
      <c r="BC993" t="str">
        <f ca="1">IFERROR(__xludf.DUMMYFUNCTION("""COMPUTED_VALUE"""),"#VALUE!")</f>
        <v>#VALUE!</v>
      </c>
      <c r="BE993" t="str">
        <f ca="1">IFERROR(__xludf.DUMMYFUNCTION("""COMPUTED_VALUE"""),"#VALUE!")</f>
        <v>#VALUE!</v>
      </c>
      <c r="BG993" t="str">
        <f ca="1">IFERROR(__xludf.DUMMYFUNCTION("""COMPUTED_VALUE"""),"#VALUE!")</f>
        <v>#VALUE!</v>
      </c>
      <c r="BI993" t="str">
        <f ca="1">IFERROR(__xludf.DUMMYFUNCTION("""COMPUTED_VALUE"""),"#VALUE!")</f>
        <v>#VALUE!</v>
      </c>
      <c r="BK993" t="str">
        <f ca="1">IFERROR(__xludf.DUMMYFUNCTION("""COMPUTED_VALUE"""),"#VALUE!")</f>
        <v>#VALUE!</v>
      </c>
      <c r="BM993" t="str">
        <f ca="1">IFERROR(__xludf.DUMMYFUNCTION("""COMPUTED_VALUE"""),"#VALUE!")</f>
        <v>#VALUE!</v>
      </c>
      <c r="CS993" t="str">
        <f ca="1">IFERROR(__xludf.DUMMYFUNCTION("""COMPUTED_VALUE"""),"#VALUE!")</f>
        <v>#VALUE!</v>
      </c>
      <c r="CU993" t="str">
        <f ca="1">IFERROR(__xludf.DUMMYFUNCTION("""COMPUTED_VALUE"""),"#VALUE!")</f>
        <v>#VALUE!</v>
      </c>
      <c r="CW993" t="str">
        <f ca="1">IFERROR(__xludf.DUMMYFUNCTION("""COMPUTED_VALUE"""),"#VALUE!")</f>
        <v>#VALUE!</v>
      </c>
      <c r="CY993" t="str">
        <f ca="1">IFERROR(__xludf.DUMMYFUNCTION("""COMPUTED_VALUE"""),"#VALUE!")</f>
        <v>#VALUE!</v>
      </c>
      <c r="DC993" t="str">
        <f ca="1">IFERROR(__xludf.DUMMYFUNCTION("""COMPUTED_VALUE"""),"#VALUE!")</f>
        <v>#VALUE!</v>
      </c>
      <c r="DE993" t="str">
        <f ca="1">IFERROR(__xludf.DUMMYFUNCTION("""COMPUTED_VALUE"""),"#VALUE!")</f>
        <v>#VALUE!</v>
      </c>
    </row>
    <row r="994" spans="1:109" ht="13.2" x14ac:dyDescent="0.25">
      <c r="A994" t="str">
        <f ca="1">IFERROR(__xludf.DUMMYFUNCTION("""COMPUTED_VALUE"""),"P1003")</f>
        <v>P1003</v>
      </c>
      <c r="BC994" t="str">
        <f ca="1">IFERROR(__xludf.DUMMYFUNCTION("""COMPUTED_VALUE"""),"#VALUE!")</f>
        <v>#VALUE!</v>
      </c>
      <c r="BE994" t="str">
        <f ca="1">IFERROR(__xludf.DUMMYFUNCTION("""COMPUTED_VALUE"""),"#VALUE!")</f>
        <v>#VALUE!</v>
      </c>
      <c r="BG994" t="str">
        <f ca="1">IFERROR(__xludf.DUMMYFUNCTION("""COMPUTED_VALUE"""),"#VALUE!")</f>
        <v>#VALUE!</v>
      </c>
      <c r="BI994" t="str">
        <f ca="1">IFERROR(__xludf.DUMMYFUNCTION("""COMPUTED_VALUE"""),"#VALUE!")</f>
        <v>#VALUE!</v>
      </c>
      <c r="BK994" t="str">
        <f ca="1">IFERROR(__xludf.DUMMYFUNCTION("""COMPUTED_VALUE"""),"#VALUE!")</f>
        <v>#VALUE!</v>
      </c>
      <c r="BM994" t="str">
        <f ca="1">IFERROR(__xludf.DUMMYFUNCTION("""COMPUTED_VALUE"""),"#VALUE!")</f>
        <v>#VALUE!</v>
      </c>
      <c r="CS994" t="str">
        <f ca="1">IFERROR(__xludf.DUMMYFUNCTION("""COMPUTED_VALUE"""),"#VALUE!")</f>
        <v>#VALUE!</v>
      </c>
      <c r="CU994" t="str">
        <f ca="1">IFERROR(__xludf.DUMMYFUNCTION("""COMPUTED_VALUE"""),"#VALUE!")</f>
        <v>#VALUE!</v>
      </c>
      <c r="CW994" t="str">
        <f ca="1">IFERROR(__xludf.DUMMYFUNCTION("""COMPUTED_VALUE"""),"#VALUE!")</f>
        <v>#VALUE!</v>
      </c>
      <c r="CY994" t="str">
        <f ca="1">IFERROR(__xludf.DUMMYFUNCTION("""COMPUTED_VALUE"""),"#VALUE!")</f>
        <v>#VALUE!</v>
      </c>
      <c r="DC994" t="str">
        <f ca="1">IFERROR(__xludf.DUMMYFUNCTION("""COMPUTED_VALUE"""),"#VALUE!")</f>
        <v>#VALUE!</v>
      </c>
      <c r="DE994" t="str">
        <f ca="1">IFERROR(__xludf.DUMMYFUNCTION("""COMPUTED_VALUE"""),"#VALUE!")</f>
        <v>#VALUE!</v>
      </c>
    </row>
    <row r="995" spans="1:109" ht="13.2" x14ac:dyDescent="0.25">
      <c r="A995" t="str">
        <f ca="1">IFERROR(__xludf.DUMMYFUNCTION("""COMPUTED_VALUE"""),"P1004")</f>
        <v>P1004</v>
      </c>
      <c r="BC995" t="str">
        <f ca="1">IFERROR(__xludf.DUMMYFUNCTION("""COMPUTED_VALUE"""),"#VALUE!")</f>
        <v>#VALUE!</v>
      </c>
      <c r="BE995" t="str">
        <f ca="1">IFERROR(__xludf.DUMMYFUNCTION("""COMPUTED_VALUE"""),"#VALUE!")</f>
        <v>#VALUE!</v>
      </c>
      <c r="BG995" t="str">
        <f ca="1">IFERROR(__xludf.DUMMYFUNCTION("""COMPUTED_VALUE"""),"#VALUE!")</f>
        <v>#VALUE!</v>
      </c>
      <c r="BI995" t="str">
        <f ca="1">IFERROR(__xludf.DUMMYFUNCTION("""COMPUTED_VALUE"""),"#VALUE!")</f>
        <v>#VALUE!</v>
      </c>
      <c r="BK995" t="str">
        <f ca="1">IFERROR(__xludf.DUMMYFUNCTION("""COMPUTED_VALUE"""),"#VALUE!")</f>
        <v>#VALUE!</v>
      </c>
      <c r="BM995" t="str">
        <f ca="1">IFERROR(__xludf.DUMMYFUNCTION("""COMPUTED_VALUE"""),"#VALUE!")</f>
        <v>#VALUE!</v>
      </c>
      <c r="CS995" t="str">
        <f ca="1">IFERROR(__xludf.DUMMYFUNCTION("""COMPUTED_VALUE"""),"#VALUE!")</f>
        <v>#VALUE!</v>
      </c>
      <c r="CU995" t="str">
        <f ca="1">IFERROR(__xludf.DUMMYFUNCTION("""COMPUTED_VALUE"""),"#VALUE!")</f>
        <v>#VALUE!</v>
      </c>
      <c r="CW995" t="str">
        <f ca="1">IFERROR(__xludf.DUMMYFUNCTION("""COMPUTED_VALUE"""),"#VALUE!")</f>
        <v>#VALUE!</v>
      </c>
      <c r="CY995" t="str">
        <f ca="1">IFERROR(__xludf.DUMMYFUNCTION("""COMPUTED_VALUE"""),"#VALUE!")</f>
        <v>#VALUE!</v>
      </c>
      <c r="DC995" t="str">
        <f ca="1">IFERROR(__xludf.DUMMYFUNCTION("""COMPUTED_VALUE"""),"#VALUE!")</f>
        <v>#VALUE!</v>
      </c>
      <c r="DE995" t="str">
        <f ca="1">IFERROR(__xludf.DUMMYFUNCTION("""COMPUTED_VALUE"""),"#VALUE!")</f>
        <v>#VALUE!</v>
      </c>
    </row>
    <row r="996" spans="1:109" ht="13.2" x14ac:dyDescent="0.25">
      <c r="A996" t="str">
        <f ca="1">IFERROR(__xludf.DUMMYFUNCTION("""COMPUTED_VALUE"""),"P1005")</f>
        <v>P1005</v>
      </c>
      <c r="BC996" t="str">
        <f ca="1">IFERROR(__xludf.DUMMYFUNCTION("""COMPUTED_VALUE"""),"#VALUE!")</f>
        <v>#VALUE!</v>
      </c>
      <c r="BE996" t="str">
        <f ca="1">IFERROR(__xludf.DUMMYFUNCTION("""COMPUTED_VALUE"""),"#VALUE!")</f>
        <v>#VALUE!</v>
      </c>
      <c r="BG996" t="str">
        <f ca="1">IFERROR(__xludf.DUMMYFUNCTION("""COMPUTED_VALUE"""),"#VALUE!")</f>
        <v>#VALUE!</v>
      </c>
      <c r="BI996" t="str">
        <f ca="1">IFERROR(__xludf.DUMMYFUNCTION("""COMPUTED_VALUE"""),"#VALUE!")</f>
        <v>#VALUE!</v>
      </c>
      <c r="BK996" t="str">
        <f ca="1">IFERROR(__xludf.DUMMYFUNCTION("""COMPUTED_VALUE"""),"#VALUE!")</f>
        <v>#VALUE!</v>
      </c>
      <c r="BM996" t="str">
        <f ca="1">IFERROR(__xludf.DUMMYFUNCTION("""COMPUTED_VALUE"""),"#VALUE!")</f>
        <v>#VALUE!</v>
      </c>
      <c r="CS996" t="str">
        <f ca="1">IFERROR(__xludf.DUMMYFUNCTION("""COMPUTED_VALUE"""),"#VALUE!")</f>
        <v>#VALUE!</v>
      </c>
      <c r="CU996" t="str">
        <f ca="1">IFERROR(__xludf.DUMMYFUNCTION("""COMPUTED_VALUE"""),"#VALUE!")</f>
        <v>#VALUE!</v>
      </c>
      <c r="CW996" t="str">
        <f ca="1">IFERROR(__xludf.DUMMYFUNCTION("""COMPUTED_VALUE"""),"#VALUE!")</f>
        <v>#VALUE!</v>
      </c>
      <c r="CY996" t="str">
        <f ca="1">IFERROR(__xludf.DUMMYFUNCTION("""COMPUTED_VALUE"""),"#VALUE!")</f>
        <v>#VALUE!</v>
      </c>
      <c r="DC996" t="str">
        <f ca="1">IFERROR(__xludf.DUMMYFUNCTION("""COMPUTED_VALUE"""),"#VALUE!")</f>
        <v>#VALUE!</v>
      </c>
      <c r="DE996" t="str">
        <f ca="1">IFERROR(__xludf.DUMMYFUNCTION("""COMPUTED_VALUE"""),"#VALUE!")</f>
        <v>#VALUE!</v>
      </c>
    </row>
    <row r="997" spans="1:109" ht="13.2" x14ac:dyDescent="0.25">
      <c r="A997" t="str">
        <f ca="1">IFERROR(__xludf.DUMMYFUNCTION("""COMPUTED_VALUE"""),"P1006")</f>
        <v>P1006</v>
      </c>
      <c r="BC997" t="str">
        <f ca="1">IFERROR(__xludf.DUMMYFUNCTION("""COMPUTED_VALUE"""),"#VALUE!")</f>
        <v>#VALUE!</v>
      </c>
      <c r="BE997" t="str">
        <f ca="1">IFERROR(__xludf.DUMMYFUNCTION("""COMPUTED_VALUE"""),"#VALUE!")</f>
        <v>#VALUE!</v>
      </c>
      <c r="BG997" t="str">
        <f ca="1">IFERROR(__xludf.DUMMYFUNCTION("""COMPUTED_VALUE"""),"#VALUE!")</f>
        <v>#VALUE!</v>
      </c>
      <c r="BI997" t="str">
        <f ca="1">IFERROR(__xludf.DUMMYFUNCTION("""COMPUTED_VALUE"""),"#VALUE!")</f>
        <v>#VALUE!</v>
      </c>
      <c r="BK997" t="str">
        <f ca="1">IFERROR(__xludf.DUMMYFUNCTION("""COMPUTED_VALUE"""),"#VALUE!")</f>
        <v>#VALUE!</v>
      </c>
      <c r="BM997" t="str">
        <f ca="1">IFERROR(__xludf.DUMMYFUNCTION("""COMPUTED_VALUE"""),"#VALUE!")</f>
        <v>#VALUE!</v>
      </c>
      <c r="CS997" t="str">
        <f ca="1">IFERROR(__xludf.DUMMYFUNCTION("""COMPUTED_VALUE"""),"#VALUE!")</f>
        <v>#VALUE!</v>
      </c>
      <c r="CU997" t="str">
        <f ca="1">IFERROR(__xludf.DUMMYFUNCTION("""COMPUTED_VALUE"""),"#VALUE!")</f>
        <v>#VALUE!</v>
      </c>
      <c r="CW997" t="str">
        <f ca="1">IFERROR(__xludf.DUMMYFUNCTION("""COMPUTED_VALUE"""),"#VALUE!")</f>
        <v>#VALUE!</v>
      </c>
      <c r="CY997" t="str">
        <f ca="1">IFERROR(__xludf.DUMMYFUNCTION("""COMPUTED_VALUE"""),"#VALUE!")</f>
        <v>#VALUE!</v>
      </c>
      <c r="DC997" t="str">
        <f ca="1">IFERROR(__xludf.DUMMYFUNCTION("""COMPUTED_VALUE"""),"#VALUE!")</f>
        <v>#VALUE!</v>
      </c>
      <c r="DE997" t="str">
        <f ca="1">IFERROR(__xludf.DUMMYFUNCTION("""COMPUTED_VALUE"""),"#VALUE!")</f>
        <v>#VALUE!</v>
      </c>
    </row>
    <row r="998" spans="1:109" ht="13.2" x14ac:dyDescent="0.25">
      <c r="A998" t="str">
        <f ca="1">IFERROR(__xludf.DUMMYFUNCTION("""COMPUTED_VALUE"""),"P1007")</f>
        <v>P1007</v>
      </c>
      <c r="BC998" t="str">
        <f ca="1">IFERROR(__xludf.DUMMYFUNCTION("""COMPUTED_VALUE"""),"#VALUE!")</f>
        <v>#VALUE!</v>
      </c>
      <c r="BE998" t="str">
        <f ca="1">IFERROR(__xludf.DUMMYFUNCTION("""COMPUTED_VALUE"""),"#VALUE!")</f>
        <v>#VALUE!</v>
      </c>
      <c r="BG998" t="str">
        <f ca="1">IFERROR(__xludf.DUMMYFUNCTION("""COMPUTED_VALUE"""),"#VALUE!")</f>
        <v>#VALUE!</v>
      </c>
      <c r="BI998" t="str">
        <f ca="1">IFERROR(__xludf.DUMMYFUNCTION("""COMPUTED_VALUE"""),"#VALUE!")</f>
        <v>#VALUE!</v>
      </c>
      <c r="BK998" t="str">
        <f ca="1">IFERROR(__xludf.DUMMYFUNCTION("""COMPUTED_VALUE"""),"#VALUE!")</f>
        <v>#VALUE!</v>
      </c>
      <c r="BM998" t="str">
        <f ca="1">IFERROR(__xludf.DUMMYFUNCTION("""COMPUTED_VALUE"""),"#VALUE!")</f>
        <v>#VALUE!</v>
      </c>
      <c r="CS998" t="str">
        <f ca="1">IFERROR(__xludf.DUMMYFUNCTION("""COMPUTED_VALUE"""),"#VALUE!")</f>
        <v>#VALUE!</v>
      </c>
      <c r="CU998" t="str">
        <f ca="1">IFERROR(__xludf.DUMMYFUNCTION("""COMPUTED_VALUE"""),"#VALUE!")</f>
        <v>#VALUE!</v>
      </c>
      <c r="CW998" t="str">
        <f ca="1">IFERROR(__xludf.DUMMYFUNCTION("""COMPUTED_VALUE"""),"#VALUE!")</f>
        <v>#VALUE!</v>
      </c>
      <c r="CY998" t="str">
        <f ca="1">IFERROR(__xludf.DUMMYFUNCTION("""COMPUTED_VALUE"""),"#VALUE!")</f>
        <v>#VALUE!</v>
      </c>
      <c r="DC998" t="str">
        <f ca="1">IFERROR(__xludf.DUMMYFUNCTION("""COMPUTED_VALUE"""),"#VALUE!")</f>
        <v>#VALUE!</v>
      </c>
      <c r="DE998" t="str">
        <f ca="1">IFERROR(__xludf.DUMMYFUNCTION("""COMPUTED_VALUE"""),"#VALUE!")</f>
        <v>#VALUE!</v>
      </c>
    </row>
    <row r="999" spans="1:109" ht="13.2" x14ac:dyDescent="0.25">
      <c r="A999" t="str">
        <f ca="1">IFERROR(__xludf.DUMMYFUNCTION("""COMPUTED_VALUE"""),"P1008")</f>
        <v>P1008</v>
      </c>
      <c r="BC999" t="str">
        <f ca="1">IFERROR(__xludf.DUMMYFUNCTION("""COMPUTED_VALUE"""),"#VALUE!")</f>
        <v>#VALUE!</v>
      </c>
      <c r="BE999" t="str">
        <f ca="1">IFERROR(__xludf.DUMMYFUNCTION("""COMPUTED_VALUE"""),"#VALUE!")</f>
        <v>#VALUE!</v>
      </c>
      <c r="BG999" t="str">
        <f ca="1">IFERROR(__xludf.DUMMYFUNCTION("""COMPUTED_VALUE"""),"#VALUE!")</f>
        <v>#VALUE!</v>
      </c>
      <c r="BI999" t="str">
        <f ca="1">IFERROR(__xludf.DUMMYFUNCTION("""COMPUTED_VALUE"""),"#VALUE!")</f>
        <v>#VALUE!</v>
      </c>
      <c r="BK999" t="str">
        <f ca="1">IFERROR(__xludf.DUMMYFUNCTION("""COMPUTED_VALUE"""),"#VALUE!")</f>
        <v>#VALUE!</v>
      </c>
      <c r="BM999" t="str">
        <f ca="1">IFERROR(__xludf.DUMMYFUNCTION("""COMPUTED_VALUE"""),"#VALUE!")</f>
        <v>#VALUE!</v>
      </c>
      <c r="CS999" t="str">
        <f ca="1">IFERROR(__xludf.DUMMYFUNCTION("""COMPUTED_VALUE"""),"#VALUE!")</f>
        <v>#VALUE!</v>
      </c>
      <c r="CU999" t="str">
        <f ca="1">IFERROR(__xludf.DUMMYFUNCTION("""COMPUTED_VALUE"""),"#VALUE!")</f>
        <v>#VALUE!</v>
      </c>
      <c r="CW999" t="str">
        <f ca="1">IFERROR(__xludf.DUMMYFUNCTION("""COMPUTED_VALUE"""),"#VALUE!")</f>
        <v>#VALUE!</v>
      </c>
      <c r="CY999" t="str">
        <f ca="1">IFERROR(__xludf.DUMMYFUNCTION("""COMPUTED_VALUE"""),"#VALUE!")</f>
        <v>#VALUE!</v>
      </c>
      <c r="DC999" t="str">
        <f ca="1">IFERROR(__xludf.DUMMYFUNCTION("""COMPUTED_VALUE"""),"#VALUE!")</f>
        <v>#VALUE!</v>
      </c>
      <c r="DE999" t="str">
        <f ca="1">IFERROR(__xludf.DUMMYFUNCTION("""COMPUTED_VALUE"""),"#VALUE!")</f>
        <v>#VALUE!</v>
      </c>
    </row>
    <row r="1000" spans="1:109" ht="13.2" x14ac:dyDescent="0.25">
      <c r="A1000" t="str">
        <f ca="1">IFERROR(__xludf.DUMMYFUNCTION("""COMPUTED_VALUE"""),"P1009")</f>
        <v>P1009</v>
      </c>
      <c r="BC1000" t="str">
        <f ca="1">IFERROR(__xludf.DUMMYFUNCTION("""COMPUTED_VALUE"""),"#VALUE!")</f>
        <v>#VALUE!</v>
      </c>
      <c r="BE1000" t="str">
        <f ca="1">IFERROR(__xludf.DUMMYFUNCTION("""COMPUTED_VALUE"""),"#VALUE!")</f>
        <v>#VALUE!</v>
      </c>
      <c r="BG1000" t="str">
        <f ca="1">IFERROR(__xludf.DUMMYFUNCTION("""COMPUTED_VALUE"""),"#VALUE!")</f>
        <v>#VALUE!</v>
      </c>
      <c r="BI1000" t="str">
        <f ca="1">IFERROR(__xludf.DUMMYFUNCTION("""COMPUTED_VALUE"""),"#VALUE!")</f>
        <v>#VALUE!</v>
      </c>
      <c r="BK1000" t="str">
        <f ca="1">IFERROR(__xludf.DUMMYFUNCTION("""COMPUTED_VALUE"""),"#VALUE!")</f>
        <v>#VALUE!</v>
      </c>
      <c r="BM1000" t="str">
        <f ca="1">IFERROR(__xludf.DUMMYFUNCTION("""COMPUTED_VALUE"""),"#VALUE!")</f>
        <v>#VALUE!</v>
      </c>
      <c r="CS1000" t="str">
        <f ca="1">IFERROR(__xludf.DUMMYFUNCTION("""COMPUTED_VALUE"""),"#VALUE!")</f>
        <v>#VALUE!</v>
      </c>
      <c r="CU1000" t="str">
        <f ca="1">IFERROR(__xludf.DUMMYFUNCTION("""COMPUTED_VALUE"""),"#VALUE!")</f>
        <v>#VALUE!</v>
      </c>
      <c r="CW1000" t="str">
        <f ca="1">IFERROR(__xludf.DUMMYFUNCTION("""COMPUTED_VALUE"""),"#VALUE!")</f>
        <v>#VALUE!</v>
      </c>
      <c r="CY1000" t="str">
        <f ca="1">IFERROR(__xludf.DUMMYFUNCTION("""COMPUTED_VALUE"""),"#VALUE!")</f>
        <v>#VALUE!</v>
      </c>
      <c r="DC1000" t="str">
        <f ca="1">IFERROR(__xludf.DUMMYFUNCTION("""COMPUTED_VALUE"""),"#VALUE!")</f>
        <v>#VALUE!</v>
      </c>
      <c r="DE1000" t="str">
        <f ca="1">IFERROR(__xludf.DUMMYFUNCTION("""COMPUTED_VALUE"""),"#VALUE!")</f>
        <v>#VALUE!</v>
      </c>
    </row>
    <row r="1001" spans="1:109" ht="13.2" x14ac:dyDescent="0.25">
      <c r="A1001" t="str">
        <f ca="1">IFERROR(__xludf.DUMMYFUNCTION("""COMPUTED_VALUE"""),"P1010")</f>
        <v>P1010</v>
      </c>
      <c r="BC1001" t="str">
        <f ca="1">IFERROR(__xludf.DUMMYFUNCTION("""COMPUTED_VALUE"""),"#VALUE!")</f>
        <v>#VALUE!</v>
      </c>
      <c r="BE1001" t="str">
        <f ca="1">IFERROR(__xludf.DUMMYFUNCTION("""COMPUTED_VALUE"""),"#VALUE!")</f>
        <v>#VALUE!</v>
      </c>
      <c r="BG1001" t="str">
        <f ca="1">IFERROR(__xludf.DUMMYFUNCTION("""COMPUTED_VALUE"""),"#VALUE!")</f>
        <v>#VALUE!</v>
      </c>
      <c r="BI1001" t="str">
        <f ca="1">IFERROR(__xludf.DUMMYFUNCTION("""COMPUTED_VALUE"""),"#VALUE!")</f>
        <v>#VALUE!</v>
      </c>
      <c r="BK1001" t="str">
        <f ca="1">IFERROR(__xludf.DUMMYFUNCTION("""COMPUTED_VALUE"""),"#VALUE!")</f>
        <v>#VALUE!</v>
      </c>
      <c r="BM1001" t="str">
        <f ca="1">IFERROR(__xludf.DUMMYFUNCTION("""COMPUTED_VALUE"""),"#VALUE!")</f>
        <v>#VALUE!</v>
      </c>
      <c r="CS1001" t="str">
        <f ca="1">IFERROR(__xludf.DUMMYFUNCTION("""COMPUTED_VALUE"""),"#VALUE!")</f>
        <v>#VALUE!</v>
      </c>
      <c r="CU1001" t="str">
        <f ca="1">IFERROR(__xludf.DUMMYFUNCTION("""COMPUTED_VALUE"""),"#VALUE!")</f>
        <v>#VALUE!</v>
      </c>
      <c r="CW1001" t="str">
        <f ca="1">IFERROR(__xludf.DUMMYFUNCTION("""COMPUTED_VALUE"""),"#VALUE!")</f>
        <v>#VALUE!</v>
      </c>
      <c r="CY1001" t="str">
        <f ca="1">IFERROR(__xludf.DUMMYFUNCTION("""COMPUTED_VALUE"""),"#VALUE!")</f>
        <v>#VALUE!</v>
      </c>
      <c r="DC1001" t="str">
        <f ca="1">IFERROR(__xludf.DUMMYFUNCTION("""COMPUTED_VALUE"""),"#VALUE!")</f>
        <v>#VALUE!</v>
      </c>
      <c r="DE1001" t="str">
        <f ca="1">IFERROR(__xludf.DUMMYFUNCTION("""COMPUTED_VALUE"""),"#VALUE!")</f>
        <v>#VALUE!</v>
      </c>
    </row>
    <row r="1002" spans="1:109" ht="13.2" x14ac:dyDescent="0.25">
      <c r="A1002" t="str">
        <f ca="1">IFERROR(__xludf.DUMMYFUNCTION("""COMPUTED_VALUE"""),"P1011")</f>
        <v>P1011</v>
      </c>
      <c r="BC1002" t="str">
        <f ca="1">IFERROR(__xludf.DUMMYFUNCTION("""COMPUTED_VALUE"""),"#VALUE!")</f>
        <v>#VALUE!</v>
      </c>
      <c r="BE1002" t="str">
        <f ca="1">IFERROR(__xludf.DUMMYFUNCTION("""COMPUTED_VALUE"""),"#VALUE!")</f>
        <v>#VALUE!</v>
      </c>
      <c r="BG1002" t="str">
        <f ca="1">IFERROR(__xludf.DUMMYFUNCTION("""COMPUTED_VALUE"""),"#VALUE!")</f>
        <v>#VALUE!</v>
      </c>
      <c r="BI1002" t="str">
        <f ca="1">IFERROR(__xludf.DUMMYFUNCTION("""COMPUTED_VALUE"""),"#VALUE!")</f>
        <v>#VALUE!</v>
      </c>
      <c r="BK1002" t="str">
        <f ca="1">IFERROR(__xludf.DUMMYFUNCTION("""COMPUTED_VALUE"""),"#VALUE!")</f>
        <v>#VALUE!</v>
      </c>
      <c r="BM1002" t="str">
        <f ca="1">IFERROR(__xludf.DUMMYFUNCTION("""COMPUTED_VALUE"""),"#VALUE!")</f>
        <v>#VALUE!</v>
      </c>
      <c r="CS1002" t="str">
        <f ca="1">IFERROR(__xludf.DUMMYFUNCTION("""COMPUTED_VALUE"""),"#VALUE!")</f>
        <v>#VALUE!</v>
      </c>
      <c r="CU1002" t="str">
        <f ca="1">IFERROR(__xludf.DUMMYFUNCTION("""COMPUTED_VALUE"""),"#VALUE!")</f>
        <v>#VALUE!</v>
      </c>
      <c r="CW1002" t="str">
        <f ca="1">IFERROR(__xludf.DUMMYFUNCTION("""COMPUTED_VALUE"""),"#VALUE!")</f>
        <v>#VALUE!</v>
      </c>
      <c r="CY1002" t="str">
        <f ca="1">IFERROR(__xludf.DUMMYFUNCTION("""COMPUTED_VALUE"""),"#VALUE!")</f>
        <v>#VALUE!</v>
      </c>
      <c r="DC1002" t="str">
        <f ca="1">IFERROR(__xludf.DUMMYFUNCTION("""COMPUTED_VALUE"""),"#VALUE!")</f>
        <v>#VALUE!</v>
      </c>
      <c r="DE1002" t="str">
        <f ca="1">IFERROR(__xludf.DUMMYFUNCTION("""COMPUTED_VALUE"""),"#VALUE!")</f>
        <v>#VALUE!</v>
      </c>
    </row>
    <row r="1003" spans="1:109" ht="13.2" x14ac:dyDescent="0.25">
      <c r="A1003" t="str">
        <f ca="1">IFERROR(__xludf.DUMMYFUNCTION("""COMPUTED_VALUE"""),"P1012")</f>
        <v>P1012</v>
      </c>
      <c r="BC1003" t="str">
        <f ca="1">IFERROR(__xludf.DUMMYFUNCTION("""COMPUTED_VALUE"""),"#VALUE!")</f>
        <v>#VALUE!</v>
      </c>
      <c r="BE1003" t="str">
        <f ca="1">IFERROR(__xludf.DUMMYFUNCTION("""COMPUTED_VALUE"""),"#VALUE!")</f>
        <v>#VALUE!</v>
      </c>
      <c r="BG1003" t="str">
        <f ca="1">IFERROR(__xludf.DUMMYFUNCTION("""COMPUTED_VALUE"""),"#VALUE!")</f>
        <v>#VALUE!</v>
      </c>
      <c r="BI1003" t="str">
        <f ca="1">IFERROR(__xludf.DUMMYFUNCTION("""COMPUTED_VALUE"""),"#VALUE!")</f>
        <v>#VALUE!</v>
      </c>
      <c r="BK1003" t="str">
        <f ca="1">IFERROR(__xludf.DUMMYFUNCTION("""COMPUTED_VALUE"""),"#VALUE!")</f>
        <v>#VALUE!</v>
      </c>
      <c r="BM1003" t="str">
        <f ca="1">IFERROR(__xludf.DUMMYFUNCTION("""COMPUTED_VALUE"""),"#VALUE!")</f>
        <v>#VALUE!</v>
      </c>
      <c r="CS1003" t="str">
        <f ca="1">IFERROR(__xludf.DUMMYFUNCTION("""COMPUTED_VALUE"""),"#VALUE!")</f>
        <v>#VALUE!</v>
      </c>
      <c r="CU1003" t="str">
        <f ca="1">IFERROR(__xludf.DUMMYFUNCTION("""COMPUTED_VALUE"""),"#VALUE!")</f>
        <v>#VALUE!</v>
      </c>
      <c r="CW1003" t="str">
        <f ca="1">IFERROR(__xludf.DUMMYFUNCTION("""COMPUTED_VALUE"""),"#VALUE!")</f>
        <v>#VALUE!</v>
      </c>
      <c r="CY1003" t="str">
        <f ca="1">IFERROR(__xludf.DUMMYFUNCTION("""COMPUTED_VALUE"""),"#VALUE!")</f>
        <v>#VALUE!</v>
      </c>
      <c r="DC1003" t="str">
        <f ca="1">IFERROR(__xludf.DUMMYFUNCTION("""COMPUTED_VALUE"""),"#VALUE!")</f>
        <v>#VALUE!</v>
      </c>
      <c r="DE1003" t="str">
        <f ca="1">IFERROR(__xludf.DUMMYFUNCTION("""COMPUTED_VALUE"""),"#VALUE!")</f>
        <v>#VALUE!</v>
      </c>
    </row>
    <row r="1004" spans="1:109" ht="13.2" x14ac:dyDescent="0.25">
      <c r="A1004" t="str">
        <f ca="1">IFERROR(__xludf.DUMMYFUNCTION("""COMPUTED_VALUE"""),"P1013")</f>
        <v>P1013</v>
      </c>
      <c r="BC1004" t="str">
        <f ca="1">IFERROR(__xludf.DUMMYFUNCTION("""COMPUTED_VALUE"""),"#VALUE!")</f>
        <v>#VALUE!</v>
      </c>
      <c r="BE1004" t="str">
        <f ca="1">IFERROR(__xludf.DUMMYFUNCTION("""COMPUTED_VALUE"""),"#VALUE!")</f>
        <v>#VALUE!</v>
      </c>
      <c r="BG1004" t="str">
        <f ca="1">IFERROR(__xludf.DUMMYFUNCTION("""COMPUTED_VALUE"""),"#VALUE!")</f>
        <v>#VALUE!</v>
      </c>
      <c r="BI1004" t="str">
        <f ca="1">IFERROR(__xludf.DUMMYFUNCTION("""COMPUTED_VALUE"""),"#VALUE!")</f>
        <v>#VALUE!</v>
      </c>
      <c r="BK1004" t="str">
        <f ca="1">IFERROR(__xludf.DUMMYFUNCTION("""COMPUTED_VALUE"""),"#VALUE!")</f>
        <v>#VALUE!</v>
      </c>
      <c r="BM1004" t="str">
        <f ca="1">IFERROR(__xludf.DUMMYFUNCTION("""COMPUTED_VALUE"""),"#VALUE!")</f>
        <v>#VALUE!</v>
      </c>
      <c r="CS1004" t="str">
        <f ca="1">IFERROR(__xludf.DUMMYFUNCTION("""COMPUTED_VALUE"""),"#VALUE!")</f>
        <v>#VALUE!</v>
      </c>
      <c r="CU1004" t="str">
        <f ca="1">IFERROR(__xludf.DUMMYFUNCTION("""COMPUTED_VALUE"""),"#VALUE!")</f>
        <v>#VALUE!</v>
      </c>
      <c r="CW1004" t="str">
        <f ca="1">IFERROR(__xludf.DUMMYFUNCTION("""COMPUTED_VALUE"""),"#VALUE!")</f>
        <v>#VALUE!</v>
      </c>
      <c r="CY1004" t="str">
        <f ca="1">IFERROR(__xludf.DUMMYFUNCTION("""COMPUTED_VALUE"""),"#VALUE!")</f>
        <v>#VALUE!</v>
      </c>
      <c r="DC1004" t="str">
        <f ca="1">IFERROR(__xludf.DUMMYFUNCTION("""COMPUTED_VALUE"""),"#VALUE!")</f>
        <v>#VALUE!</v>
      </c>
      <c r="DE1004" t="str">
        <f ca="1">IFERROR(__xludf.DUMMYFUNCTION("""COMPUTED_VALUE"""),"#VALUE!")</f>
        <v>#VALUE!</v>
      </c>
    </row>
    <row r="1005" spans="1:109" ht="13.2" x14ac:dyDescent="0.25">
      <c r="A1005" t="str">
        <f ca="1">IFERROR(__xludf.DUMMYFUNCTION("""COMPUTED_VALUE"""),"P1014")</f>
        <v>P1014</v>
      </c>
      <c r="BC1005" t="str">
        <f ca="1">IFERROR(__xludf.DUMMYFUNCTION("""COMPUTED_VALUE"""),"#VALUE!")</f>
        <v>#VALUE!</v>
      </c>
      <c r="BE1005" t="str">
        <f ca="1">IFERROR(__xludf.DUMMYFUNCTION("""COMPUTED_VALUE"""),"#VALUE!")</f>
        <v>#VALUE!</v>
      </c>
      <c r="BG1005" t="str">
        <f ca="1">IFERROR(__xludf.DUMMYFUNCTION("""COMPUTED_VALUE"""),"#VALUE!")</f>
        <v>#VALUE!</v>
      </c>
      <c r="BI1005" t="str">
        <f ca="1">IFERROR(__xludf.DUMMYFUNCTION("""COMPUTED_VALUE"""),"#VALUE!")</f>
        <v>#VALUE!</v>
      </c>
      <c r="BK1005" t="str">
        <f ca="1">IFERROR(__xludf.DUMMYFUNCTION("""COMPUTED_VALUE"""),"#VALUE!")</f>
        <v>#VALUE!</v>
      </c>
      <c r="BM1005" t="str">
        <f ca="1">IFERROR(__xludf.DUMMYFUNCTION("""COMPUTED_VALUE"""),"#VALUE!")</f>
        <v>#VALUE!</v>
      </c>
      <c r="CS1005" t="str">
        <f ca="1">IFERROR(__xludf.DUMMYFUNCTION("""COMPUTED_VALUE"""),"#VALUE!")</f>
        <v>#VALUE!</v>
      </c>
      <c r="CU1005" t="str">
        <f ca="1">IFERROR(__xludf.DUMMYFUNCTION("""COMPUTED_VALUE"""),"#VALUE!")</f>
        <v>#VALUE!</v>
      </c>
      <c r="CW1005" t="str">
        <f ca="1">IFERROR(__xludf.DUMMYFUNCTION("""COMPUTED_VALUE"""),"#VALUE!")</f>
        <v>#VALUE!</v>
      </c>
      <c r="CY1005" t="str">
        <f ca="1">IFERROR(__xludf.DUMMYFUNCTION("""COMPUTED_VALUE"""),"#VALUE!")</f>
        <v>#VALUE!</v>
      </c>
      <c r="DC1005" t="str">
        <f ca="1">IFERROR(__xludf.DUMMYFUNCTION("""COMPUTED_VALUE"""),"#VALUE!")</f>
        <v>#VALUE!</v>
      </c>
      <c r="DE1005" t="str">
        <f ca="1">IFERROR(__xludf.DUMMYFUNCTION("""COMPUTED_VALUE"""),"#VALUE!")</f>
        <v>#VALUE!</v>
      </c>
    </row>
    <row r="1006" spans="1:109" ht="13.2" x14ac:dyDescent="0.25">
      <c r="A1006" t="str">
        <f ca="1">IFERROR(__xludf.DUMMYFUNCTION("""COMPUTED_VALUE"""),"P1015")</f>
        <v>P1015</v>
      </c>
      <c r="BC1006" t="str">
        <f ca="1">IFERROR(__xludf.DUMMYFUNCTION("""COMPUTED_VALUE"""),"#VALUE!")</f>
        <v>#VALUE!</v>
      </c>
      <c r="BE1006" t="str">
        <f ca="1">IFERROR(__xludf.DUMMYFUNCTION("""COMPUTED_VALUE"""),"#VALUE!")</f>
        <v>#VALUE!</v>
      </c>
      <c r="BG1006" t="str">
        <f ca="1">IFERROR(__xludf.DUMMYFUNCTION("""COMPUTED_VALUE"""),"#VALUE!")</f>
        <v>#VALUE!</v>
      </c>
      <c r="BI1006" t="str">
        <f ca="1">IFERROR(__xludf.DUMMYFUNCTION("""COMPUTED_VALUE"""),"#VALUE!")</f>
        <v>#VALUE!</v>
      </c>
      <c r="BK1006" t="str">
        <f ca="1">IFERROR(__xludf.DUMMYFUNCTION("""COMPUTED_VALUE"""),"#VALUE!")</f>
        <v>#VALUE!</v>
      </c>
      <c r="BM1006" t="str">
        <f ca="1">IFERROR(__xludf.DUMMYFUNCTION("""COMPUTED_VALUE"""),"#VALUE!")</f>
        <v>#VALUE!</v>
      </c>
      <c r="CS1006" t="str">
        <f ca="1">IFERROR(__xludf.DUMMYFUNCTION("""COMPUTED_VALUE"""),"#VALUE!")</f>
        <v>#VALUE!</v>
      </c>
      <c r="CU1006" t="str">
        <f ca="1">IFERROR(__xludf.DUMMYFUNCTION("""COMPUTED_VALUE"""),"#VALUE!")</f>
        <v>#VALUE!</v>
      </c>
      <c r="CW1006" t="str">
        <f ca="1">IFERROR(__xludf.DUMMYFUNCTION("""COMPUTED_VALUE"""),"#VALUE!")</f>
        <v>#VALUE!</v>
      </c>
      <c r="CY1006" t="str">
        <f ca="1">IFERROR(__xludf.DUMMYFUNCTION("""COMPUTED_VALUE"""),"#VALUE!")</f>
        <v>#VALUE!</v>
      </c>
      <c r="DC1006" t="str">
        <f ca="1">IFERROR(__xludf.DUMMYFUNCTION("""COMPUTED_VALUE"""),"#VALUE!")</f>
        <v>#VALUE!</v>
      </c>
      <c r="DE1006" t="str">
        <f ca="1">IFERROR(__xludf.DUMMYFUNCTION("""COMPUTED_VALUE"""),"#VALUE!")</f>
        <v>#VALUE!</v>
      </c>
    </row>
    <row r="1007" spans="1:109" ht="13.2" x14ac:dyDescent="0.25">
      <c r="A1007" t="str">
        <f ca="1">IFERROR(__xludf.DUMMYFUNCTION("""COMPUTED_VALUE"""),"P1016")</f>
        <v>P1016</v>
      </c>
      <c r="BC1007" t="str">
        <f ca="1">IFERROR(__xludf.DUMMYFUNCTION("""COMPUTED_VALUE"""),"#VALUE!")</f>
        <v>#VALUE!</v>
      </c>
      <c r="BE1007" t="str">
        <f ca="1">IFERROR(__xludf.DUMMYFUNCTION("""COMPUTED_VALUE"""),"#VALUE!")</f>
        <v>#VALUE!</v>
      </c>
      <c r="BG1007" t="str">
        <f ca="1">IFERROR(__xludf.DUMMYFUNCTION("""COMPUTED_VALUE"""),"#VALUE!")</f>
        <v>#VALUE!</v>
      </c>
      <c r="BI1007" t="str">
        <f ca="1">IFERROR(__xludf.DUMMYFUNCTION("""COMPUTED_VALUE"""),"#VALUE!")</f>
        <v>#VALUE!</v>
      </c>
      <c r="BK1007" t="str">
        <f ca="1">IFERROR(__xludf.DUMMYFUNCTION("""COMPUTED_VALUE"""),"#VALUE!")</f>
        <v>#VALUE!</v>
      </c>
      <c r="BM1007" t="str">
        <f ca="1">IFERROR(__xludf.DUMMYFUNCTION("""COMPUTED_VALUE"""),"#VALUE!")</f>
        <v>#VALUE!</v>
      </c>
      <c r="CS1007" t="str">
        <f ca="1">IFERROR(__xludf.DUMMYFUNCTION("""COMPUTED_VALUE"""),"#VALUE!")</f>
        <v>#VALUE!</v>
      </c>
      <c r="CU1007" t="str">
        <f ca="1">IFERROR(__xludf.DUMMYFUNCTION("""COMPUTED_VALUE"""),"#VALUE!")</f>
        <v>#VALUE!</v>
      </c>
      <c r="CW1007" t="str">
        <f ca="1">IFERROR(__xludf.DUMMYFUNCTION("""COMPUTED_VALUE"""),"#VALUE!")</f>
        <v>#VALUE!</v>
      </c>
      <c r="CY1007" t="str">
        <f ca="1">IFERROR(__xludf.DUMMYFUNCTION("""COMPUTED_VALUE"""),"#VALUE!")</f>
        <v>#VALUE!</v>
      </c>
      <c r="DC1007" t="str">
        <f ca="1">IFERROR(__xludf.DUMMYFUNCTION("""COMPUTED_VALUE"""),"#VALUE!")</f>
        <v>#VALUE!</v>
      </c>
      <c r="DE1007" t="str">
        <f ca="1">IFERROR(__xludf.DUMMYFUNCTION("""COMPUTED_VALUE"""),"#VALUE!")</f>
        <v>#VALUE!</v>
      </c>
    </row>
    <row r="1008" spans="1:109" ht="13.2" x14ac:dyDescent="0.25">
      <c r="A1008" t="str">
        <f ca="1">IFERROR(__xludf.DUMMYFUNCTION("""COMPUTED_VALUE"""),"P1017")</f>
        <v>P1017</v>
      </c>
      <c r="BC1008" t="str">
        <f ca="1">IFERROR(__xludf.DUMMYFUNCTION("""COMPUTED_VALUE"""),"#VALUE!")</f>
        <v>#VALUE!</v>
      </c>
      <c r="BE1008" t="str">
        <f ca="1">IFERROR(__xludf.DUMMYFUNCTION("""COMPUTED_VALUE"""),"#VALUE!")</f>
        <v>#VALUE!</v>
      </c>
      <c r="BG1008" t="str">
        <f ca="1">IFERROR(__xludf.DUMMYFUNCTION("""COMPUTED_VALUE"""),"#VALUE!")</f>
        <v>#VALUE!</v>
      </c>
      <c r="BI1008" t="str">
        <f ca="1">IFERROR(__xludf.DUMMYFUNCTION("""COMPUTED_VALUE"""),"#VALUE!")</f>
        <v>#VALUE!</v>
      </c>
      <c r="BK1008" t="str">
        <f ca="1">IFERROR(__xludf.DUMMYFUNCTION("""COMPUTED_VALUE"""),"#VALUE!")</f>
        <v>#VALUE!</v>
      </c>
      <c r="BM1008" t="str">
        <f ca="1">IFERROR(__xludf.DUMMYFUNCTION("""COMPUTED_VALUE"""),"#VALUE!")</f>
        <v>#VALUE!</v>
      </c>
      <c r="CS1008" t="str">
        <f ca="1">IFERROR(__xludf.DUMMYFUNCTION("""COMPUTED_VALUE"""),"#VALUE!")</f>
        <v>#VALUE!</v>
      </c>
      <c r="CU1008" t="str">
        <f ca="1">IFERROR(__xludf.DUMMYFUNCTION("""COMPUTED_VALUE"""),"#VALUE!")</f>
        <v>#VALUE!</v>
      </c>
      <c r="CW1008" t="str">
        <f ca="1">IFERROR(__xludf.DUMMYFUNCTION("""COMPUTED_VALUE"""),"#VALUE!")</f>
        <v>#VALUE!</v>
      </c>
      <c r="CY1008" t="str">
        <f ca="1">IFERROR(__xludf.DUMMYFUNCTION("""COMPUTED_VALUE"""),"#VALUE!")</f>
        <v>#VALUE!</v>
      </c>
      <c r="DC1008" t="str">
        <f ca="1">IFERROR(__xludf.DUMMYFUNCTION("""COMPUTED_VALUE"""),"#VALUE!")</f>
        <v>#VALUE!</v>
      </c>
      <c r="DE1008" t="str">
        <f ca="1">IFERROR(__xludf.DUMMYFUNCTION("""COMPUTED_VALUE"""),"#VALUE!")</f>
        <v>#VALUE!</v>
      </c>
    </row>
    <row r="1009" spans="1:109" ht="13.2" x14ac:dyDescent="0.25">
      <c r="A1009" t="str">
        <f ca="1">IFERROR(__xludf.DUMMYFUNCTION("""COMPUTED_VALUE"""),"P1018")</f>
        <v>P1018</v>
      </c>
      <c r="BC1009" t="str">
        <f ca="1">IFERROR(__xludf.DUMMYFUNCTION("""COMPUTED_VALUE"""),"#VALUE!")</f>
        <v>#VALUE!</v>
      </c>
      <c r="BE1009" t="str">
        <f ca="1">IFERROR(__xludf.DUMMYFUNCTION("""COMPUTED_VALUE"""),"#VALUE!")</f>
        <v>#VALUE!</v>
      </c>
      <c r="BG1009" t="str">
        <f ca="1">IFERROR(__xludf.DUMMYFUNCTION("""COMPUTED_VALUE"""),"#VALUE!")</f>
        <v>#VALUE!</v>
      </c>
      <c r="BI1009" t="str">
        <f ca="1">IFERROR(__xludf.DUMMYFUNCTION("""COMPUTED_VALUE"""),"#VALUE!")</f>
        <v>#VALUE!</v>
      </c>
      <c r="BK1009" t="str">
        <f ca="1">IFERROR(__xludf.DUMMYFUNCTION("""COMPUTED_VALUE"""),"#VALUE!")</f>
        <v>#VALUE!</v>
      </c>
      <c r="BM1009" t="str">
        <f ca="1">IFERROR(__xludf.DUMMYFUNCTION("""COMPUTED_VALUE"""),"#VALUE!")</f>
        <v>#VALUE!</v>
      </c>
      <c r="CS1009" t="str">
        <f ca="1">IFERROR(__xludf.DUMMYFUNCTION("""COMPUTED_VALUE"""),"#VALUE!")</f>
        <v>#VALUE!</v>
      </c>
      <c r="CU1009" t="str">
        <f ca="1">IFERROR(__xludf.DUMMYFUNCTION("""COMPUTED_VALUE"""),"#VALUE!")</f>
        <v>#VALUE!</v>
      </c>
      <c r="CW1009" t="str">
        <f ca="1">IFERROR(__xludf.DUMMYFUNCTION("""COMPUTED_VALUE"""),"#VALUE!")</f>
        <v>#VALUE!</v>
      </c>
      <c r="CY1009" t="str">
        <f ca="1">IFERROR(__xludf.DUMMYFUNCTION("""COMPUTED_VALUE"""),"#VALUE!")</f>
        <v>#VALUE!</v>
      </c>
      <c r="DC1009" t="str">
        <f ca="1">IFERROR(__xludf.DUMMYFUNCTION("""COMPUTED_VALUE"""),"#VALUE!")</f>
        <v>#VALUE!</v>
      </c>
      <c r="DE1009" t="str">
        <f ca="1">IFERROR(__xludf.DUMMYFUNCTION("""COMPUTED_VALUE"""),"#VALUE!")</f>
        <v>#VALUE!</v>
      </c>
    </row>
    <row r="1010" spans="1:109" ht="13.2" x14ac:dyDescent="0.25">
      <c r="A1010" t="str">
        <f ca="1">IFERROR(__xludf.DUMMYFUNCTION("""COMPUTED_VALUE"""),"P1019")</f>
        <v>P1019</v>
      </c>
      <c r="BC1010" t="str">
        <f ca="1">IFERROR(__xludf.DUMMYFUNCTION("""COMPUTED_VALUE"""),"#VALUE!")</f>
        <v>#VALUE!</v>
      </c>
      <c r="BE1010" t="str">
        <f ca="1">IFERROR(__xludf.DUMMYFUNCTION("""COMPUTED_VALUE"""),"#VALUE!")</f>
        <v>#VALUE!</v>
      </c>
      <c r="BG1010" t="str">
        <f ca="1">IFERROR(__xludf.DUMMYFUNCTION("""COMPUTED_VALUE"""),"#VALUE!")</f>
        <v>#VALUE!</v>
      </c>
      <c r="BI1010" t="str">
        <f ca="1">IFERROR(__xludf.DUMMYFUNCTION("""COMPUTED_VALUE"""),"#VALUE!")</f>
        <v>#VALUE!</v>
      </c>
      <c r="BK1010" t="str">
        <f ca="1">IFERROR(__xludf.DUMMYFUNCTION("""COMPUTED_VALUE"""),"#VALUE!")</f>
        <v>#VALUE!</v>
      </c>
      <c r="BM1010" t="str">
        <f ca="1">IFERROR(__xludf.DUMMYFUNCTION("""COMPUTED_VALUE"""),"#VALUE!")</f>
        <v>#VALUE!</v>
      </c>
      <c r="CS1010" t="str">
        <f ca="1">IFERROR(__xludf.DUMMYFUNCTION("""COMPUTED_VALUE"""),"#VALUE!")</f>
        <v>#VALUE!</v>
      </c>
      <c r="CU1010" t="str">
        <f ca="1">IFERROR(__xludf.DUMMYFUNCTION("""COMPUTED_VALUE"""),"#VALUE!")</f>
        <v>#VALUE!</v>
      </c>
      <c r="CW1010" t="str">
        <f ca="1">IFERROR(__xludf.DUMMYFUNCTION("""COMPUTED_VALUE"""),"#VALUE!")</f>
        <v>#VALUE!</v>
      </c>
      <c r="CY1010" t="str">
        <f ca="1">IFERROR(__xludf.DUMMYFUNCTION("""COMPUTED_VALUE"""),"#VALUE!")</f>
        <v>#VALUE!</v>
      </c>
      <c r="DC1010" t="str">
        <f ca="1">IFERROR(__xludf.DUMMYFUNCTION("""COMPUTED_VALUE"""),"#VALUE!")</f>
        <v>#VALUE!</v>
      </c>
      <c r="DE1010" t="str">
        <f ca="1">IFERROR(__xludf.DUMMYFUNCTION("""COMPUTED_VALUE"""),"#VALUE!")</f>
        <v>#VALUE!</v>
      </c>
    </row>
    <row r="1011" spans="1:109" ht="13.2" x14ac:dyDescent="0.25">
      <c r="A1011" t="str">
        <f ca="1">IFERROR(__xludf.DUMMYFUNCTION("""COMPUTED_VALUE"""),"P1020")</f>
        <v>P1020</v>
      </c>
      <c r="BC1011" t="str">
        <f ca="1">IFERROR(__xludf.DUMMYFUNCTION("""COMPUTED_VALUE"""),"#VALUE!")</f>
        <v>#VALUE!</v>
      </c>
      <c r="BE1011" t="str">
        <f ca="1">IFERROR(__xludf.DUMMYFUNCTION("""COMPUTED_VALUE"""),"#VALUE!")</f>
        <v>#VALUE!</v>
      </c>
      <c r="BG1011" t="str">
        <f ca="1">IFERROR(__xludf.DUMMYFUNCTION("""COMPUTED_VALUE"""),"#VALUE!")</f>
        <v>#VALUE!</v>
      </c>
      <c r="BI1011" t="str">
        <f ca="1">IFERROR(__xludf.DUMMYFUNCTION("""COMPUTED_VALUE"""),"#VALUE!")</f>
        <v>#VALUE!</v>
      </c>
      <c r="BK1011" t="str">
        <f ca="1">IFERROR(__xludf.DUMMYFUNCTION("""COMPUTED_VALUE"""),"#VALUE!")</f>
        <v>#VALUE!</v>
      </c>
      <c r="BM1011" t="str">
        <f ca="1">IFERROR(__xludf.DUMMYFUNCTION("""COMPUTED_VALUE"""),"#VALUE!")</f>
        <v>#VALUE!</v>
      </c>
      <c r="CS1011" t="str">
        <f ca="1">IFERROR(__xludf.DUMMYFUNCTION("""COMPUTED_VALUE"""),"#VALUE!")</f>
        <v>#VALUE!</v>
      </c>
      <c r="CU1011" t="str">
        <f ca="1">IFERROR(__xludf.DUMMYFUNCTION("""COMPUTED_VALUE"""),"#VALUE!")</f>
        <v>#VALUE!</v>
      </c>
      <c r="CW1011" t="str">
        <f ca="1">IFERROR(__xludf.DUMMYFUNCTION("""COMPUTED_VALUE"""),"#VALUE!")</f>
        <v>#VALUE!</v>
      </c>
      <c r="CY1011" t="str">
        <f ca="1">IFERROR(__xludf.DUMMYFUNCTION("""COMPUTED_VALUE"""),"#VALUE!")</f>
        <v>#VALUE!</v>
      </c>
      <c r="DC1011" t="str">
        <f ca="1">IFERROR(__xludf.DUMMYFUNCTION("""COMPUTED_VALUE"""),"#VALUE!")</f>
        <v>#VALUE!</v>
      </c>
      <c r="DE1011" t="str">
        <f ca="1">IFERROR(__xludf.DUMMYFUNCTION("""COMPUTED_VALUE"""),"#VALUE!")</f>
        <v>#VALUE!</v>
      </c>
    </row>
    <row r="1012" spans="1:109" ht="13.2" x14ac:dyDescent="0.25">
      <c r="A1012" t="str">
        <f ca="1">IFERROR(__xludf.DUMMYFUNCTION("""COMPUTED_VALUE"""),"P1021")</f>
        <v>P1021</v>
      </c>
      <c r="BC1012" t="str">
        <f ca="1">IFERROR(__xludf.DUMMYFUNCTION("""COMPUTED_VALUE"""),"#VALUE!")</f>
        <v>#VALUE!</v>
      </c>
      <c r="BE1012" t="str">
        <f ca="1">IFERROR(__xludf.DUMMYFUNCTION("""COMPUTED_VALUE"""),"#VALUE!")</f>
        <v>#VALUE!</v>
      </c>
      <c r="BG1012" t="str">
        <f ca="1">IFERROR(__xludf.DUMMYFUNCTION("""COMPUTED_VALUE"""),"#VALUE!")</f>
        <v>#VALUE!</v>
      </c>
      <c r="BI1012" t="str">
        <f ca="1">IFERROR(__xludf.DUMMYFUNCTION("""COMPUTED_VALUE"""),"#VALUE!")</f>
        <v>#VALUE!</v>
      </c>
      <c r="BK1012" t="str">
        <f ca="1">IFERROR(__xludf.DUMMYFUNCTION("""COMPUTED_VALUE"""),"#VALUE!")</f>
        <v>#VALUE!</v>
      </c>
      <c r="BM1012" t="str">
        <f ca="1">IFERROR(__xludf.DUMMYFUNCTION("""COMPUTED_VALUE"""),"#VALUE!")</f>
        <v>#VALUE!</v>
      </c>
      <c r="CS1012" t="str">
        <f ca="1">IFERROR(__xludf.DUMMYFUNCTION("""COMPUTED_VALUE"""),"#VALUE!")</f>
        <v>#VALUE!</v>
      </c>
      <c r="CU1012" t="str">
        <f ca="1">IFERROR(__xludf.DUMMYFUNCTION("""COMPUTED_VALUE"""),"#VALUE!")</f>
        <v>#VALUE!</v>
      </c>
      <c r="CW1012" t="str">
        <f ca="1">IFERROR(__xludf.DUMMYFUNCTION("""COMPUTED_VALUE"""),"#VALUE!")</f>
        <v>#VALUE!</v>
      </c>
      <c r="CY1012" t="str">
        <f ca="1">IFERROR(__xludf.DUMMYFUNCTION("""COMPUTED_VALUE"""),"#VALUE!")</f>
        <v>#VALUE!</v>
      </c>
      <c r="DC1012" t="str">
        <f ca="1">IFERROR(__xludf.DUMMYFUNCTION("""COMPUTED_VALUE"""),"#VALUE!")</f>
        <v>#VALUE!</v>
      </c>
      <c r="DE1012" t="str">
        <f ca="1">IFERROR(__xludf.DUMMYFUNCTION("""COMPUTED_VALUE"""),"#VALUE!")</f>
        <v>#VALUE!</v>
      </c>
    </row>
    <row r="1013" spans="1:109" ht="13.2" x14ac:dyDescent="0.25">
      <c r="A1013" t="str">
        <f ca="1">IFERROR(__xludf.DUMMYFUNCTION("""COMPUTED_VALUE"""),"P1022")</f>
        <v>P1022</v>
      </c>
      <c r="BC1013" t="str">
        <f ca="1">IFERROR(__xludf.DUMMYFUNCTION("""COMPUTED_VALUE"""),"#VALUE!")</f>
        <v>#VALUE!</v>
      </c>
      <c r="BE1013" t="str">
        <f ca="1">IFERROR(__xludf.DUMMYFUNCTION("""COMPUTED_VALUE"""),"#VALUE!")</f>
        <v>#VALUE!</v>
      </c>
      <c r="BG1013" t="str">
        <f ca="1">IFERROR(__xludf.DUMMYFUNCTION("""COMPUTED_VALUE"""),"#VALUE!")</f>
        <v>#VALUE!</v>
      </c>
      <c r="BI1013" t="str">
        <f ca="1">IFERROR(__xludf.DUMMYFUNCTION("""COMPUTED_VALUE"""),"#VALUE!")</f>
        <v>#VALUE!</v>
      </c>
      <c r="BK1013" t="str">
        <f ca="1">IFERROR(__xludf.DUMMYFUNCTION("""COMPUTED_VALUE"""),"#VALUE!")</f>
        <v>#VALUE!</v>
      </c>
      <c r="BM1013" t="str">
        <f ca="1">IFERROR(__xludf.DUMMYFUNCTION("""COMPUTED_VALUE"""),"#VALUE!")</f>
        <v>#VALUE!</v>
      </c>
      <c r="CS1013" t="str">
        <f ca="1">IFERROR(__xludf.DUMMYFUNCTION("""COMPUTED_VALUE"""),"#VALUE!")</f>
        <v>#VALUE!</v>
      </c>
      <c r="CU1013" t="str">
        <f ca="1">IFERROR(__xludf.DUMMYFUNCTION("""COMPUTED_VALUE"""),"#VALUE!")</f>
        <v>#VALUE!</v>
      </c>
      <c r="CW1013" t="str">
        <f ca="1">IFERROR(__xludf.DUMMYFUNCTION("""COMPUTED_VALUE"""),"#VALUE!")</f>
        <v>#VALUE!</v>
      </c>
      <c r="CY1013" t="str">
        <f ca="1">IFERROR(__xludf.DUMMYFUNCTION("""COMPUTED_VALUE"""),"#VALUE!")</f>
        <v>#VALUE!</v>
      </c>
      <c r="DC1013" t="str">
        <f ca="1">IFERROR(__xludf.DUMMYFUNCTION("""COMPUTED_VALUE"""),"#VALUE!")</f>
        <v>#VALUE!</v>
      </c>
      <c r="DE1013" t="str">
        <f ca="1">IFERROR(__xludf.DUMMYFUNCTION("""COMPUTED_VALUE"""),"#VALUE!")</f>
        <v>#VALUE!</v>
      </c>
    </row>
    <row r="1014" spans="1:109" ht="13.2" x14ac:dyDescent="0.25">
      <c r="A1014" t="str">
        <f ca="1">IFERROR(__xludf.DUMMYFUNCTION("""COMPUTED_VALUE"""),"P1023")</f>
        <v>P1023</v>
      </c>
      <c r="BC1014" t="str">
        <f ca="1">IFERROR(__xludf.DUMMYFUNCTION("""COMPUTED_VALUE"""),"#VALUE!")</f>
        <v>#VALUE!</v>
      </c>
      <c r="BE1014" t="str">
        <f ca="1">IFERROR(__xludf.DUMMYFUNCTION("""COMPUTED_VALUE"""),"#VALUE!")</f>
        <v>#VALUE!</v>
      </c>
      <c r="BG1014" t="str">
        <f ca="1">IFERROR(__xludf.DUMMYFUNCTION("""COMPUTED_VALUE"""),"#VALUE!")</f>
        <v>#VALUE!</v>
      </c>
      <c r="BI1014" t="str">
        <f ca="1">IFERROR(__xludf.DUMMYFUNCTION("""COMPUTED_VALUE"""),"#VALUE!")</f>
        <v>#VALUE!</v>
      </c>
      <c r="BK1014" t="str">
        <f ca="1">IFERROR(__xludf.DUMMYFUNCTION("""COMPUTED_VALUE"""),"#VALUE!")</f>
        <v>#VALUE!</v>
      </c>
      <c r="BM1014" t="str">
        <f ca="1">IFERROR(__xludf.DUMMYFUNCTION("""COMPUTED_VALUE"""),"#VALUE!")</f>
        <v>#VALUE!</v>
      </c>
      <c r="CS1014" t="str">
        <f ca="1">IFERROR(__xludf.DUMMYFUNCTION("""COMPUTED_VALUE"""),"#VALUE!")</f>
        <v>#VALUE!</v>
      </c>
      <c r="CU1014" t="str">
        <f ca="1">IFERROR(__xludf.DUMMYFUNCTION("""COMPUTED_VALUE"""),"#VALUE!")</f>
        <v>#VALUE!</v>
      </c>
      <c r="CW1014" t="str">
        <f ca="1">IFERROR(__xludf.DUMMYFUNCTION("""COMPUTED_VALUE"""),"#VALUE!")</f>
        <v>#VALUE!</v>
      </c>
      <c r="CY1014" t="str">
        <f ca="1">IFERROR(__xludf.DUMMYFUNCTION("""COMPUTED_VALUE"""),"#VALUE!")</f>
        <v>#VALUE!</v>
      </c>
      <c r="DC1014" t="str">
        <f ca="1">IFERROR(__xludf.DUMMYFUNCTION("""COMPUTED_VALUE"""),"#VALUE!")</f>
        <v>#VALUE!</v>
      </c>
      <c r="DE1014" t="str">
        <f ca="1">IFERROR(__xludf.DUMMYFUNCTION("""COMPUTED_VALUE"""),"#VALUE!")</f>
        <v>#VALUE!</v>
      </c>
    </row>
    <row r="1015" spans="1:109" ht="13.2" x14ac:dyDescent="0.25">
      <c r="A1015" t="str">
        <f ca="1">IFERROR(__xludf.DUMMYFUNCTION("""COMPUTED_VALUE"""),"P1024")</f>
        <v>P1024</v>
      </c>
      <c r="BC1015" t="str">
        <f ca="1">IFERROR(__xludf.DUMMYFUNCTION("""COMPUTED_VALUE"""),"#VALUE!")</f>
        <v>#VALUE!</v>
      </c>
      <c r="BE1015" t="str">
        <f ca="1">IFERROR(__xludf.DUMMYFUNCTION("""COMPUTED_VALUE"""),"#VALUE!")</f>
        <v>#VALUE!</v>
      </c>
      <c r="BG1015" t="str">
        <f ca="1">IFERROR(__xludf.DUMMYFUNCTION("""COMPUTED_VALUE"""),"#VALUE!")</f>
        <v>#VALUE!</v>
      </c>
      <c r="BI1015" t="str">
        <f ca="1">IFERROR(__xludf.DUMMYFUNCTION("""COMPUTED_VALUE"""),"#VALUE!")</f>
        <v>#VALUE!</v>
      </c>
      <c r="BK1015" t="str">
        <f ca="1">IFERROR(__xludf.DUMMYFUNCTION("""COMPUTED_VALUE"""),"#VALUE!")</f>
        <v>#VALUE!</v>
      </c>
      <c r="BM1015" t="str">
        <f ca="1">IFERROR(__xludf.DUMMYFUNCTION("""COMPUTED_VALUE"""),"#VALUE!")</f>
        <v>#VALUE!</v>
      </c>
      <c r="CS1015" t="str">
        <f ca="1">IFERROR(__xludf.DUMMYFUNCTION("""COMPUTED_VALUE"""),"#VALUE!")</f>
        <v>#VALUE!</v>
      </c>
      <c r="CU1015" t="str">
        <f ca="1">IFERROR(__xludf.DUMMYFUNCTION("""COMPUTED_VALUE"""),"#VALUE!")</f>
        <v>#VALUE!</v>
      </c>
      <c r="CW1015" t="str">
        <f ca="1">IFERROR(__xludf.DUMMYFUNCTION("""COMPUTED_VALUE"""),"#VALUE!")</f>
        <v>#VALUE!</v>
      </c>
      <c r="CY1015" t="str">
        <f ca="1">IFERROR(__xludf.DUMMYFUNCTION("""COMPUTED_VALUE"""),"#VALUE!")</f>
        <v>#VALUE!</v>
      </c>
      <c r="DC1015" t="str">
        <f ca="1">IFERROR(__xludf.DUMMYFUNCTION("""COMPUTED_VALUE"""),"#VALUE!")</f>
        <v>#VALUE!</v>
      </c>
      <c r="DE1015" t="str">
        <f ca="1">IFERROR(__xludf.DUMMYFUNCTION("""COMPUTED_VALUE"""),"#VALUE!")</f>
        <v>#VALUE!</v>
      </c>
    </row>
    <row r="1016" spans="1:109" ht="13.2" x14ac:dyDescent="0.25">
      <c r="A1016" t="str">
        <f ca="1">IFERROR(__xludf.DUMMYFUNCTION("""COMPUTED_VALUE"""),"P1025")</f>
        <v>P1025</v>
      </c>
      <c r="BC1016" t="str">
        <f ca="1">IFERROR(__xludf.DUMMYFUNCTION("""COMPUTED_VALUE"""),"#VALUE!")</f>
        <v>#VALUE!</v>
      </c>
      <c r="BE1016" t="str">
        <f ca="1">IFERROR(__xludf.DUMMYFUNCTION("""COMPUTED_VALUE"""),"#VALUE!")</f>
        <v>#VALUE!</v>
      </c>
      <c r="BG1016" t="str">
        <f ca="1">IFERROR(__xludf.DUMMYFUNCTION("""COMPUTED_VALUE"""),"#VALUE!")</f>
        <v>#VALUE!</v>
      </c>
      <c r="BI1016" t="str">
        <f ca="1">IFERROR(__xludf.DUMMYFUNCTION("""COMPUTED_VALUE"""),"#VALUE!")</f>
        <v>#VALUE!</v>
      </c>
      <c r="BK1016" t="str">
        <f ca="1">IFERROR(__xludf.DUMMYFUNCTION("""COMPUTED_VALUE"""),"#VALUE!")</f>
        <v>#VALUE!</v>
      </c>
      <c r="BM1016" t="str">
        <f ca="1">IFERROR(__xludf.DUMMYFUNCTION("""COMPUTED_VALUE"""),"#VALUE!")</f>
        <v>#VALUE!</v>
      </c>
      <c r="CS1016" t="str">
        <f ca="1">IFERROR(__xludf.DUMMYFUNCTION("""COMPUTED_VALUE"""),"#VALUE!")</f>
        <v>#VALUE!</v>
      </c>
      <c r="CU1016" t="str">
        <f ca="1">IFERROR(__xludf.DUMMYFUNCTION("""COMPUTED_VALUE"""),"#VALUE!")</f>
        <v>#VALUE!</v>
      </c>
      <c r="CW1016" t="str">
        <f ca="1">IFERROR(__xludf.DUMMYFUNCTION("""COMPUTED_VALUE"""),"#VALUE!")</f>
        <v>#VALUE!</v>
      </c>
      <c r="CY1016" t="str">
        <f ca="1">IFERROR(__xludf.DUMMYFUNCTION("""COMPUTED_VALUE"""),"#VALUE!")</f>
        <v>#VALUE!</v>
      </c>
      <c r="DC1016" t="str">
        <f ca="1">IFERROR(__xludf.DUMMYFUNCTION("""COMPUTED_VALUE"""),"#VALUE!")</f>
        <v>#VALUE!</v>
      </c>
      <c r="DE1016" t="str">
        <f ca="1">IFERROR(__xludf.DUMMYFUNCTION("""COMPUTED_VALUE"""),"#VALUE!")</f>
        <v>#VALUE!</v>
      </c>
    </row>
    <row r="1017" spans="1:109" ht="13.2" x14ac:dyDescent="0.25">
      <c r="A1017" t="str">
        <f ca="1">IFERROR(__xludf.DUMMYFUNCTION("""COMPUTED_VALUE"""),"P1026")</f>
        <v>P1026</v>
      </c>
      <c r="BC1017" t="str">
        <f ca="1">IFERROR(__xludf.DUMMYFUNCTION("""COMPUTED_VALUE"""),"#VALUE!")</f>
        <v>#VALUE!</v>
      </c>
      <c r="BE1017" t="str">
        <f ca="1">IFERROR(__xludf.DUMMYFUNCTION("""COMPUTED_VALUE"""),"#VALUE!")</f>
        <v>#VALUE!</v>
      </c>
      <c r="BG1017" t="str">
        <f ca="1">IFERROR(__xludf.DUMMYFUNCTION("""COMPUTED_VALUE"""),"#VALUE!")</f>
        <v>#VALUE!</v>
      </c>
      <c r="BI1017" t="str">
        <f ca="1">IFERROR(__xludf.DUMMYFUNCTION("""COMPUTED_VALUE"""),"#VALUE!")</f>
        <v>#VALUE!</v>
      </c>
      <c r="BK1017" t="str">
        <f ca="1">IFERROR(__xludf.DUMMYFUNCTION("""COMPUTED_VALUE"""),"#VALUE!")</f>
        <v>#VALUE!</v>
      </c>
      <c r="BM1017" t="str">
        <f ca="1">IFERROR(__xludf.DUMMYFUNCTION("""COMPUTED_VALUE"""),"#VALUE!")</f>
        <v>#VALUE!</v>
      </c>
      <c r="CS1017" t="str">
        <f ca="1">IFERROR(__xludf.DUMMYFUNCTION("""COMPUTED_VALUE"""),"#VALUE!")</f>
        <v>#VALUE!</v>
      </c>
      <c r="CU1017" t="str">
        <f ca="1">IFERROR(__xludf.DUMMYFUNCTION("""COMPUTED_VALUE"""),"#VALUE!")</f>
        <v>#VALUE!</v>
      </c>
      <c r="CW1017" t="str">
        <f ca="1">IFERROR(__xludf.DUMMYFUNCTION("""COMPUTED_VALUE"""),"#VALUE!")</f>
        <v>#VALUE!</v>
      </c>
      <c r="CY1017" t="str">
        <f ca="1">IFERROR(__xludf.DUMMYFUNCTION("""COMPUTED_VALUE"""),"#VALUE!")</f>
        <v>#VALUE!</v>
      </c>
      <c r="DC1017" t="str">
        <f ca="1">IFERROR(__xludf.DUMMYFUNCTION("""COMPUTED_VALUE"""),"#VALUE!")</f>
        <v>#VALUE!</v>
      </c>
      <c r="DE1017" t="str">
        <f ca="1">IFERROR(__xludf.DUMMYFUNCTION("""COMPUTED_VALUE"""),"#VALUE!")</f>
        <v>#VALUE!</v>
      </c>
    </row>
    <row r="1018" spans="1:109" ht="13.2" x14ac:dyDescent="0.25">
      <c r="A1018" t="str">
        <f ca="1">IFERROR(__xludf.DUMMYFUNCTION("""COMPUTED_VALUE"""),"P1027")</f>
        <v>P1027</v>
      </c>
      <c r="BC1018" t="str">
        <f ca="1">IFERROR(__xludf.DUMMYFUNCTION("""COMPUTED_VALUE"""),"#VALUE!")</f>
        <v>#VALUE!</v>
      </c>
      <c r="BE1018" t="str">
        <f ca="1">IFERROR(__xludf.DUMMYFUNCTION("""COMPUTED_VALUE"""),"#VALUE!")</f>
        <v>#VALUE!</v>
      </c>
      <c r="BG1018" t="str">
        <f ca="1">IFERROR(__xludf.DUMMYFUNCTION("""COMPUTED_VALUE"""),"#VALUE!")</f>
        <v>#VALUE!</v>
      </c>
      <c r="BI1018" t="str">
        <f ca="1">IFERROR(__xludf.DUMMYFUNCTION("""COMPUTED_VALUE"""),"#VALUE!")</f>
        <v>#VALUE!</v>
      </c>
      <c r="BK1018" t="str">
        <f ca="1">IFERROR(__xludf.DUMMYFUNCTION("""COMPUTED_VALUE"""),"#VALUE!")</f>
        <v>#VALUE!</v>
      </c>
      <c r="BM1018" t="str">
        <f ca="1">IFERROR(__xludf.DUMMYFUNCTION("""COMPUTED_VALUE"""),"#VALUE!")</f>
        <v>#VALUE!</v>
      </c>
      <c r="CS1018" t="str">
        <f ca="1">IFERROR(__xludf.DUMMYFUNCTION("""COMPUTED_VALUE"""),"#VALUE!")</f>
        <v>#VALUE!</v>
      </c>
      <c r="CU1018" t="str">
        <f ca="1">IFERROR(__xludf.DUMMYFUNCTION("""COMPUTED_VALUE"""),"#VALUE!")</f>
        <v>#VALUE!</v>
      </c>
      <c r="CW1018" t="str">
        <f ca="1">IFERROR(__xludf.DUMMYFUNCTION("""COMPUTED_VALUE"""),"#VALUE!")</f>
        <v>#VALUE!</v>
      </c>
      <c r="CY1018" t="str">
        <f ca="1">IFERROR(__xludf.DUMMYFUNCTION("""COMPUTED_VALUE"""),"#VALUE!")</f>
        <v>#VALUE!</v>
      </c>
      <c r="DC1018" t="str">
        <f ca="1">IFERROR(__xludf.DUMMYFUNCTION("""COMPUTED_VALUE"""),"#VALUE!")</f>
        <v>#VALUE!</v>
      </c>
      <c r="DE1018" t="str">
        <f ca="1">IFERROR(__xludf.DUMMYFUNCTION("""COMPUTED_VALUE"""),"#VALUE!")</f>
        <v>#VALUE!</v>
      </c>
    </row>
    <row r="1019" spans="1:109" ht="13.2" x14ac:dyDescent="0.25">
      <c r="A1019" t="str">
        <f ca="1">IFERROR(__xludf.DUMMYFUNCTION("""COMPUTED_VALUE"""),"P1028")</f>
        <v>P1028</v>
      </c>
      <c r="BC1019" t="str">
        <f ca="1">IFERROR(__xludf.DUMMYFUNCTION("""COMPUTED_VALUE"""),"#VALUE!")</f>
        <v>#VALUE!</v>
      </c>
      <c r="BE1019" t="str">
        <f ca="1">IFERROR(__xludf.DUMMYFUNCTION("""COMPUTED_VALUE"""),"#VALUE!")</f>
        <v>#VALUE!</v>
      </c>
      <c r="BG1019" t="str">
        <f ca="1">IFERROR(__xludf.DUMMYFUNCTION("""COMPUTED_VALUE"""),"#VALUE!")</f>
        <v>#VALUE!</v>
      </c>
      <c r="BI1019" t="str">
        <f ca="1">IFERROR(__xludf.DUMMYFUNCTION("""COMPUTED_VALUE"""),"#VALUE!")</f>
        <v>#VALUE!</v>
      </c>
      <c r="BK1019" t="str">
        <f ca="1">IFERROR(__xludf.DUMMYFUNCTION("""COMPUTED_VALUE"""),"#VALUE!")</f>
        <v>#VALUE!</v>
      </c>
      <c r="BM1019" t="str">
        <f ca="1">IFERROR(__xludf.DUMMYFUNCTION("""COMPUTED_VALUE"""),"#VALUE!")</f>
        <v>#VALUE!</v>
      </c>
      <c r="CS1019" t="str">
        <f ca="1">IFERROR(__xludf.DUMMYFUNCTION("""COMPUTED_VALUE"""),"#VALUE!")</f>
        <v>#VALUE!</v>
      </c>
      <c r="CU1019" t="str">
        <f ca="1">IFERROR(__xludf.DUMMYFUNCTION("""COMPUTED_VALUE"""),"#VALUE!")</f>
        <v>#VALUE!</v>
      </c>
      <c r="CW1019" t="str">
        <f ca="1">IFERROR(__xludf.DUMMYFUNCTION("""COMPUTED_VALUE"""),"#VALUE!")</f>
        <v>#VALUE!</v>
      </c>
      <c r="CY1019" t="str">
        <f ca="1">IFERROR(__xludf.DUMMYFUNCTION("""COMPUTED_VALUE"""),"#VALUE!")</f>
        <v>#VALUE!</v>
      </c>
      <c r="DC1019" t="str">
        <f ca="1">IFERROR(__xludf.DUMMYFUNCTION("""COMPUTED_VALUE"""),"#VALUE!")</f>
        <v>#VALUE!</v>
      </c>
      <c r="DE1019" t="str">
        <f ca="1">IFERROR(__xludf.DUMMYFUNCTION("""COMPUTED_VALUE"""),"#VALUE!")</f>
        <v>#VALUE!</v>
      </c>
    </row>
    <row r="1020" spans="1:109" ht="13.2" x14ac:dyDescent="0.25">
      <c r="A1020" t="str">
        <f ca="1">IFERROR(__xludf.DUMMYFUNCTION("""COMPUTED_VALUE"""),"P1029")</f>
        <v>P1029</v>
      </c>
      <c r="BC1020" t="str">
        <f ca="1">IFERROR(__xludf.DUMMYFUNCTION("""COMPUTED_VALUE"""),"#VALUE!")</f>
        <v>#VALUE!</v>
      </c>
      <c r="BE1020" t="str">
        <f ca="1">IFERROR(__xludf.DUMMYFUNCTION("""COMPUTED_VALUE"""),"#VALUE!")</f>
        <v>#VALUE!</v>
      </c>
      <c r="BG1020" t="str">
        <f ca="1">IFERROR(__xludf.DUMMYFUNCTION("""COMPUTED_VALUE"""),"#VALUE!")</f>
        <v>#VALUE!</v>
      </c>
      <c r="BI1020" t="str">
        <f ca="1">IFERROR(__xludf.DUMMYFUNCTION("""COMPUTED_VALUE"""),"#VALUE!")</f>
        <v>#VALUE!</v>
      </c>
      <c r="BK1020" t="str">
        <f ca="1">IFERROR(__xludf.DUMMYFUNCTION("""COMPUTED_VALUE"""),"#VALUE!")</f>
        <v>#VALUE!</v>
      </c>
      <c r="BM1020" t="str">
        <f ca="1">IFERROR(__xludf.DUMMYFUNCTION("""COMPUTED_VALUE"""),"#VALUE!")</f>
        <v>#VALUE!</v>
      </c>
      <c r="CS1020" t="str">
        <f ca="1">IFERROR(__xludf.DUMMYFUNCTION("""COMPUTED_VALUE"""),"#VALUE!")</f>
        <v>#VALUE!</v>
      </c>
      <c r="CU1020" t="str">
        <f ca="1">IFERROR(__xludf.DUMMYFUNCTION("""COMPUTED_VALUE"""),"#VALUE!")</f>
        <v>#VALUE!</v>
      </c>
      <c r="CW1020" t="str">
        <f ca="1">IFERROR(__xludf.DUMMYFUNCTION("""COMPUTED_VALUE"""),"#VALUE!")</f>
        <v>#VALUE!</v>
      </c>
      <c r="CY1020" t="str">
        <f ca="1">IFERROR(__xludf.DUMMYFUNCTION("""COMPUTED_VALUE"""),"#VALUE!")</f>
        <v>#VALUE!</v>
      </c>
      <c r="DC1020" t="str">
        <f ca="1">IFERROR(__xludf.DUMMYFUNCTION("""COMPUTED_VALUE"""),"#VALUE!")</f>
        <v>#VALUE!</v>
      </c>
      <c r="DE1020" t="str">
        <f ca="1">IFERROR(__xludf.DUMMYFUNCTION("""COMPUTED_VALUE"""),"#VALUE!")</f>
        <v>#VALUE!</v>
      </c>
    </row>
    <row r="1021" spans="1:109" ht="13.2" x14ac:dyDescent="0.25">
      <c r="A1021" t="str">
        <f ca="1">IFERROR(__xludf.DUMMYFUNCTION("""COMPUTED_VALUE"""),"P1030")</f>
        <v>P1030</v>
      </c>
      <c r="BC1021" t="str">
        <f ca="1">IFERROR(__xludf.DUMMYFUNCTION("""COMPUTED_VALUE"""),"#VALUE!")</f>
        <v>#VALUE!</v>
      </c>
      <c r="BE1021" t="str">
        <f ca="1">IFERROR(__xludf.DUMMYFUNCTION("""COMPUTED_VALUE"""),"#VALUE!")</f>
        <v>#VALUE!</v>
      </c>
      <c r="BG1021" t="str">
        <f ca="1">IFERROR(__xludf.DUMMYFUNCTION("""COMPUTED_VALUE"""),"#VALUE!")</f>
        <v>#VALUE!</v>
      </c>
      <c r="BI1021" t="str">
        <f ca="1">IFERROR(__xludf.DUMMYFUNCTION("""COMPUTED_VALUE"""),"#VALUE!")</f>
        <v>#VALUE!</v>
      </c>
      <c r="BK1021" t="str">
        <f ca="1">IFERROR(__xludf.DUMMYFUNCTION("""COMPUTED_VALUE"""),"#VALUE!")</f>
        <v>#VALUE!</v>
      </c>
      <c r="BM1021" t="str">
        <f ca="1">IFERROR(__xludf.DUMMYFUNCTION("""COMPUTED_VALUE"""),"#VALUE!")</f>
        <v>#VALUE!</v>
      </c>
      <c r="CS1021" t="str">
        <f ca="1">IFERROR(__xludf.DUMMYFUNCTION("""COMPUTED_VALUE"""),"#VALUE!")</f>
        <v>#VALUE!</v>
      </c>
      <c r="CU1021" t="str">
        <f ca="1">IFERROR(__xludf.DUMMYFUNCTION("""COMPUTED_VALUE"""),"#VALUE!")</f>
        <v>#VALUE!</v>
      </c>
      <c r="CW1021" t="str">
        <f ca="1">IFERROR(__xludf.DUMMYFUNCTION("""COMPUTED_VALUE"""),"#VALUE!")</f>
        <v>#VALUE!</v>
      </c>
      <c r="CY1021" t="str">
        <f ca="1">IFERROR(__xludf.DUMMYFUNCTION("""COMPUTED_VALUE"""),"#VALUE!")</f>
        <v>#VALUE!</v>
      </c>
      <c r="DC1021" t="str">
        <f ca="1">IFERROR(__xludf.DUMMYFUNCTION("""COMPUTED_VALUE"""),"#VALUE!")</f>
        <v>#VALUE!</v>
      </c>
      <c r="DE1021" t="str">
        <f ca="1">IFERROR(__xludf.DUMMYFUNCTION("""COMPUTED_VALUE"""),"#VALUE!")</f>
        <v>#VALUE!</v>
      </c>
    </row>
    <row r="1022" spans="1:109" ht="13.2" x14ac:dyDescent="0.25">
      <c r="A1022" t="str">
        <f ca="1">IFERROR(__xludf.DUMMYFUNCTION("""COMPUTED_VALUE"""),"P1031")</f>
        <v>P1031</v>
      </c>
      <c r="BC1022" t="str">
        <f ca="1">IFERROR(__xludf.DUMMYFUNCTION("""COMPUTED_VALUE"""),"#VALUE!")</f>
        <v>#VALUE!</v>
      </c>
      <c r="BE1022" t="str">
        <f ca="1">IFERROR(__xludf.DUMMYFUNCTION("""COMPUTED_VALUE"""),"#VALUE!")</f>
        <v>#VALUE!</v>
      </c>
      <c r="BG1022" t="str">
        <f ca="1">IFERROR(__xludf.DUMMYFUNCTION("""COMPUTED_VALUE"""),"#VALUE!")</f>
        <v>#VALUE!</v>
      </c>
      <c r="BI1022" t="str">
        <f ca="1">IFERROR(__xludf.DUMMYFUNCTION("""COMPUTED_VALUE"""),"#VALUE!")</f>
        <v>#VALUE!</v>
      </c>
      <c r="BK1022" t="str">
        <f ca="1">IFERROR(__xludf.DUMMYFUNCTION("""COMPUTED_VALUE"""),"#VALUE!")</f>
        <v>#VALUE!</v>
      </c>
      <c r="BM1022" t="str">
        <f ca="1">IFERROR(__xludf.DUMMYFUNCTION("""COMPUTED_VALUE"""),"#VALUE!")</f>
        <v>#VALUE!</v>
      </c>
      <c r="CS1022" t="str">
        <f ca="1">IFERROR(__xludf.DUMMYFUNCTION("""COMPUTED_VALUE"""),"#VALUE!")</f>
        <v>#VALUE!</v>
      </c>
      <c r="CU1022" t="str">
        <f ca="1">IFERROR(__xludf.DUMMYFUNCTION("""COMPUTED_VALUE"""),"#VALUE!")</f>
        <v>#VALUE!</v>
      </c>
      <c r="CW1022" t="str">
        <f ca="1">IFERROR(__xludf.DUMMYFUNCTION("""COMPUTED_VALUE"""),"#VALUE!")</f>
        <v>#VALUE!</v>
      </c>
      <c r="CY1022" t="str">
        <f ca="1">IFERROR(__xludf.DUMMYFUNCTION("""COMPUTED_VALUE"""),"#VALUE!")</f>
        <v>#VALUE!</v>
      </c>
      <c r="DC1022" t="str">
        <f ca="1">IFERROR(__xludf.DUMMYFUNCTION("""COMPUTED_VALUE"""),"#VALUE!")</f>
        <v>#VALUE!</v>
      </c>
      <c r="DE1022" t="str">
        <f ca="1">IFERROR(__xludf.DUMMYFUNCTION("""COMPUTED_VALUE"""),"#VALUE!")</f>
        <v>#VALUE!</v>
      </c>
    </row>
    <row r="1023" spans="1:109" ht="13.2" x14ac:dyDescent="0.25">
      <c r="A1023" t="str">
        <f ca="1">IFERROR(__xludf.DUMMYFUNCTION("""COMPUTED_VALUE"""),"P1032")</f>
        <v>P1032</v>
      </c>
      <c r="BC1023" t="str">
        <f ca="1">IFERROR(__xludf.DUMMYFUNCTION("""COMPUTED_VALUE"""),"#VALUE!")</f>
        <v>#VALUE!</v>
      </c>
      <c r="BE1023" t="str">
        <f ca="1">IFERROR(__xludf.DUMMYFUNCTION("""COMPUTED_VALUE"""),"#VALUE!")</f>
        <v>#VALUE!</v>
      </c>
      <c r="BG1023" t="str">
        <f ca="1">IFERROR(__xludf.DUMMYFUNCTION("""COMPUTED_VALUE"""),"#VALUE!")</f>
        <v>#VALUE!</v>
      </c>
      <c r="BI1023" t="str">
        <f ca="1">IFERROR(__xludf.DUMMYFUNCTION("""COMPUTED_VALUE"""),"#VALUE!")</f>
        <v>#VALUE!</v>
      </c>
      <c r="BK1023" t="str">
        <f ca="1">IFERROR(__xludf.DUMMYFUNCTION("""COMPUTED_VALUE"""),"#VALUE!")</f>
        <v>#VALUE!</v>
      </c>
      <c r="BM1023" t="str">
        <f ca="1">IFERROR(__xludf.DUMMYFUNCTION("""COMPUTED_VALUE"""),"#VALUE!")</f>
        <v>#VALUE!</v>
      </c>
      <c r="CS1023" t="str">
        <f ca="1">IFERROR(__xludf.DUMMYFUNCTION("""COMPUTED_VALUE"""),"#VALUE!")</f>
        <v>#VALUE!</v>
      </c>
      <c r="CU1023" t="str">
        <f ca="1">IFERROR(__xludf.DUMMYFUNCTION("""COMPUTED_VALUE"""),"#VALUE!")</f>
        <v>#VALUE!</v>
      </c>
      <c r="CW1023" t="str">
        <f ca="1">IFERROR(__xludf.DUMMYFUNCTION("""COMPUTED_VALUE"""),"#VALUE!")</f>
        <v>#VALUE!</v>
      </c>
      <c r="CY1023" t="str">
        <f ca="1">IFERROR(__xludf.DUMMYFUNCTION("""COMPUTED_VALUE"""),"#VALUE!")</f>
        <v>#VALUE!</v>
      </c>
      <c r="DC1023" t="str">
        <f ca="1">IFERROR(__xludf.DUMMYFUNCTION("""COMPUTED_VALUE"""),"#VALUE!")</f>
        <v>#VALUE!</v>
      </c>
      <c r="DE1023" t="str">
        <f ca="1">IFERROR(__xludf.DUMMYFUNCTION("""COMPUTED_VALUE"""),"#VALUE!")</f>
        <v>#VALUE!</v>
      </c>
    </row>
    <row r="1024" spans="1:109" ht="13.2" x14ac:dyDescent="0.25">
      <c r="A1024" t="str">
        <f ca="1">IFERROR(__xludf.DUMMYFUNCTION("""COMPUTED_VALUE"""),"P1033")</f>
        <v>P1033</v>
      </c>
      <c r="BC1024" t="str">
        <f ca="1">IFERROR(__xludf.DUMMYFUNCTION("""COMPUTED_VALUE"""),"#VALUE!")</f>
        <v>#VALUE!</v>
      </c>
      <c r="BE1024" t="str">
        <f ca="1">IFERROR(__xludf.DUMMYFUNCTION("""COMPUTED_VALUE"""),"#VALUE!")</f>
        <v>#VALUE!</v>
      </c>
      <c r="BG1024" t="str">
        <f ca="1">IFERROR(__xludf.DUMMYFUNCTION("""COMPUTED_VALUE"""),"#VALUE!")</f>
        <v>#VALUE!</v>
      </c>
      <c r="BI1024" t="str">
        <f ca="1">IFERROR(__xludf.DUMMYFUNCTION("""COMPUTED_VALUE"""),"#VALUE!")</f>
        <v>#VALUE!</v>
      </c>
      <c r="BK1024" t="str">
        <f ca="1">IFERROR(__xludf.DUMMYFUNCTION("""COMPUTED_VALUE"""),"#VALUE!")</f>
        <v>#VALUE!</v>
      </c>
      <c r="BM1024" t="str">
        <f ca="1">IFERROR(__xludf.DUMMYFUNCTION("""COMPUTED_VALUE"""),"#VALUE!")</f>
        <v>#VALUE!</v>
      </c>
      <c r="CS1024" t="str">
        <f ca="1">IFERROR(__xludf.DUMMYFUNCTION("""COMPUTED_VALUE"""),"#VALUE!")</f>
        <v>#VALUE!</v>
      </c>
      <c r="CU1024" t="str">
        <f ca="1">IFERROR(__xludf.DUMMYFUNCTION("""COMPUTED_VALUE"""),"#VALUE!")</f>
        <v>#VALUE!</v>
      </c>
      <c r="CW1024" t="str">
        <f ca="1">IFERROR(__xludf.DUMMYFUNCTION("""COMPUTED_VALUE"""),"#VALUE!")</f>
        <v>#VALUE!</v>
      </c>
      <c r="CY1024" t="str">
        <f ca="1">IFERROR(__xludf.DUMMYFUNCTION("""COMPUTED_VALUE"""),"#VALUE!")</f>
        <v>#VALUE!</v>
      </c>
      <c r="DC1024" t="str">
        <f ca="1">IFERROR(__xludf.DUMMYFUNCTION("""COMPUTED_VALUE"""),"#VALUE!")</f>
        <v>#VALUE!</v>
      </c>
      <c r="DE1024" t="str">
        <f ca="1">IFERROR(__xludf.DUMMYFUNCTION("""COMPUTED_VALUE"""),"#VALUE!")</f>
        <v>#VALUE!</v>
      </c>
    </row>
    <row r="1025" spans="1:109" ht="13.2" x14ac:dyDescent="0.25">
      <c r="A1025" t="str">
        <f ca="1">IFERROR(__xludf.DUMMYFUNCTION("""COMPUTED_VALUE"""),"P1034")</f>
        <v>P1034</v>
      </c>
      <c r="BC1025" t="str">
        <f ca="1">IFERROR(__xludf.DUMMYFUNCTION("""COMPUTED_VALUE"""),"#VALUE!")</f>
        <v>#VALUE!</v>
      </c>
      <c r="BE1025" t="str">
        <f ca="1">IFERROR(__xludf.DUMMYFUNCTION("""COMPUTED_VALUE"""),"#VALUE!")</f>
        <v>#VALUE!</v>
      </c>
      <c r="BG1025" t="str">
        <f ca="1">IFERROR(__xludf.DUMMYFUNCTION("""COMPUTED_VALUE"""),"#VALUE!")</f>
        <v>#VALUE!</v>
      </c>
      <c r="BI1025" t="str">
        <f ca="1">IFERROR(__xludf.DUMMYFUNCTION("""COMPUTED_VALUE"""),"#VALUE!")</f>
        <v>#VALUE!</v>
      </c>
      <c r="BK1025" t="str">
        <f ca="1">IFERROR(__xludf.DUMMYFUNCTION("""COMPUTED_VALUE"""),"#VALUE!")</f>
        <v>#VALUE!</v>
      </c>
      <c r="BM1025" t="str">
        <f ca="1">IFERROR(__xludf.DUMMYFUNCTION("""COMPUTED_VALUE"""),"#VALUE!")</f>
        <v>#VALUE!</v>
      </c>
      <c r="CS1025" t="str">
        <f ca="1">IFERROR(__xludf.DUMMYFUNCTION("""COMPUTED_VALUE"""),"#VALUE!")</f>
        <v>#VALUE!</v>
      </c>
      <c r="CU1025" t="str">
        <f ca="1">IFERROR(__xludf.DUMMYFUNCTION("""COMPUTED_VALUE"""),"#VALUE!")</f>
        <v>#VALUE!</v>
      </c>
      <c r="CW1025" t="str">
        <f ca="1">IFERROR(__xludf.DUMMYFUNCTION("""COMPUTED_VALUE"""),"#VALUE!")</f>
        <v>#VALUE!</v>
      </c>
      <c r="CY1025" t="str">
        <f ca="1">IFERROR(__xludf.DUMMYFUNCTION("""COMPUTED_VALUE"""),"#VALUE!")</f>
        <v>#VALUE!</v>
      </c>
      <c r="DC1025" t="str">
        <f ca="1">IFERROR(__xludf.DUMMYFUNCTION("""COMPUTED_VALUE"""),"#VALUE!")</f>
        <v>#VALUE!</v>
      </c>
      <c r="DE1025" t="str">
        <f ca="1">IFERROR(__xludf.DUMMYFUNCTION("""COMPUTED_VALUE"""),"#VALUE!")</f>
        <v>#VALUE!</v>
      </c>
    </row>
    <row r="1026" spans="1:109" ht="13.2" x14ac:dyDescent="0.25">
      <c r="A1026" t="str">
        <f ca="1">IFERROR(__xludf.DUMMYFUNCTION("""COMPUTED_VALUE"""),"P1035")</f>
        <v>P1035</v>
      </c>
      <c r="BC1026" t="str">
        <f ca="1">IFERROR(__xludf.DUMMYFUNCTION("""COMPUTED_VALUE"""),"#VALUE!")</f>
        <v>#VALUE!</v>
      </c>
      <c r="BE1026" t="str">
        <f ca="1">IFERROR(__xludf.DUMMYFUNCTION("""COMPUTED_VALUE"""),"#VALUE!")</f>
        <v>#VALUE!</v>
      </c>
      <c r="BG1026" t="str">
        <f ca="1">IFERROR(__xludf.DUMMYFUNCTION("""COMPUTED_VALUE"""),"#VALUE!")</f>
        <v>#VALUE!</v>
      </c>
      <c r="BI1026" t="str">
        <f ca="1">IFERROR(__xludf.DUMMYFUNCTION("""COMPUTED_VALUE"""),"#VALUE!")</f>
        <v>#VALUE!</v>
      </c>
      <c r="BK1026" t="str">
        <f ca="1">IFERROR(__xludf.DUMMYFUNCTION("""COMPUTED_VALUE"""),"#VALUE!")</f>
        <v>#VALUE!</v>
      </c>
      <c r="BM1026" t="str">
        <f ca="1">IFERROR(__xludf.DUMMYFUNCTION("""COMPUTED_VALUE"""),"#VALUE!")</f>
        <v>#VALUE!</v>
      </c>
      <c r="CS1026" t="str">
        <f ca="1">IFERROR(__xludf.DUMMYFUNCTION("""COMPUTED_VALUE"""),"#VALUE!")</f>
        <v>#VALUE!</v>
      </c>
      <c r="CU1026" t="str">
        <f ca="1">IFERROR(__xludf.DUMMYFUNCTION("""COMPUTED_VALUE"""),"#VALUE!")</f>
        <v>#VALUE!</v>
      </c>
      <c r="CW1026" t="str">
        <f ca="1">IFERROR(__xludf.DUMMYFUNCTION("""COMPUTED_VALUE"""),"#VALUE!")</f>
        <v>#VALUE!</v>
      </c>
      <c r="CY1026" t="str">
        <f ca="1">IFERROR(__xludf.DUMMYFUNCTION("""COMPUTED_VALUE"""),"#VALUE!")</f>
        <v>#VALUE!</v>
      </c>
      <c r="DC1026" t="str">
        <f ca="1">IFERROR(__xludf.DUMMYFUNCTION("""COMPUTED_VALUE"""),"#VALUE!")</f>
        <v>#VALUE!</v>
      </c>
      <c r="DE1026" t="str">
        <f ca="1">IFERROR(__xludf.DUMMYFUNCTION("""COMPUTED_VALUE"""),"#VALUE!")</f>
        <v>#VALUE!</v>
      </c>
    </row>
    <row r="1027" spans="1:109" ht="13.2" x14ac:dyDescent="0.25">
      <c r="A1027" t="str">
        <f ca="1">IFERROR(__xludf.DUMMYFUNCTION("""COMPUTED_VALUE"""),"P1036")</f>
        <v>P1036</v>
      </c>
      <c r="BC1027" t="str">
        <f ca="1">IFERROR(__xludf.DUMMYFUNCTION("""COMPUTED_VALUE"""),"#VALUE!")</f>
        <v>#VALUE!</v>
      </c>
      <c r="BE1027" t="str">
        <f ca="1">IFERROR(__xludf.DUMMYFUNCTION("""COMPUTED_VALUE"""),"#VALUE!")</f>
        <v>#VALUE!</v>
      </c>
      <c r="BG1027" t="str">
        <f ca="1">IFERROR(__xludf.DUMMYFUNCTION("""COMPUTED_VALUE"""),"#VALUE!")</f>
        <v>#VALUE!</v>
      </c>
      <c r="BI1027" t="str">
        <f ca="1">IFERROR(__xludf.DUMMYFUNCTION("""COMPUTED_VALUE"""),"#VALUE!")</f>
        <v>#VALUE!</v>
      </c>
      <c r="BK1027" t="str">
        <f ca="1">IFERROR(__xludf.DUMMYFUNCTION("""COMPUTED_VALUE"""),"#VALUE!")</f>
        <v>#VALUE!</v>
      </c>
      <c r="BM1027" t="str">
        <f ca="1">IFERROR(__xludf.DUMMYFUNCTION("""COMPUTED_VALUE"""),"#VALUE!")</f>
        <v>#VALUE!</v>
      </c>
      <c r="CS1027" t="str">
        <f ca="1">IFERROR(__xludf.DUMMYFUNCTION("""COMPUTED_VALUE"""),"#VALUE!")</f>
        <v>#VALUE!</v>
      </c>
      <c r="CU1027" t="str">
        <f ca="1">IFERROR(__xludf.DUMMYFUNCTION("""COMPUTED_VALUE"""),"#VALUE!")</f>
        <v>#VALUE!</v>
      </c>
      <c r="CW1027" t="str">
        <f ca="1">IFERROR(__xludf.DUMMYFUNCTION("""COMPUTED_VALUE"""),"#VALUE!")</f>
        <v>#VALUE!</v>
      </c>
      <c r="CY1027" t="str">
        <f ca="1">IFERROR(__xludf.DUMMYFUNCTION("""COMPUTED_VALUE"""),"#VALUE!")</f>
        <v>#VALUE!</v>
      </c>
      <c r="DC1027" t="str">
        <f ca="1">IFERROR(__xludf.DUMMYFUNCTION("""COMPUTED_VALUE"""),"#VALUE!")</f>
        <v>#VALUE!</v>
      </c>
      <c r="DE1027" t="str">
        <f ca="1">IFERROR(__xludf.DUMMYFUNCTION("""COMPUTED_VALUE"""),"#VALUE!")</f>
        <v>#VALUE!</v>
      </c>
    </row>
    <row r="1028" spans="1:109" ht="13.2" x14ac:dyDescent="0.25">
      <c r="A1028" t="str">
        <f ca="1">IFERROR(__xludf.DUMMYFUNCTION("""COMPUTED_VALUE"""),"P1037")</f>
        <v>P1037</v>
      </c>
      <c r="BC1028" t="str">
        <f ca="1">IFERROR(__xludf.DUMMYFUNCTION("""COMPUTED_VALUE"""),"#VALUE!")</f>
        <v>#VALUE!</v>
      </c>
      <c r="BE1028" t="str">
        <f ca="1">IFERROR(__xludf.DUMMYFUNCTION("""COMPUTED_VALUE"""),"#VALUE!")</f>
        <v>#VALUE!</v>
      </c>
      <c r="BG1028" t="str">
        <f ca="1">IFERROR(__xludf.DUMMYFUNCTION("""COMPUTED_VALUE"""),"#VALUE!")</f>
        <v>#VALUE!</v>
      </c>
      <c r="BI1028" t="str">
        <f ca="1">IFERROR(__xludf.DUMMYFUNCTION("""COMPUTED_VALUE"""),"#VALUE!")</f>
        <v>#VALUE!</v>
      </c>
      <c r="BK1028" t="str">
        <f ca="1">IFERROR(__xludf.DUMMYFUNCTION("""COMPUTED_VALUE"""),"#VALUE!")</f>
        <v>#VALUE!</v>
      </c>
      <c r="BM1028" t="str">
        <f ca="1">IFERROR(__xludf.DUMMYFUNCTION("""COMPUTED_VALUE"""),"#VALUE!")</f>
        <v>#VALUE!</v>
      </c>
      <c r="CS1028" t="str">
        <f ca="1">IFERROR(__xludf.DUMMYFUNCTION("""COMPUTED_VALUE"""),"#VALUE!")</f>
        <v>#VALUE!</v>
      </c>
      <c r="CU1028" t="str">
        <f ca="1">IFERROR(__xludf.DUMMYFUNCTION("""COMPUTED_VALUE"""),"#VALUE!")</f>
        <v>#VALUE!</v>
      </c>
      <c r="CW1028" t="str">
        <f ca="1">IFERROR(__xludf.DUMMYFUNCTION("""COMPUTED_VALUE"""),"#VALUE!")</f>
        <v>#VALUE!</v>
      </c>
      <c r="CY1028" t="str">
        <f ca="1">IFERROR(__xludf.DUMMYFUNCTION("""COMPUTED_VALUE"""),"#VALUE!")</f>
        <v>#VALUE!</v>
      </c>
      <c r="DC1028" t="str">
        <f ca="1">IFERROR(__xludf.DUMMYFUNCTION("""COMPUTED_VALUE"""),"#VALUE!")</f>
        <v>#VALUE!</v>
      </c>
      <c r="DE1028" t="str">
        <f ca="1">IFERROR(__xludf.DUMMYFUNCTION("""COMPUTED_VALUE"""),"#VALUE!")</f>
        <v>#VALUE!</v>
      </c>
    </row>
    <row r="1029" spans="1:109" ht="13.2" x14ac:dyDescent="0.25">
      <c r="A1029" t="str">
        <f ca="1">IFERROR(__xludf.DUMMYFUNCTION("""COMPUTED_VALUE"""),"P1038")</f>
        <v>P1038</v>
      </c>
      <c r="BC1029" t="str">
        <f ca="1">IFERROR(__xludf.DUMMYFUNCTION("""COMPUTED_VALUE"""),"#VALUE!")</f>
        <v>#VALUE!</v>
      </c>
      <c r="BE1029" t="str">
        <f ca="1">IFERROR(__xludf.DUMMYFUNCTION("""COMPUTED_VALUE"""),"#VALUE!")</f>
        <v>#VALUE!</v>
      </c>
      <c r="BG1029" t="str">
        <f ca="1">IFERROR(__xludf.DUMMYFUNCTION("""COMPUTED_VALUE"""),"#VALUE!")</f>
        <v>#VALUE!</v>
      </c>
      <c r="BI1029" t="str">
        <f ca="1">IFERROR(__xludf.DUMMYFUNCTION("""COMPUTED_VALUE"""),"#VALUE!")</f>
        <v>#VALUE!</v>
      </c>
      <c r="BK1029" t="str">
        <f ca="1">IFERROR(__xludf.DUMMYFUNCTION("""COMPUTED_VALUE"""),"#VALUE!")</f>
        <v>#VALUE!</v>
      </c>
      <c r="BM1029" t="str">
        <f ca="1">IFERROR(__xludf.DUMMYFUNCTION("""COMPUTED_VALUE"""),"#VALUE!")</f>
        <v>#VALUE!</v>
      </c>
      <c r="CS1029" t="str">
        <f ca="1">IFERROR(__xludf.DUMMYFUNCTION("""COMPUTED_VALUE"""),"#VALUE!")</f>
        <v>#VALUE!</v>
      </c>
      <c r="CU1029" t="str">
        <f ca="1">IFERROR(__xludf.DUMMYFUNCTION("""COMPUTED_VALUE"""),"#VALUE!")</f>
        <v>#VALUE!</v>
      </c>
      <c r="CW1029" t="str">
        <f ca="1">IFERROR(__xludf.DUMMYFUNCTION("""COMPUTED_VALUE"""),"#VALUE!")</f>
        <v>#VALUE!</v>
      </c>
      <c r="CY1029" t="str">
        <f ca="1">IFERROR(__xludf.DUMMYFUNCTION("""COMPUTED_VALUE"""),"#VALUE!")</f>
        <v>#VALUE!</v>
      </c>
      <c r="DC1029" t="str">
        <f ca="1">IFERROR(__xludf.DUMMYFUNCTION("""COMPUTED_VALUE"""),"#VALUE!")</f>
        <v>#VALUE!</v>
      </c>
      <c r="DE1029" t="str">
        <f ca="1">IFERROR(__xludf.DUMMYFUNCTION("""COMPUTED_VALUE"""),"#VALUE!")</f>
        <v>#VALUE!</v>
      </c>
    </row>
    <row r="1030" spans="1:109" ht="13.2" x14ac:dyDescent="0.25">
      <c r="A1030" t="str">
        <f ca="1">IFERROR(__xludf.DUMMYFUNCTION("""COMPUTED_VALUE"""),"P1039")</f>
        <v>P1039</v>
      </c>
      <c r="BC1030" t="str">
        <f ca="1">IFERROR(__xludf.DUMMYFUNCTION("""COMPUTED_VALUE"""),"#VALUE!")</f>
        <v>#VALUE!</v>
      </c>
      <c r="BE1030" t="str">
        <f ca="1">IFERROR(__xludf.DUMMYFUNCTION("""COMPUTED_VALUE"""),"#VALUE!")</f>
        <v>#VALUE!</v>
      </c>
      <c r="BG1030" t="str">
        <f ca="1">IFERROR(__xludf.DUMMYFUNCTION("""COMPUTED_VALUE"""),"#VALUE!")</f>
        <v>#VALUE!</v>
      </c>
      <c r="BI1030" t="str">
        <f ca="1">IFERROR(__xludf.DUMMYFUNCTION("""COMPUTED_VALUE"""),"#VALUE!")</f>
        <v>#VALUE!</v>
      </c>
      <c r="BK1030" t="str">
        <f ca="1">IFERROR(__xludf.DUMMYFUNCTION("""COMPUTED_VALUE"""),"#VALUE!")</f>
        <v>#VALUE!</v>
      </c>
      <c r="BM1030" t="str">
        <f ca="1">IFERROR(__xludf.DUMMYFUNCTION("""COMPUTED_VALUE"""),"#VALUE!")</f>
        <v>#VALUE!</v>
      </c>
      <c r="CS1030" t="str">
        <f ca="1">IFERROR(__xludf.DUMMYFUNCTION("""COMPUTED_VALUE"""),"#VALUE!")</f>
        <v>#VALUE!</v>
      </c>
      <c r="CU1030" t="str">
        <f ca="1">IFERROR(__xludf.DUMMYFUNCTION("""COMPUTED_VALUE"""),"#VALUE!")</f>
        <v>#VALUE!</v>
      </c>
      <c r="CW1030" t="str">
        <f ca="1">IFERROR(__xludf.DUMMYFUNCTION("""COMPUTED_VALUE"""),"#VALUE!")</f>
        <v>#VALUE!</v>
      </c>
      <c r="CY1030" t="str">
        <f ca="1">IFERROR(__xludf.DUMMYFUNCTION("""COMPUTED_VALUE"""),"#VALUE!")</f>
        <v>#VALUE!</v>
      </c>
      <c r="DC1030" t="str">
        <f ca="1">IFERROR(__xludf.DUMMYFUNCTION("""COMPUTED_VALUE"""),"#VALUE!")</f>
        <v>#VALUE!</v>
      </c>
      <c r="DE1030" t="str">
        <f ca="1">IFERROR(__xludf.DUMMYFUNCTION("""COMPUTED_VALUE"""),"#VALUE!")</f>
        <v>#VALUE!</v>
      </c>
    </row>
    <row r="1031" spans="1:109" ht="13.2" x14ac:dyDescent="0.25">
      <c r="A1031" t="str">
        <f ca="1">IFERROR(__xludf.DUMMYFUNCTION("""COMPUTED_VALUE"""),"P1040")</f>
        <v>P1040</v>
      </c>
      <c r="BC1031" t="str">
        <f ca="1">IFERROR(__xludf.DUMMYFUNCTION("""COMPUTED_VALUE"""),"#VALUE!")</f>
        <v>#VALUE!</v>
      </c>
      <c r="BE1031" t="str">
        <f ca="1">IFERROR(__xludf.DUMMYFUNCTION("""COMPUTED_VALUE"""),"#VALUE!")</f>
        <v>#VALUE!</v>
      </c>
      <c r="BG1031" t="str">
        <f ca="1">IFERROR(__xludf.DUMMYFUNCTION("""COMPUTED_VALUE"""),"#VALUE!")</f>
        <v>#VALUE!</v>
      </c>
      <c r="BI1031" t="str">
        <f ca="1">IFERROR(__xludf.DUMMYFUNCTION("""COMPUTED_VALUE"""),"#VALUE!")</f>
        <v>#VALUE!</v>
      </c>
      <c r="BK1031" t="str">
        <f ca="1">IFERROR(__xludf.DUMMYFUNCTION("""COMPUTED_VALUE"""),"#VALUE!")</f>
        <v>#VALUE!</v>
      </c>
      <c r="BM1031" t="str">
        <f ca="1">IFERROR(__xludf.DUMMYFUNCTION("""COMPUTED_VALUE"""),"#VALUE!")</f>
        <v>#VALUE!</v>
      </c>
      <c r="CS1031" t="str">
        <f ca="1">IFERROR(__xludf.DUMMYFUNCTION("""COMPUTED_VALUE"""),"#VALUE!")</f>
        <v>#VALUE!</v>
      </c>
      <c r="CU1031" t="str">
        <f ca="1">IFERROR(__xludf.DUMMYFUNCTION("""COMPUTED_VALUE"""),"#VALUE!")</f>
        <v>#VALUE!</v>
      </c>
      <c r="CW1031" t="str">
        <f ca="1">IFERROR(__xludf.DUMMYFUNCTION("""COMPUTED_VALUE"""),"#VALUE!")</f>
        <v>#VALUE!</v>
      </c>
      <c r="CY1031" t="str">
        <f ca="1">IFERROR(__xludf.DUMMYFUNCTION("""COMPUTED_VALUE"""),"#VALUE!")</f>
        <v>#VALUE!</v>
      </c>
      <c r="DC1031" t="str">
        <f ca="1">IFERROR(__xludf.DUMMYFUNCTION("""COMPUTED_VALUE"""),"#VALUE!")</f>
        <v>#VALUE!</v>
      </c>
      <c r="DE1031" t="str">
        <f ca="1">IFERROR(__xludf.DUMMYFUNCTION("""COMPUTED_VALUE"""),"#VALUE!")</f>
        <v>#VALUE!</v>
      </c>
    </row>
    <row r="1032" spans="1:109" ht="13.2" x14ac:dyDescent="0.25">
      <c r="A1032" t="str">
        <f ca="1">IFERROR(__xludf.DUMMYFUNCTION("""COMPUTED_VALUE"""),"P1041")</f>
        <v>P1041</v>
      </c>
      <c r="BC1032" t="str">
        <f ca="1">IFERROR(__xludf.DUMMYFUNCTION("""COMPUTED_VALUE"""),"#VALUE!")</f>
        <v>#VALUE!</v>
      </c>
      <c r="BE1032" t="str">
        <f ca="1">IFERROR(__xludf.DUMMYFUNCTION("""COMPUTED_VALUE"""),"#VALUE!")</f>
        <v>#VALUE!</v>
      </c>
      <c r="BG1032" t="str">
        <f ca="1">IFERROR(__xludf.DUMMYFUNCTION("""COMPUTED_VALUE"""),"#VALUE!")</f>
        <v>#VALUE!</v>
      </c>
      <c r="BI1032" t="str">
        <f ca="1">IFERROR(__xludf.DUMMYFUNCTION("""COMPUTED_VALUE"""),"#VALUE!")</f>
        <v>#VALUE!</v>
      </c>
      <c r="BK1032" t="str">
        <f ca="1">IFERROR(__xludf.DUMMYFUNCTION("""COMPUTED_VALUE"""),"#VALUE!")</f>
        <v>#VALUE!</v>
      </c>
      <c r="BM1032" t="str">
        <f ca="1">IFERROR(__xludf.DUMMYFUNCTION("""COMPUTED_VALUE"""),"#VALUE!")</f>
        <v>#VALUE!</v>
      </c>
      <c r="CS1032" t="str">
        <f ca="1">IFERROR(__xludf.DUMMYFUNCTION("""COMPUTED_VALUE"""),"#VALUE!")</f>
        <v>#VALUE!</v>
      </c>
      <c r="CU1032" t="str">
        <f ca="1">IFERROR(__xludf.DUMMYFUNCTION("""COMPUTED_VALUE"""),"#VALUE!")</f>
        <v>#VALUE!</v>
      </c>
      <c r="CW1032" t="str">
        <f ca="1">IFERROR(__xludf.DUMMYFUNCTION("""COMPUTED_VALUE"""),"#VALUE!")</f>
        <v>#VALUE!</v>
      </c>
      <c r="CY1032" t="str">
        <f ca="1">IFERROR(__xludf.DUMMYFUNCTION("""COMPUTED_VALUE"""),"#VALUE!")</f>
        <v>#VALUE!</v>
      </c>
      <c r="DC1032" t="str">
        <f ca="1">IFERROR(__xludf.DUMMYFUNCTION("""COMPUTED_VALUE"""),"#VALUE!")</f>
        <v>#VALUE!</v>
      </c>
      <c r="DE1032" t="str">
        <f ca="1">IFERROR(__xludf.DUMMYFUNCTION("""COMPUTED_VALUE"""),"#VALUE!")</f>
        <v>#VALUE!</v>
      </c>
    </row>
    <row r="1033" spans="1:109" ht="13.2" x14ac:dyDescent="0.25">
      <c r="A1033" t="str">
        <f ca="1">IFERROR(__xludf.DUMMYFUNCTION("""COMPUTED_VALUE"""),"P1042")</f>
        <v>P1042</v>
      </c>
      <c r="BC1033" t="str">
        <f ca="1">IFERROR(__xludf.DUMMYFUNCTION("""COMPUTED_VALUE"""),"#VALUE!")</f>
        <v>#VALUE!</v>
      </c>
      <c r="BE1033" t="str">
        <f ca="1">IFERROR(__xludf.DUMMYFUNCTION("""COMPUTED_VALUE"""),"#VALUE!")</f>
        <v>#VALUE!</v>
      </c>
      <c r="BG1033" t="str">
        <f ca="1">IFERROR(__xludf.DUMMYFUNCTION("""COMPUTED_VALUE"""),"#VALUE!")</f>
        <v>#VALUE!</v>
      </c>
      <c r="BI1033" t="str">
        <f ca="1">IFERROR(__xludf.DUMMYFUNCTION("""COMPUTED_VALUE"""),"#VALUE!")</f>
        <v>#VALUE!</v>
      </c>
      <c r="BK1033" t="str">
        <f ca="1">IFERROR(__xludf.DUMMYFUNCTION("""COMPUTED_VALUE"""),"#VALUE!")</f>
        <v>#VALUE!</v>
      </c>
      <c r="BM1033" t="str">
        <f ca="1">IFERROR(__xludf.DUMMYFUNCTION("""COMPUTED_VALUE"""),"#VALUE!")</f>
        <v>#VALUE!</v>
      </c>
      <c r="CS1033" t="str">
        <f ca="1">IFERROR(__xludf.DUMMYFUNCTION("""COMPUTED_VALUE"""),"#VALUE!")</f>
        <v>#VALUE!</v>
      </c>
      <c r="CU1033" t="str">
        <f ca="1">IFERROR(__xludf.DUMMYFUNCTION("""COMPUTED_VALUE"""),"#VALUE!")</f>
        <v>#VALUE!</v>
      </c>
      <c r="CW1033" t="str">
        <f ca="1">IFERROR(__xludf.DUMMYFUNCTION("""COMPUTED_VALUE"""),"#VALUE!")</f>
        <v>#VALUE!</v>
      </c>
      <c r="CY1033" t="str">
        <f ca="1">IFERROR(__xludf.DUMMYFUNCTION("""COMPUTED_VALUE"""),"#VALUE!")</f>
        <v>#VALUE!</v>
      </c>
      <c r="DC1033" t="str">
        <f ca="1">IFERROR(__xludf.DUMMYFUNCTION("""COMPUTED_VALUE"""),"#VALUE!")</f>
        <v>#VALUE!</v>
      </c>
      <c r="DE1033" t="str">
        <f ca="1">IFERROR(__xludf.DUMMYFUNCTION("""COMPUTED_VALUE"""),"#VALUE!")</f>
        <v>#VALUE!</v>
      </c>
    </row>
    <row r="1034" spans="1:109" ht="13.2" x14ac:dyDescent="0.25">
      <c r="A1034" t="str">
        <f ca="1">IFERROR(__xludf.DUMMYFUNCTION("""COMPUTED_VALUE"""),"P1043")</f>
        <v>P1043</v>
      </c>
      <c r="BC1034" t="str">
        <f ca="1">IFERROR(__xludf.DUMMYFUNCTION("""COMPUTED_VALUE"""),"#VALUE!")</f>
        <v>#VALUE!</v>
      </c>
      <c r="BE1034" t="str">
        <f ca="1">IFERROR(__xludf.DUMMYFUNCTION("""COMPUTED_VALUE"""),"#VALUE!")</f>
        <v>#VALUE!</v>
      </c>
      <c r="BG1034" t="str">
        <f ca="1">IFERROR(__xludf.DUMMYFUNCTION("""COMPUTED_VALUE"""),"#VALUE!")</f>
        <v>#VALUE!</v>
      </c>
      <c r="BI1034" t="str">
        <f ca="1">IFERROR(__xludf.DUMMYFUNCTION("""COMPUTED_VALUE"""),"#VALUE!")</f>
        <v>#VALUE!</v>
      </c>
      <c r="BK1034" t="str">
        <f ca="1">IFERROR(__xludf.DUMMYFUNCTION("""COMPUTED_VALUE"""),"#VALUE!")</f>
        <v>#VALUE!</v>
      </c>
      <c r="BM1034" t="str">
        <f ca="1">IFERROR(__xludf.DUMMYFUNCTION("""COMPUTED_VALUE"""),"#VALUE!")</f>
        <v>#VALUE!</v>
      </c>
      <c r="CS1034" t="str">
        <f ca="1">IFERROR(__xludf.DUMMYFUNCTION("""COMPUTED_VALUE"""),"#VALUE!")</f>
        <v>#VALUE!</v>
      </c>
      <c r="CU1034" t="str">
        <f ca="1">IFERROR(__xludf.DUMMYFUNCTION("""COMPUTED_VALUE"""),"#VALUE!")</f>
        <v>#VALUE!</v>
      </c>
      <c r="CW1034" t="str">
        <f ca="1">IFERROR(__xludf.DUMMYFUNCTION("""COMPUTED_VALUE"""),"#VALUE!")</f>
        <v>#VALUE!</v>
      </c>
      <c r="CY1034" t="str">
        <f ca="1">IFERROR(__xludf.DUMMYFUNCTION("""COMPUTED_VALUE"""),"#VALUE!")</f>
        <v>#VALUE!</v>
      </c>
      <c r="DC1034" t="str">
        <f ca="1">IFERROR(__xludf.DUMMYFUNCTION("""COMPUTED_VALUE"""),"#VALUE!")</f>
        <v>#VALUE!</v>
      </c>
      <c r="DE1034" t="str">
        <f ca="1">IFERROR(__xludf.DUMMYFUNCTION("""COMPUTED_VALUE"""),"#VALUE!")</f>
        <v>#VALUE!</v>
      </c>
    </row>
    <row r="1035" spans="1:109" ht="13.2" x14ac:dyDescent="0.25">
      <c r="A1035" t="str">
        <f ca="1">IFERROR(__xludf.DUMMYFUNCTION("""COMPUTED_VALUE"""),"P1044")</f>
        <v>P1044</v>
      </c>
      <c r="BC1035" t="str">
        <f ca="1">IFERROR(__xludf.DUMMYFUNCTION("""COMPUTED_VALUE"""),"#VALUE!")</f>
        <v>#VALUE!</v>
      </c>
      <c r="BE1035" t="str">
        <f ca="1">IFERROR(__xludf.DUMMYFUNCTION("""COMPUTED_VALUE"""),"#VALUE!")</f>
        <v>#VALUE!</v>
      </c>
      <c r="BG1035" t="str">
        <f ca="1">IFERROR(__xludf.DUMMYFUNCTION("""COMPUTED_VALUE"""),"#VALUE!")</f>
        <v>#VALUE!</v>
      </c>
      <c r="BI1035" t="str">
        <f ca="1">IFERROR(__xludf.DUMMYFUNCTION("""COMPUTED_VALUE"""),"#VALUE!")</f>
        <v>#VALUE!</v>
      </c>
      <c r="BK1035" t="str">
        <f ca="1">IFERROR(__xludf.DUMMYFUNCTION("""COMPUTED_VALUE"""),"#VALUE!")</f>
        <v>#VALUE!</v>
      </c>
      <c r="BM1035" t="str">
        <f ca="1">IFERROR(__xludf.DUMMYFUNCTION("""COMPUTED_VALUE"""),"#VALUE!")</f>
        <v>#VALUE!</v>
      </c>
      <c r="CS1035" t="str">
        <f ca="1">IFERROR(__xludf.DUMMYFUNCTION("""COMPUTED_VALUE"""),"#VALUE!")</f>
        <v>#VALUE!</v>
      </c>
      <c r="CU1035" t="str">
        <f ca="1">IFERROR(__xludf.DUMMYFUNCTION("""COMPUTED_VALUE"""),"#VALUE!")</f>
        <v>#VALUE!</v>
      </c>
      <c r="CW1035" t="str">
        <f ca="1">IFERROR(__xludf.DUMMYFUNCTION("""COMPUTED_VALUE"""),"#VALUE!")</f>
        <v>#VALUE!</v>
      </c>
      <c r="CY1035" t="str">
        <f ca="1">IFERROR(__xludf.DUMMYFUNCTION("""COMPUTED_VALUE"""),"#VALUE!")</f>
        <v>#VALUE!</v>
      </c>
      <c r="DC1035" t="str">
        <f ca="1">IFERROR(__xludf.DUMMYFUNCTION("""COMPUTED_VALUE"""),"#VALUE!")</f>
        <v>#VALUE!</v>
      </c>
      <c r="DE1035" t="str">
        <f ca="1">IFERROR(__xludf.DUMMYFUNCTION("""COMPUTED_VALUE"""),"#VALUE!")</f>
        <v>#VALUE!</v>
      </c>
    </row>
    <row r="1036" spans="1:109" ht="13.2" x14ac:dyDescent="0.25">
      <c r="A1036" t="str">
        <f ca="1">IFERROR(__xludf.DUMMYFUNCTION("""COMPUTED_VALUE"""),"P1045")</f>
        <v>P1045</v>
      </c>
      <c r="BC1036" t="str">
        <f ca="1">IFERROR(__xludf.DUMMYFUNCTION("""COMPUTED_VALUE"""),"#VALUE!")</f>
        <v>#VALUE!</v>
      </c>
      <c r="BE1036" t="str">
        <f ca="1">IFERROR(__xludf.DUMMYFUNCTION("""COMPUTED_VALUE"""),"#VALUE!")</f>
        <v>#VALUE!</v>
      </c>
      <c r="BG1036" t="str">
        <f ca="1">IFERROR(__xludf.DUMMYFUNCTION("""COMPUTED_VALUE"""),"#VALUE!")</f>
        <v>#VALUE!</v>
      </c>
      <c r="BI1036" t="str">
        <f ca="1">IFERROR(__xludf.DUMMYFUNCTION("""COMPUTED_VALUE"""),"#VALUE!")</f>
        <v>#VALUE!</v>
      </c>
      <c r="BK1036" t="str">
        <f ca="1">IFERROR(__xludf.DUMMYFUNCTION("""COMPUTED_VALUE"""),"#VALUE!")</f>
        <v>#VALUE!</v>
      </c>
      <c r="BM1036" t="str">
        <f ca="1">IFERROR(__xludf.DUMMYFUNCTION("""COMPUTED_VALUE"""),"#VALUE!")</f>
        <v>#VALUE!</v>
      </c>
      <c r="CS1036" t="str">
        <f ca="1">IFERROR(__xludf.DUMMYFUNCTION("""COMPUTED_VALUE"""),"#VALUE!")</f>
        <v>#VALUE!</v>
      </c>
      <c r="CU1036" t="str">
        <f ca="1">IFERROR(__xludf.DUMMYFUNCTION("""COMPUTED_VALUE"""),"#VALUE!")</f>
        <v>#VALUE!</v>
      </c>
      <c r="CW1036" t="str">
        <f ca="1">IFERROR(__xludf.DUMMYFUNCTION("""COMPUTED_VALUE"""),"#VALUE!")</f>
        <v>#VALUE!</v>
      </c>
      <c r="CY1036" t="str">
        <f ca="1">IFERROR(__xludf.DUMMYFUNCTION("""COMPUTED_VALUE"""),"#VALUE!")</f>
        <v>#VALUE!</v>
      </c>
      <c r="DC1036" t="str">
        <f ca="1">IFERROR(__xludf.DUMMYFUNCTION("""COMPUTED_VALUE"""),"#VALUE!")</f>
        <v>#VALUE!</v>
      </c>
      <c r="DE1036" t="str">
        <f ca="1">IFERROR(__xludf.DUMMYFUNCTION("""COMPUTED_VALUE"""),"#VALUE!")</f>
        <v>#VALUE!</v>
      </c>
    </row>
    <row r="1037" spans="1:109" ht="13.2" x14ac:dyDescent="0.25">
      <c r="A1037" t="str">
        <f ca="1">IFERROR(__xludf.DUMMYFUNCTION("""COMPUTED_VALUE"""),"P1046")</f>
        <v>P1046</v>
      </c>
      <c r="BC1037" t="str">
        <f ca="1">IFERROR(__xludf.DUMMYFUNCTION("""COMPUTED_VALUE"""),"#VALUE!")</f>
        <v>#VALUE!</v>
      </c>
      <c r="BE1037" t="str">
        <f ca="1">IFERROR(__xludf.DUMMYFUNCTION("""COMPUTED_VALUE"""),"#VALUE!")</f>
        <v>#VALUE!</v>
      </c>
      <c r="BG1037" t="str">
        <f ca="1">IFERROR(__xludf.DUMMYFUNCTION("""COMPUTED_VALUE"""),"#VALUE!")</f>
        <v>#VALUE!</v>
      </c>
      <c r="BI1037" t="str">
        <f ca="1">IFERROR(__xludf.DUMMYFUNCTION("""COMPUTED_VALUE"""),"#VALUE!")</f>
        <v>#VALUE!</v>
      </c>
      <c r="BK1037" t="str">
        <f ca="1">IFERROR(__xludf.DUMMYFUNCTION("""COMPUTED_VALUE"""),"#VALUE!")</f>
        <v>#VALUE!</v>
      </c>
      <c r="BM1037" t="str">
        <f ca="1">IFERROR(__xludf.DUMMYFUNCTION("""COMPUTED_VALUE"""),"#VALUE!")</f>
        <v>#VALUE!</v>
      </c>
      <c r="CS1037" t="str">
        <f ca="1">IFERROR(__xludf.DUMMYFUNCTION("""COMPUTED_VALUE"""),"#VALUE!")</f>
        <v>#VALUE!</v>
      </c>
      <c r="CU1037" t="str">
        <f ca="1">IFERROR(__xludf.DUMMYFUNCTION("""COMPUTED_VALUE"""),"#VALUE!")</f>
        <v>#VALUE!</v>
      </c>
      <c r="CW1037" t="str">
        <f ca="1">IFERROR(__xludf.DUMMYFUNCTION("""COMPUTED_VALUE"""),"#VALUE!")</f>
        <v>#VALUE!</v>
      </c>
      <c r="CY1037" t="str">
        <f ca="1">IFERROR(__xludf.DUMMYFUNCTION("""COMPUTED_VALUE"""),"#VALUE!")</f>
        <v>#VALUE!</v>
      </c>
      <c r="DC1037" t="str">
        <f ca="1">IFERROR(__xludf.DUMMYFUNCTION("""COMPUTED_VALUE"""),"#VALUE!")</f>
        <v>#VALUE!</v>
      </c>
      <c r="DE1037" t="str">
        <f ca="1">IFERROR(__xludf.DUMMYFUNCTION("""COMPUTED_VALUE"""),"#VALUE!")</f>
        <v>#VALUE!</v>
      </c>
    </row>
    <row r="1038" spans="1:109" ht="13.2" x14ac:dyDescent="0.25">
      <c r="A1038" t="str">
        <f ca="1">IFERROR(__xludf.DUMMYFUNCTION("""COMPUTED_VALUE"""),"P1047")</f>
        <v>P1047</v>
      </c>
      <c r="BC1038" t="str">
        <f ca="1">IFERROR(__xludf.DUMMYFUNCTION("""COMPUTED_VALUE"""),"#VALUE!")</f>
        <v>#VALUE!</v>
      </c>
      <c r="BE1038" t="str">
        <f ca="1">IFERROR(__xludf.DUMMYFUNCTION("""COMPUTED_VALUE"""),"#VALUE!")</f>
        <v>#VALUE!</v>
      </c>
      <c r="BG1038" t="str">
        <f ca="1">IFERROR(__xludf.DUMMYFUNCTION("""COMPUTED_VALUE"""),"#VALUE!")</f>
        <v>#VALUE!</v>
      </c>
      <c r="BI1038" t="str">
        <f ca="1">IFERROR(__xludf.DUMMYFUNCTION("""COMPUTED_VALUE"""),"#VALUE!")</f>
        <v>#VALUE!</v>
      </c>
      <c r="BK1038" t="str">
        <f ca="1">IFERROR(__xludf.DUMMYFUNCTION("""COMPUTED_VALUE"""),"#VALUE!")</f>
        <v>#VALUE!</v>
      </c>
      <c r="BM1038" t="str">
        <f ca="1">IFERROR(__xludf.DUMMYFUNCTION("""COMPUTED_VALUE"""),"#VALUE!")</f>
        <v>#VALUE!</v>
      </c>
      <c r="CS1038" t="str">
        <f ca="1">IFERROR(__xludf.DUMMYFUNCTION("""COMPUTED_VALUE"""),"#VALUE!")</f>
        <v>#VALUE!</v>
      </c>
      <c r="CU1038" t="str">
        <f ca="1">IFERROR(__xludf.DUMMYFUNCTION("""COMPUTED_VALUE"""),"#VALUE!")</f>
        <v>#VALUE!</v>
      </c>
      <c r="CW1038" t="str">
        <f ca="1">IFERROR(__xludf.DUMMYFUNCTION("""COMPUTED_VALUE"""),"#VALUE!")</f>
        <v>#VALUE!</v>
      </c>
      <c r="CY1038" t="str">
        <f ca="1">IFERROR(__xludf.DUMMYFUNCTION("""COMPUTED_VALUE"""),"#VALUE!")</f>
        <v>#VALUE!</v>
      </c>
      <c r="DC1038" t="str">
        <f ca="1">IFERROR(__xludf.DUMMYFUNCTION("""COMPUTED_VALUE"""),"#VALUE!")</f>
        <v>#VALUE!</v>
      </c>
      <c r="DE1038" t="str">
        <f ca="1">IFERROR(__xludf.DUMMYFUNCTION("""COMPUTED_VALUE"""),"#VALUE!")</f>
        <v>#VALUE!</v>
      </c>
    </row>
    <row r="1039" spans="1:109" ht="13.2" x14ac:dyDescent="0.25">
      <c r="A1039" t="str">
        <f ca="1">IFERROR(__xludf.DUMMYFUNCTION("""COMPUTED_VALUE"""),"P1048")</f>
        <v>P1048</v>
      </c>
      <c r="BC1039" t="str">
        <f ca="1">IFERROR(__xludf.DUMMYFUNCTION("""COMPUTED_VALUE"""),"#VALUE!")</f>
        <v>#VALUE!</v>
      </c>
      <c r="BE1039" t="str">
        <f ca="1">IFERROR(__xludf.DUMMYFUNCTION("""COMPUTED_VALUE"""),"#VALUE!")</f>
        <v>#VALUE!</v>
      </c>
      <c r="BG1039" t="str">
        <f ca="1">IFERROR(__xludf.DUMMYFUNCTION("""COMPUTED_VALUE"""),"#VALUE!")</f>
        <v>#VALUE!</v>
      </c>
      <c r="BI1039" t="str">
        <f ca="1">IFERROR(__xludf.DUMMYFUNCTION("""COMPUTED_VALUE"""),"#VALUE!")</f>
        <v>#VALUE!</v>
      </c>
      <c r="BK1039" t="str">
        <f ca="1">IFERROR(__xludf.DUMMYFUNCTION("""COMPUTED_VALUE"""),"#VALUE!")</f>
        <v>#VALUE!</v>
      </c>
      <c r="BM1039" t="str">
        <f ca="1">IFERROR(__xludf.DUMMYFUNCTION("""COMPUTED_VALUE"""),"#VALUE!")</f>
        <v>#VALUE!</v>
      </c>
      <c r="CS1039" t="str">
        <f ca="1">IFERROR(__xludf.DUMMYFUNCTION("""COMPUTED_VALUE"""),"#VALUE!")</f>
        <v>#VALUE!</v>
      </c>
      <c r="CU1039" t="str">
        <f ca="1">IFERROR(__xludf.DUMMYFUNCTION("""COMPUTED_VALUE"""),"#VALUE!")</f>
        <v>#VALUE!</v>
      </c>
      <c r="CW1039" t="str">
        <f ca="1">IFERROR(__xludf.DUMMYFUNCTION("""COMPUTED_VALUE"""),"#VALUE!")</f>
        <v>#VALUE!</v>
      </c>
      <c r="CY1039" t="str">
        <f ca="1">IFERROR(__xludf.DUMMYFUNCTION("""COMPUTED_VALUE"""),"#VALUE!")</f>
        <v>#VALUE!</v>
      </c>
      <c r="DC1039" t="str">
        <f ca="1">IFERROR(__xludf.DUMMYFUNCTION("""COMPUTED_VALUE"""),"#VALUE!")</f>
        <v>#VALUE!</v>
      </c>
      <c r="DE1039" t="str">
        <f ca="1">IFERROR(__xludf.DUMMYFUNCTION("""COMPUTED_VALUE"""),"#VALUE!")</f>
        <v>#VALUE!</v>
      </c>
    </row>
    <row r="1040" spans="1:109" ht="13.2" x14ac:dyDescent="0.25">
      <c r="A1040" t="str">
        <f ca="1">IFERROR(__xludf.DUMMYFUNCTION("""COMPUTED_VALUE"""),"P1049")</f>
        <v>P1049</v>
      </c>
      <c r="BC1040" t="str">
        <f ca="1">IFERROR(__xludf.DUMMYFUNCTION("""COMPUTED_VALUE"""),"#VALUE!")</f>
        <v>#VALUE!</v>
      </c>
      <c r="BE1040" t="str">
        <f ca="1">IFERROR(__xludf.DUMMYFUNCTION("""COMPUTED_VALUE"""),"#VALUE!")</f>
        <v>#VALUE!</v>
      </c>
      <c r="BG1040" t="str">
        <f ca="1">IFERROR(__xludf.DUMMYFUNCTION("""COMPUTED_VALUE"""),"#VALUE!")</f>
        <v>#VALUE!</v>
      </c>
      <c r="BI1040" t="str">
        <f ca="1">IFERROR(__xludf.DUMMYFUNCTION("""COMPUTED_VALUE"""),"#VALUE!")</f>
        <v>#VALUE!</v>
      </c>
      <c r="BK1040" t="str">
        <f ca="1">IFERROR(__xludf.DUMMYFUNCTION("""COMPUTED_VALUE"""),"#VALUE!")</f>
        <v>#VALUE!</v>
      </c>
      <c r="BM1040" t="str">
        <f ca="1">IFERROR(__xludf.DUMMYFUNCTION("""COMPUTED_VALUE"""),"#VALUE!")</f>
        <v>#VALUE!</v>
      </c>
      <c r="CS1040" t="str">
        <f ca="1">IFERROR(__xludf.DUMMYFUNCTION("""COMPUTED_VALUE"""),"#VALUE!")</f>
        <v>#VALUE!</v>
      </c>
      <c r="CU1040" t="str">
        <f ca="1">IFERROR(__xludf.DUMMYFUNCTION("""COMPUTED_VALUE"""),"#VALUE!")</f>
        <v>#VALUE!</v>
      </c>
      <c r="CW1040" t="str">
        <f ca="1">IFERROR(__xludf.DUMMYFUNCTION("""COMPUTED_VALUE"""),"#VALUE!")</f>
        <v>#VALUE!</v>
      </c>
      <c r="CY1040" t="str">
        <f ca="1">IFERROR(__xludf.DUMMYFUNCTION("""COMPUTED_VALUE"""),"#VALUE!")</f>
        <v>#VALUE!</v>
      </c>
      <c r="DC1040" t="str">
        <f ca="1">IFERROR(__xludf.DUMMYFUNCTION("""COMPUTED_VALUE"""),"#VALUE!")</f>
        <v>#VALUE!</v>
      </c>
      <c r="DE1040" t="str">
        <f ca="1">IFERROR(__xludf.DUMMYFUNCTION("""COMPUTED_VALUE"""),"#VALUE!")</f>
        <v>#VALUE!</v>
      </c>
    </row>
    <row r="1041" spans="1:109" ht="13.2" x14ac:dyDescent="0.25">
      <c r="A1041" t="str">
        <f ca="1">IFERROR(__xludf.DUMMYFUNCTION("""COMPUTED_VALUE"""),"P1050")</f>
        <v>P1050</v>
      </c>
      <c r="BC1041" t="str">
        <f ca="1">IFERROR(__xludf.DUMMYFUNCTION("""COMPUTED_VALUE"""),"#VALUE!")</f>
        <v>#VALUE!</v>
      </c>
      <c r="BE1041" t="str">
        <f ca="1">IFERROR(__xludf.DUMMYFUNCTION("""COMPUTED_VALUE"""),"#VALUE!")</f>
        <v>#VALUE!</v>
      </c>
      <c r="BG1041" t="str">
        <f ca="1">IFERROR(__xludf.DUMMYFUNCTION("""COMPUTED_VALUE"""),"#VALUE!")</f>
        <v>#VALUE!</v>
      </c>
      <c r="BI1041" t="str">
        <f ca="1">IFERROR(__xludf.DUMMYFUNCTION("""COMPUTED_VALUE"""),"#VALUE!")</f>
        <v>#VALUE!</v>
      </c>
      <c r="BK1041" t="str">
        <f ca="1">IFERROR(__xludf.DUMMYFUNCTION("""COMPUTED_VALUE"""),"#VALUE!")</f>
        <v>#VALUE!</v>
      </c>
      <c r="BM1041" t="str">
        <f ca="1">IFERROR(__xludf.DUMMYFUNCTION("""COMPUTED_VALUE"""),"#VALUE!")</f>
        <v>#VALUE!</v>
      </c>
      <c r="CS1041" t="str">
        <f ca="1">IFERROR(__xludf.DUMMYFUNCTION("""COMPUTED_VALUE"""),"#VALUE!")</f>
        <v>#VALUE!</v>
      </c>
      <c r="CU1041" t="str">
        <f ca="1">IFERROR(__xludf.DUMMYFUNCTION("""COMPUTED_VALUE"""),"#VALUE!")</f>
        <v>#VALUE!</v>
      </c>
      <c r="CW1041" t="str">
        <f ca="1">IFERROR(__xludf.DUMMYFUNCTION("""COMPUTED_VALUE"""),"#VALUE!")</f>
        <v>#VALUE!</v>
      </c>
      <c r="CY1041" t="str">
        <f ca="1">IFERROR(__xludf.DUMMYFUNCTION("""COMPUTED_VALUE"""),"#VALUE!")</f>
        <v>#VALUE!</v>
      </c>
      <c r="DC1041" t="str">
        <f ca="1">IFERROR(__xludf.DUMMYFUNCTION("""COMPUTED_VALUE"""),"#VALUE!")</f>
        <v>#VALUE!</v>
      </c>
      <c r="DE1041" t="str">
        <f ca="1">IFERROR(__xludf.DUMMYFUNCTION("""COMPUTED_VALUE"""),"#VALUE!")</f>
        <v>#VALUE!</v>
      </c>
    </row>
    <row r="1042" spans="1:109" ht="13.2" x14ac:dyDescent="0.25">
      <c r="A1042" t="str">
        <f ca="1">IFERROR(__xludf.DUMMYFUNCTION("""COMPUTED_VALUE"""),"P1051")</f>
        <v>P1051</v>
      </c>
      <c r="BC1042" t="str">
        <f ca="1">IFERROR(__xludf.DUMMYFUNCTION("""COMPUTED_VALUE"""),"#VALUE!")</f>
        <v>#VALUE!</v>
      </c>
      <c r="BE1042" t="str">
        <f ca="1">IFERROR(__xludf.DUMMYFUNCTION("""COMPUTED_VALUE"""),"#VALUE!")</f>
        <v>#VALUE!</v>
      </c>
      <c r="BG1042" t="str">
        <f ca="1">IFERROR(__xludf.DUMMYFUNCTION("""COMPUTED_VALUE"""),"#VALUE!")</f>
        <v>#VALUE!</v>
      </c>
      <c r="BI1042" t="str">
        <f ca="1">IFERROR(__xludf.DUMMYFUNCTION("""COMPUTED_VALUE"""),"#VALUE!")</f>
        <v>#VALUE!</v>
      </c>
      <c r="BK1042" t="str">
        <f ca="1">IFERROR(__xludf.DUMMYFUNCTION("""COMPUTED_VALUE"""),"#VALUE!")</f>
        <v>#VALUE!</v>
      </c>
      <c r="BM1042" t="str">
        <f ca="1">IFERROR(__xludf.DUMMYFUNCTION("""COMPUTED_VALUE"""),"#VALUE!")</f>
        <v>#VALUE!</v>
      </c>
      <c r="CS1042" t="str">
        <f ca="1">IFERROR(__xludf.DUMMYFUNCTION("""COMPUTED_VALUE"""),"#VALUE!")</f>
        <v>#VALUE!</v>
      </c>
      <c r="CU1042" t="str">
        <f ca="1">IFERROR(__xludf.DUMMYFUNCTION("""COMPUTED_VALUE"""),"#VALUE!")</f>
        <v>#VALUE!</v>
      </c>
      <c r="CW1042" t="str">
        <f ca="1">IFERROR(__xludf.DUMMYFUNCTION("""COMPUTED_VALUE"""),"#VALUE!")</f>
        <v>#VALUE!</v>
      </c>
      <c r="CY1042" t="str">
        <f ca="1">IFERROR(__xludf.DUMMYFUNCTION("""COMPUTED_VALUE"""),"#VALUE!")</f>
        <v>#VALUE!</v>
      </c>
      <c r="DC1042" t="str">
        <f ca="1">IFERROR(__xludf.DUMMYFUNCTION("""COMPUTED_VALUE"""),"#VALUE!")</f>
        <v>#VALUE!</v>
      </c>
      <c r="DE1042" t="str">
        <f ca="1">IFERROR(__xludf.DUMMYFUNCTION("""COMPUTED_VALUE"""),"#VALUE!")</f>
        <v>#VALUE!</v>
      </c>
    </row>
    <row r="1043" spans="1:109" ht="13.2" x14ac:dyDescent="0.25">
      <c r="A1043" t="str">
        <f ca="1">IFERROR(__xludf.DUMMYFUNCTION("""COMPUTED_VALUE"""),"P1052")</f>
        <v>P1052</v>
      </c>
      <c r="BC1043" t="str">
        <f ca="1">IFERROR(__xludf.DUMMYFUNCTION("""COMPUTED_VALUE"""),"#VALUE!")</f>
        <v>#VALUE!</v>
      </c>
      <c r="BE1043" t="str">
        <f ca="1">IFERROR(__xludf.DUMMYFUNCTION("""COMPUTED_VALUE"""),"#VALUE!")</f>
        <v>#VALUE!</v>
      </c>
      <c r="BG1043" t="str">
        <f ca="1">IFERROR(__xludf.DUMMYFUNCTION("""COMPUTED_VALUE"""),"#VALUE!")</f>
        <v>#VALUE!</v>
      </c>
      <c r="BI1043" t="str">
        <f ca="1">IFERROR(__xludf.DUMMYFUNCTION("""COMPUTED_VALUE"""),"#VALUE!")</f>
        <v>#VALUE!</v>
      </c>
      <c r="BK1043" t="str">
        <f ca="1">IFERROR(__xludf.DUMMYFUNCTION("""COMPUTED_VALUE"""),"#VALUE!")</f>
        <v>#VALUE!</v>
      </c>
      <c r="BM1043" t="str">
        <f ca="1">IFERROR(__xludf.DUMMYFUNCTION("""COMPUTED_VALUE"""),"#VALUE!")</f>
        <v>#VALUE!</v>
      </c>
      <c r="CS1043" t="str">
        <f ca="1">IFERROR(__xludf.DUMMYFUNCTION("""COMPUTED_VALUE"""),"#VALUE!")</f>
        <v>#VALUE!</v>
      </c>
      <c r="CU1043" t="str">
        <f ca="1">IFERROR(__xludf.DUMMYFUNCTION("""COMPUTED_VALUE"""),"#VALUE!")</f>
        <v>#VALUE!</v>
      </c>
      <c r="CW1043" t="str">
        <f ca="1">IFERROR(__xludf.DUMMYFUNCTION("""COMPUTED_VALUE"""),"#VALUE!")</f>
        <v>#VALUE!</v>
      </c>
      <c r="CY1043" t="str">
        <f ca="1">IFERROR(__xludf.DUMMYFUNCTION("""COMPUTED_VALUE"""),"#VALUE!")</f>
        <v>#VALUE!</v>
      </c>
      <c r="DC1043" t="str">
        <f ca="1">IFERROR(__xludf.DUMMYFUNCTION("""COMPUTED_VALUE"""),"#VALUE!")</f>
        <v>#VALUE!</v>
      </c>
      <c r="DE1043" t="str">
        <f ca="1">IFERROR(__xludf.DUMMYFUNCTION("""COMPUTED_VALUE"""),"#VALUE!")</f>
        <v>#VALUE!</v>
      </c>
    </row>
    <row r="1044" spans="1:109" ht="13.2" x14ac:dyDescent="0.25">
      <c r="A1044" t="str">
        <f ca="1">IFERROR(__xludf.DUMMYFUNCTION("""COMPUTED_VALUE"""),"P1053")</f>
        <v>P1053</v>
      </c>
      <c r="BC1044" t="str">
        <f ca="1">IFERROR(__xludf.DUMMYFUNCTION("""COMPUTED_VALUE"""),"#VALUE!")</f>
        <v>#VALUE!</v>
      </c>
      <c r="BE1044" t="str">
        <f ca="1">IFERROR(__xludf.DUMMYFUNCTION("""COMPUTED_VALUE"""),"#VALUE!")</f>
        <v>#VALUE!</v>
      </c>
      <c r="BG1044" t="str">
        <f ca="1">IFERROR(__xludf.DUMMYFUNCTION("""COMPUTED_VALUE"""),"#VALUE!")</f>
        <v>#VALUE!</v>
      </c>
      <c r="BI1044" t="str">
        <f ca="1">IFERROR(__xludf.DUMMYFUNCTION("""COMPUTED_VALUE"""),"#VALUE!")</f>
        <v>#VALUE!</v>
      </c>
      <c r="BK1044" t="str">
        <f ca="1">IFERROR(__xludf.DUMMYFUNCTION("""COMPUTED_VALUE"""),"#VALUE!")</f>
        <v>#VALUE!</v>
      </c>
      <c r="BM1044" t="str">
        <f ca="1">IFERROR(__xludf.DUMMYFUNCTION("""COMPUTED_VALUE"""),"#VALUE!")</f>
        <v>#VALUE!</v>
      </c>
      <c r="CS1044" t="str">
        <f ca="1">IFERROR(__xludf.DUMMYFUNCTION("""COMPUTED_VALUE"""),"#VALUE!")</f>
        <v>#VALUE!</v>
      </c>
      <c r="CU1044" t="str">
        <f ca="1">IFERROR(__xludf.DUMMYFUNCTION("""COMPUTED_VALUE"""),"#VALUE!")</f>
        <v>#VALUE!</v>
      </c>
      <c r="CW1044" t="str">
        <f ca="1">IFERROR(__xludf.DUMMYFUNCTION("""COMPUTED_VALUE"""),"#VALUE!")</f>
        <v>#VALUE!</v>
      </c>
      <c r="CY1044" t="str">
        <f ca="1">IFERROR(__xludf.DUMMYFUNCTION("""COMPUTED_VALUE"""),"#VALUE!")</f>
        <v>#VALUE!</v>
      </c>
      <c r="DC1044" t="str">
        <f ca="1">IFERROR(__xludf.DUMMYFUNCTION("""COMPUTED_VALUE"""),"#VALUE!")</f>
        <v>#VALUE!</v>
      </c>
      <c r="DE1044" t="str">
        <f ca="1">IFERROR(__xludf.DUMMYFUNCTION("""COMPUTED_VALUE"""),"#VALUE!")</f>
        <v>#VALUE!</v>
      </c>
    </row>
    <row r="1045" spans="1:109" ht="13.2" x14ac:dyDescent="0.25">
      <c r="A1045" t="str">
        <f ca="1">IFERROR(__xludf.DUMMYFUNCTION("""COMPUTED_VALUE"""),"P1054")</f>
        <v>P1054</v>
      </c>
      <c r="BC1045" t="str">
        <f ca="1">IFERROR(__xludf.DUMMYFUNCTION("""COMPUTED_VALUE"""),"#VALUE!")</f>
        <v>#VALUE!</v>
      </c>
      <c r="BE1045" t="str">
        <f ca="1">IFERROR(__xludf.DUMMYFUNCTION("""COMPUTED_VALUE"""),"#VALUE!")</f>
        <v>#VALUE!</v>
      </c>
      <c r="BG1045" t="str">
        <f ca="1">IFERROR(__xludf.DUMMYFUNCTION("""COMPUTED_VALUE"""),"#VALUE!")</f>
        <v>#VALUE!</v>
      </c>
      <c r="BI1045" t="str">
        <f ca="1">IFERROR(__xludf.DUMMYFUNCTION("""COMPUTED_VALUE"""),"#VALUE!")</f>
        <v>#VALUE!</v>
      </c>
      <c r="BK1045" t="str">
        <f ca="1">IFERROR(__xludf.DUMMYFUNCTION("""COMPUTED_VALUE"""),"#VALUE!")</f>
        <v>#VALUE!</v>
      </c>
      <c r="BM1045" t="str">
        <f ca="1">IFERROR(__xludf.DUMMYFUNCTION("""COMPUTED_VALUE"""),"#VALUE!")</f>
        <v>#VALUE!</v>
      </c>
      <c r="CS1045" t="str">
        <f ca="1">IFERROR(__xludf.DUMMYFUNCTION("""COMPUTED_VALUE"""),"#VALUE!")</f>
        <v>#VALUE!</v>
      </c>
      <c r="CU1045" t="str">
        <f ca="1">IFERROR(__xludf.DUMMYFUNCTION("""COMPUTED_VALUE"""),"#VALUE!")</f>
        <v>#VALUE!</v>
      </c>
      <c r="CW1045" t="str">
        <f ca="1">IFERROR(__xludf.DUMMYFUNCTION("""COMPUTED_VALUE"""),"#VALUE!")</f>
        <v>#VALUE!</v>
      </c>
      <c r="CY1045" t="str">
        <f ca="1">IFERROR(__xludf.DUMMYFUNCTION("""COMPUTED_VALUE"""),"#VALUE!")</f>
        <v>#VALUE!</v>
      </c>
      <c r="DC1045" t="str">
        <f ca="1">IFERROR(__xludf.DUMMYFUNCTION("""COMPUTED_VALUE"""),"#VALUE!")</f>
        <v>#VALUE!</v>
      </c>
      <c r="DE1045" t="str">
        <f ca="1">IFERROR(__xludf.DUMMYFUNCTION("""COMPUTED_VALUE"""),"#VALUE!")</f>
        <v>#VALUE!</v>
      </c>
    </row>
    <row r="1046" spans="1:109" ht="13.2" x14ac:dyDescent="0.25">
      <c r="A1046" t="str">
        <f ca="1">IFERROR(__xludf.DUMMYFUNCTION("""COMPUTED_VALUE"""),"P1055")</f>
        <v>P1055</v>
      </c>
      <c r="BC1046" t="str">
        <f ca="1">IFERROR(__xludf.DUMMYFUNCTION("""COMPUTED_VALUE"""),"#VALUE!")</f>
        <v>#VALUE!</v>
      </c>
      <c r="BE1046" t="str">
        <f ca="1">IFERROR(__xludf.DUMMYFUNCTION("""COMPUTED_VALUE"""),"#VALUE!")</f>
        <v>#VALUE!</v>
      </c>
      <c r="BG1046" t="str">
        <f ca="1">IFERROR(__xludf.DUMMYFUNCTION("""COMPUTED_VALUE"""),"#VALUE!")</f>
        <v>#VALUE!</v>
      </c>
      <c r="BI1046" t="str">
        <f ca="1">IFERROR(__xludf.DUMMYFUNCTION("""COMPUTED_VALUE"""),"#VALUE!")</f>
        <v>#VALUE!</v>
      </c>
      <c r="BK1046" t="str">
        <f ca="1">IFERROR(__xludf.DUMMYFUNCTION("""COMPUTED_VALUE"""),"#VALUE!")</f>
        <v>#VALUE!</v>
      </c>
      <c r="BM1046" t="str">
        <f ca="1">IFERROR(__xludf.DUMMYFUNCTION("""COMPUTED_VALUE"""),"#VALUE!")</f>
        <v>#VALUE!</v>
      </c>
      <c r="CS1046" t="str">
        <f ca="1">IFERROR(__xludf.DUMMYFUNCTION("""COMPUTED_VALUE"""),"#VALUE!")</f>
        <v>#VALUE!</v>
      </c>
      <c r="CU1046" t="str">
        <f ca="1">IFERROR(__xludf.DUMMYFUNCTION("""COMPUTED_VALUE"""),"#VALUE!")</f>
        <v>#VALUE!</v>
      </c>
      <c r="CW1046" t="str">
        <f ca="1">IFERROR(__xludf.DUMMYFUNCTION("""COMPUTED_VALUE"""),"#VALUE!")</f>
        <v>#VALUE!</v>
      </c>
      <c r="CY1046" t="str">
        <f ca="1">IFERROR(__xludf.DUMMYFUNCTION("""COMPUTED_VALUE"""),"#VALUE!")</f>
        <v>#VALUE!</v>
      </c>
      <c r="DC1046" t="str">
        <f ca="1">IFERROR(__xludf.DUMMYFUNCTION("""COMPUTED_VALUE"""),"#VALUE!")</f>
        <v>#VALUE!</v>
      </c>
      <c r="DE1046" t="str">
        <f ca="1">IFERROR(__xludf.DUMMYFUNCTION("""COMPUTED_VALUE"""),"#VALUE!")</f>
        <v>#VALUE!</v>
      </c>
    </row>
    <row r="1047" spans="1:109" ht="13.2" x14ac:dyDescent="0.25">
      <c r="A1047" t="str">
        <f ca="1">IFERROR(__xludf.DUMMYFUNCTION("""COMPUTED_VALUE"""),"P1056")</f>
        <v>P1056</v>
      </c>
      <c r="BC1047" t="str">
        <f ca="1">IFERROR(__xludf.DUMMYFUNCTION("""COMPUTED_VALUE"""),"#VALUE!")</f>
        <v>#VALUE!</v>
      </c>
      <c r="BE1047" t="str">
        <f ca="1">IFERROR(__xludf.DUMMYFUNCTION("""COMPUTED_VALUE"""),"#VALUE!")</f>
        <v>#VALUE!</v>
      </c>
      <c r="BG1047" t="str">
        <f ca="1">IFERROR(__xludf.DUMMYFUNCTION("""COMPUTED_VALUE"""),"#VALUE!")</f>
        <v>#VALUE!</v>
      </c>
      <c r="BI1047" t="str">
        <f ca="1">IFERROR(__xludf.DUMMYFUNCTION("""COMPUTED_VALUE"""),"#VALUE!")</f>
        <v>#VALUE!</v>
      </c>
      <c r="BK1047" t="str">
        <f ca="1">IFERROR(__xludf.DUMMYFUNCTION("""COMPUTED_VALUE"""),"#VALUE!")</f>
        <v>#VALUE!</v>
      </c>
      <c r="BM1047" t="str">
        <f ca="1">IFERROR(__xludf.DUMMYFUNCTION("""COMPUTED_VALUE"""),"#VALUE!")</f>
        <v>#VALUE!</v>
      </c>
      <c r="CS1047" t="str">
        <f ca="1">IFERROR(__xludf.DUMMYFUNCTION("""COMPUTED_VALUE"""),"#VALUE!")</f>
        <v>#VALUE!</v>
      </c>
      <c r="CU1047" t="str">
        <f ca="1">IFERROR(__xludf.DUMMYFUNCTION("""COMPUTED_VALUE"""),"#VALUE!")</f>
        <v>#VALUE!</v>
      </c>
      <c r="CW1047" t="str">
        <f ca="1">IFERROR(__xludf.DUMMYFUNCTION("""COMPUTED_VALUE"""),"#VALUE!")</f>
        <v>#VALUE!</v>
      </c>
      <c r="CY1047" t="str">
        <f ca="1">IFERROR(__xludf.DUMMYFUNCTION("""COMPUTED_VALUE"""),"#VALUE!")</f>
        <v>#VALUE!</v>
      </c>
      <c r="DC1047" t="str">
        <f ca="1">IFERROR(__xludf.DUMMYFUNCTION("""COMPUTED_VALUE"""),"#VALUE!")</f>
        <v>#VALUE!</v>
      </c>
      <c r="DE1047" t="str">
        <f ca="1">IFERROR(__xludf.DUMMYFUNCTION("""COMPUTED_VALUE"""),"#VALUE!")</f>
        <v>#VALUE!</v>
      </c>
    </row>
    <row r="1048" spans="1:109" ht="13.2" x14ac:dyDescent="0.25">
      <c r="A1048" t="str">
        <f ca="1">IFERROR(__xludf.DUMMYFUNCTION("""COMPUTED_VALUE"""),"P1057")</f>
        <v>P1057</v>
      </c>
      <c r="BC1048" t="str">
        <f ca="1">IFERROR(__xludf.DUMMYFUNCTION("""COMPUTED_VALUE"""),"#VALUE!")</f>
        <v>#VALUE!</v>
      </c>
      <c r="BE1048" t="str">
        <f ca="1">IFERROR(__xludf.DUMMYFUNCTION("""COMPUTED_VALUE"""),"#VALUE!")</f>
        <v>#VALUE!</v>
      </c>
      <c r="BG1048" t="str">
        <f ca="1">IFERROR(__xludf.DUMMYFUNCTION("""COMPUTED_VALUE"""),"#VALUE!")</f>
        <v>#VALUE!</v>
      </c>
      <c r="BI1048" t="str">
        <f ca="1">IFERROR(__xludf.DUMMYFUNCTION("""COMPUTED_VALUE"""),"#VALUE!")</f>
        <v>#VALUE!</v>
      </c>
      <c r="BK1048" t="str">
        <f ca="1">IFERROR(__xludf.DUMMYFUNCTION("""COMPUTED_VALUE"""),"#VALUE!")</f>
        <v>#VALUE!</v>
      </c>
      <c r="BM1048" t="str">
        <f ca="1">IFERROR(__xludf.DUMMYFUNCTION("""COMPUTED_VALUE"""),"#VALUE!")</f>
        <v>#VALUE!</v>
      </c>
      <c r="CS1048" t="str">
        <f ca="1">IFERROR(__xludf.DUMMYFUNCTION("""COMPUTED_VALUE"""),"#VALUE!")</f>
        <v>#VALUE!</v>
      </c>
      <c r="CU1048" t="str">
        <f ca="1">IFERROR(__xludf.DUMMYFUNCTION("""COMPUTED_VALUE"""),"#VALUE!")</f>
        <v>#VALUE!</v>
      </c>
      <c r="CW1048" t="str">
        <f ca="1">IFERROR(__xludf.DUMMYFUNCTION("""COMPUTED_VALUE"""),"#VALUE!")</f>
        <v>#VALUE!</v>
      </c>
      <c r="CY1048" t="str">
        <f ca="1">IFERROR(__xludf.DUMMYFUNCTION("""COMPUTED_VALUE"""),"#VALUE!")</f>
        <v>#VALUE!</v>
      </c>
      <c r="DC1048" t="str">
        <f ca="1">IFERROR(__xludf.DUMMYFUNCTION("""COMPUTED_VALUE"""),"#VALUE!")</f>
        <v>#VALUE!</v>
      </c>
      <c r="DE1048" t="str">
        <f ca="1">IFERROR(__xludf.DUMMYFUNCTION("""COMPUTED_VALUE"""),"#VALUE!")</f>
        <v>#VALUE!</v>
      </c>
    </row>
    <row r="1049" spans="1:109" ht="13.2" x14ac:dyDescent="0.25">
      <c r="A1049" t="str">
        <f ca="1">IFERROR(__xludf.DUMMYFUNCTION("""COMPUTED_VALUE"""),"P1058")</f>
        <v>P1058</v>
      </c>
      <c r="BC1049" t="str">
        <f ca="1">IFERROR(__xludf.DUMMYFUNCTION("""COMPUTED_VALUE"""),"#VALUE!")</f>
        <v>#VALUE!</v>
      </c>
      <c r="BE1049" t="str">
        <f ca="1">IFERROR(__xludf.DUMMYFUNCTION("""COMPUTED_VALUE"""),"#VALUE!")</f>
        <v>#VALUE!</v>
      </c>
      <c r="BG1049" t="str">
        <f ca="1">IFERROR(__xludf.DUMMYFUNCTION("""COMPUTED_VALUE"""),"#VALUE!")</f>
        <v>#VALUE!</v>
      </c>
      <c r="BI1049" t="str">
        <f ca="1">IFERROR(__xludf.DUMMYFUNCTION("""COMPUTED_VALUE"""),"#VALUE!")</f>
        <v>#VALUE!</v>
      </c>
      <c r="BK1049" t="str">
        <f ca="1">IFERROR(__xludf.DUMMYFUNCTION("""COMPUTED_VALUE"""),"#VALUE!")</f>
        <v>#VALUE!</v>
      </c>
      <c r="BM1049" t="str">
        <f ca="1">IFERROR(__xludf.DUMMYFUNCTION("""COMPUTED_VALUE"""),"#VALUE!")</f>
        <v>#VALUE!</v>
      </c>
      <c r="CS1049" t="str">
        <f ca="1">IFERROR(__xludf.DUMMYFUNCTION("""COMPUTED_VALUE"""),"#VALUE!")</f>
        <v>#VALUE!</v>
      </c>
      <c r="CU1049" t="str">
        <f ca="1">IFERROR(__xludf.DUMMYFUNCTION("""COMPUTED_VALUE"""),"#VALUE!")</f>
        <v>#VALUE!</v>
      </c>
      <c r="CW1049" t="str">
        <f ca="1">IFERROR(__xludf.DUMMYFUNCTION("""COMPUTED_VALUE"""),"#VALUE!")</f>
        <v>#VALUE!</v>
      </c>
      <c r="CY1049" t="str">
        <f ca="1">IFERROR(__xludf.DUMMYFUNCTION("""COMPUTED_VALUE"""),"#VALUE!")</f>
        <v>#VALUE!</v>
      </c>
      <c r="DC1049" t="str">
        <f ca="1">IFERROR(__xludf.DUMMYFUNCTION("""COMPUTED_VALUE"""),"#VALUE!")</f>
        <v>#VALUE!</v>
      </c>
      <c r="DE1049" t="str">
        <f ca="1">IFERROR(__xludf.DUMMYFUNCTION("""COMPUTED_VALUE"""),"#VALUE!")</f>
        <v>#VALUE!</v>
      </c>
    </row>
    <row r="1050" spans="1:109" ht="13.2" x14ac:dyDescent="0.25">
      <c r="A1050" t="str">
        <f ca="1">IFERROR(__xludf.DUMMYFUNCTION("""COMPUTED_VALUE"""),"P1059")</f>
        <v>P1059</v>
      </c>
      <c r="BC1050" t="str">
        <f ca="1">IFERROR(__xludf.DUMMYFUNCTION("""COMPUTED_VALUE"""),"#VALUE!")</f>
        <v>#VALUE!</v>
      </c>
      <c r="BE1050" t="str">
        <f ca="1">IFERROR(__xludf.DUMMYFUNCTION("""COMPUTED_VALUE"""),"#VALUE!")</f>
        <v>#VALUE!</v>
      </c>
      <c r="BG1050" t="str">
        <f ca="1">IFERROR(__xludf.DUMMYFUNCTION("""COMPUTED_VALUE"""),"#VALUE!")</f>
        <v>#VALUE!</v>
      </c>
      <c r="BI1050" t="str">
        <f ca="1">IFERROR(__xludf.DUMMYFUNCTION("""COMPUTED_VALUE"""),"#VALUE!")</f>
        <v>#VALUE!</v>
      </c>
      <c r="BK1050" t="str">
        <f ca="1">IFERROR(__xludf.DUMMYFUNCTION("""COMPUTED_VALUE"""),"#VALUE!")</f>
        <v>#VALUE!</v>
      </c>
      <c r="BM1050" t="str">
        <f ca="1">IFERROR(__xludf.DUMMYFUNCTION("""COMPUTED_VALUE"""),"#VALUE!")</f>
        <v>#VALUE!</v>
      </c>
      <c r="CS1050" t="str">
        <f ca="1">IFERROR(__xludf.DUMMYFUNCTION("""COMPUTED_VALUE"""),"#VALUE!")</f>
        <v>#VALUE!</v>
      </c>
      <c r="CU1050" t="str">
        <f ca="1">IFERROR(__xludf.DUMMYFUNCTION("""COMPUTED_VALUE"""),"#VALUE!")</f>
        <v>#VALUE!</v>
      </c>
      <c r="CW1050" t="str">
        <f ca="1">IFERROR(__xludf.DUMMYFUNCTION("""COMPUTED_VALUE"""),"#VALUE!")</f>
        <v>#VALUE!</v>
      </c>
      <c r="CY1050" t="str">
        <f ca="1">IFERROR(__xludf.DUMMYFUNCTION("""COMPUTED_VALUE"""),"#VALUE!")</f>
        <v>#VALUE!</v>
      </c>
      <c r="DC1050" t="str">
        <f ca="1">IFERROR(__xludf.DUMMYFUNCTION("""COMPUTED_VALUE"""),"#VALUE!")</f>
        <v>#VALUE!</v>
      </c>
      <c r="DE1050" t="str">
        <f ca="1">IFERROR(__xludf.DUMMYFUNCTION("""COMPUTED_VALUE"""),"#VALUE!")</f>
        <v>#VALUE!</v>
      </c>
    </row>
    <row r="1051" spans="1:109" ht="13.2" x14ac:dyDescent="0.25">
      <c r="A1051" t="str">
        <f ca="1">IFERROR(__xludf.DUMMYFUNCTION("""COMPUTED_VALUE"""),"P1060")</f>
        <v>P1060</v>
      </c>
      <c r="BC1051" t="str">
        <f ca="1">IFERROR(__xludf.DUMMYFUNCTION("""COMPUTED_VALUE"""),"#VALUE!")</f>
        <v>#VALUE!</v>
      </c>
      <c r="BE1051" t="str">
        <f ca="1">IFERROR(__xludf.DUMMYFUNCTION("""COMPUTED_VALUE"""),"#VALUE!")</f>
        <v>#VALUE!</v>
      </c>
      <c r="BG1051" t="str">
        <f ca="1">IFERROR(__xludf.DUMMYFUNCTION("""COMPUTED_VALUE"""),"#VALUE!")</f>
        <v>#VALUE!</v>
      </c>
      <c r="BI1051" t="str">
        <f ca="1">IFERROR(__xludf.DUMMYFUNCTION("""COMPUTED_VALUE"""),"#VALUE!")</f>
        <v>#VALUE!</v>
      </c>
      <c r="BK1051" t="str">
        <f ca="1">IFERROR(__xludf.DUMMYFUNCTION("""COMPUTED_VALUE"""),"#VALUE!")</f>
        <v>#VALUE!</v>
      </c>
      <c r="BM1051" t="str">
        <f ca="1">IFERROR(__xludf.DUMMYFUNCTION("""COMPUTED_VALUE"""),"#VALUE!")</f>
        <v>#VALUE!</v>
      </c>
      <c r="CS1051" t="str">
        <f ca="1">IFERROR(__xludf.DUMMYFUNCTION("""COMPUTED_VALUE"""),"#VALUE!")</f>
        <v>#VALUE!</v>
      </c>
      <c r="CU1051" t="str">
        <f ca="1">IFERROR(__xludf.DUMMYFUNCTION("""COMPUTED_VALUE"""),"#VALUE!")</f>
        <v>#VALUE!</v>
      </c>
      <c r="CW1051" t="str">
        <f ca="1">IFERROR(__xludf.DUMMYFUNCTION("""COMPUTED_VALUE"""),"#VALUE!")</f>
        <v>#VALUE!</v>
      </c>
      <c r="CY1051" t="str">
        <f ca="1">IFERROR(__xludf.DUMMYFUNCTION("""COMPUTED_VALUE"""),"#VALUE!")</f>
        <v>#VALUE!</v>
      </c>
      <c r="DC1051" t="str">
        <f ca="1">IFERROR(__xludf.DUMMYFUNCTION("""COMPUTED_VALUE"""),"#VALUE!")</f>
        <v>#VALUE!</v>
      </c>
      <c r="DE1051" t="str">
        <f ca="1">IFERROR(__xludf.DUMMYFUNCTION("""COMPUTED_VALUE"""),"#VALUE!")</f>
        <v>#VALUE!</v>
      </c>
    </row>
    <row r="1052" spans="1:109" ht="13.2" x14ac:dyDescent="0.25">
      <c r="A1052" t="str">
        <f ca="1">IFERROR(__xludf.DUMMYFUNCTION("""COMPUTED_VALUE"""),"P1061")</f>
        <v>P1061</v>
      </c>
      <c r="BC1052" t="str">
        <f ca="1">IFERROR(__xludf.DUMMYFUNCTION("""COMPUTED_VALUE"""),"#VALUE!")</f>
        <v>#VALUE!</v>
      </c>
      <c r="BE1052" t="str">
        <f ca="1">IFERROR(__xludf.DUMMYFUNCTION("""COMPUTED_VALUE"""),"#VALUE!")</f>
        <v>#VALUE!</v>
      </c>
      <c r="BG1052" t="str">
        <f ca="1">IFERROR(__xludf.DUMMYFUNCTION("""COMPUTED_VALUE"""),"#VALUE!")</f>
        <v>#VALUE!</v>
      </c>
      <c r="BI1052" t="str">
        <f ca="1">IFERROR(__xludf.DUMMYFUNCTION("""COMPUTED_VALUE"""),"#VALUE!")</f>
        <v>#VALUE!</v>
      </c>
      <c r="BK1052" t="str">
        <f ca="1">IFERROR(__xludf.DUMMYFUNCTION("""COMPUTED_VALUE"""),"#VALUE!")</f>
        <v>#VALUE!</v>
      </c>
      <c r="BM1052" t="str">
        <f ca="1">IFERROR(__xludf.DUMMYFUNCTION("""COMPUTED_VALUE"""),"#VALUE!")</f>
        <v>#VALUE!</v>
      </c>
      <c r="CS1052" t="str">
        <f ca="1">IFERROR(__xludf.DUMMYFUNCTION("""COMPUTED_VALUE"""),"#VALUE!")</f>
        <v>#VALUE!</v>
      </c>
      <c r="CU1052" t="str">
        <f ca="1">IFERROR(__xludf.DUMMYFUNCTION("""COMPUTED_VALUE"""),"#VALUE!")</f>
        <v>#VALUE!</v>
      </c>
      <c r="CW1052" t="str">
        <f ca="1">IFERROR(__xludf.DUMMYFUNCTION("""COMPUTED_VALUE"""),"#VALUE!")</f>
        <v>#VALUE!</v>
      </c>
      <c r="CY1052" t="str">
        <f ca="1">IFERROR(__xludf.DUMMYFUNCTION("""COMPUTED_VALUE"""),"#VALUE!")</f>
        <v>#VALUE!</v>
      </c>
      <c r="DC1052" t="str">
        <f ca="1">IFERROR(__xludf.DUMMYFUNCTION("""COMPUTED_VALUE"""),"#VALUE!")</f>
        <v>#VALUE!</v>
      </c>
      <c r="DE1052" t="str">
        <f ca="1">IFERROR(__xludf.DUMMYFUNCTION("""COMPUTED_VALUE"""),"#VALUE!")</f>
        <v>#VALUE!</v>
      </c>
    </row>
    <row r="1053" spans="1:109" ht="13.2" x14ac:dyDescent="0.25">
      <c r="A1053" t="str">
        <f ca="1">IFERROR(__xludf.DUMMYFUNCTION("""COMPUTED_VALUE"""),"P1062")</f>
        <v>P1062</v>
      </c>
      <c r="BC1053" t="str">
        <f ca="1">IFERROR(__xludf.DUMMYFUNCTION("""COMPUTED_VALUE"""),"#VALUE!")</f>
        <v>#VALUE!</v>
      </c>
      <c r="BE1053" t="str">
        <f ca="1">IFERROR(__xludf.DUMMYFUNCTION("""COMPUTED_VALUE"""),"#VALUE!")</f>
        <v>#VALUE!</v>
      </c>
      <c r="BG1053" t="str">
        <f ca="1">IFERROR(__xludf.DUMMYFUNCTION("""COMPUTED_VALUE"""),"#VALUE!")</f>
        <v>#VALUE!</v>
      </c>
      <c r="BI1053" t="str">
        <f ca="1">IFERROR(__xludf.DUMMYFUNCTION("""COMPUTED_VALUE"""),"#VALUE!")</f>
        <v>#VALUE!</v>
      </c>
      <c r="BK1053" t="str">
        <f ca="1">IFERROR(__xludf.DUMMYFUNCTION("""COMPUTED_VALUE"""),"#VALUE!")</f>
        <v>#VALUE!</v>
      </c>
      <c r="BM1053" t="str">
        <f ca="1">IFERROR(__xludf.DUMMYFUNCTION("""COMPUTED_VALUE"""),"#VALUE!")</f>
        <v>#VALUE!</v>
      </c>
      <c r="CS1053" t="str">
        <f ca="1">IFERROR(__xludf.DUMMYFUNCTION("""COMPUTED_VALUE"""),"#VALUE!")</f>
        <v>#VALUE!</v>
      </c>
      <c r="CU1053" t="str">
        <f ca="1">IFERROR(__xludf.DUMMYFUNCTION("""COMPUTED_VALUE"""),"#VALUE!")</f>
        <v>#VALUE!</v>
      </c>
      <c r="CW1053" t="str">
        <f ca="1">IFERROR(__xludf.DUMMYFUNCTION("""COMPUTED_VALUE"""),"#VALUE!")</f>
        <v>#VALUE!</v>
      </c>
      <c r="CY1053" t="str">
        <f ca="1">IFERROR(__xludf.DUMMYFUNCTION("""COMPUTED_VALUE"""),"#VALUE!")</f>
        <v>#VALUE!</v>
      </c>
      <c r="DC1053" t="str">
        <f ca="1">IFERROR(__xludf.DUMMYFUNCTION("""COMPUTED_VALUE"""),"#VALUE!")</f>
        <v>#VALUE!</v>
      </c>
      <c r="DE1053" t="str">
        <f ca="1">IFERROR(__xludf.DUMMYFUNCTION("""COMPUTED_VALUE"""),"#VALUE!")</f>
        <v>#VALUE!</v>
      </c>
    </row>
    <row r="1054" spans="1:109" ht="13.2" x14ac:dyDescent="0.25">
      <c r="A1054" t="str">
        <f ca="1">IFERROR(__xludf.DUMMYFUNCTION("""COMPUTED_VALUE"""),"P1063")</f>
        <v>P1063</v>
      </c>
      <c r="BC1054" t="str">
        <f ca="1">IFERROR(__xludf.DUMMYFUNCTION("""COMPUTED_VALUE"""),"#VALUE!")</f>
        <v>#VALUE!</v>
      </c>
      <c r="BE1054" t="str">
        <f ca="1">IFERROR(__xludf.DUMMYFUNCTION("""COMPUTED_VALUE"""),"#VALUE!")</f>
        <v>#VALUE!</v>
      </c>
      <c r="BG1054" t="str">
        <f ca="1">IFERROR(__xludf.DUMMYFUNCTION("""COMPUTED_VALUE"""),"#VALUE!")</f>
        <v>#VALUE!</v>
      </c>
      <c r="BI1054" t="str">
        <f ca="1">IFERROR(__xludf.DUMMYFUNCTION("""COMPUTED_VALUE"""),"#VALUE!")</f>
        <v>#VALUE!</v>
      </c>
      <c r="BK1054" t="str">
        <f ca="1">IFERROR(__xludf.DUMMYFUNCTION("""COMPUTED_VALUE"""),"#VALUE!")</f>
        <v>#VALUE!</v>
      </c>
      <c r="BM1054" t="str">
        <f ca="1">IFERROR(__xludf.DUMMYFUNCTION("""COMPUTED_VALUE"""),"#VALUE!")</f>
        <v>#VALUE!</v>
      </c>
      <c r="CS1054" t="str">
        <f ca="1">IFERROR(__xludf.DUMMYFUNCTION("""COMPUTED_VALUE"""),"#VALUE!")</f>
        <v>#VALUE!</v>
      </c>
      <c r="CU1054" t="str">
        <f ca="1">IFERROR(__xludf.DUMMYFUNCTION("""COMPUTED_VALUE"""),"#VALUE!")</f>
        <v>#VALUE!</v>
      </c>
      <c r="CW1054" t="str">
        <f ca="1">IFERROR(__xludf.DUMMYFUNCTION("""COMPUTED_VALUE"""),"#VALUE!")</f>
        <v>#VALUE!</v>
      </c>
      <c r="CY1054" t="str">
        <f ca="1">IFERROR(__xludf.DUMMYFUNCTION("""COMPUTED_VALUE"""),"#VALUE!")</f>
        <v>#VALUE!</v>
      </c>
      <c r="DC1054" t="str">
        <f ca="1">IFERROR(__xludf.DUMMYFUNCTION("""COMPUTED_VALUE"""),"#VALUE!")</f>
        <v>#VALUE!</v>
      </c>
      <c r="DE1054" t="str">
        <f ca="1">IFERROR(__xludf.DUMMYFUNCTION("""COMPUTED_VALUE"""),"#VALUE!")</f>
        <v>#VALUE!</v>
      </c>
    </row>
    <row r="1055" spans="1:109" ht="13.2" x14ac:dyDescent="0.25">
      <c r="A1055" t="str">
        <f ca="1">IFERROR(__xludf.DUMMYFUNCTION("""COMPUTED_VALUE"""),"P1064")</f>
        <v>P1064</v>
      </c>
      <c r="BC1055" t="str">
        <f ca="1">IFERROR(__xludf.DUMMYFUNCTION("""COMPUTED_VALUE"""),"#VALUE!")</f>
        <v>#VALUE!</v>
      </c>
      <c r="BE1055" t="str">
        <f ca="1">IFERROR(__xludf.DUMMYFUNCTION("""COMPUTED_VALUE"""),"#VALUE!")</f>
        <v>#VALUE!</v>
      </c>
      <c r="BG1055" t="str">
        <f ca="1">IFERROR(__xludf.DUMMYFUNCTION("""COMPUTED_VALUE"""),"#VALUE!")</f>
        <v>#VALUE!</v>
      </c>
      <c r="BI1055" t="str">
        <f ca="1">IFERROR(__xludf.DUMMYFUNCTION("""COMPUTED_VALUE"""),"#VALUE!")</f>
        <v>#VALUE!</v>
      </c>
      <c r="BK1055" t="str">
        <f ca="1">IFERROR(__xludf.DUMMYFUNCTION("""COMPUTED_VALUE"""),"#VALUE!")</f>
        <v>#VALUE!</v>
      </c>
      <c r="BM1055" t="str">
        <f ca="1">IFERROR(__xludf.DUMMYFUNCTION("""COMPUTED_VALUE"""),"#VALUE!")</f>
        <v>#VALUE!</v>
      </c>
      <c r="CS1055" t="str">
        <f ca="1">IFERROR(__xludf.DUMMYFUNCTION("""COMPUTED_VALUE"""),"#VALUE!")</f>
        <v>#VALUE!</v>
      </c>
      <c r="CU1055" t="str">
        <f ca="1">IFERROR(__xludf.DUMMYFUNCTION("""COMPUTED_VALUE"""),"#VALUE!")</f>
        <v>#VALUE!</v>
      </c>
      <c r="CW1055" t="str">
        <f ca="1">IFERROR(__xludf.DUMMYFUNCTION("""COMPUTED_VALUE"""),"#VALUE!")</f>
        <v>#VALUE!</v>
      </c>
      <c r="CY1055" t="str">
        <f ca="1">IFERROR(__xludf.DUMMYFUNCTION("""COMPUTED_VALUE"""),"#VALUE!")</f>
        <v>#VALUE!</v>
      </c>
      <c r="DC1055" t="str">
        <f ca="1">IFERROR(__xludf.DUMMYFUNCTION("""COMPUTED_VALUE"""),"#VALUE!")</f>
        <v>#VALUE!</v>
      </c>
      <c r="DE1055" t="str">
        <f ca="1">IFERROR(__xludf.DUMMYFUNCTION("""COMPUTED_VALUE"""),"#VALUE!")</f>
        <v>#VALUE!</v>
      </c>
    </row>
    <row r="1056" spans="1:109" ht="13.2" x14ac:dyDescent="0.25">
      <c r="A1056" t="str">
        <f ca="1">IFERROR(__xludf.DUMMYFUNCTION("""COMPUTED_VALUE"""),"P1065")</f>
        <v>P1065</v>
      </c>
      <c r="BC1056" t="str">
        <f ca="1">IFERROR(__xludf.DUMMYFUNCTION("""COMPUTED_VALUE"""),"#VALUE!")</f>
        <v>#VALUE!</v>
      </c>
      <c r="BE1056" t="str">
        <f ca="1">IFERROR(__xludf.DUMMYFUNCTION("""COMPUTED_VALUE"""),"#VALUE!")</f>
        <v>#VALUE!</v>
      </c>
      <c r="BG1056" t="str">
        <f ca="1">IFERROR(__xludf.DUMMYFUNCTION("""COMPUTED_VALUE"""),"#VALUE!")</f>
        <v>#VALUE!</v>
      </c>
      <c r="BI1056" t="str">
        <f ca="1">IFERROR(__xludf.DUMMYFUNCTION("""COMPUTED_VALUE"""),"#VALUE!")</f>
        <v>#VALUE!</v>
      </c>
      <c r="BK1056" t="str">
        <f ca="1">IFERROR(__xludf.DUMMYFUNCTION("""COMPUTED_VALUE"""),"#VALUE!")</f>
        <v>#VALUE!</v>
      </c>
      <c r="BM1056" t="str">
        <f ca="1">IFERROR(__xludf.DUMMYFUNCTION("""COMPUTED_VALUE"""),"#VALUE!")</f>
        <v>#VALUE!</v>
      </c>
      <c r="CS1056" t="str">
        <f ca="1">IFERROR(__xludf.DUMMYFUNCTION("""COMPUTED_VALUE"""),"#VALUE!")</f>
        <v>#VALUE!</v>
      </c>
      <c r="CU1056" t="str">
        <f ca="1">IFERROR(__xludf.DUMMYFUNCTION("""COMPUTED_VALUE"""),"#VALUE!")</f>
        <v>#VALUE!</v>
      </c>
      <c r="CW1056" t="str">
        <f ca="1">IFERROR(__xludf.DUMMYFUNCTION("""COMPUTED_VALUE"""),"#VALUE!")</f>
        <v>#VALUE!</v>
      </c>
      <c r="CY1056" t="str">
        <f ca="1">IFERROR(__xludf.DUMMYFUNCTION("""COMPUTED_VALUE"""),"#VALUE!")</f>
        <v>#VALUE!</v>
      </c>
      <c r="DC1056" t="str">
        <f ca="1">IFERROR(__xludf.DUMMYFUNCTION("""COMPUTED_VALUE"""),"#VALUE!")</f>
        <v>#VALUE!</v>
      </c>
      <c r="DE1056" t="str">
        <f ca="1">IFERROR(__xludf.DUMMYFUNCTION("""COMPUTED_VALUE"""),"#VALUE!")</f>
        <v>#VALUE!</v>
      </c>
    </row>
    <row r="1057" spans="1:109" ht="13.2" x14ac:dyDescent="0.25">
      <c r="A1057" t="str">
        <f ca="1">IFERROR(__xludf.DUMMYFUNCTION("""COMPUTED_VALUE"""),"P1066")</f>
        <v>P1066</v>
      </c>
      <c r="BC1057" t="str">
        <f ca="1">IFERROR(__xludf.DUMMYFUNCTION("""COMPUTED_VALUE"""),"#VALUE!")</f>
        <v>#VALUE!</v>
      </c>
      <c r="BE1057" t="str">
        <f ca="1">IFERROR(__xludf.DUMMYFUNCTION("""COMPUTED_VALUE"""),"#VALUE!")</f>
        <v>#VALUE!</v>
      </c>
      <c r="BG1057" t="str">
        <f ca="1">IFERROR(__xludf.DUMMYFUNCTION("""COMPUTED_VALUE"""),"#VALUE!")</f>
        <v>#VALUE!</v>
      </c>
      <c r="BI1057" t="str">
        <f ca="1">IFERROR(__xludf.DUMMYFUNCTION("""COMPUTED_VALUE"""),"#VALUE!")</f>
        <v>#VALUE!</v>
      </c>
      <c r="BK1057" t="str">
        <f ca="1">IFERROR(__xludf.DUMMYFUNCTION("""COMPUTED_VALUE"""),"#VALUE!")</f>
        <v>#VALUE!</v>
      </c>
      <c r="BM1057" t="str">
        <f ca="1">IFERROR(__xludf.DUMMYFUNCTION("""COMPUTED_VALUE"""),"#VALUE!")</f>
        <v>#VALUE!</v>
      </c>
      <c r="CS1057" t="str">
        <f ca="1">IFERROR(__xludf.DUMMYFUNCTION("""COMPUTED_VALUE"""),"#VALUE!")</f>
        <v>#VALUE!</v>
      </c>
      <c r="CU1057" t="str">
        <f ca="1">IFERROR(__xludf.DUMMYFUNCTION("""COMPUTED_VALUE"""),"#VALUE!")</f>
        <v>#VALUE!</v>
      </c>
      <c r="CW1057" t="str">
        <f ca="1">IFERROR(__xludf.DUMMYFUNCTION("""COMPUTED_VALUE"""),"#VALUE!")</f>
        <v>#VALUE!</v>
      </c>
      <c r="CY1057" t="str">
        <f ca="1">IFERROR(__xludf.DUMMYFUNCTION("""COMPUTED_VALUE"""),"#VALUE!")</f>
        <v>#VALUE!</v>
      </c>
      <c r="DC1057" t="str">
        <f ca="1">IFERROR(__xludf.DUMMYFUNCTION("""COMPUTED_VALUE"""),"#VALUE!")</f>
        <v>#VALUE!</v>
      </c>
      <c r="DE1057" t="str">
        <f ca="1">IFERROR(__xludf.DUMMYFUNCTION("""COMPUTED_VALUE"""),"#VALUE!")</f>
        <v>#VALUE!</v>
      </c>
    </row>
    <row r="1058" spans="1:109" ht="13.2" x14ac:dyDescent="0.25">
      <c r="A1058" t="str">
        <f ca="1">IFERROR(__xludf.DUMMYFUNCTION("""COMPUTED_VALUE"""),"P1067")</f>
        <v>P1067</v>
      </c>
      <c r="BC1058" t="str">
        <f ca="1">IFERROR(__xludf.DUMMYFUNCTION("""COMPUTED_VALUE"""),"#VALUE!")</f>
        <v>#VALUE!</v>
      </c>
      <c r="BE1058" t="str">
        <f ca="1">IFERROR(__xludf.DUMMYFUNCTION("""COMPUTED_VALUE"""),"#VALUE!")</f>
        <v>#VALUE!</v>
      </c>
      <c r="BG1058" t="str">
        <f ca="1">IFERROR(__xludf.DUMMYFUNCTION("""COMPUTED_VALUE"""),"#VALUE!")</f>
        <v>#VALUE!</v>
      </c>
      <c r="BI1058" t="str">
        <f ca="1">IFERROR(__xludf.DUMMYFUNCTION("""COMPUTED_VALUE"""),"#VALUE!")</f>
        <v>#VALUE!</v>
      </c>
      <c r="BK1058" t="str">
        <f ca="1">IFERROR(__xludf.DUMMYFUNCTION("""COMPUTED_VALUE"""),"#VALUE!")</f>
        <v>#VALUE!</v>
      </c>
      <c r="BM1058" t="str">
        <f ca="1">IFERROR(__xludf.DUMMYFUNCTION("""COMPUTED_VALUE"""),"#VALUE!")</f>
        <v>#VALUE!</v>
      </c>
      <c r="CS1058" t="str">
        <f ca="1">IFERROR(__xludf.DUMMYFUNCTION("""COMPUTED_VALUE"""),"#VALUE!")</f>
        <v>#VALUE!</v>
      </c>
      <c r="CU1058" t="str">
        <f ca="1">IFERROR(__xludf.DUMMYFUNCTION("""COMPUTED_VALUE"""),"#VALUE!")</f>
        <v>#VALUE!</v>
      </c>
      <c r="CW1058" t="str">
        <f ca="1">IFERROR(__xludf.DUMMYFUNCTION("""COMPUTED_VALUE"""),"#VALUE!")</f>
        <v>#VALUE!</v>
      </c>
      <c r="CY1058" t="str">
        <f ca="1">IFERROR(__xludf.DUMMYFUNCTION("""COMPUTED_VALUE"""),"#VALUE!")</f>
        <v>#VALUE!</v>
      </c>
      <c r="DC1058" t="str">
        <f ca="1">IFERROR(__xludf.DUMMYFUNCTION("""COMPUTED_VALUE"""),"#VALUE!")</f>
        <v>#VALUE!</v>
      </c>
      <c r="DE1058" t="str">
        <f ca="1">IFERROR(__xludf.DUMMYFUNCTION("""COMPUTED_VALUE"""),"#VALUE!")</f>
        <v>#VALUE!</v>
      </c>
    </row>
    <row r="1059" spans="1:109" ht="13.2" x14ac:dyDescent="0.25">
      <c r="A1059" t="str">
        <f ca="1">IFERROR(__xludf.DUMMYFUNCTION("""COMPUTED_VALUE"""),"P1068")</f>
        <v>P1068</v>
      </c>
      <c r="BC1059" t="str">
        <f ca="1">IFERROR(__xludf.DUMMYFUNCTION("""COMPUTED_VALUE"""),"#VALUE!")</f>
        <v>#VALUE!</v>
      </c>
      <c r="BE1059" t="str">
        <f ca="1">IFERROR(__xludf.DUMMYFUNCTION("""COMPUTED_VALUE"""),"#VALUE!")</f>
        <v>#VALUE!</v>
      </c>
      <c r="BG1059" t="str">
        <f ca="1">IFERROR(__xludf.DUMMYFUNCTION("""COMPUTED_VALUE"""),"#VALUE!")</f>
        <v>#VALUE!</v>
      </c>
      <c r="BI1059" t="str">
        <f ca="1">IFERROR(__xludf.DUMMYFUNCTION("""COMPUTED_VALUE"""),"#VALUE!")</f>
        <v>#VALUE!</v>
      </c>
      <c r="BK1059" t="str">
        <f ca="1">IFERROR(__xludf.DUMMYFUNCTION("""COMPUTED_VALUE"""),"#VALUE!")</f>
        <v>#VALUE!</v>
      </c>
      <c r="BM1059" t="str">
        <f ca="1">IFERROR(__xludf.DUMMYFUNCTION("""COMPUTED_VALUE"""),"#VALUE!")</f>
        <v>#VALUE!</v>
      </c>
      <c r="CS1059" t="str">
        <f ca="1">IFERROR(__xludf.DUMMYFUNCTION("""COMPUTED_VALUE"""),"#VALUE!")</f>
        <v>#VALUE!</v>
      </c>
      <c r="CU1059" t="str">
        <f ca="1">IFERROR(__xludf.DUMMYFUNCTION("""COMPUTED_VALUE"""),"#VALUE!")</f>
        <v>#VALUE!</v>
      </c>
      <c r="CW1059" t="str">
        <f ca="1">IFERROR(__xludf.DUMMYFUNCTION("""COMPUTED_VALUE"""),"#VALUE!")</f>
        <v>#VALUE!</v>
      </c>
      <c r="CY1059" t="str">
        <f ca="1">IFERROR(__xludf.DUMMYFUNCTION("""COMPUTED_VALUE"""),"#VALUE!")</f>
        <v>#VALUE!</v>
      </c>
      <c r="DC1059" t="str">
        <f ca="1">IFERROR(__xludf.DUMMYFUNCTION("""COMPUTED_VALUE"""),"#VALUE!")</f>
        <v>#VALUE!</v>
      </c>
      <c r="DE1059" t="str">
        <f ca="1">IFERROR(__xludf.DUMMYFUNCTION("""COMPUTED_VALUE"""),"#VALUE!")</f>
        <v>#VALUE!</v>
      </c>
    </row>
    <row r="1060" spans="1:109" ht="13.2" x14ac:dyDescent="0.25">
      <c r="A1060" t="str">
        <f ca="1">IFERROR(__xludf.DUMMYFUNCTION("""COMPUTED_VALUE"""),"P1069")</f>
        <v>P1069</v>
      </c>
      <c r="BC1060" t="str">
        <f ca="1">IFERROR(__xludf.DUMMYFUNCTION("""COMPUTED_VALUE"""),"#VALUE!")</f>
        <v>#VALUE!</v>
      </c>
      <c r="BE1060" t="str">
        <f ca="1">IFERROR(__xludf.DUMMYFUNCTION("""COMPUTED_VALUE"""),"#VALUE!")</f>
        <v>#VALUE!</v>
      </c>
      <c r="BG1060" t="str">
        <f ca="1">IFERROR(__xludf.DUMMYFUNCTION("""COMPUTED_VALUE"""),"#VALUE!")</f>
        <v>#VALUE!</v>
      </c>
      <c r="BI1060" t="str">
        <f ca="1">IFERROR(__xludf.DUMMYFUNCTION("""COMPUTED_VALUE"""),"#VALUE!")</f>
        <v>#VALUE!</v>
      </c>
      <c r="BK1060" t="str">
        <f ca="1">IFERROR(__xludf.DUMMYFUNCTION("""COMPUTED_VALUE"""),"#VALUE!")</f>
        <v>#VALUE!</v>
      </c>
      <c r="BM1060" t="str">
        <f ca="1">IFERROR(__xludf.DUMMYFUNCTION("""COMPUTED_VALUE"""),"#VALUE!")</f>
        <v>#VALUE!</v>
      </c>
      <c r="CS1060" t="str">
        <f ca="1">IFERROR(__xludf.DUMMYFUNCTION("""COMPUTED_VALUE"""),"#VALUE!")</f>
        <v>#VALUE!</v>
      </c>
      <c r="CU1060" t="str">
        <f ca="1">IFERROR(__xludf.DUMMYFUNCTION("""COMPUTED_VALUE"""),"#VALUE!")</f>
        <v>#VALUE!</v>
      </c>
      <c r="CW1060" t="str">
        <f ca="1">IFERROR(__xludf.DUMMYFUNCTION("""COMPUTED_VALUE"""),"#VALUE!")</f>
        <v>#VALUE!</v>
      </c>
      <c r="CY1060" t="str">
        <f ca="1">IFERROR(__xludf.DUMMYFUNCTION("""COMPUTED_VALUE"""),"#VALUE!")</f>
        <v>#VALUE!</v>
      </c>
      <c r="DC1060" t="str">
        <f ca="1">IFERROR(__xludf.DUMMYFUNCTION("""COMPUTED_VALUE"""),"#VALUE!")</f>
        <v>#VALUE!</v>
      </c>
      <c r="DE1060" t="str">
        <f ca="1">IFERROR(__xludf.DUMMYFUNCTION("""COMPUTED_VALUE"""),"#VALUE!")</f>
        <v>#VALUE!</v>
      </c>
    </row>
    <row r="1061" spans="1:109" ht="13.2" x14ac:dyDescent="0.25">
      <c r="A1061" t="str">
        <f ca="1">IFERROR(__xludf.DUMMYFUNCTION("""COMPUTED_VALUE"""),"P1070")</f>
        <v>P1070</v>
      </c>
      <c r="BC1061" t="str">
        <f ca="1">IFERROR(__xludf.DUMMYFUNCTION("""COMPUTED_VALUE"""),"#VALUE!")</f>
        <v>#VALUE!</v>
      </c>
      <c r="BE1061" t="str">
        <f ca="1">IFERROR(__xludf.DUMMYFUNCTION("""COMPUTED_VALUE"""),"#VALUE!")</f>
        <v>#VALUE!</v>
      </c>
      <c r="BG1061" t="str">
        <f ca="1">IFERROR(__xludf.DUMMYFUNCTION("""COMPUTED_VALUE"""),"#VALUE!")</f>
        <v>#VALUE!</v>
      </c>
      <c r="BI1061" t="str">
        <f ca="1">IFERROR(__xludf.DUMMYFUNCTION("""COMPUTED_VALUE"""),"#VALUE!")</f>
        <v>#VALUE!</v>
      </c>
      <c r="BK1061" t="str">
        <f ca="1">IFERROR(__xludf.DUMMYFUNCTION("""COMPUTED_VALUE"""),"#VALUE!")</f>
        <v>#VALUE!</v>
      </c>
      <c r="BM1061" t="str">
        <f ca="1">IFERROR(__xludf.DUMMYFUNCTION("""COMPUTED_VALUE"""),"#VALUE!")</f>
        <v>#VALUE!</v>
      </c>
      <c r="CS1061" t="str">
        <f ca="1">IFERROR(__xludf.DUMMYFUNCTION("""COMPUTED_VALUE"""),"#VALUE!")</f>
        <v>#VALUE!</v>
      </c>
      <c r="CU1061" t="str">
        <f ca="1">IFERROR(__xludf.DUMMYFUNCTION("""COMPUTED_VALUE"""),"#VALUE!")</f>
        <v>#VALUE!</v>
      </c>
      <c r="CW1061" t="str">
        <f ca="1">IFERROR(__xludf.DUMMYFUNCTION("""COMPUTED_VALUE"""),"#VALUE!")</f>
        <v>#VALUE!</v>
      </c>
      <c r="CY1061" t="str">
        <f ca="1">IFERROR(__xludf.DUMMYFUNCTION("""COMPUTED_VALUE"""),"#VALUE!")</f>
        <v>#VALUE!</v>
      </c>
      <c r="DC1061" t="str">
        <f ca="1">IFERROR(__xludf.DUMMYFUNCTION("""COMPUTED_VALUE"""),"#VALUE!")</f>
        <v>#VALUE!</v>
      </c>
      <c r="DE1061" t="str">
        <f ca="1">IFERROR(__xludf.DUMMYFUNCTION("""COMPUTED_VALUE"""),"#VALUE!")</f>
        <v>#VALUE!</v>
      </c>
    </row>
    <row r="1062" spans="1:109" ht="13.2" x14ac:dyDescent="0.25">
      <c r="A1062" t="str">
        <f ca="1">IFERROR(__xludf.DUMMYFUNCTION("""COMPUTED_VALUE"""),"P1071")</f>
        <v>P1071</v>
      </c>
      <c r="BC1062" t="str">
        <f ca="1">IFERROR(__xludf.DUMMYFUNCTION("""COMPUTED_VALUE"""),"#VALUE!")</f>
        <v>#VALUE!</v>
      </c>
      <c r="BE1062" t="str">
        <f ca="1">IFERROR(__xludf.DUMMYFUNCTION("""COMPUTED_VALUE"""),"#VALUE!")</f>
        <v>#VALUE!</v>
      </c>
      <c r="BG1062" t="str">
        <f ca="1">IFERROR(__xludf.DUMMYFUNCTION("""COMPUTED_VALUE"""),"#VALUE!")</f>
        <v>#VALUE!</v>
      </c>
      <c r="BI1062" t="str">
        <f ca="1">IFERROR(__xludf.DUMMYFUNCTION("""COMPUTED_VALUE"""),"#VALUE!")</f>
        <v>#VALUE!</v>
      </c>
      <c r="BK1062" t="str">
        <f ca="1">IFERROR(__xludf.DUMMYFUNCTION("""COMPUTED_VALUE"""),"#VALUE!")</f>
        <v>#VALUE!</v>
      </c>
      <c r="BM1062" t="str">
        <f ca="1">IFERROR(__xludf.DUMMYFUNCTION("""COMPUTED_VALUE"""),"#VALUE!")</f>
        <v>#VALUE!</v>
      </c>
      <c r="CS1062" t="str">
        <f ca="1">IFERROR(__xludf.DUMMYFUNCTION("""COMPUTED_VALUE"""),"#VALUE!")</f>
        <v>#VALUE!</v>
      </c>
      <c r="CU1062" t="str">
        <f ca="1">IFERROR(__xludf.DUMMYFUNCTION("""COMPUTED_VALUE"""),"#VALUE!")</f>
        <v>#VALUE!</v>
      </c>
      <c r="CW1062" t="str">
        <f ca="1">IFERROR(__xludf.DUMMYFUNCTION("""COMPUTED_VALUE"""),"#VALUE!")</f>
        <v>#VALUE!</v>
      </c>
      <c r="CY1062" t="str">
        <f ca="1">IFERROR(__xludf.DUMMYFUNCTION("""COMPUTED_VALUE"""),"#VALUE!")</f>
        <v>#VALUE!</v>
      </c>
      <c r="DC1062" t="str">
        <f ca="1">IFERROR(__xludf.DUMMYFUNCTION("""COMPUTED_VALUE"""),"#VALUE!")</f>
        <v>#VALUE!</v>
      </c>
      <c r="DE1062" t="str">
        <f ca="1">IFERROR(__xludf.DUMMYFUNCTION("""COMPUTED_VALUE"""),"#VALUE!")</f>
        <v>#VALUE!</v>
      </c>
    </row>
    <row r="1063" spans="1:109" ht="13.2" x14ac:dyDescent="0.25">
      <c r="A1063" t="str">
        <f ca="1">IFERROR(__xludf.DUMMYFUNCTION("""COMPUTED_VALUE"""),"P1072")</f>
        <v>P1072</v>
      </c>
      <c r="BC1063" t="str">
        <f ca="1">IFERROR(__xludf.DUMMYFUNCTION("""COMPUTED_VALUE"""),"#VALUE!")</f>
        <v>#VALUE!</v>
      </c>
      <c r="BE1063" t="str">
        <f ca="1">IFERROR(__xludf.DUMMYFUNCTION("""COMPUTED_VALUE"""),"#VALUE!")</f>
        <v>#VALUE!</v>
      </c>
      <c r="BG1063" t="str">
        <f ca="1">IFERROR(__xludf.DUMMYFUNCTION("""COMPUTED_VALUE"""),"#VALUE!")</f>
        <v>#VALUE!</v>
      </c>
      <c r="BI1063" t="str">
        <f ca="1">IFERROR(__xludf.DUMMYFUNCTION("""COMPUTED_VALUE"""),"#VALUE!")</f>
        <v>#VALUE!</v>
      </c>
      <c r="BK1063" t="str">
        <f ca="1">IFERROR(__xludf.DUMMYFUNCTION("""COMPUTED_VALUE"""),"#VALUE!")</f>
        <v>#VALUE!</v>
      </c>
      <c r="BM1063" t="str">
        <f ca="1">IFERROR(__xludf.DUMMYFUNCTION("""COMPUTED_VALUE"""),"#VALUE!")</f>
        <v>#VALUE!</v>
      </c>
      <c r="CS1063" t="str">
        <f ca="1">IFERROR(__xludf.DUMMYFUNCTION("""COMPUTED_VALUE"""),"#VALUE!")</f>
        <v>#VALUE!</v>
      </c>
      <c r="CU1063" t="str">
        <f ca="1">IFERROR(__xludf.DUMMYFUNCTION("""COMPUTED_VALUE"""),"#VALUE!")</f>
        <v>#VALUE!</v>
      </c>
      <c r="CW1063" t="str">
        <f ca="1">IFERROR(__xludf.DUMMYFUNCTION("""COMPUTED_VALUE"""),"#VALUE!")</f>
        <v>#VALUE!</v>
      </c>
      <c r="CY1063" t="str">
        <f ca="1">IFERROR(__xludf.DUMMYFUNCTION("""COMPUTED_VALUE"""),"#VALUE!")</f>
        <v>#VALUE!</v>
      </c>
      <c r="DC1063" t="str">
        <f ca="1">IFERROR(__xludf.DUMMYFUNCTION("""COMPUTED_VALUE"""),"#VALUE!")</f>
        <v>#VALUE!</v>
      </c>
      <c r="DE1063" t="str">
        <f ca="1">IFERROR(__xludf.DUMMYFUNCTION("""COMPUTED_VALUE"""),"#VALUE!")</f>
        <v>#VALUE!</v>
      </c>
    </row>
    <row r="1064" spans="1:109" ht="13.2" x14ac:dyDescent="0.25">
      <c r="A1064" t="str">
        <f ca="1">IFERROR(__xludf.DUMMYFUNCTION("""COMPUTED_VALUE"""),"P1073")</f>
        <v>P1073</v>
      </c>
      <c r="BC1064" t="str">
        <f ca="1">IFERROR(__xludf.DUMMYFUNCTION("""COMPUTED_VALUE"""),"#VALUE!")</f>
        <v>#VALUE!</v>
      </c>
      <c r="BE1064" t="str">
        <f ca="1">IFERROR(__xludf.DUMMYFUNCTION("""COMPUTED_VALUE"""),"#VALUE!")</f>
        <v>#VALUE!</v>
      </c>
      <c r="BG1064" t="str">
        <f ca="1">IFERROR(__xludf.DUMMYFUNCTION("""COMPUTED_VALUE"""),"#VALUE!")</f>
        <v>#VALUE!</v>
      </c>
      <c r="BI1064" t="str">
        <f ca="1">IFERROR(__xludf.DUMMYFUNCTION("""COMPUTED_VALUE"""),"#VALUE!")</f>
        <v>#VALUE!</v>
      </c>
      <c r="BK1064" t="str">
        <f ca="1">IFERROR(__xludf.DUMMYFUNCTION("""COMPUTED_VALUE"""),"#VALUE!")</f>
        <v>#VALUE!</v>
      </c>
      <c r="BM1064" t="str">
        <f ca="1">IFERROR(__xludf.DUMMYFUNCTION("""COMPUTED_VALUE"""),"#VALUE!")</f>
        <v>#VALUE!</v>
      </c>
      <c r="CS1064" t="str">
        <f ca="1">IFERROR(__xludf.DUMMYFUNCTION("""COMPUTED_VALUE"""),"#VALUE!")</f>
        <v>#VALUE!</v>
      </c>
      <c r="CU1064" t="str">
        <f ca="1">IFERROR(__xludf.DUMMYFUNCTION("""COMPUTED_VALUE"""),"#VALUE!")</f>
        <v>#VALUE!</v>
      </c>
      <c r="CW1064" t="str">
        <f ca="1">IFERROR(__xludf.DUMMYFUNCTION("""COMPUTED_VALUE"""),"#VALUE!")</f>
        <v>#VALUE!</v>
      </c>
      <c r="CY1064" t="str">
        <f ca="1">IFERROR(__xludf.DUMMYFUNCTION("""COMPUTED_VALUE"""),"#VALUE!")</f>
        <v>#VALUE!</v>
      </c>
      <c r="DC1064" t="str">
        <f ca="1">IFERROR(__xludf.DUMMYFUNCTION("""COMPUTED_VALUE"""),"#VALUE!")</f>
        <v>#VALUE!</v>
      </c>
      <c r="DE1064" t="str">
        <f ca="1">IFERROR(__xludf.DUMMYFUNCTION("""COMPUTED_VALUE"""),"#VALUE!")</f>
        <v>#VALUE!</v>
      </c>
    </row>
    <row r="1065" spans="1:109" ht="13.2" x14ac:dyDescent="0.25">
      <c r="A1065" t="str">
        <f ca="1">IFERROR(__xludf.DUMMYFUNCTION("""COMPUTED_VALUE"""),"P1074")</f>
        <v>P1074</v>
      </c>
      <c r="BC1065" t="str">
        <f ca="1">IFERROR(__xludf.DUMMYFUNCTION("""COMPUTED_VALUE"""),"#VALUE!")</f>
        <v>#VALUE!</v>
      </c>
      <c r="BE1065" t="str">
        <f ca="1">IFERROR(__xludf.DUMMYFUNCTION("""COMPUTED_VALUE"""),"#VALUE!")</f>
        <v>#VALUE!</v>
      </c>
      <c r="BG1065" t="str">
        <f ca="1">IFERROR(__xludf.DUMMYFUNCTION("""COMPUTED_VALUE"""),"#VALUE!")</f>
        <v>#VALUE!</v>
      </c>
      <c r="BI1065" t="str">
        <f ca="1">IFERROR(__xludf.DUMMYFUNCTION("""COMPUTED_VALUE"""),"#VALUE!")</f>
        <v>#VALUE!</v>
      </c>
      <c r="BK1065" t="str">
        <f ca="1">IFERROR(__xludf.DUMMYFUNCTION("""COMPUTED_VALUE"""),"#VALUE!")</f>
        <v>#VALUE!</v>
      </c>
      <c r="BM1065" t="str">
        <f ca="1">IFERROR(__xludf.DUMMYFUNCTION("""COMPUTED_VALUE"""),"#VALUE!")</f>
        <v>#VALUE!</v>
      </c>
      <c r="CS1065" t="str">
        <f ca="1">IFERROR(__xludf.DUMMYFUNCTION("""COMPUTED_VALUE"""),"#VALUE!")</f>
        <v>#VALUE!</v>
      </c>
      <c r="CU1065" t="str">
        <f ca="1">IFERROR(__xludf.DUMMYFUNCTION("""COMPUTED_VALUE"""),"#VALUE!")</f>
        <v>#VALUE!</v>
      </c>
      <c r="CW1065" t="str">
        <f ca="1">IFERROR(__xludf.DUMMYFUNCTION("""COMPUTED_VALUE"""),"#VALUE!")</f>
        <v>#VALUE!</v>
      </c>
      <c r="CY1065" t="str">
        <f ca="1">IFERROR(__xludf.DUMMYFUNCTION("""COMPUTED_VALUE"""),"#VALUE!")</f>
        <v>#VALUE!</v>
      </c>
      <c r="DC1065" t="str">
        <f ca="1">IFERROR(__xludf.DUMMYFUNCTION("""COMPUTED_VALUE"""),"#VALUE!")</f>
        <v>#VALUE!</v>
      </c>
      <c r="DE1065" t="str">
        <f ca="1">IFERROR(__xludf.DUMMYFUNCTION("""COMPUTED_VALUE"""),"#VALUE!")</f>
        <v>#VALUE!</v>
      </c>
    </row>
    <row r="1066" spans="1:109" ht="13.2" x14ac:dyDescent="0.25">
      <c r="A1066" t="str">
        <f ca="1">IFERROR(__xludf.DUMMYFUNCTION("""COMPUTED_VALUE"""),"P1075")</f>
        <v>P1075</v>
      </c>
      <c r="BC1066" t="str">
        <f ca="1">IFERROR(__xludf.DUMMYFUNCTION("""COMPUTED_VALUE"""),"#VALUE!")</f>
        <v>#VALUE!</v>
      </c>
      <c r="BE1066" t="str">
        <f ca="1">IFERROR(__xludf.DUMMYFUNCTION("""COMPUTED_VALUE"""),"#VALUE!")</f>
        <v>#VALUE!</v>
      </c>
      <c r="BG1066" t="str">
        <f ca="1">IFERROR(__xludf.DUMMYFUNCTION("""COMPUTED_VALUE"""),"#VALUE!")</f>
        <v>#VALUE!</v>
      </c>
      <c r="BI1066" t="str">
        <f ca="1">IFERROR(__xludf.DUMMYFUNCTION("""COMPUTED_VALUE"""),"#VALUE!")</f>
        <v>#VALUE!</v>
      </c>
      <c r="BK1066" t="str">
        <f ca="1">IFERROR(__xludf.DUMMYFUNCTION("""COMPUTED_VALUE"""),"#VALUE!")</f>
        <v>#VALUE!</v>
      </c>
      <c r="BM1066" t="str">
        <f ca="1">IFERROR(__xludf.DUMMYFUNCTION("""COMPUTED_VALUE"""),"#VALUE!")</f>
        <v>#VALUE!</v>
      </c>
      <c r="CS1066" t="str">
        <f ca="1">IFERROR(__xludf.DUMMYFUNCTION("""COMPUTED_VALUE"""),"#VALUE!")</f>
        <v>#VALUE!</v>
      </c>
      <c r="CU1066" t="str">
        <f ca="1">IFERROR(__xludf.DUMMYFUNCTION("""COMPUTED_VALUE"""),"#VALUE!")</f>
        <v>#VALUE!</v>
      </c>
      <c r="CW1066" t="str">
        <f ca="1">IFERROR(__xludf.DUMMYFUNCTION("""COMPUTED_VALUE"""),"#VALUE!")</f>
        <v>#VALUE!</v>
      </c>
      <c r="CY1066" t="str">
        <f ca="1">IFERROR(__xludf.DUMMYFUNCTION("""COMPUTED_VALUE"""),"#VALUE!")</f>
        <v>#VALUE!</v>
      </c>
      <c r="DC1066" t="str">
        <f ca="1">IFERROR(__xludf.DUMMYFUNCTION("""COMPUTED_VALUE"""),"#VALUE!")</f>
        <v>#VALUE!</v>
      </c>
      <c r="DE1066" t="str">
        <f ca="1">IFERROR(__xludf.DUMMYFUNCTION("""COMPUTED_VALUE"""),"#VALUE!")</f>
        <v>#VALUE!</v>
      </c>
    </row>
    <row r="1067" spans="1:109" ht="13.2" x14ac:dyDescent="0.25">
      <c r="A1067" t="str">
        <f ca="1">IFERROR(__xludf.DUMMYFUNCTION("""COMPUTED_VALUE"""),"P1076")</f>
        <v>P1076</v>
      </c>
      <c r="BC1067" t="str">
        <f ca="1">IFERROR(__xludf.DUMMYFUNCTION("""COMPUTED_VALUE"""),"#VALUE!")</f>
        <v>#VALUE!</v>
      </c>
      <c r="BE1067" t="str">
        <f ca="1">IFERROR(__xludf.DUMMYFUNCTION("""COMPUTED_VALUE"""),"#VALUE!")</f>
        <v>#VALUE!</v>
      </c>
      <c r="BG1067" t="str">
        <f ca="1">IFERROR(__xludf.DUMMYFUNCTION("""COMPUTED_VALUE"""),"#VALUE!")</f>
        <v>#VALUE!</v>
      </c>
      <c r="BI1067" t="str">
        <f ca="1">IFERROR(__xludf.DUMMYFUNCTION("""COMPUTED_VALUE"""),"#VALUE!")</f>
        <v>#VALUE!</v>
      </c>
      <c r="BK1067" t="str">
        <f ca="1">IFERROR(__xludf.DUMMYFUNCTION("""COMPUTED_VALUE"""),"#VALUE!")</f>
        <v>#VALUE!</v>
      </c>
      <c r="BM1067" t="str">
        <f ca="1">IFERROR(__xludf.DUMMYFUNCTION("""COMPUTED_VALUE"""),"#VALUE!")</f>
        <v>#VALUE!</v>
      </c>
      <c r="CS1067" t="str">
        <f ca="1">IFERROR(__xludf.DUMMYFUNCTION("""COMPUTED_VALUE"""),"#VALUE!")</f>
        <v>#VALUE!</v>
      </c>
      <c r="CU1067" t="str">
        <f ca="1">IFERROR(__xludf.DUMMYFUNCTION("""COMPUTED_VALUE"""),"#VALUE!")</f>
        <v>#VALUE!</v>
      </c>
      <c r="CW1067" t="str">
        <f ca="1">IFERROR(__xludf.DUMMYFUNCTION("""COMPUTED_VALUE"""),"#VALUE!")</f>
        <v>#VALUE!</v>
      </c>
      <c r="CY1067" t="str">
        <f ca="1">IFERROR(__xludf.DUMMYFUNCTION("""COMPUTED_VALUE"""),"#VALUE!")</f>
        <v>#VALUE!</v>
      </c>
      <c r="DC1067" t="str">
        <f ca="1">IFERROR(__xludf.DUMMYFUNCTION("""COMPUTED_VALUE"""),"#VALUE!")</f>
        <v>#VALUE!</v>
      </c>
      <c r="DE1067" t="str">
        <f ca="1">IFERROR(__xludf.DUMMYFUNCTION("""COMPUTED_VALUE"""),"#VALUE!")</f>
        <v>#VALUE!</v>
      </c>
    </row>
    <row r="1068" spans="1:109" ht="13.2" x14ac:dyDescent="0.25">
      <c r="A1068" t="str">
        <f ca="1">IFERROR(__xludf.DUMMYFUNCTION("""COMPUTED_VALUE"""),"P1077")</f>
        <v>P1077</v>
      </c>
      <c r="BC1068" t="str">
        <f ca="1">IFERROR(__xludf.DUMMYFUNCTION("""COMPUTED_VALUE"""),"#VALUE!")</f>
        <v>#VALUE!</v>
      </c>
      <c r="BE1068" t="str">
        <f ca="1">IFERROR(__xludf.DUMMYFUNCTION("""COMPUTED_VALUE"""),"#VALUE!")</f>
        <v>#VALUE!</v>
      </c>
      <c r="BG1068" t="str">
        <f ca="1">IFERROR(__xludf.DUMMYFUNCTION("""COMPUTED_VALUE"""),"#VALUE!")</f>
        <v>#VALUE!</v>
      </c>
      <c r="BI1068" t="str">
        <f ca="1">IFERROR(__xludf.DUMMYFUNCTION("""COMPUTED_VALUE"""),"#VALUE!")</f>
        <v>#VALUE!</v>
      </c>
      <c r="BK1068" t="str">
        <f ca="1">IFERROR(__xludf.DUMMYFUNCTION("""COMPUTED_VALUE"""),"#VALUE!")</f>
        <v>#VALUE!</v>
      </c>
      <c r="BM1068" t="str">
        <f ca="1">IFERROR(__xludf.DUMMYFUNCTION("""COMPUTED_VALUE"""),"#VALUE!")</f>
        <v>#VALUE!</v>
      </c>
      <c r="CS1068" t="str">
        <f ca="1">IFERROR(__xludf.DUMMYFUNCTION("""COMPUTED_VALUE"""),"#VALUE!")</f>
        <v>#VALUE!</v>
      </c>
      <c r="CU1068" t="str">
        <f ca="1">IFERROR(__xludf.DUMMYFUNCTION("""COMPUTED_VALUE"""),"#VALUE!")</f>
        <v>#VALUE!</v>
      </c>
      <c r="CW1068" t="str">
        <f ca="1">IFERROR(__xludf.DUMMYFUNCTION("""COMPUTED_VALUE"""),"#VALUE!")</f>
        <v>#VALUE!</v>
      </c>
      <c r="CY1068" t="str">
        <f ca="1">IFERROR(__xludf.DUMMYFUNCTION("""COMPUTED_VALUE"""),"#VALUE!")</f>
        <v>#VALUE!</v>
      </c>
      <c r="DC1068" t="str">
        <f ca="1">IFERROR(__xludf.DUMMYFUNCTION("""COMPUTED_VALUE"""),"#VALUE!")</f>
        <v>#VALUE!</v>
      </c>
      <c r="DE1068" t="str">
        <f ca="1">IFERROR(__xludf.DUMMYFUNCTION("""COMPUTED_VALUE"""),"#VALUE!")</f>
        <v>#VALUE!</v>
      </c>
    </row>
    <row r="1069" spans="1:109" ht="13.2" x14ac:dyDescent="0.25">
      <c r="A1069" t="str">
        <f ca="1">IFERROR(__xludf.DUMMYFUNCTION("""COMPUTED_VALUE"""),"P1078")</f>
        <v>P1078</v>
      </c>
      <c r="BC1069" t="str">
        <f ca="1">IFERROR(__xludf.DUMMYFUNCTION("""COMPUTED_VALUE"""),"#VALUE!")</f>
        <v>#VALUE!</v>
      </c>
      <c r="BE1069" t="str">
        <f ca="1">IFERROR(__xludf.DUMMYFUNCTION("""COMPUTED_VALUE"""),"#VALUE!")</f>
        <v>#VALUE!</v>
      </c>
      <c r="BG1069" t="str">
        <f ca="1">IFERROR(__xludf.DUMMYFUNCTION("""COMPUTED_VALUE"""),"#VALUE!")</f>
        <v>#VALUE!</v>
      </c>
      <c r="BI1069" t="str">
        <f ca="1">IFERROR(__xludf.DUMMYFUNCTION("""COMPUTED_VALUE"""),"#VALUE!")</f>
        <v>#VALUE!</v>
      </c>
      <c r="BK1069" t="str">
        <f ca="1">IFERROR(__xludf.DUMMYFUNCTION("""COMPUTED_VALUE"""),"#VALUE!")</f>
        <v>#VALUE!</v>
      </c>
      <c r="BM1069" t="str">
        <f ca="1">IFERROR(__xludf.DUMMYFUNCTION("""COMPUTED_VALUE"""),"#VALUE!")</f>
        <v>#VALUE!</v>
      </c>
      <c r="CS1069" t="str">
        <f ca="1">IFERROR(__xludf.DUMMYFUNCTION("""COMPUTED_VALUE"""),"#VALUE!")</f>
        <v>#VALUE!</v>
      </c>
      <c r="CU1069" t="str">
        <f ca="1">IFERROR(__xludf.DUMMYFUNCTION("""COMPUTED_VALUE"""),"#VALUE!")</f>
        <v>#VALUE!</v>
      </c>
      <c r="CW1069" t="str">
        <f ca="1">IFERROR(__xludf.DUMMYFUNCTION("""COMPUTED_VALUE"""),"#VALUE!")</f>
        <v>#VALUE!</v>
      </c>
      <c r="CY1069" t="str">
        <f ca="1">IFERROR(__xludf.DUMMYFUNCTION("""COMPUTED_VALUE"""),"#VALUE!")</f>
        <v>#VALUE!</v>
      </c>
      <c r="DC1069" t="str">
        <f ca="1">IFERROR(__xludf.DUMMYFUNCTION("""COMPUTED_VALUE"""),"#VALUE!")</f>
        <v>#VALUE!</v>
      </c>
      <c r="DE1069" t="str">
        <f ca="1">IFERROR(__xludf.DUMMYFUNCTION("""COMPUTED_VALUE"""),"#VALUE!")</f>
        <v>#VALUE!</v>
      </c>
    </row>
    <row r="1070" spans="1:109" ht="13.2" x14ac:dyDescent="0.25">
      <c r="A1070" t="str">
        <f ca="1">IFERROR(__xludf.DUMMYFUNCTION("""COMPUTED_VALUE"""),"P1079")</f>
        <v>P1079</v>
      </c>
      <c r="BC1070" t="str">
        <f ca="1">IFERROR(__xludf.DUMMYFUNCTION("""COMPUTED_VALUE"""),"#VALUE!")</f>
        <v>#VALUE!</v>
      </c>
      <c r="BE1070" t="str">
        <f ca="1">IFERROR(__xludf.DUMMYFUNCTION("""COMPUTED_VALUE"""),"#VALUE!")</f>
        <v>#VALUE!</v>
      </c>
      <c r="BG1070" t="str">
        <f ca="1">IFERROR(__xludf.DUMMYFUNCTION("""COMPUTED_VALUE"""),"#VALUE!")</f>
        <v>#VALUE!</v>
      </c>
      <c r="BI1070" t="str">
        <f ca="1">IFERROR(__xludf.DUMMYFUNCTION("""COMPUTED_VALUE"""),"#VALUE!")</f>
        <v>#VALUE!</v>
      </c>
      <c r="BK1070" t="str">
        <f ca="1">IFERROR(__xludf.DUMMYFUNCTION("""COMPUTED_VALUE"""),"#VALUE!")</f>
        <v>#VALUE!</v>
      </c>
      <c r="BM1070" t="str">
        <f ca="1">IFERROR(__xludf.DUMMYFUNCTION("""COMPUTED_VALUE"""),"#VALUE!")</f>
        <v>#VALUE!</v>
      </c>
      <c r="CS1070" t="str">
        <f ca="1">IFERROR(__xludf.DUMMYFUNCTION("""COMPUTED_VALUE"""),"#VALUE!")</f>
        <v>#VALUE!</v>
      </c>
      <c r="CU1070" t="str">
        <f ca="1">IFERROR(__xludf.DUMMYFUNCTION("""COMPUTED_VALUE"""),"#VALUE!")</f>
        <v>#VALUE!</v>
      </c>
      <c r="CW1070" t="str">
        <f ca="1">IFERROR(__xludf.DUMMYFUNCTION("""COMPUTED_VALUE"""),"#VALUE!")</f>
        <v>#VALUE!</v>
      </c>
      <c r="CY1070" t="str">
        <f ca="1">IFERROR(__xludf.DUMMYFUNCTION("""COMPUTED_VALUE"""),"#VALUE!")</f>
        <v>#VALUE!</v>
      </c>
      <c r="DC1070" t="str">
        <f ca="1">IFERROR(__xludf.DUMMYFUNCTION("""COMPUTED_VALUE"""),"#VALUE!")</f>
        <v>#VALUE!</v>
      </c>
      <c r="DE1070" t="str">
        <f ca="1">IFERROR(__xludf.DUMMYFUNCTION("""COMPUTED_VALUE"""),"#VALUE!")</f>
        <v>#VALUE!</v>
      </c>
    </row>
    <row r="1071" spans="1:109" ht="13.2" x14ac:dyDescent="0.25">
      <c r="A1071" t="str">
        <f ca="1">IFERROR(__xludf.DUMMYFUNCTION("""COMPUTED_VALUE"""),"P1080")</f>
        <v>P1080</v>
      </c>
      <c r="BC1071" t="str">
        <f ca="1">IFERROR(__xludf.DUMMYFUNCTION("""COMPUTED_VALUE"""),"#VALUE!")</f>
        <v>#VALUE!</v>
      </c>
      <c r="BE1071" t="str">
        <f ca="1">IFERROR(__xludf.DUMMYFUNCTION("""COMPUTED_VALUE"""),"#VALUE!")</f>
        <v>#VALUE!</v>
      </c>
      <c r="BG1071" t="str">
        <f ca="1">IFERROR(__xludf.DUMMYFUNCTION("""COMPUTED_VALUE"""),"#VALUE!")</f>
        <v>#VALUE!</v>
      </c>
      <c r="BI1071" t="str">
        <f ca="1">IFERROR(__xludf.DUMMYFUNCTION("""COMPUTED_VALUE"""),"#VALUE!")</f>
        <v>#VALUE!</v>
      </c>
      <c r="BK1071" t="str">
        <f ca="1">IFERROR(__xludf.DUMMYFUNCTION("""COMPUTED_VALUE"""),"#VALUE!")</f>
        <v>#VALUE!</v>
      </c>
      <c r="BM1071" t="str">
        <f ca="1">IFERROR(__xludf.DUMMYFUNCTION("""COMPUTED_VALUE"""),"#VALUE!")</f>
        <v>#VALUE!</v>
      </c>
      <c r="CS1071" t="str">
        <f ca="1">IFERROR(__xludf.DUMMYFUNCTION("""COMPUTED_VALUE"""),"#VALUE!")</f>
        <v>#VALUE!</v>
      </c>
      <c r="CU1071" t="str">
        <f ca="1">IFERROR(__xludf.DUMMYFUNCTION("""COMPUTED_VALUE"""),"#VALUE!")</f>
        <v>#VALUE!</v>
      </c>
      <c r="CW1071" t="str">
        <f ca="1">IFERROR(__xludf.DUMMYFUNCTION("""COMPUTED_VALUE"""),"#VALUE!")</f>
        <v>#VALUE!</v>
      </c>
      <c r="CY1071" t="str">
        <f ca="1">IFERROR(__xludf.DUMMYFUNCTION("""COMPUTED_VALUE"""),"#VALUE!")</f>
        <v>#VALUE!</v>
      </c>
      <c r="DC1071" t="str">
        <f ca="1">IFERROR(__xludf.DUMMYFUNCTION("""COMPUTED_VALUE"""),"#VALUE!")</f>
        <v>#VALUE!</v>
      </c>
      <c r="DE1071" t="str">
        <f ca="1">IFERROR(__xludf.DUMMYFUNCTION("""COMPUTED_VALUE"""),"#VALUE!")</f>
        <v>#VALUE!</v>
      </c>
    </row>
    <row r="1072" spans="1:109" ht="13.2" x14ac:dyDescent="0.25">
      <c r="A1072" t="str">
        <f ca="1">IFERROR(__xludf.DUMMYFUNCTION("""COMPUTED_VALUE"""),"P1081")</f>
        <v>P1081</v>
      </c>
      <c r="BC1072" t="str">
        <f ca="1">IFERROR(__xludf.DUMMYFUNCTION("""COMPUTED_VALUE"""),"#VALUE!")</f>
        <v>#VALUE!</v>
      </c>
      <c r="BE1072" t="str">
        <f ca="1">IFERROR(__xludf.DUMMYFUNCTION("""COMPUTED_VALUE"""),"#VALUE!")</f>
        <v>#VALUE!</v>
      </c>
      <c r="BG1072" t="str">
        <f ca="1">IFERROR(__xludf.DUMMYFUNCTION("""COMPUTED_VALUE"""),"#VALUE!")</f>
        <v>#VALUE!</v>
      </c>
      <c r="BI1072" t="str">
        <f ca="1">IFERROR(__xludf.DUMMYFUNCTION("""COMPUTED_VALUE"""),"#VALUE!")</f>
        <v>#VALUE!</v>
      </c>
      <c r="BK1072" t="str">
        <f ca="1">IFERROR(__xludf.DUMMYFUNCTION("""COMPUTED_VALUE"""),"#VALUE!")</f>
        <v>#VALUE!</v>
      </c>
      <c r="BM1072" t="str">
        <f ca="1">IFERROR(__xludf.DUMMYFUNCTION("""COMPUTED_VALUE"""),"#VALUE!")</f>
        <v>#VALUE!</v>
      </c>
      <c r="CS1072" t="str">
        <f ca="1">IFERROR(__xludf.DUMMYFUNCTION("""COMPUTED_VALUE"""),"#VALUE!")</f>
        <v>#VALUE!</v>
      </c>
      <c r="CU1072" t="str">
        <f ca="1">IFERROR(__xludf.DUMMYFUNCTION("""COMPUTED_VALUE"""),"#VALUE!")</f>
        <v>#VALUE!</v>
      </c>
      <c r="CW1072" t="str">
        <f ca="1">IFERROR(__xludf.DUMMYFUNCTION("""COMPUTED_VALUE"""),"#VALUE!")</f>
        <v>#VALUE!</v>
      </c>
      <c r="CY1072" t="str">
        <f ca="1">IFERROR(__xludf.DUMMYFUNCTION("""COMPUTED_VALUE"""),"#VALUE!")</f>
        <v>#VALUE!</v>
      </c>
      <c r="DC1072" t="str">
        <f ca="1">IFERROR(__xludf.DUMMYFUNCTION("""COMPUTED_VALUE"""),"#VALUE!")</f>
        <v>#VALUE!</v>
      </c>
      <c r="DE1072" t="str">
        <f ca="1">IFERROR(__xludf.DUMMYFUNCTION("""COMPUTED_VALUE"""),"#VALUE!")</f>
        <v>#VALUE!</v>
      </c>
    </row>
    <row r="1073" spans="1:109" ht="13.2" x14ac:dyDescent="0.25">
      <c r="A1073" t="str">
        <f ca="1">IFERROR(__xludf.DUMMYFUNCTION("""COMPUTED_VALUE"""),"P1082")</f>
        <v>P1082</v>
      </c>
      <c r="BC1073" t="str">
        <f ca="1">IFERROR(__xludf.DUMMYFUNCTION("""COMPUTED_VALUE"""),"#VALUE!")</f>
        <v>#VALUE!</v>
      </c>
      <c r="BE1073" t="str">
        <f ca="1">IFERROR(__xludf.DUMMYFUNCTION("""COMPUTED_VALUE"""),"#VALUE!")</f>
        <v>#VALUE!</v>
      </c>
      <c r="BG1073" t="str">
        <f ca="1">IFERROR(__xludf.DUMMYFUNCTION("""COMPUTED_VALUE"""),"#VALUE!")</f>
        <v>#VALUE!</v>
      </c>
      <c r="BI1073" t="str">
        <f ca="1">IFERROR(__xludf.DUMMYFUNCTION("""COMPUTED_VALUE"""),"#VALUE!")</f>
        <v>#VALUE!</v>
      </c>
      <c r="BK1073" t="str">
        <f ca="1">IFERROR(__xludf.DUMMYFUNCTION("""COMPUTED_VALUE"""),"#VALUE!")</f>
        <v>#VALUE!</v>
      </c>
      <c r="BM1073" t="str">
        <f ca="1">IFERROR(__xludf.DUMMYFUNCTION("""COMPUTED_VALUE"""),"#VALUE!")</f>
        <v>#VALUE!</v>
      </c>
      <c r="CS1073" t="str">
        <f ca="1">IFERROR(__xludf.DUMMYFUNCTION("""COMPUTED_VALUE"""),"#VALUE!")</f>
        <v>#VALUE!</v>
      </c>
      <c r="CU1073" t="str">
        <f ca="1">IFERROR(__xludf.DUMMYFUNCTION("""COMPUTED_VALUE"""),"#VALUE!")</f>
        <v>#VALUE!</v>
      </c>
      <c r="CW1073" t="str">
        <f ca="1">IFERROR(__xludf.DUMMYFUNCTION("""COMPUTED_VALUE"""),"#VALUE!")</f>
        <v>#VALUE!</v>
      </c>
      <c r="CY1073" t="str">
        <f ca="1">IFERROR(__xludf.DUMMYFUNCTION("""COMPUTED_VALUE"""),"#VALUE!")</f>
        <v>#VALUE!</v>
      </c>
      <c r="DC1073" t="str">
        <f ca="1">IFERROR(__xludf.DUMMYFUNCTION("""COMPUTED_VALUE"""),"#VALUE!")</f>
        <v>#VALUE!</v>
      </c>
      <c r="DE1073" t="str">
        <f ca="1">IFERROR(__xludf.DUMMYFUNCTION("""COMPUTED_VALUE"""),"#VALUE!")</f>
        <v>#VALUE!</v>
      </c>
    </row>
    <row r="1074" spans="1:109" ht="13.2" x14ac:dyDescent="0.25">
      <c r="A1074" t="str">
        <f ca="1">IFERROR(__xludf.DUMMYFUNCTION("""COMPUTED_VALUE"""),"P1083")</f>
        <v>P1083</v>
      </c>
      <c r="BC1074" t="str">
        <f ca="1">IFERROR(__xludf.DUMMYFUNCTION("""COMPUTED_VALUE"""),"#VALUE!")</f>
        <v>#VALUE!</v>
      </c>
      <c r="BE1074" t="str">
        <f ca="1">IFERROR(__xludf.DUMMYFUNCTION("""COMPUTED_VALUE"""),"#VALUE!")</f>
        <v>#VALUE!</v>
      </c>
      <c r="BG1074" t="str">
        <f ca="1">IFERROR(__xludf.DUMMYFUNCTION("""COMPUTED_VALUE"""),"#VALUE!")</f>
        <v>#VALUE!</v>
      </c>
      <c r="BI1074" t="str">
        <f ca="1">IFERROR(__xludf.DUMMYFUNCTION("""COMPUTED_VALUE"""),"#VALUE!")</f>
        <v>#VALUE!</v>
      </c>
      <c r="BK1074" t="str">
        <f ca="1">IFERROR(__xludf.DUMMYFUNCTION("""COMPUTED_VALUE"""),"#VALUE!")</f>
        <v>#VALUE!</v>
      </c>
      <c r="BM1074" t="str">
        <f ca="1">IFERROR(__xludf.DUMMYFUNCTION("""COMPUTED_VALUE"""),"#VALUE!")</f>
        <v>#VALUE!</v>
      </c>
      <c r="CS1074" t="str">
        <f ca="1">IFERROR(__xludf.DUMMYFUNCTION("""COMPUTED_VALUE"""),"#VALUE!")</f>
        <v>#VALUE!</v>
      </c>
      <c r="CU1074" t="str">
        <f ca="1">IFERROR(__xludf.DUMMYFUNCTION("""COMPUTED_VALUE"""),"#VALUE!")</f>
        <v>#VALUE!</v>
      </c>
      <c r="CW1074" t="str">
        <f ca="1">IFERROR(__xludf.DUMMYFUNCTION("""COMPUTED_VALUE"""),"#VALUE!")</f>
        <v>#VALUE!</v>
      </c>
      <c r="CY1074" t="str">
        <f ca="1">IFERROR(__xludf.DUMMYFUNCTION("""COMPUTED_VALUE"""),"#VALUE!")</f>
        <v>#VALUE!</v>
      </c>
      <c r="DC1074" t="str">
        <f ca="1">IFERROR(__xludf.DUMMYFUNCTION("""COMPUTED_VALUE"""),"#VALUE!")</f>
        <v>#VALUE!</v>
      </c>
      <c r="DE1074" t="str">
        <f ca="1">IFERROR(__xludf.DUMMYFUNCTION("""COMPUTED_VALUE"""),"#VALUE!")</f>
        <v>#VALUE!</v>
      </c>
    </row>
    <row r="1075" spans="1:109" ht="13.2" x14ac:dyDescent="0.25">
      <c r="A1075" t="str">
        <f ca="1">IFERROR(__xludf.DUMMYFUNCTION("""COMPUTED_VALUE"""),"P1084")</f>
        <v>P1084</v>
      </c>
      <c r="BC1075" t="str">
        <f ca="1">IFERROR(__xludf.DUMMYFUNCTION("""COMPUTED_VALUE"""),"#VALUE!")</f>
        <v>#VALUE!</v>
      </c>
      <c r="BE1075" t="str">
        <f ca="1">IFERROR(__xludf.DUMMYFUNCTION("""COMPUTED_VALUE"""),"#VALUE!")</f>
        <v>#VALUE!</v>
      </c>
      <c r="BG1075" t="str">
        <f ca="1">IFERROR(__xludf.DUMMYFUNCTION("""COMPUTED_VALUE"""),"#VALUE!")</f>
        <v>#VALUE!</v>
      </c>
      <c r="BI1075" t="str">
        <f ca="1">IFERROR(__xludf.DUMMYFUNCTION("""COMPUTED_VALUE"""),"#VALUE!")</f>
        <v>#VALUE!</v>
      </c>
      <c r="BK1075" t="str">
        <f ca="1">IFERROR(__xludf.DUMMYFUNCTION("""COMPUTED_VALUE"""),"#VALUE!")</f>
        <v>#VALUE!</v>
      </c>
      <c r="BM1075" t="str">
        <f ca="1">IFERROR(__xludf.DUMMYFUNCTION("""COMPUTED_VALUE"""),"#VALUE!")</f>
        <v>#VALUE!</v>
      </c>
      <c r="CS1075" t="str">
        <f ca="1">IFERROR(__xludf.DUMMYFUNCTION("""COMPUTED_VALUE"""),"#VALUE!")</f>
        <v>#VALUE!</v>
      </c>
      <c r="CU1075" t="str">
        <f ca="1">IFERROR(__xludf.DUMMYFUNCTION("""COMPUTED_VALUE"""),"#VALUE!")</f>
        <v>#VALUE!</v>
      </c>
      <c r="CW1075" t="str">
        <f ca="1">IFERROR(__xludf.DUMMYFUNCTION("""COMPUTED_VALUE"""),"#VALUE!")</f>
        <v>#VALUE!</v>
      </c>
      <c r="CY1075" t="str">
        <f ca="1">IFERROR(__xludf.DUMMYFUNCTION("""COMPUTED_VALUE"""),"#VALUE!")</f>
        <v>#VALUE!</v>
      </c>
      <c r="DC1075" t="str">
        <f ca="1">IFERROR(__xludf.DUMMYFUNCTION("""COMPUTED_VALUE"""),"#VALUE!")</f>
        <v>#VALUE!</v>
      </c>
      <c r="DE1075" t="str">
        <f ca="1">IFERROR(__xludf.DUMMYFUNCTION("""COMPUTED_VALUE"""),"#VALUE!")</f>
        <v>#VALUE!</v>
      </c>
    </row>
    <row r="1076" spans="1:109" ht="13.2" x14ac:dyDescent="0.25">
      <c r="A1076" t="str">
        <f ca="1">IFERROR(__xludf.DUMMYFUNCTION("""COMPUTED_VALUE"""),"P1085")</f>
        <v>P1085</v>
      </c>
      <c r="BC1076" t="str">
        <f ca="1">IFERROR(__xludf.DUMMYFUNCTION("""COMPUTED_VALUE"""),"#VALUE!")</f>
        <v>#VALUE!</v>
      </c>
      <c r="BE1076" t="str">
        <f ca="1">IFERROR(__xludf.DUMMYFUNCTION("""COMPUTED_VALUE"""),"#VALUE!")</f>
        <v>#VALUE!</v>
      </c>
      <c r="BG1076" t="str">
        <f ca="1">IFERROR(__xludf.DUMMYFUNCTION("""COMPUTED_VALUE"""),"#VALUE!")</f>
        <v>#VALUE!</v>
      </c>
      <c r="BI1076" t="str">
        <f ca="1">IFERROR(__xludf.DUMMYFUNCTION("""COMPUTED_VALUE"""),"#VALUE!")</f>
        <v>#VALUE!</v>
      </c>
      <c r="BK1076" t="str">
        <f ca="1">IFERROR(__xludf.DUMMYFUNCTION("""COMPUTED_VALUE"""),"#VALUE!")</f>
        <v>#VALUE!</v>
      </c>
      <c r="BM1076" t="str">
        <f ca="1">IFERROR(__xludf.DUMMYFUNCTION("""COMPUTED_VALUE"""),"#VALUE!")</f>
        <v>#VALUE!</v>
      </c>
      <c r="CS1076" t="str">
        <f ca="1">IFERROR(__xludf.DUMMYFUNCTION("""COMPUTED_VALUE"""),"#VALUE!")</f>
        <v>#VALUE!</v>
      </c>
      <c r="CU1076" t="str">
        <f ca="1">IFERROR(__xludf.DUMMYFUNCTION("""COMPUTED_VALUE"""),"#VALUE!")</f>
        <v>#VALUE!</v>
      </c>
      <c r="CW1076" t="str">
        <f ca="1">IFERROR(__xludf.DUMMYFUNCTION("""COMPUTED_VALUE"""),"#VALUE!")</f>
        <v>#VALUE!</v>
      </c>
      <c r="CY1076" t="str">
        <f ca="1">IFERROR(__xludf.DUMMYFUNCTION("""COMPUTED_VALUE"""),"#VALUE!")</f>
        <v>#VALUE!</v>
      </c>
      <c r="DC1076" t="str">
        <f ca="1">IFERROR(__xludf.DUMMYFUNCTION("""COMPUTED_VALUE"""),"#VALUE!")</f>
        <v>#VALUE!</v>
      </c>
      <c r="DE1076" t="str">
        <f ca="1">IFERROR(__xludf.DUMMYFUNCTION("""COMPUTED_VALUE"""),"#VALUE!")</f>
        <v>#VALUE!</v>
      </c>
    </row>
    <row r="1077" spans="1:109" ht="13.2" x14ac:dyDescent="0.25">
      <c r="A1077" t="str">
        <f ca="1">IFERROR(__xludf.DUMMYFUNCTION("""COMPUTED_VALUE"""),"P1086")</f>
        <v>P1086</v>
      </c>
      <c r="BC1077" t="str">
        <f ca="1">IFERROR(__xludf.DUMMYFUNCTION("""COMPUTED_VALUE"""),"#VALUE!")</f>
        <v>#VALUE!</v>
      </c>
      <c r="BE1077" t="str">
        <f ca="1">IFERROR(__xludf.DUMMYFUNCTION("""COMPUTED_VALUE"""),"#VALUE!")</f>
        <v>#VALUE!</v>
      </c>
      <c r="BG1077" t="str">
        <f ca="1">IFERROR(__xludf.DUMMYFUNCTION("""COMPUTED_VALUE"""),"#VALUE!")</f>
        <v>#VALUE!</v>
      </c>
      <c r="BI1077" t="str">
        <f ca="1">IFERROR(__xludf.DUMMYFUNCTION("""COMPUTED_VALUE"""),"#VALUE!")</f>
        <v>#VALUE!</v>
      </c>
      <c r="BK1077" t="str">
        <f ca="1">IFERROR(__xludf.DUMMYFUNCTION("""COMPUTED_VALUE"""),"#VALUE!")</f>
        <v>#VALUE!</v>
      </c>
      <c r="BM1077" t="str">
        <f ca="1">IFERROR(__xludf.DUMMYFUNCTION("""COMPUTED_VALUE"""),"#VALUE!")</f>
        <v>#VALUE!</v>
      </c>
      <c r="CS1077" t="str">
        <f ca="1">IFERROR(__xludf.DUMMYFUNCTION("""COMPUTED_VALUE"""),"#VALUE!")</f>
        <v>#VALUE!</v>
      </c>
      <c r="CU1077" t="str">
        <f ca="1">IFERROR(__xludf.DUMMYFUNCTION("""COMPUTED_VALUE"""),"#VALUE!")</f>
        <v>#VALUE!</v>
      </c>
      <c r="CW1077" t="str">
        <f ca="1">IFERROR(__xludf.DUMMYFUNCTION("""COMPUTED_VALUE"""),"#VALUE!")</f>
        <v>#VALUE!</v>
      </c>
      <c r="CY1077" t="str">
        <f ca="1">IFERROR(__xludf.DUMMYFUNCTION("""COMPUTED_VALUE"""),"#VALUE!")</f>
        <v>#VALUE!</v>
      </c>
      <c r="DC1077" t="str">
        <f ca="1">IFERROR(__xludf.DUMMYFUNCTION("""COMPUTED_VALUE"""),"#VALUE!")</f>
        <v>#VALUE!</v>
      </c>
      <c r="DE1077" t="str">
        <f ca="1">IFERROR(__xludf.DUMMYFUNCTION("""COMPUTED_VALUE"""),"#VALUE!")</f>
        <v>#VALUE!</v>
      </c>
    </row>
    <row r="1078" spans="1:109" ht="13.2" x14ac:dyDescent="0.25">
      <c r="A1078" t="str">
        <f ca="1">IFERROR(__xludf.DUMMYFUNCTION("""COMPUTED_VALUE"""),"P1087")</f>
        <v>P1087</v>
      </c>
      <c r="BC1078" t="str">
        <f ca="1">IFERROR(__xludf.DUMMYFUNCTION("""COMPUTED_VALUE"""),"#VALUE!")</f>
        <v>#VALUE!</v>
      </c>
      <c r="BE1078" t="str">
        <f ca="1">IFERROR(__xludf.DUMMYFUNCTION("""COMPUTED_VALUE"""),"#VALUE!")</f>
        <v>#VALUE!</v>
      </c>
      <c r="BG1078" t="str">
        <f ca="1">IFERROR(__xludf.DUMMYFUNCTION("""COMPUTED_VALUE"""),"#VALUE!")</f>
        <v>#VALUE!</v>
      </c>
      <c r="BI1078" t="str">
        <f ca="1">IFERROR(__xludf.DUMMYFUNCTION("""COMPUTED_VALUE"""),"#VALUE!")</f>
        <v>#VALUE!</v>
      </c>
      <c r="BK1078" t="str">
        <f ca="1">IFERROR(__xludf.DUMMYFUNCTION("""COMPUTED_VALUE"""),"#VALUE!")</f>
        <v>#VALUE!</v>
      </c>
      <c r="BM1078" t="str">
        <f ca="1">IFERROR(__xludf.DUMMYFUNCTION("""COMPUTED_VALUE"""),"#VALUE!")</f>
        <v>#VALUE!</v>
      </c>
      <c r="CS1078" t="str">
        <f ca="1">IFERROR(__xludf.DUMMYFUNCTION("""COMPUTED_VALUE"""),"#VALUE!")</f>
        <v>#VALUE!</v>
      </c>
      <c r="CU1078" t="str">
        <f ca="1">IFERROR(__xludf.DUMMYFUNCTION("""COMPUTED_VALUE"""),"#VALUE!")</f>
        <v>#VALUE!</v>
      </c>
      <c r="CW1078" t="str">
        <f ca="1">IFERROR(__xludf.DUMMYFUNCTION("""COMPUTED_VALUE"""),"#VALUE!")</f>
        <v>#VALUE!</v>
      </c>
      <c r="CY1078" t="str">
        <f ca="1">IFERROR(__xludf.DUMMYFUNCTION("""COMPUTED_VALUE"""),"#VALUE!")</f>
        <v>#VALUE!</v>
      </c>
      <c r="DC1078" t="str">
        <f ca="1">IFERROR(__xludf.DUMMYFUNCTION("""COMPUTED_VALUE"""),"#VALUE!")</f>
        <v>#VALUE!</v>
      </c>
      <c r="DE1078" t="str">
        <f ca="1">IFERROR(__xludf.DUMMYFUNCTION("""COMPUTED_VALUE"""),"#VALUE!")</f>
        <v>#VALUE!</v>
      </c>
    </row>
    <row r="1079" spans="1:109" ht="13.2" x14ac:dyDescent="0.25">
      <c r="A1079" t="str">
        <f ca="1">IFERROR(__xludf.DUMMYFUNCTION("""COMPUTED_VALUE"""),"P1088")</f>
        <v>P1088</v>
      </c>
      <c r="BC1079" t="str">
        <f ca="1">IFERROR(__xludf.DUMMYFUNCTION("""COMPUTED_VALUE"""),"#VALUE!")</f>
        <v>#VALUE!</v>
      </c>
      <c r="BE1079" t="str">
        <f ca="1">IFERROR(__xludf.DUMMYFUNCTION("""COMPUTED_VALUE"""),"#VALUE!")</f>
        <v>#VALUE!</v>
      </c>
      <c r="BG1079" t="str">
        <f ca="1">IFERROR(__xludf.DUMMYFUNCTION("""COMPUTED_VALUE"""),"#VALUE!")</f>
        <v>#VALUE!</v>
      </c>
      <c r="BI1079" t="str">
        <f ca="1">IFERROR(__xludf.DUMMYFUNCTION("""COMPUTED_VALUE"""),"#VALUE!")</f>
        <v>#VALUE!</v>
      </c>
      <c r="BK1079" t="str">
        <f ca="1">IFERROR(__xludf.DUMMYFUNCTION("""COMPUTED_VALUE"""),"#VALUE!")</f>
        <v>#VALUE!</v>
      </c>
      <c r="BM1079" t="str">
        <f ca="1">IFERROR(__xludf.DUMMYFUNCTION("""COMPUTED_VALUE"""),"#VALUE!")</f>
        <v>#VALUE!</v>
      </c>
      <c r="CS1079" t="str">
        <f ca="1">IFERROR(__xludf.DUMMYFUNCTION("""COMPUTED_VALUE"""),"#VALUE!")</f>
        <v>#VALUE!</v>
      </c>
      <c r="CU1079" t="str">
        <f ca="1">IFERROR(__xludf.DUMMYFUNCTION("""COMPUTED_VALUE"""),"#VALUE!")</f>
        <v>#VALUE!</v>
      </c>
      <c r="CW1079" t="str">
        <f ca="1">IFERROR(__xludf.DUMMYFUNCTION("""COMPUTED_VALUE"""),"#VALUE!")</f>
        <v>#VALUE!</v>
      </c>
      <c r="CY1079" t="str">
        <f ca="1">IFERROR(__xludf.DUMMYFUNCTION("""COMPUTED_VALUE"""),"#VALUE!")</f>
        <v>#VALUE!</v>
      </c>
      <c r="DC1079" t="str">
        <f ca="1">IFERROR(__xludf.DUMMYFUNCTION("""COMPUTED_VALUE"""),"#VALUE!")</f>
        <v>#VALUE!</v>
      </c>
      <c r="DE1079" t="str">
        <f ca="1">IFERROR(__xludf.DUMMYFUNCTION("""COMPUTED_VALUE"""),"#VALUE!")</f>
        <v>#VALUE!</v>
      </c>
    </row>
    <row r="1080" spans="1:109" ht="13.2" x14ac:dyDescent="0.25">
      <c r="A1080" t="str">
        <f ca="1">IFERROR(__xludf.DUMMYFUNCTION("""COMPUTED_VALUE"""),"P1089")</f>
        <v>P1089</v>
      </c>
      <c r="BC1080" t="str">
        <f ca="1">IFERROR(__xludf.DUMMYFUNCTION("""COMPUTED_VALUE"""),"#VALUE!")</f>
        <v>#VALUE!</v>
      </c>
      <c r="BE1080" t="str">
        <f ca="1">IFERROR(__xludf.DUMMYFUNCTION("""COMPUTED_VALUE"""),"#VALUE!")</f>
        <v>#VALUE!</v>
      </c>
      <c r="BG1080" t="str">
        <f ca="1">IFERROR(__xludf.DUMMYFUNCTION("""COMPUTED_VALUE"""),"#VALUE!")</f>
        <v>#VALUE!</v>
      </c>
      <c r="BI1080" t="str">
        <f ca="1">IFERROR(__xludf.DUMMYFUNCTION("""COMPUTED_VALUE"""),"#VALUE!")</f>
        <v>#VALUE!</v>
      </c>
      <c r="BK1080" t="str">
        <f ca="1">IFERROR(__xludf.DUMMYFUNCTION("""COMPUTED_VALUE"""),"#VALUE!")</f>
        <v>#VALUE!</v>
      </c>
      <c r="BM1080" t="str">
        <f ca="1">IFERROR(__xludf.DUMMYFUNCTION("""COMPUTED_VALUE"""),"#VALUE!")</f>
        <v>#VALUE!</v>
      </c>
      <c r="CS1080" t="str">
        <f ca="1">IFERROR(__xludf.DUMMYFUNCTION("""COMPUTED_VALUE"""),"#VALUE!")</f>
        <v>#VALUE!</v>
      </c>
      <c r="CU1080" t="str">
        <f ca="1">IFERROR(__xludf.DUMMYFUNCTION("""COMPUTED_VALUE"""),"#VALUE!")</f>
        <v>#VALUE!</v>
      </c>
      <c r="CW1080" t="str">
        <f ca="1">IFERROR(__xludf.DUMMYFUNCTION("""COMPUTED_VALUE"""),"#VALUE!")</f>
        <v>#VALUE!</v>
      </c>
      <c r="CY1080" t="str">
        <f ca="1">IFERROR(__xludf.DUMMYFUNCTION("""COMPUTED_VALUE"""),"#VALUE!")</f>
        <v>#VALUE!</v>
      </c>
      <c r="DC1080" t="str">
        <f ca="1">IFERROR(__xludf.DUMMYFUNCTION("""COMPUTED_VALUE"""),"#VALUE!")</f>
        <v>#VALUE!</v>
      </c>
      <c r="DE1080" t="str">
        <f ca="1">IFERROR(__xludf.DUMMYFUNCTION("""COMPUTED_VALUE"""),"#VALUE!")</f>
        <v>#VALUE!</v>
      </c>
    </row>
    <row r="1081" spans="1:109" ht="13.2" x14ac:dyDescent="0.25">
      <c r="A1081" t="str">
        <f ca="1">IFERROR(__xludf.DUMMYFUNCTION("""COMPUTED_VALUE"""),"P1090")</f>
        <v>P1090</v>
      </c>
      <c r="BC1081" t="str">
        <f ca="1">IFERROR(__xludf.DUMMYFUNCTION("""COMPUTED_VALUE"""),"#VALUE!")</f>
        <v>#VALUE!</v>
      </c>
      <c r="BE1081" t="str">
        <f ca="1">IFERROR(__xludf.DUMMYFUNCTION("""COMPUTED_VALUE"""),"#VALUE!")</f>
        <v>#VALUE!</v>
      </c>
      <c r="BG1081" t="str">
        <f ca="1">IFERROR(__xludf.DUMMYFUNCTION("""COMPUTED_VALUE"""),"#VALUE!")</f>
        <v>#VALUE!</v>
      </c>
      <c r="BI1081" t="str">
        <f ca="1">IFERROR(__xludf.DUMMYFUNCTION("""COMPUTED_VALUE"""),"#VALUE!")</f>
        <v>#VALUE!</v>
      </c>
      <c r="BK1081" t="str">
        <f ca="1">IFERROR(__xludf.DUMMYFUNCTION("""COMPUTED_VALUE"""),"#VALUE!")</f>
        <v>#VALUE!</v>
      </c>
      <c r="BM1081" t="str">
        <f ca="1">IFERROR(__xludf.DUMMYFUNCTION("""COMPUTED_VALUE"""),"#VALUE!")</f>
        <v>#VALUE!</v>
      </c>
      <c r="CS1081" t="str">
        <f ca="1">IFERROR(__xludf.DUMMYFUNCTION("""COMPUTED_VALUE"""),"#VALUE!")</f>
        <v>#VALUE!</v>
      </c>
      <c r="CU1081" t="str">
        <f ca="1">IFERROR(__xludf.DUMMYFUNCTION("""COMPUTED_VALUE"""),"#VALUE!")</f>
        <v>#VALUE!</v>
      </c>
      <c r="CW1081" t="str">
        <f ca="1">IFERROR(__xludf.DUMMYFUNCTION("""COMPUTED_VALUE"""),"#VALUE!")</f>
        <v>#VALUE!</v>
      </c>
      <c r="CY1081" t="str">
        <f ca="1">IFERROR(__xludf.DUMMYFUNCTION("""COMPUTED_VALUE"""),"#VALUE!")</f>
        <v>#VALUE!</v>
      </c>
      <c r="DC1081" t="str">
        <f ca="1">IFERROR(__xludf.DUMMYFUNCTION("""COMPUTED_VALUE"""),"#VALUE!")</f>
        <v>#VALUE!</v>
      </c>
      <c r="DE1081" t="str">
        <f ca="1">IFERROR(__xludf.DUMMYFUNCTION("""COMPUTED_VALUE"""),"#VALUE!")</f>
        <v>#VALUE!</v>
      </c>
    </row>
    <row r="1082" spans="1:109" ht="13.2" x14ac:dyDescent="0.25">
      <c r="A1082" t="str">
        <f ca="1">IFERROR(__xludf.DUMMYFUNCTION("""COMPUTED_VALUE"""),"P1091")</f>
        <v>P1091</v>
      </c>
      <c r="BC1082" t="str">
        <f ca="1">IFERROR(__xludf.DUMMYFUNCTION("""COMPUTED_VALUE"""),"#VALUE!")</f>
        <v>#VALUE!</v>
      </c>
      <c r="BE1082" t="str">
        <f ca="1">IFERROR(__xludf.DUMMYFUNCTION("""COMPUTED_VALUE"""),"#VALUE!")</f>
        <v>#VALUE!</v>
      </c>
      <c r="BG1082" t="str">
        <f ca="1">IFERROR(__xludf.DUMMYFUNCTION("""COMPUTED_VALUE"""),"#VALUE!")</f>
        <v>#VALUE!</v>
      </c>
      <c r="BI1082" t="str">
        <f ca="1">IFERROR(__xludf.DUMMYFUNCTION("""COMPUTED_VALUE"""),"#VALUE!")</f>
        <v>#VALUE!</v>
      </c>
      <c r="BK1082" t="str">
        <f ca="1">IFERROR(__xludf.DUMMYFUNCTION("""COMPUTED_VALUE"""),"#VALUE!")</f>
        <v>#VALUE!</v>
      </c>
      <c r="BM1082" t="str">
        <f ca="1">IFERROR(__xludf.DUMMYFUNCTION("""COMPUTED_VALUE"""),"#VALUE!")</f>
        <v>#VALUE!</v>
      </c>
      <c r="CS1082" t="str">
        <f ca="1">IFERROR(__xludf.DUMMYFUNCTION("""COMPUTED_VALUE"""),"#VALUE!")</f>
        <v>#VALUE!</v>
      </c>
      <c r="CU1082" t="str">
        <f ca="1">IFERROR(__xludf.DUMMYFUNCTION("""COMPUTED_VALUE"""),"#VALUE!")</f>
        <v>#VALUE!</v>
      </c>
      <c r="CW1082" t="str">
        <f ca="1">IFERROR(__xludf.DUMMYFUNCTION("""COMPUTED_VALUE"""),"#VALUE!")</f>
        <v>#VALUE!</v>
      </c>
      <c r="CY1082" t="str">
        <f ca="1">IFERROR(__xludf.DUMMYFUNCTION("""COMPUTED_VALUE"""),"#VALUE!")</f>
        <v>#VALUE!</v>
      </c>
      <c r="DC1082" t="str">
        <f ca="1">IFERROR(__xludf.DUMMYFUNCTION("""COMPUTED_VALUE"""),"#VALUE!")</f>
        <v>#VALUE!</v>
      </c>
      <c r="DE1082" t="str">
        <f ca="1">IFERROR(__xludf.DUMMYFUNCTION("""COMPUTED_VALUE"""),"#VALUE!")</f>
        <v>#VALUE!</v>
      </c>
    </row>
    <row r="1083" spans="1:109" ht="13.2" x14ac:dyDescent="0.25">
      <c r="A1083" t="str">
        <f ca="1">IFERROR(__xludf.DUMMYFUNCTION("""COMPUTED_VALUE"""),"P1092")</f>
        <v>P1092</v>
      </c>
      <c r="BC1083" t="str">
        <f ca="1">IFERROR(__xludf.DUMMYFUNCTION("""COMPUTED_VALUE"""),"#VALUE!")</f>
        <v>#VALUE!</v>
      </c>
      <c r="BE1083" t="str">
        <f ca="1">IFERROR(__xludf.DUMMYFUNCTION("""COMPUTED_VALUE"""),"#VALUE!")</f>
        <v>#VALUE!</v>
      </c>
      <c r="BG1083" t="str">
        <f ca="1">IFERROR(__xludf.DUMMYFUNCTION("""COMPUTED_VALUE"""),"#VALUE!")</f>
        <v>#VALUE!</v>
      </c>
      <c r="BI1083" t="str">
        <f ca="1">IFERROR(__xludf.DUMMYFUNCTION("""COMPUTED_VALUE"""),"#VALUE!")</f>
        <v>#VALUE!</v>
      </c>
      <c r="BK1083" t="str">
        <f ca="1">IFERROR(__xludf.DUMMYFUNCTION("""COMPUTED_VALUE"""),"#VALUE!")</f>
        <v>#VALUE!</v>
      </c>
      <c r="BM1083" t="str">
        <f ca="1">IFERROR(__xludf.DUMMYFUNCTION("""COMPUTED_VALUE"""),"#VALUE!")</f>
        <v>#VALUE!</v>
      </c>
      <c r="CS1083" t="str">
        <f ca="1">IFERROR(__xludf.DUMMYFUNCTION("""COMPUTED_VALUE"""),"#VALUE!")</f>
        <v>#VALUE!</v>
      </c>
      <c r="CU1083" t="str">
        <f ca="1">IFERROR(__xludf.DUMMYFUNCTION("""COMPUTED_VALUE"""),"#VALUE!")</f>
        <v>#VALUE!</v>
      </c>
      <c r="CW1083" t="str">
        <f ca="1">IFERROR(__xludf.DUMMYFUNCTION("""COMPUTED_VALUE"""),"#VALUE!")</f>
        <v>#VALUE!</v>
      </c>
      <c r="CY1083" t="str">
        <f ca="1">IFERROR(__xludf.DUMMYFUNCTION("""COMPUTED_VALUE"""),"#VALUE!")</f>
        <v>#VALUE!</v>
      </c>
      <c r="DC1083" t="str">
        <f ca="1">IFERROR(__xludf.DUMMYFUNCTION("""COMPUTED_VALUE"""),"#VALUE!")</f>
        <v>#VALUE!</v>
      </c>
      <c r="DE1083" t="str">
        <f ca="1">IFERROR(__xludf.DUMMYFUNCTION("""COMPUTED_VALUE"""),"#VALUE!")</f>
        <v>#VALUE!</v>
      </c>
    </row>
    <row r="1084" spans="1:109" ht="13.2" x14ac:dyDescent="0.25">
      <c r="A1084" t="str">
        <f ca="1">IFERROR(__xludf.DUMMYFUNCTION("""COMPUTED_VALUE"""),"P1093")</f>
        <v>P1093</v>
      </c>
      <c r="BC1084" t="str">
        <f ca="1">IFERROR(__xludf.DUMMYFUNCTION("""COMPUTED_VALUE"""),"#VALUE!")</f>
        <v>#VALUE!</v>
      </c>
      <c r="BE1084" t="str">
        <f ca="1">IFERROR(__xludf.DUMMYFUNCTION("""COMPUTED_VALUE"""),"#VALUE!")</f>
        <v>#VALUE!</v>
      </c>
      <c r="BG1084" t="str">
        <f ca="1">IFERROR(__xludf.DUMMYFUNCTION("""COMPUTED_VALUE"""),"#VALUE!")</f>
        <v>#VALUE!</v>
      </c>
      <c r="BI1084" t="str">
        <f ca="1">IFERROR(__xludf.DUMMYFUNCTION("""COMPUTED_VALUE"""),"#VALUE!")</f>
        <v>#VALUE!</v>
      </c>
      <c r="BK1084" t="str">
        <f ca="1">IFERROR(__xludf.DUMMYFUNCTION("""COMPUTED_VALUE"""),"#VALUE!")</f>
        <v>#VALUE!</v>
      </c>
      <c r="BM1084" t="str">
        <f ca="1">IFERROR(__xludf.DUMMYFUNCTION("""COMPUTED_VALUE"""),"#VALUE!")</f>
        <v>#VALUE!</v>
      </c>
      <c r="CS1084" t="str">
        <f ca="1">IFERROR(__xludf.DUMMYFUNCTION("""COMPUTED_VALUE"""),"#VALUE!")</f>
        <v>#VALUE!</v>
      </c>
      <c r="CU1084" t="str">
        <f ca="1">IFERROR(__xludf.DUMMYFUNCTION("""COMPUTED_VALUE"""),"#VALUE!")</f>
        <v>#VALUE!</v>
      </c>
      <c r="CW1084" t="str">
        <f ca="1">IFERROR(__xludf.DUMMYFUNCTION("""COMPUTED_VALUE"""),"#VALUE!")</f>
        <v>#VALUE!</v>
      </c>
      <c r="CY1084" t="str">
        <f ca="1">IFERROR(__xludf.DUMMYFUNCTION("""COMPUTED_VALUE"""),"#VALUE!")</f>
        <v>#VALUE!</v>
      </c>
      <c r="DC1084" t="str">
        <f ca="1">IFERROR(__xludf.DUMMYFUNCTION("""COMPUTED_VALUE"""),"#VALUE!")</f>
        <v>#VALUE!</v>
      </c>
      <c r="DE1084" t="str">
        <f ca="1">IFERROR(__xludf.DUMMYFUNCTION("""COMPUTED_VALUE"""),"#VALUE!")</f>
        <v>#VALUE!</v>
      </c>
    </row>
    <row r="1085" spans="1:109" ht="13.2" x14ac:dyDescent="0.25">
      <c r="A1085" t="str">
        <f ca="1">IFERROR(__xludf.DUMMYFUNCTION("""COMPUTED_VALUE"""),"P1094")</f>
        <v>P1094</v>
      </c>
      <c r="BC1085" t="str">
        <f ca="1">IFERROR(__xludf.DUMMYFUNCTION("""COMPUTED_VALUE"""),"#VALUE!")</f>
        <v>#VALUE!</v>
      </c>
      <c r="BE1085" t="str">
        <f ca="1">IFERROR(__xludf.DUMMYFUNCTION("""COMPUTED_VALUE"""),"#VALUE!")</f>
        <v>#VALUE!</v>
      </c>
      <c r="BG1085" t="str">
        <f ca="1">IFERROR(__xludf.DUMMYFUNCTION("""COMPUTED_VALUE"""),"#VALUE!")</f>
        <v>#VALUE!</v>
      </c>
      <c r="BI1085" t="str">
        <f ca="1">IFERROR(__xludf.DUMMYFUNCTION("""COMPUTED_VALUE"""),"#VALUE!")</f>
        <v>#VALUE!</v>
      </c>
      <c r="BK1085" t="str">
        <f ca="1">IFERROR(__xludf.DUMMYFUNCTION("""COMPUTED_VALUE"""),"#VALUE!")</f>
        <v>#VALUE!</v>
      </c>
      <c r="BM1085" t="str">
        <f ca="1">IFERROR(__xludf.DUMMYFUNCTION("""COMPUTED_VALUE"""),"#VALUE!")</f>
        <v>#VALUE!</v>
      </c>
      <c r="CS1085" t="str">
        <f ca="1">IFERROR(__xludf.DUMMYFUNCTION("""COMPUTED_VALUE"""),"#VALUE!")</f>
        <v>#VALUE!</v>
      </c>
      <c r="CU1085" t="str">
        <f ca="1">IFERROR(__xludf.DUMMYFUNCTION("""COMPUTED_VALUE"""),"#VALUE!")</f>
        <v>#VALUE!</v>
      </c>
      <c r="CW1085" t="str">
        <f ca="1">IFERROR(__xludf.DUMMYFUNCTION("""COMPUTED_VALUE"""),"#VALUE!")</f>
        <v>#VALUE!</v>
      </c>
      <c r="CY1085" t="str">
        <f ca="1">IFERROR(__xludf.DUMMYFUNCTION("""COMPUTED_VALUE"""),"#VALUE!")</f>
        <v>#VALUE!</v>
      </c>
      <c r="DC1085" t="str">
        <f ca="1">IFERROR(__xludf.DUMMYFUNCTION("""COMPUTED_VALUE"""),"#VALUE!")</f>
        <v>#VALUE!</v>
      </c>
      <c r="DE1085" t="str">
        <f ca="1">IFERROR(__xludf.DUMMYFUNCTION("""COMPUTED_VALUE"""),"#VALUE!")</f>
        <v>#VALUE!</v>
      </c>
    </row>
    <row r="1086" spans="1:109" ht="13.2" x14ac:dyDescent="0.25">
      <c r="A1086" t="str">
        <f ca="1">IFERROR(__xludf.DUMMYFUNCTION("""COMPUTED_VALUE"""),"P1095")</f>
        <v>P1095</v>
      </c>
      <c r="BC1086" t="str">
        <f ca="1">IFERROR(__xludf.DUMMYFUNCTION("""COMPUTED_VALUE"""),"#VALUE!")</f>
        <v>#VALUE!</v>
      </c>
      <c r="BE1086" t="str">
        <f ca="1">IFERROR(__xludf.DUMMYFUNCTION("""COMPUTED_VALUE"""),"#VALUE!")</f>
        <v>#VALUE!</v>
      </c>
      <c r="BG1086" t="str">
        <f ca="1">IFERROR(__xludf.DUMMYFUNCTION("""COMPUTED_VALUE"""),"#VALUE!")</f>
        <v>#VALUE!</v>
      </c>
      <c r="BI1086" t="str">
        <f ca="1">IFERROR(__xludf.DUMMYFUNCTION("""COMPUTED_VALUE"""),"#VALUE!")</f>
        <v>#VALUE!</v>
      </c>
      <c r="BK1086" t="str">
        <f ca="1">IFERROR(__xludf.DUMMYFUNCTION("""COMPUTED_VALUE"""),"#VALUE!")</f>
        <v>#VALUE!</v>
      </c>
      <c r="BM1086" t="str">
        <f ca="1">IFERROR(__xludf.DUMMYFUNCTION("""COMPUTED_VALUE"""),"#VALUE!")</f>
        <v>#VALUE!</v>
      </c>
      <c r="CS1086" t="str">
        <f ca="1">IFERROR(__xludf.DUMMYFUNCTION("""COMPUTED_VALUE"""),"#VALUE!")</f>
        <v>#VALUE!</v>
      </c>
      <c r="CU1086" t="str">
        <f ca="1">IFERROR(__xludf.DUMMYFUNCTION("""COMPUTED_VALUE"""),"#VALUE!")</f>
        <v>#VALUE!</v>
      </c>
      <c r="CW1086" t="str">
        <f ca="1">IFERROR(__xludf.DUMMYFUNCTION("""COMPUTED_VALUE"""),"#VALUE!")</f>
        <v>#VALUE!</v>
      </c>
      <c r="CY1086" t="str">
        <f ca="1">IFERROR(__xludf.DUMMYFUNCTION("""COMPUTED_VALUE"""),"#VALUE!")</f>
        <v>#VALUE!</v>
      </c>
      <c r="DC1086" t="str">
        <f ca="1">IFERROR(__xludf.DUMMYFUNCTION("""COMPUTED_VALUE"""),"#VALUE!")</f>
        <v>#VALUE!</v>
      </c>
      <c r="DE1086" t="str">
        <f ca="1">IFERROR(__xludf.DUMMYFUNCTION("""COMPUTED_VALUE"""),"#VALUE!")</f>
        <v>#VALUE!</v>
      </c>
    </row>
    <row r="1087" spans="1:109" ht="13.2" x14ac:dyDescent="0.25">
      <c r="A1087" t="str">
        <f ca="1">IFERROR(__xludf.DUMMYFUNCTION("""COMPUTED_VALUE"""),"P1096")</f>
        <v>P1096</v>
      </c>
      <c r="BC1087" t="str">
        <f ca="1">IFERROR(__xludf.DUMMYFUNCTION("""COMPUTED_VALUE"""),"#VALUE!")</f>
        <v>#VALUE!</v>
      </c>
      <c r="BE1087" t="str">
        <f ca="1">IFERROR(__xludf.DUMMYFUNCTION("""COMPUTED_VALUE"""),"#VALUE!")</f>
        <v>#VALUE!</v>
      </c>
      <c r="BG1087" t="str">
        <f ca="1">IFERROR(__xludf.DUMMYFUNCTION("""COMPUTED_VALUE"""),"#VALUE!")</f>
        <v>#VALUE!</v>
      </c>
      <c r="BI1087" t="str">
        <f ca="1">IFERROR(__xludf.DUMMYFUNCTION("""COMPUTED_VALUE"""),"#VALUE!")</f>
        <v>#VALUE!</v>
      </c>
      <c r="BK1087" t="str">
        <f ca="1">IFERROR(__xludf.DUMMYFUNCTION("""COMPUTED_VALUE"""),"#VALUE!")</f>
        <v>#VALUE!</v>
      </c>
      <c r="BM1087" t="str">
        <f ca="1">IFERROR(__xludf.DUMMYFUNCTION("""COMPUTED_VALUE"""),"#VALUE!")</f>
        <v>#VALUE!</v>
      </c>
      <c r="CS1087" t="str">
        <f ca="1">IFERROR(__xludf.DUMMYFUNCTION("""COMPUTED_VALUE"""),"#VALUE!")</f>
        <v>#VALUE!</v>
      </c>
      <c r="CU1087" t="str">
        <f ca="1">IFERROR(__xludf.DUMMYFUNCTION("""COMPUTED_VALUE"""),"#VALUE!")</f>
        <v>#VALUE!</v>
      </c>
      <c r="CW1087" t="str">
        <f ca="1">IFERROR(__xludf.DUMMYFUNCTION("""COMPUTED_VALUE"""),"#VALUE!")</f>
        <v>#VALUE!</v>
      </c>
      <c r="CY1087" t="str">
        <f ca="1">IFERROR(__xludf.DUMMYFUNCTION("""COMPUTED_VALUE"""),"#VALUE!")</f>
        <v>#VALUE!</v>
      </c>
      <c r="DC1087" t="str">
        <f ca="1">IFERROR(__xludf.DUMMYFUNCTION("""COMPUTED_VALUE"""),"#VALUE!")</f>
        <v>#VALUE!</v>
      </c>
      <c r="DE1087" t="str">
        <f ca="1">IFERROR(__xludf.DUMMYFUNCTION("""COMPUTED_VALUE"""),"#VALUE!")</f>
        <v>#VALUE!</v>
      </c>
    </row>
    <row r="1088" spans="1:109" ht="13.2" x14ac:dyDescent="0.25">
      <c r="A1088" t="str">
        <f ca="1">IFERROR(__xludf.DUMMYFUNCTION("""COMPUTED_VALUE"""),"P1097")</f>
        <v>P1097</v>
      </c>
      <c r="BC1088" t="str">
        <f ca="1">IFERROR(__xludf.DUMMYFUNCTION("""COMPUTED_VALUE"""),"#VALUE!")</f>
        <v>#VALUE!</v>
      </c>
      <c r="BE1088" t="str">
        <f ca="1">IFERROR(__xludf.DUMMYFUNCTION("""COMPUTED_VALUE"""),"#VALUE!")</f>
        <v>#VALUE!</v>
      </c>
      <c r="BG1088" t="str">
        <f ca="1">IFERROR(__xludf.DUMMYFUNCTION("""COMPUTED_VALUE"""),"#VALUE!")</f>
        <v>#VALUE!</v>
      </c>
      <c r="BI1088" t="str">
        <f ca="1">IFERROR(__xludf.DUMMYFUNCTION("""COMPUTED_VALUE"""),"#VALUE!")</f>
        <v>#VALUE!</v>
      </c>
      <c r="BK1088" t="str">
        <f ca="1">IFERROR(__xludf.DUMMYFUNCTION("""COMPUTED_VALUE"""),"#VALUE!")</f>
        <v>#VALUE!</v>
      </c>
      <c r="BM1088" t="str">
        <f ca="1">IFERROR(__xludf.DUMMYFUNCTION("""COMPUTED_VALUE"""),"#VALUE!")</f>
        <v>#VALUE!</v>
      </c>
      <c r="CS1088" t="str">
        <f ca="1">IFERROR(__xludf.DUMMYFUNCTION("""COMPUTED_VALUE"""),"#VALUE!")</f>
        <v>#VALUE!</v>
      </c>
      <c r="CU1088" t="str">
        <f ca="1">IFERROR(__xludf.DUMMYFUNCTION("""COMPUTED_VALUE"""),"#VALUE!")</f>
        <v>#VALUE!</v>
      </c>
      <c r="CW1088" t="str">
        <f ca="1">IFERROR(__xludf.DUMMYFUNCTION("""COMPUTED_VALUE"""),"#VALUE!")</f>
        <v>#VALUE!</v>
      </c>
      <c r="CY1088" t="str">
        <f ca="1">IFERROR(__xludf.DUMMYFUNCTION("""COMPUTED_VALUE"""),"#VALUE!")</f>
        <v>#VALUE!</v>
      </c>
      <c r="DC1088" t="str">
        <f ca="1">IFERROR(__xludf.DUMMYFUNCTION("""COMPUTED_VALUE"""),"#VALUE!")</f>
        <v>#VALUE!</v>
      </c>
      <c r="DE1088" t="str">
        <f ca="1">IFERROR(__xludf.DUMMYFUNCTION("""COMPUTED_VALUE"""),"#VALUE!")</f>
        <v>#VALUE!</v>
      </c>
    </row>
    <row r="1089" spans="1:109" ht="13.2" x14ac:dyDescent="0.25">
      <c r="A1089" t="str">
        <f ca="1">IFERROR(__xludf.DUMMYFUNCTION("""COMPUTED_VALUE"""),"P1098")</f>
        <v>P1098</v>
      </c>
      <c r="BC1089" t="str">
        <f ca="1">IFERROR(__xludf.DUMMYFUNCTION("""COMPUTED_VALUE"""),"#VALUE!")</f>
        <v>#VALUE!</v>
      </c>
      <c r="BE1089" t="str">
        <f ca="1">IFERROR(__xludf.DUMMYFUNCTION("""COMPUTED_VALUE"""),"#VALUE!")</f>
        <v>#VALUE!</v>
      </c>
      <c r="BG1089" t="str">
        <f ca="1">IFERROR(__xludf.DUMMYFUNCTION("""COMPUTED_VALUE"""),"#VALUE!")</f>
        <v>#VALUE!</v>
      </c>
      <c r="BI1089" t="str">
        <f ca="1">IFERROR(__xludf.DUMMYFUNCTION("""COMPUTED_VALUE"""),"#VALUE!")</f>
        <v>#VALUE!</v>
      </c>
      <c r="BK1089" t="str">
        <f ca="1">IFERROR(__xludf.DUMMYFUNCTION("""COMPUTED_VALUE"""),"#VALUE!")</f>
        <v>#VALUE!</v>
      </c>
      <c r="BM1089" t="str">
        <f ca="1">IFERROR(__xludf.DUMMYFUNCTION("""COMPUTED_VALUE"""),"#VALUE!")</f>
        <v>#VALUE!</v>
      </c>
      <c r="CS1089" t="str">
        <f ca="1">IFERROR(__xludf.DUMMYFUNCTION("""COMPUTED_VALUE"""),"#VALUE!")</f>
        <v>#VALUE!</v>
      </c>
      <c r="CU1089" t="str">
        <f ca="1">IFERROR(__xludf.DUMMYFUNCTION("""COMPUTED_VALUE"""),"#VALUE!")</f>
        <v>#VALUE!</v>
      </c>
      <c r="CW1089" t="str">
        <f ca="1">IFERROR(__xludf.DUMMYFUNCTION("""COMPUTED_VALUE"""),"#VALUE!")</f>
        <v>#VALUE!</v>
      </c>
      <c r="CY1089" t="str">
        <f ca="1">IFERROR(__xludf.DUMMYFUNCTION("""COMPUTED_VALUE"""),"#VALUE!")</f>
        <v>#VALUE!</v>
      </c>
      <c r="DC1089" t="str">
        <f ca="1">IFERROR(__xludf.DUMMYFUNCTION("""COMPUTED_VALUE"""),"#VALUE!")</f>
        <v>#VALUE!</v>
      </c>
      <c r="DE1089" t="str">
        <f ca="1">IFERROR(__xludf.DUMMYFUNCTION("""COMPUTED_VALUE"""),"#VALUE!")</f>
        <v>#VALUE!</v>
      </c>
    </row>
    <row r="1090" spans="1:109" ht="13.2" x14ac:dyDescent="0.25">
      <c r="A1090" t="str">
        <f ca="1">IFERROR(__xludf.DUMMYFUNCTION("""COMPUTED_VALUE"""),"P1099")</f>
        <v>P1099</v>
      </c>
      <c r="BC1090" t="str">
        <f ca="1">IFERROR(__xludf.DUMMYFUNCTION("""COMPUTED_VALUE"""),"#VALUE!")</f>
        <v>#VALUE!</v>
      </c>
      <c r="BE1090" t="str">
        <f ca="1">IFERROR(__xludf.DUMMYFUNCTION("""COMPUTED_VALUE"""),"#VALUE!")</f>
        <v>#VALUE!</v>
      </c>
      <c r="BG1090" t="str">
        <f ca="1">IFERROR(__xludf.DUMMYFUNCTION("""COMPUTED_VALUE"""),"#VALUE!")</f>
        <v>#VALUE!</v>
      </c>
      <c r="BI1090" t="str">
        <f ca="1">IFERROR(__xludf.DUMMYFUNCTION("""COMPUTED_VALUE"""),"#VALUE!")</f>
        <v>#VALUE!</v>
      </c>
      <c r="BK1090" t="str">
        <f ca="1">IFERROR(__xludf.DUMMYFUNCTION("""COMPUTED_VALUE"""),"#VALUE!")</f>
        <v>#VALUE!</v>
      </c>
      <c r="BM1090" t="str">
        <f ca="1">IFERROR(__xludf.DUMMYFUNCTION("""COMPUTED_VALUE"""),"#VALUE!")</f>
        <v>#VALUE!</v>
      </c>
      <c r="CS1090" t="str">
        <f ca="1">IFERROR(__xludf.DUMMYFUNCTION("""COMPUTED_VALUE"""),"#VALUE!")</f>
        <v>#VALUE!</v>
      </c>
      <c r="CU1090" t="str">
        <f ca="1">IFERROR(__xludf.DUMMYFUNCTION("""COMPUTED_VALUE"""),"#VALUE!")</f>
        <v>#VALUE!</v>
      </c>
      <c r="CW1090" t="str">
        <f ca="1">IFERROR(__xludf.DUMMYFUNCTION("""COMPUTED_VALUE"""),"#VALUE!")</f>
        <v>#VALUE!</v>
      </c>
      <c r="CY1090" t="str">
        <f ca="1">IFERROR(__xludf.DUMMYFUNCTION("""COMPUTED_VALUE"""),"#VALUE!")</f>
        <v>#VALUE!</v>
      </c>
      <c r="DC1090" t="str">
        <f ca="1">IFERROR(__xludf.DUMMYFUNCTION("""COMPUTED_VALUE"""),"#VALUE!")</f>
        <v>#VALUE!</v>
      </c>
      <c r="DE1090" t="str">
        <f ca="1">IFERROR(__xludf.DUMMYFUNCTION("""COMPUTED_VALUE"""),"#VALUE!")</f>
        <v>#VALUE!</v>
      </c>
    </row>
    <row r="1091" spans="1:109" ht="13.2" x14ac:dyDescent="0.25">
      <c r="A1091" t="str">
        <f ca="1">IFERROR(__xludf.DUMMYFUNCTION("""COMPUTED_VALUE"""),"P1100")</f>
        <v>P1100</v>
      </c>
      <c r="BC1091" t="str">
        <f ca="1">IFERROR(__xludf.DUMMYFUNCTION("""COMPUTED_VALUE"""),"#VALUE!")</f>
        <v>#VALUE!</v>
      </c>
      <c r="BE1091" t="str">
        <f ca="1">IFERROR(__xludf.DUMMYFUNCTION("""COMPUTED_VALUE"""),"#VALUE!")</f>
        <v>#VALUE!</v>
      </c>
      <c r="BG1091" t="str">
        <f ca="1">IFERROR(__xludf.DUMMYFUNCTION("""COMPUTED_VALUE"""),"#VALUE!")</f>
        <v>#VALUE!</v>
      </c>
      <c r="BI1091" t="str">
        <f ca="1">IFERROR(__xludf.DUMMYFUNCTION("""COMPUTED_VALUE"""),"#VALUE!")</f>
        <v>#VALUE!</v>
      </c>
      <c r="BK1091" t="str">
        <f ca="1">IFERROR(__xludf.DUMMYFUNCTION("""COMPUTED_VALUE"""),"#VALUE!")</f>
        <v>#VALUE!</v>
      </c>
      <c r="BM1091" t="str">
        <f ca="1">IFERROR(__xludf.DUMMYFUNCTION("""COMPUTED_VALUE"""),"#VALUE!")</f>
        <v>#VALUE!</v>
      </c>
      <c r="CS1091" t="str">
        <f ca="1">IFERROR(__xludf.DUMMYFUNCTION("""COMPUTED_VALUE"""),"#VALUE!")</f>
        <v>#VALUE!</v>
      </c>
      <c r="CU1091" t="str">
        <f ca="1">IFERROR(__xludf.DUMMYFUNCTION("""COMPUTED_VALUE"""),"#VALUE!")</f>
        <v>#VALUE!</v>
      </c>
      <c r="CW1091" t="str">
        <f ca="1">IFERROR(__xludf.DUMMYFUNCTION("""COMPUTED_VALUE"""),"#VALUE!")</f>
        <v>#VALUE!</v>
      </c>
      <c r="CY1091" t="str">
        <f ca="1">IFERROR(__xludf.DUMMYFUNCTION("""COMPUTED_VALUE"""),"#VALUE!")</f>
        <v>#VALUE!</v>
      </c>
      <c r="DC1091" t="str">
        <f ca="1">IFERROR(__xludf.DUMMYFUNCTION("""COMPUTED_VALUE"""),"#VALUE!")</f>
        <v>#VALUE!</v>
      </c>
      <c r="DE1091" t="str">
        <f ca="1">IFERROR(__xludf.DUMMYFUNCTION("""COMPUTED_VALUE"""),"#VALUE!")</f>
        <v>#VALUE!</v>
      </c>
    </row>
    <row r="1092" spans="1:109" ht="13.2" x14ac:dyDescent="0.25">
      <c r="A1092" t="str">
        <f ca="1">IFERROR(__xludf.DUMMYFUNCTION("""COMPUTED_VALUE"""),"P1101")</f>
        <v>P1101</v>
      </c>
      <c r="BC1092" t="str">
        <f ca="1">IFERROR(__xludf.DUMMYFUNCTION("""COMPUTED_VALUE"""),"#VALUE!")</f>
        <v>#VALUE!</v>
      </c>
      <c r="BE1092" t="str">
        <f ca="1">IFERROR(__xludf.DUMMYFUNCTION("""COMPUTED_VALUE"""),"#VALUE!")</f>
        <v>#VALUE!</v>
      </c>
      <c r="BG1092" t="str">
        <f ca="1">IFERROR(__xludf.DUMMYFUNCTION("""COMPUTED_VALUE"""),"#VALUE!")</f>
        <v>#VALUE!</v>
      </c>
      <c r="BI1092" t="str">
        <f ca="1">IFERROR(__xludf.DUMMYFUNCTION("""COMPUTED_VALUE"""),"#VALUE!")</f>
        <v>#VALUE!</v>
      </c>
      <c r="BK1092" t="str">
        <f ca="1">IFERROR(__xludf.DUMMYFUNCTION("""COMPUTED_VALUE"""),"#VALUE!")</f>
        <v>#VALUE!</v>
      </c>
      <c r="BM1092" t="str">
        <f ca="1">IFERROR(__xludf.DUMMYFUNCTION("""COMPUTED_VALUE"""),"#VALUE!")</f>
        <v>#VALUE!</v>
      </c>
      <c r="CS1092" t="str">
        <f ca="1">IFERROR(__xludf.DUMMYFUNCTION("""COMPUTED_VALUE"""),"#VALUE!")</f>
        <v>#VALUE!</v>
      </c>
      <c r="CU1092" t="str">
        <f ca="1">IFERROR(__xludf.DUMMYFUNCTION("""COMPUTED_VALUE"""),"#VALUE!")</f>
        <v>#VALUE!</v>
      </c>
      <c r="CW1092" t="str">
        <f ca="1">IFERROR(__xludf.DUMMYFUNCTION("""COMPUTED_VALUE"""),"#VALUE!")</f>
        <v>#VALUE!</v>
      </c>
      <c r="CY1092" t="str">
        <f ca="1">IFERROR(__xludf.DUMMYFUNCTION("""COMPUTED_VALUE"""),"#VALUE!")</f>
        <v>#VALUE!</v>
      </c>
      <c r="DC1092" t="str">
        <f ca="1">IFERROR(__xludf.DUMMYFUNCTION("""COMPUTED_VALUE"""),"#VALUE!")</f>
        <v>#VALUE!</v>
      </c>
      <c r="DE1092" t="str">
        <f ca="1">IFERROR(__xludf.DUMMYFUNCTION("""COMPUTED_VALUE"""),"#VALUE!")</f>
        <v>#VALUE!</v>
      </c>
    </row>
    <row r="1093" spans="1:109" ht="13.2" x14ac:dyDescent="0.25">
      <c r="A1093" t="str">
        <f ca="1">IFERROR(__xludf.DUMMYFUNCTION("""COMPUTED_VALUE"""),"P1102")</f>
        <v>P1102</v>
      </c>
      <c r="BC1093" t="str">
        <f ca="1">IFERROR(__xludf.DUMMYFUNCTION("""COMPUTED_VALUE"""),"#VALUE!")</f>
        <v>#VALUE!</v>
      </c>
      <c r="BE1093" t="str">
        <f ca="1">IFERROR(__xludf.DUMMYFUNCTION("""COMPUTED_VALUE"""),"#VALUE!")</f>
        <v>#VALUE!</v>
      </c>
      <c r="BG1093" t="str">
        <f ca="1">IFERROR(__xludf.DUMMYFUNCTION("""COMPUTED_VALUE"""),"#VALUE!")</f>
        <v>#VALUE!</v>
      </c>
      <c r="BI1093" t="str">
        <f ca="1">IFERROR(__xludf.DUMMYFUNCTION("""COMPUTED_VALUE"""),"#VALUE!")</f>
        <v>#VALUE!</v>
      </c>
      <c r="BK1093" t="str">
        <f ca="1">IFERROR(__xludf.DUMMYFUNCTION("""COMPUTED_VALUE"""),"#VALUE!")</f>
        <v>#VALUE!</v>
      </c>
      <c r="BM1093" t="str">
        <f ca="1">IFERROR(__xludf.DUMMYFUNCTION("""COMPUTED_VALUE"""),"#VALUE!")</f>
        <v>#VALUE!</v>
      </c>
      <c r="CS1093" t="str">
        <f ca="1">IFERROR(__xludf.DUMMYFUNCTION("""COMPUTED_VALUE"""),"#VALUE!")</f>
        <v>#VALUE!</v>
      </c>
      <c r="CU1093" t="str">
        <f ca="1">IFERROR(__xludf.DUMMYFUNCTION("""COMPUTED_VALUE"""),"#VALUE!")</f>
        <v>#VALUE!</v>
      </c>
      <c r="CW1093" t="str">
        <f ca="1">IFERROR(__xludf.DUMMYFUNCTION("""COMPUTED_VALUE"""),"#VALUE!")</f>
        <v>#VALUE!</v>
      </c>
      <c r="CY1093" t="str">
        <f ca="1">IFERROR(__xludf.DUMMYFUNCTION("""COMPUTED_VALUE"""),"#VALUE!")</f>
        <v>#VALUE!</v>
      </c>
      <c r="DC1093" t="str">
        <f ca="1">IFERROR(__xludf.DUMMYFUNCTION("""COMPUTED_VALUE"""),"#VALUE!")</f>
        <v>#VALUE!</v>
      </c>
      <c r="DE1093" t="str">
        <f ca="1">IFERROR(__xludf.DUMMYFUNCTION("""COMPUTED_VALUE"""),"#VALUE!")</f>
        <v>#VALUE!</v>
      </c>
    </row>
    <row r="1094" spans="1:109" ht="13.2" x14ac:dyDescent="0.25">
      <c r="A1094" t="str">
        <f ca="1">IFERROR(__xludf.DUMMYFUNCTION("""COMPUTED_VALUE"""),"P1103")</f>
        <v>P1103</v>
      </c>
      <c r="BC1094" t="str">
        <f ca="1">IFERROR(__xludf.DUMMYFUNCTION("""COMPUTED_VALUE"""),"#VALUE!")</f>
        <v>#VALUE!</v>
      </c>
      <c r="BE1094" t="str">
        <f ca="1">IFERROR(__xludf.DUMMYFUNCTION("""COMPUTED_VALUE"""),"#VALUE!")</f>
        <v>#VALUE!</v>
      </c>
      <c r="BG1094" t="str">
        <f ca="1">IFERROR(__xludf.DUMMYFUNCTION("""COMPUTED_VALUE"""),"#VALUE!")</f>
        <v>#VALUE!</v>
      </c>
      <c r="BI1094" t="str">
        <f ca="1">IFERROR(__xludf.DUMMYFUNCTION("""COMPUTED_VALUE"""),"#VALUE!")</f>
        <v>#VALUE!</v>
      </c>
      <c r="BK1094" t="str">
        <f ca="1">IFERROR(__xludf.DUMMYFUNCTION("""COMPUTED_VALUE"""),"#VALUE!")</f>
        <v>#VALUE!</v>
      </c>
      <c r="BM1094" t="str">
        <f ca="1">IFERROR(__xludf.DUMMYFUNCTION("""COMPUTED_VALUE"""),"#VALUE!")</f>
        <v>#VALUE!</v>
      </c>
      <c r="CS1094" t="str">
        <f ca="1">IFERROR(__xludf.DUMMYFUNCTION("""COMPUTED_VALUE"""),"#VALUE!")</f>
        <v>#VALUE!</v>
      </c>
      <c r="CU1094" t="str">
        <f ca="1">IFERROR(__xludf.DUMMYFUNCTION("""COMPUTED_VALUE"""),"#VALUE!")</f>
        <v>#VALUE!</v>
      </c>
      <c r="CW1094" t="str">
        <f ca="1">IFERROR(__xludf.DUMMYFUNCTION("""COMPUTED_VALUE"""),"#VALUE!")</f>
        <v>#VALUE!</v>
      </c>
      <c r="CY1094" t="str">
        <f ca="1">IFERROR(__xludf.DUMMYFUNCTION("""COMPUTED_VALUE"""),"#VALUE!")</f>
        <v>#VALUE!</v>
      </c>
      <c r="DC1094" t="str">
        <f ca="1">IFERROR(__xludf.DUMMYFUNCTION("""COMPUTED_VALUE"""),"#VALUE!")</f>
        <v>#VALUE!</v>
      </c>
      <c r="DE1094" t="str">
        <f ca="1">IFERROR(__xludf.DUMMYFUNCTION("""COMPUTED_VALUE"""),"#VALUE!")</f>
        <v>#VALUE!</v>
      </c>
    </row>
    <row r="1095" spans="1:109" ht="13.2" x14ac:dyDescent="0.25">
      <c r="A1095" t="str">
        <f ca="1">IFERROR(__xludf.DUMMYFUNCTION("""COMPUTED_VALUE"""),"P1104")</f>
        <v>P1104</v>
      </c>
      <c r="BC1095" t="str">
        <f ca="1">IFERROR(__xludf.DUMMYFUNCTION("""COMPUTED_VALUE"""),"#VALUE!")</f>
        <v>#VALUE!</v>
      </c>
      <c r="BE1095" t="str">
        <f ca="1">IFERROR(__xludf.DUMMYFUNCTION("""COMPUTED_VALUE"""),"#VALUE!")</f>
        <v>#VALUE!</v>
      </c>
      <c r="BG1095" t="str">
        <f ca="1">IFERROR(__xludf.DUMMYFUNCTION("""COMPUTED_VALUE"""),"#VALUE!")</f>
        <v>#VALUE!</v>
      </c>
      <c r="BI1095" t="str">
        <f ca="1">IFERROR(__xludf.DUMMYFUNCTION("""COMPUTED_VALUE"""),"#VALUE!")</f>
        <v>#VALUE!</v>
      </c>
      <c r="BK1095" t="str">
        <f ca="1">IFERROR(__xludf.DUMMYFUNCTION("""COMPUTED_VALUE"""),"#VALUE!")</f>
        <v>#VALUE!</v>
      </c>
      <c r="BM1095" t="str">
        <f ca="1">IFERROR(__xludf.DUMMYFUNCTION("""COMPUTED_VALUE"""),"#VALUE!")</f>
        <v>#VALUE!</v>
      </c>
      <c r="CS1095" t="str">
        <f ca="1">IFERROR(__xludf.DUMMYFUNCTION("""COMPUTED_VALUE"""),"#VALUE!")</f>
        <v>#VALUE!</v>
      </c>
      <c r="CU1095" t="str">
        <f ca="1">IFERROR(__xludf.DUMMYFUNCTION("""COMPUTED_VALUE"""),"#VALUE!")</f>
        <v>#VALUE!</v>
      </c>
      <c r="CW1095" t="str">
        <f ca="1">IFERROR(__xludf.DUMMYFUNCTION("""COMPUTED_VALUE"""),"#VALUE!")</f>
        <v>#VALUE!</v>
      </c>
      <c r="CY1095" t="str">
        <f ca="1">IFERROR(__xludf.DUMMYFUNCTION("""COMPUTED_VALUE"""),"#VALUE!")</f>
        <v>#VALUE!</v>
      </c>
      <c r="DC1095" t="str">
        <f ca="1">IFERROR(__xludf.DUMMYFUNCTION("""COMPUTED_VALUE"""),"#VALUE!")</f>
        <v>#VALUE!</v>
      </c>
      <c r="DE1095" t="str">
        <f ca="1">IFERROR(__xludf.DUMMYFUNCTION("""COMPUTED_VALUE"""),"#VALUE!")</f>
        <v>#VALUE!</v>
      </c>
    </row>
    <row r="1096" spans="1:109" ht="13.2" x14ac:dyDescent="0.25">
      <c r="A1096" t="str">
        <f ca="1">IFERROR(__xludf.DUMMYFUNCTION("""COMPUTED_VALUE"""),"P1105")</f>
        <v>P1105</v>
      </c>
      <c r="BC1096" t="str">
        <f ca="1">IFERROR(__xludf.DUMMYFUNCTION("""COMPUTED_VALUE"""),"#VALUE!")</f>
        <v>#VALUE!</v>
      </c>
      <c r="BE1096" t="str">
        <f ca="1">IFERROR(__xludf.DUMMYFUNCTION("""COMPUTED_VALUE"""),"#VALUE!")</f>
        <v>#VALUE!</v>
      </c>
      <c r="BG1096" t="str">
        <f ca="1">IFERROR(__xludf.DUMMYFUNCTION("""COMPUTED_VALUE"""),"#VALUE!")</f>
        <v>#VALUE!</v>
      </c>
      <c r="BI1096" t="str">
        <f ca="1">IFERROR(__xludf.DUMMYFUNCTION("""COMPUTED_VALUE"""),"#VALUE!")</f>
        <v>#VALUE!</v>
      </c>
      <c r="BK1096" t="str">
        <f ca="1">IFERROR(__xludf.DUMMYFUNCTION("""COMPUTED_VALUE"""),"#VALUE!")</f>
        <v>#VALUE!</v>
      </c>
      <c r="BM1096" t="str">
        <f ca="1">IFERROR(__xludf.DUMMYFUNCTION("""COMPUTED_VALUE"""),"#VALUE!")</f>
        <v>#VALUE!</v>
      </c>
      <c r="CS1096" t="str">
        <f ca="1">IFERROR(__xludf.DUMMYFUNCTION("""COMPUTED_VALUE"""),"#VALUE!")</f>
        <v>#VALUE!</v>
      </c>
      <c r="CU1096" t="str">
        <f ca="1">IFERROR(__xludf.DUMMYFUNCTION("""COMPUTED_VALUE"""),"#VALUE!")</f>
        <v>#VALUE!</v>
      </c>
      <c r="CW1096" t="str">
        <f ca="1">IFERROR(__xludf.DUMMYFUNCTION("""COMPUTED_VALUE"""),"#VALUE!")</f>
        <v>#VALUE!</v>
      </c>
      <c r="CY1096" t="str">
        <f ca="1">IFERROR(__xludf.DUMMYFUNCTION("""COMPUTED_VALUE"""),"#VALUE!")</f>
        <v>#VALUE!</v>
      </c>
      <c r="DC1096" t="str">
        <f ca="1">IFERROR(__xludf.DUMMYFUNCTION("""COMPUTED_VALUE"""),"#VALUE!")</f>
        <v>#VALUE!</v>
      </c>
      <c r="DE1096" t="str">
        <f ca="1">IFERROR(__xludf.DUMMYFUNCTION("""COMPUTED_VALUE"""),"#VALUE!")</f>
        <v>#VALUE!</v>
      </c>
    </row>
    <row r="1097" spans="1:109" ht="13.2" x14ac:dyDescent="0.25">
      <c r="A1097" t="str">
        <f ca="1">IFERROR(__xludf.DUMMYFUNCTION("""COMPUTED_VALUE"""),"P1106")</f>
        <v>P1106</v>
      </c>
      <c r="BC1097" t="str">
        <f ca="1">IFERROR(__xludf.DUMMYFUNCTION("""COMPUTED_VALUE"""),"#VALUE!")</f>
        <v>#VALUE!</v>
      </c>
      <c r="BE1097" t="str">
        <f ca="1">IFERROR(__xludf.DUMMYFUNCTION("""COMPUTED_VALUE"""),"#VALUE!")</f>
        <v>#VALUE!</v>
      </c>
      <c r="BG1097" t="str">
        <f ca="1">IFERROR(__xludf.DUMMYFUNCTION("""COMPUTED_VALUE"""),"#VALUE!")</f>
        <v>#VALUE!</v>
      </c>
      <c r="BI1097" t="str">
        <f ca="1">IFERROR(__xludf.DUMMYFUNCTION("""COMPUTED_VALUE"""),"#VALUE!")</f>
        <v>#VALUE!</v>
      </c>
      <c r="BK1097" t="str">
        <f ca="1">IFERROR(__xludf.DUMMYFUNCTION("""COMPUTED_VALUE"""),"#VALUE!")</f>
        <v>#VALUE!</v>
      </c>
      <c r="BM1097" t="str">
        <f ca="1">IFERROR(__xludf.DUMMYFUNCTION("""COMPUTED_VALUE"""),"#VALUE!")</f>
        <v>#VALUE!</v>
      </c>
      <c r="CS1097" t="str">
        <f ca="1">IFERROR(__xludf.DUMMYFUNCTION("""COMPUTED_VALUE"""),"#VALUE!")</f>
        <v>#VALUE!</v>
      </c>
      <c r="CU1097" t="str">
        <f ca="1">IFERROR(__xludf.DUMMYFUNCTION("""COMPUTED_VALUE"""),"#VALUE!")</f>
        <v>#VALUE!</v>
      </c>
      <c r="CW1097" t="str">
        <f ca="1">IFERROR(__xludf.DUMMYFUNCTION("""COMPUTED_VALUE"""),"#VALUE!")</f>
        <v>#VALUE!</v>
      </c>
      <c r="CY1097" t="str">
        <f ca="1">IFERROR(__xludf.DUMMYFUNCTION("""COMPUTED_VALUE"""),"#VALUE!")</f>
        <v>#VALUE!</v>
      </c>
      <c r="DC1097" t="str">
        <f ca="1">IFERROR(__xludf.DUMMYFUNCTION("""COMPUTED_VALUE"""),"#VALUE!")</f>
        <v>#VALUE!</v>
      </c>
      <c r="DE1097" t="str">
        <f ca="1">IFERROR(__xludf.DUMMYFUNCTION("""COMPUTED_VALUE"""),"#VALUE!")</f>
        <v>#VALUE!</v>
      </c>
    </row>
    <row r="1098" spans="1:109" ht="13.2" x14ac:dyDescent="0.25">
      <c r="A1098" t="str">
        <f ca="1">IFERROR(__xludf.DUMMYFUNCTION("""COMPUTED_VALUE"""),"P1107")</f>
        <v>P1107</v>
      </c>
      <c r="BC1098" t="str">
        <f ca="1">IFERROR(__xludf.DUMMYFUNCTION("""COMPUTED_VALUE"""),"#VALUE!")</f>
        <v>#VALUE!</v>
      </c>
      <c r="BE1098" t="str">
        <f ca="1">IFERROR(__xludf.DUMMYFUNCTION("""COMPUTED_VALUE"""),"#VALUE!")</f>
        <v>#VALUE!</v>
      </c>
      <c r="BG1098" t="str">
        <f ca="1">IFERROR(__xludf.DUMMYFUNCTION("""COMPUTED_VALUE"""),"#VALUE!")</f>
        <v>#VALUE!</v>
      </c>
      <c r="BI1098" t="str">
        <f ca="1">IFERROR(__xludf.DUMMYFUNCTION("""COMPUTED_VALUE"""),"#VALUE!")</f>
        <v>#VALUE!</v>
      </c>
      <c r="BK1098" t="str">
        <f ca="1">IFERROR(__xludf.DUMMYFUNCTION("""COMPUTED_VALUE"""),"#VALUE!")</f>
        <v>#VALUE!</v>
      </c>
      <c r="BM1098" t="str">
        <f ca="1">IFERROR(__xludf.DUMMYFUNCTION("""COMPUTED_VALUE"""),"#VALUE!")</f>
        <v>#VALUE!</v>
      </c>
      <c r="CS1098" t="str">
        <f ca="1">IFERROR(__xludf.DUMMYFUNCTION("""COMPUTED_VALUE"""),"#VALUE!")</f>
        <v>#VALUE!</v>
      </c>
      <c r="CU1098" t="str">
        <f ca="1">IFERROR(__xludf.DUMMYFUNCTION("""COMPUTED_VALUE"""),"#VALUE!")</f>
        <v>#VALUE!</v>
      </c>
      <c r="CW1098" t="str">
        <f ca="1">IFERROR(__xludf.DUMMYFUNCTION("""COMPUTED_VALUE"""),"#VALUE!")</f>
        <v>#VALUE!</v>
      </c>
      <c r="CY1098" t="str">
        <f ca="1">IFERROR(__xludf.DUMMYFUNCTION("""COMPUTED_VALUE"""),"#VALUE!")</f>
        <v>#VALUE!</v>
      </c>
      <c r="DC1098" t="str">
        <f ca="1">IFERROR(__xludf.DUMMYFUNCTION("""COMPUTED_VALUE"""),"#VALUE!")</f>
        <v>#VALUE!</v>
      </c>
      <c r="DE1098" t="str">
        <f ca="1">IFERROR(__xludf.DUMMYFUNCTION("""COMPUTED_VALUE"""),"#VALUE!")</f>
        <v>#VALUE!</v>
      </c>
    </row>
    <row r="1099" spans="1:109" ht="13.2" x14ac:dyDescent="0.25">
      <c r="A1099" t="str">
        <f ca="1">IFERROR(__xludf.DUMMYFUNCTION("""COMPUTED_VALUE"""),"P1108")</f>
        <v>P1108</v>
      </c>
      <c r="BC1099" t="str">
        <f ca="1">IFERROR(__xludf.DUMMYFUNCTION("""COMPUTED_VALUE"""),"#VALUE!")</f>
        <v>#VALUE!</v>
      </c>
      <c r="BE1099" t="str">
        <f ca="1">IFERROR(__xludf.DUMMYFUNCTION("""COMPUTED_VALUE"""),"#VALUE!")</f>
        <v>#VALUE!</v>
      </c>
      <c r="BG1099" t="str">
        <f ca="1">IFERROR(__xludf.DUMMYFUNCTION("""COMPUTED_VALUE"""),"#VALUE!")</f>
        <v>#VALUE!</v>
      </c>
      <c r="BI1099" t="str">
        <f ca="1">IFERROR(__xludf.DUMMYFUNCTION("""COMPUTED_VALUE"""),"#VALUE!")</f>
        <v>#VALUE!</v>
      </c>
      <c r="BK1099" t="str">
        <f ca="1">IFERROR(__xludf.DUMMYFUNCTION("""COMPUTED_VALUE"""),"#VALUE!")</f>
        <v>#VALUE!</v>
      </c>
      <c r="BM1099" t="str">
        <f ca="1">IFERROR(__xludf.DUMMYFUNCTION("""COMPUTED_VALUE"""),"#VALUE!")</f>
        <v>#VALUE!</v>
      </c>
      <c r="CS1099" t="str">
        <f ca="1">IFERROR(__xludf.DUMMYFUNCTION("""COMPUTED_VALUE"""),"#VALUE!")</f>
        <v>#VALUE!</v>
      </c>
      <c r="CU1099" t="str">
        <f ca="1">IFERROR(__xludf.DUMMYFUNCTION("""COMPUTED_VALUE"""),"#VALUE!")</f>
        <v>#VALUE!</v>
      </c>
      <c r="CW1099" t="str">
        <f ca="1">IFERROR(__xludf.DUMMYFUNCTION("""COMPUTED_VALUE"""),"#VALUE!")</f>
        <v>#VALUE!</v>
      </c>
      <c r="CY1099" t="str">
        <f ca="1">IFERROR(__xludf.DUMMYFUNCTION("""COMPUTED_VALUE"""),"#VALUE!")</f>
        <v>#VALUE!</v>
      </c>
      <c r="DC1099" t="str">
        <f ca="1">IFERROR(__xludf.DUMMYFUNCTION("""COMPUTED_VALUE"""),"#VALUE!")</f>
        <v>#VALUE!</v>
      </c>
      <c r="DE1099" t="str">
        <f ca="1">IFERROR(__xludf.DUMMYFUNCTION("""COMPUTED_VALUE"""),"#VALUE!")</f>
        <v>#VALUE!</v>
      </c>
    </row>
    <row r="1100" spans="1:109" ht="13.2" x14ac:dyDescent="0.25">
      <c r="A1100" t="str">
        <f ca="1">IFERROR(__xludf.DUMMYFUNCTION("""COMPUTED_VALUE"""),"P1109")</f>
        <v>P1109</v>
      </c>
      <c r="BC1100" t="str">
        <f ca="1">IFERROR(__xludf.DUMMYFUNCTION("""COMPUTED_VALUE"""),"#VALUE!")</f>
        <v>#VALUE!</v>
      </c>
      <c r="BE1100" t="str">
        <f ca="1">IFERROR(__xludf.DUMMYFUNCTION("""COMPUTED_VALUE"""),"#VALUE!")</f>
        <v>#VALUE!</v>
      </c>
      <c r="BG1100" t="str">
        <f ca="1">IFERROR(__xludf.DUMMYFUNCTION("""COMPUTED_VALUE"""),"#VALUE!")</f>
        <v>#VALUE!</v>
      </c>
      <c r="BI1100" t="str">
        <f ca="1">IFERROR(__xludf.DUMMYFUNCTION("""COMPUTED_VALUE"""),"#VALUE!")</f>
        <v>#VALUE!</v>
      </c>
      <c r="BK1100" t="str">
        <f ca="1">IFERROR(__xludf.DUMMYFUNCTION("""COMPUTED_VALUE"""),"#VALUE!")</f>
        <v>#VALUE!</v>
      </c>
      <c r="BM1100" t="str">
        <f ca="1">IFERROR(__xludf.DUMMYFUNCTION("""COMPUTED_VALUE"""),"#VALUE!")</f>
        <v>#VALUE!</v>
      </c>
      <c r="CS1100" t="str">
        <f ca="1">IFERROR(__xludf.DUMMYFUNCTION("""COMPUTED_VALUE"""),"#VALUE!")</f>
        <v>#VALUE!</v>
      </c>
      <c r="CU1100" t="str">
        <f ca="1">IFERROR(__xludf.DUMMYFUNCTION("""COMPUTED_VALUE"""),"#VALUE!")</f>
        <v>#VALUE!</v>
      </c>
      <c r="CW1100" t="str">
        <f ca="1">IFERROR(__xludf.DUMMYFUNCTION("""COMPUTED_VALUE"""),"#VALUE!")</f>
        <v>#VALUE!</v>
      </c>
      <c r="CY1100" t="str">
        <f ca="1">IFERROR(__xludf.DUMMYFUNCTION("""COMPUTED_VALUE"""),"#VALUE!")</f>
        <v>#VALUE!</v>
      </c>
      <c r="DC1100" t="str">
        <f ca="1">IFERROR(__xludf.DUMMYFUNCTION("""COMPUTED_VALUE"""),"#VALUE!")</f>
        <v>#VALUE!</v>
      </c>
      <c r="DE1100" t="str">
        <f ca="1">IFERROR(__xludf.DUMMYFUNCTION("""COMPUTED_VALUE"""),"#VALUE!")</f>
        <v>#VALUE!</v>
      </c>
    </row>
    <row r="1101" spans="1:109" ht="13.2" x14ac:dyDescent="0.25">
      <c r="A1101" t="str">
        <f ca="1">IFERROR(__xludf.DUMMYFUNCTION("""COMPUTED_VALUE"""),"P1110")</f>
        <v>P1110</v>
      </c>
      <c r="BC1101" t="str">
        <f ca="1">IFERROR(__xludf.DUMMYFUNCTION("""COMPUTED_VALUE"""),"#VALUE!")</f>
        <v>#VALUE!</v>
      </c>
      <c r="BE1101" t="str">
        <f ca="1">IFERROR(__xludf.DUMMYFUNCTION("""COMPUTED_VALUE"""),"#VALUE!")</f>
        <v>#VALUE!</v>
      </c>
      <c r="BG1101" t="str">
        <f ca="1">IFERROR(__xludf.DUMMYFUNCTION("""COMPUTED_VALUE"""),"#VALUE!")</f>
        <v>#VALUE!</v>
      </c>
      <c r="BI1101" t="str">
        <f ca="1">IFERROR(__xludf.DUMMYFUNCTION("""COMPUTED_VALUE"""),"#VALUE!")</f>
        <v>#VALUE!</v>
      </c>
      <c r="BK1101" t="str">
        <f ca="1">IFERROR(__xludf.DUMMYFUNCTION("""COMPUTED_VALUE"""),"#VALUE!")</f>
        <v>#VALUE!</v>
      </c>
      <c r="BM1101" t="str">
        <f ca="1">IFERROR(__xludf.DUMMYFUNCTION("""COMPUTED_VALUE"""),"#VALUE!")</f>
        <v>#VALUE!</v>
      </c>
      <c r="CS1101" t="str">
        <f ca="1">IFERROR(__xludf.DUMMYFUNCTION("""COMPUTED_VALUE"""),"#VALUE!")</f>
        <v>#VALUE!</v>
      </c>
      <c r="CU1101" t="str">
        <f ca="1">IFERROR(__xludf.DUMMYFUNCTION("""COMPUTED_VALUE"""),"#VALUE!")</f>
        <v>#VALUE!</v>
      </c>
      <c r="CW1101" t="str">
        <f ca="1">IFERROR(__xludf.DUMMYFUNCTION("""COMPUTED_VALUE"""),"#VALUE!")</f>
        <v>#VALUE!</v>
      </c>
      <c r="CY1101" t="str">
        <f ca="1">IFERROR(__xludf.DUMMYFUNCTION("""COMPUTED_VALUE"""),"#VALUE!")</f>
        <v>#VALUE!</v>
      </c>
      <c r="DC1101" t="str">
        <f ca="1">IFERROR(__xludf.DUMMYFUNCTION("""COMPUTED_VALUE"""),"#VALUE!")</f>
        <v>#VALUE!</v>
      </c>
      <c r="DE1101" t="str">
        <f ca="1">IFERROR(__xludf.DUMMYFUNCTION("""COMPUTED_VALUE"""),"#VALUE!")</f>
        <v>#VALUE!</v>
      </c>
    </row>
    <row r="1102" spans="1:109" ht="13.2" x14ac:dyDescent="0.25">
      <c r="A1102" t="str">
        <f ca="1">IFERROR(__xludf.DUMMYFUNCTION("""COMPUTED_VALUE"""),"P1111")</f>
        <v>P1111</v>
      </c>
      <c r="BC1102" t="str">
        <f ca="1">IFERROR(__xludf.DUMMYFUNCTION("""COMPUTED_VALUE"""),"#VALUE!")</f>
        <v>#VALUE!</v>
      </c>
      <c r="BE1102" t="str">
        <f ca="1">IFERROR(__xludf.DUMMYFUNCTION("""COMPUTED_VALUE"""),"#VALUE!")</f>
        <v>#VALUE!</v>
      </c>
      <c r="BG1102" t="str">
        <f ca="1">IFERROR(__xludf.DUMMYFUNCTION("""COMPUTED_VALUE"""),"#VALUE!")</f>
        <v>#VALUE!</v>
      </c>
      <c r="BI1102" t="str">
        <f ca="1">IFERROR(__xludf.DUMMYFUNCTION("""COMPUTED_VALUE"""),"#VALUE!")</f>
        <v>#VALUE!</v>
      </c>
      <c r="BK1102" t="str">
        <f ca="1">IFERROR(__xludf.DUMMYFUNCTION("""COMPUTED_VALUE"""),"#VALUE!")</f>
        <v>#VALUE!</v>
      </c>
      <c r="BM1102" t="str">
        <f ca="1">IFERROR(__xludf.DUMMYFUNCTION("""COMPUTED_VALUE"""),"#VALUE!")</f>
        <v>#VALUE!</v>
      </c>
      <c r="CS1102" t="str">
        <f ca="1">IFERROR(__xludf.DUMMYFUNCTION("""COMPUTED_VALUE"""),"#VALUE!")</f>
        <v>#VALUE!</v>
      </c>
      <c r="CU1102" t="str">
        <f ca="1">IFERROR(__xludf.DUMMYFUNCTION("""COMPUTED_VALUE"""),"#VALUE!")</f>
        <v>#VALUE!</v>
      </c>
      <c r="CW1102" t="str">
        <f ca="1">IFERROR(__xludf.DUMMYFUNCTION("""COMPUTED_VALUE"""),"#VALUE!")</f>
        <v>#VALUE!</v>
      </c>
      <c r="CY1102" t="str">
        <f ca="1">IFERROR(__xludf.DUMMYFUNCTION("""COMPUTED_VALUE"""),"#VALUE!")</f>
        <v>#VALUE!</v>
      </c>
      <c r="DC1102" t="str">
        <f ca="1">IFERROR(__xludf.DUMMYFUNCTION("""COMPUTED_VALUE"""),"#VALUE!")</f>
        <v>#VALUE!</v>
      </c>
      <c r="DE1102" t="str">
        <f ca="1">IFERROR(__xludf.DUMMYFUNCTION("""COMPUTED_VALUE"""),"#VALUE!")</f>
        <v>#VALUE!</v>
      </c>
    </row>
    <row r="1103" spans="1:109" ht="13.2" x14ac:dyDescent="0.25">
      <c r="A1103" t="str">
        <f ca="1">IFERROR(__xludf.DUMMYFUNCTION("""COMPUTED_VALUE"""),"P1112")</f>
        <v>P1112</v>
      </c>
      <c r="BC1103" t="str">
        <f ca="1">IFERROR(__xludf.DUMMYFUNCTION("""COMPUTED_VALUE"""),"#VALUE!")</f>
        <v>#VALUE!</v>
      </c>
      <c r="BE1103" t="str">
        <f ca="1">IFERROR(__xludf.DUMMYFUNCTION("""COMPUTED_VALUE"""),"#VALUE!")</f>
        <v>#VALUE!</v>
      </c>
      <c r="BG1103" t="str">
        <f ca="1">IFERROR(__xludf.DUMMYFUNCTION("""COMPUTED_VALUE"""),"#VALUE!")</f>
        <v>#VALUE!</v>
      </c>
      <c r="BI1103" t="str">
        <f ca="1">IFERROR(__xludf.DUMMYFUNCTION("""COMPUTED_VALUE"""),"#VALUE!")</f>
        <v>#VALUE!</v>
      </c>
      <c r="BK1103" t="str">
        <f ca="1">IFERROR(__xludf.DUMMYFUNCTION("""COMPUTED_VALUE"""),"#VALUE!")</f>
        <v>#VALUE!</v>
      </c>
      <c r="BM1103" t="str">
        <f ca="1">IFERROR(__xludf.DUMMYFUNCTION("""COMPUTED_VALUE"""),"#VALUE!")</f>
        <v>#VALUE!</v>
      </c>
      <c r="CS1103" t="str">
        <f ca="1">IFERROR(__xludf.DUMMYFUNCTION("""COMPUTED_VALUE"""),"#VALUE!")</f>
        <v>#VALUE!</v>
      </c>
      <c r="CU1103" t="str">
        <f ca="1">IFERROR(__xludf.DUMMYFUNCTION("""COMPUTED_VALUE"""),"#VALUE!")</f>
        <v>#VALUE!</v>
      </c>
      <c r="CW1103" t="str">
        <f ca="1">IFERROR(__xludf.DUMMYFUNCTION("""COMPUTED_VALUE"""),"#VALUE!")</f>
        <v>#VALUE!</v>
      </c>
      <c r="CY1103" t="str">
        <f ca="1">IFERROR(__xludf.DUMMYFUNCTION("""COMPUTED_VALUE"""),"#VALUE!")</f>
        <v>#VALUE!</v>
      </c>
      <c r="DC1103" t="str">
        <f ca="1">IFERROR(__xludf.DUMMYFUNCTION("""COMPUTED_VALUE"""),"#VALUE!")</f>
        <v>#VALUE!</v>
      </c>
      <c r="DE1103" t="str">
        <f ca="1">IFERROR(__xludf.DUMMYFUNCTION("""COMPUTED_VALUE"""),"#VALUE!")</f>
        <v>#VALUE!</v>
      </c>
    </row>
    <row r="1104" spans="1:109" ht="13.2" x14ac:dyDescent="0.25">
      <c r="A1104" t="str">
        <f ca="1">IFERROR(__xludf.DUMMYFUNCTION("""COMPUTED_VALUE"""),"P1113")</f>
        <v>P1113</v>
      </c>
      <c r="BC1104" t="str">
        <f ca="1">IFERROR(__xludf.DUMMYFUNCTION("""COMPUTED_VALUE"""),"#VALUE!")</f>
        <v>#VALUE!</v>
      </c>
      <c r="BE1104" t="str">
        <f ca="1">IFERROR(__xludf.DUMMYFUNCTION("""COMPUTED_VALUE"""),"#VALUE!")</f>
        <v>#VALUE!</v>
      </c>
      <c r="BG1104" t="str">
        <f ca="1">IFERROR(__xludf.DUMMYFUNCTION("""COMPUTED_VALUE"""),"#VALUE!")</f>
        <v>#VALUE!</v>
      </c>
      <c r="BI1104" t="str">
        <f ca="1">IFERROR(__xludf.DUMMYFUNCTION("""COMPUTED_VALUE"""),"#VALUE!")</f>
        <v>#VALUE!</v>
      </c>
      <c r="BK1104" t="str">
        <f ca="1">IFERROR(__xludf.DUMMYFUNCTION("""COMPUTED_VALUE"""),"#VALUE!")</f>
        <v>#VALUE!</v>
      </c>
      <c r="BM1104" t="str">
        <f ca="1">IFERROR(__xludf.DUMMYFUNCTION("""COMPUTED_VALUE"""),"#VALUE!")</f>
        <v>#VALUE!</v>
      </c>
      <c r="CS1104" t="str">
        <f ca="1">IFERROR(__xludf.DUMMYFUNCTION("""COMPUTED_VALUE"""),"#VALUE!")</f>
        <v>#VALUE!</v>
      </c>
      <c r="CU1104" t="str">
        <f ca="1">IFERROR(__xludf.DUMMYFUNCTION("""COMPUTED_VALUE"""),"#VALUE!")</f>
        <v>#VALUE!</v>
      </c>
      <c r="CW1104" t="str">
        <f ca="1">IFERROR(__xludf.DUMMYFUNCTION("""COMPUTED_VALUE"""),"#VALUE!")</f>
        <v>#VALUE!</v>
      </c>
      <c r="CY1104" t="str">
        <f ca="1">IFERROR(__xludf.DUMMYFUNCTION("""COMPUTED_VALUE"""),"#VALUE!")</f>
        <v>#VALUE!</v>
      </c>
      <c r="DC1104" t="str">
        <f ca="1">IFERROR(__xludf.DUMMYFUNCTION("""COMPUTED_VALUE"""),"#VALUE!")</f>
        <v>#VALUE!</v>
      </c>
      <c r="DE1104" t="str">
        <f ca="1">IFERROR(__xludf.DUMMYFUNCTION("""COMPUTED_VALUE"""),"#VALUE!")</f>
        <v>#VALUE!</v>
      </c>
    </row>
    <row r="1105" spans="1:109" ht="13.2" x14ac:dyDescent="0.25">
      <c r="A1105" t="str">
        <f ca="1">IFERROR(__xludf.DUMMYFUNCTION("""COMPUTED_VALUE"""),"P1114")</f>
        <v>P1114</v>
      </c>
      <c r="BC1105" t="str">
        <f ca="1">IFERROR(__xludf.DUMMYFUNCTION("""COMPUTED_VALUE"""),"#VALUE!")</f>
        <v>#VALUE!</v>
      </c>
      <c r="BE1105" t="str">
        <f ca="1">IFERROR(__xludf.DUMMYFUNCTION("""COMPUTED_VALUE"""),"#VALUE!")</f>
        <v>#VALUE!</v>
      </c>
      <c r="BG1105" t="str">
        <f ca="1">IFERROR(__xludf.DUMMYFUNCTION("""COMPUTED_VALUE"""),"#VALUE!")</f>
        <v>#VALUE!</v>
      </c>
      <c r="BI1105" t="str">
        <f ca="1">IFERROR(__xludf.DUMMYFUNCTION("""COMPUTED_VALUE"""),"#VALUE!")</f>
        <v>#VALUE!</v>
      </c>
      <c r="BK1105" t="str">
        <f ca="1">IFERROR(__xludf.DUMMYFUNCTION("""COMPUTED_VALUE"""),"#VALUE!")</f>
        <v>#VALUE!</v>
      </c>
      <c r="BM1105" t="str">
        <f ca="1">IFERROR(__xludf.DUMMYFUNCTION("""COMPUTED_VALUE"""),"#VALUE!")</f>
        <v>#VALUE!</v>
      </c>
      <c r="CS1105" t="str">
        <f ca="1">IFERROR(__xludf.DUMMYFUNCTION("""COMPUTED_VALUE"""),"#VALUE!")</f>
        <v>#VALUE!</v>
      </c>
      <c r="CU1105" t="str">
        <f ca="1">IFERROR(__xludf.DUMMYFUNCTION("""COMPUTED_VALUE"""),"#VALUE!")</f>
        <v>#VALUE!</v>
      </c>
      <c r="CW1105" t="str">
        <f ca="1">IFERROR(__xludf.DUMMYFUNCTION("""COMPUTED_VALUE"""),"#VALUE!")</f>
        <v>#VALUE!</v>
      </c>
      <c r="CY1105" t="str">
        <f ca="1">IFERROR(__xludf.DUMMYFUNCTION("""COMPUTED_VALUE"""),"#VALUE!")</f>
        <v>#VALUE!</v>
      </c>
      <c r="DC1105" t="str">
        <f ca="1">IFERROR(__xludf.DUMMYFUNCTION("""COMPUTED_VALUE"""),"#VALUE!")</f>
        <v>#VALUE!</v>
      </c>
      <c r="DE1105" t="str">
        <f ca="1">IFERROR(__xludf.DUMMYFUNCTION("""COMPUTED_VALUE"""),"#VALUE!")</f>
        <v>#VALUE!</v>
      </c>
    </row>
    <row r="1106" spans="1:109" ht="13.2" x14ac:dyDescent="0.25">
      <c r="A1106" t="str">
        <f ca="1">IFERROR(__xludf.DUMMYFUNCTION("""COMPUTED_VALUE"""),"P1115")</f>
        <v>P1115</v>
      </c>
      <c r="BC1106" t="str">
        <f ca="1">IFERROR(__xludf.DUMMYFUNCTION("""COMPUTED_VALUE"""),"#VALUE!")</f>
        <v>#VALUE!</v>
      </c>
      <c r="BE1106" t="str">
        <f ca="1">IFERROR(__xludf.DUMMYFUNCTION("""COMPUTED_VALUE"""),"#VALUE!")</f>
        <v>#VALUE!</v>
      </c>
      <c r="BG1106" t="str">
        <f ca="1">IFERROR(__xludf.DUMMYFUNCTION("""COMPUTED_VALUE"""),"#VALUE!")</f>
        <v>#VALUE!</v>
      </c>
      <c r="BI1106" t="str">
        <f ca="1">IFERROR(__xludf.DUMMYFUNCTION("""COMPUTED_VALUE"""),"#VALUE!")</f>
        <v>#VALUE!</v>
      </c>
      <c r="BK1106" t="str">
        <f ca="1">IFERROR(__xludf.DUMMYFUNCTION("""COMPUTED_VALUE"""),"#VALUE!")</f>
        <v>#VALUE!</v>
      </c>
      <c r="BM1106" t="str">
        <f ca="1">IFERROR(__xludf.DUMMYFUNCTION("""COMPUTED_VALUE"""),"#VALUE!")</f>
        <v>#VALUE!</v>
      </c>
      <c r="CS1106" t="str">
        <f ca="1">IFERROR(__xludf.DUMMYFUNCTION("""COMPUTED_VALUE"""),"#VALUE!")</f>
        <v>#VALUE!</v>
      </c>
      <c r="CU1106" t="str">
        <f ca="1">IFERROR(__xludf.DUMMYFUNCTION("""COMPUTED_VALUE"""),"#VALUE!")</f>
        <v>#VALUE!</v>
      </c>
      <c r="CW1106" t="str">
        <f ca="1">IFERROR(__xludf.DUMMYFUNCTION("""COMPUTED_VALUE"""),"#VALUE!")</f>
        <v>#VALUE!</v>
      </c>
      <c r="CY1106" t="str">
        <f ca="1">IFERROR(__xludf.DUMMYFUNCTION("""COMPUTED_VALUE"""),"#VALUE!")</f>
        <v>#VALUE!</v>
      </c>
      <c r="DC1106" t="str">
        <f ca="1">IFERROR(__xludf.DUMMYFUNCTION("""COMPUTED_VALUE"""),"#VALUE!")</f>
        <v>#VALUE!</v>
      </c>
      <c r="DE1106" t="str">
        <f ca="1">IFERROR(__xludf.DUMMYFUNCTION("""COMPUTED_VALUE"""),"#VALUE!")</f>
        <v>#VALUE!</v>
      </c>
    </row>
    <row r="1107" spans="1:109" ht="13.2" x14ac:dyDescent="0.25">
      <c r="A1107" t="str">
        <f ca="1">IFERROR(__xludf.DUMMYFUNCTION("""COMPUTED_VALUE"""),"P1116")</f>
        <v>P1116</v>
      </c>
      <c r="BC1107" t="str">
        <f ca="1">IFERROR(__xludf.DUMMYFUNCTION("""COMPUTED_VALUE"""),"#VALUE!")</f>
        <v>#VALUE!</v>
      </c>
      <c r="BE1107" t="str">
        <f ca="1">IFERROR(__xludf.DUMMYFUNCTION("""COMPUTED_VALUE"""),"#VALUE!")</f>
        <v>#VALUE!</v>
      </c>
      <c r="BG1107" t="str">
        <f ca="1">IFERROR(__xludf.DUMMYFUNCTION("""COMPUTED_VALUE"""),"#VALUE!")</f>
        <v>#VALUE!</v>
      </c>
      <c r="BI1107" t="str">
        <f ca="1">IFERROR(__xludf.DUMMYFUNCTION("""COMPUTED_VALUE"""),"#VALUE!")</f>
        <v>#VALUE!</v>
      </c>
      <c r="BK1107" t="str">
        <f ca="1">IFERROR(__xludf.DUMMYFUNCTION("""COMPUTED_VALUE"""),"#VALUE!")</f>
        <v>#VALUE!</v>
      </c>
      <c r="BM1107" t="str">
        <f ca="1">IFERROR(__xludf.DUMMYFUNCTION("""COMPUTED_VALUE"""),"#VALUE!")</f>
        <v>#VALUE!</v>
      </c>
      <c r="CS1107" t="str">
        <f ca="1">IFERROR(__xludf.DUMMYFUNCTION("""COMPUTED_VALUE"""),"#VALUE!")</f>
        <v>#VALUE!</v>
      </c>
      <c r="CU1107" t="str">
        <f ca="1">IFERROR(__xludf.DUMMYFUNCTION("""COMPUTED_VALUE"""),"#VALUE!")</f>
        <v>#VALUE!</v>
      </c>
      <c r="CW1107" t="str">
        <f ca="1">IFERROR(__xludf.DUMMYFUNCTION("""COMPUTED_VALUE"""),"#VALUE!")</f>
        <v>#VALUE!</v>
      </c>
      <c r="CY1107" t="str">
        <f ca="1">IFERROR(__xludf.DUMMYFUNCTION("""COMPUTED_VALUE"""),"#VALUE!")</f>
        <v>#VALUE!</v>
      </c>
      <c r="DC1107" t="str">
        <f ca="1">IFERROR(__xludf.DUMMYFUNCTION("""COMPUTED_VALUE"""),"#VALUE!")</f>
        <v>#VALUE!</v>
      </c>
      <c r="DE1107" t="str">
        <f ca="1">IFERROR(__xludf.DUMMYFUNCTION("""COMPUTED_VALUE"""),"#VALUE!")</f>
        <v>#VALUE!</v>
      </c>
    </row>
    <row r="1108" spans="1:109" ht="13.2" x14ac:dyDescent="0.25">
      <c r="A1108" t="str">
        <f ca="1">IFERROR(__xludf.DUMMYFUNCTION("""COMPUTED_VALUE"""),"P1117")</f>
        <v>P1117</v>
      </c>
      <c r="BC1108" t="str">
        <f ca="1">IFERROR(__xludf.DUMMYFUNCTION("""COMPUTED_VALUE"""),"#VALUE!")</f>
        <v>#VALUE!</v>
      </c>
      <c r="BE1108" t="str">
        <f ca="1">IFERROR(__xludf.DUMMYFUNCTION("""COMPUTED_VALUE"""),"#VALUE!")</f>
        <v>#VALUE!</v>
      </c>
      <c r="BG1108" t="str">
        <f ca="1">IFERROR(__xludf.DUMMYFUNCTION("""COMPUTED_VALUE"""),"#VALUE!")</f>
        <v>#VALUE!</v>
      </c>
      <c r="BI1108" t="str">
        <f ca="1">IFERROR(__xludf.DUMMYFUNCTION("""COMPUTED_VALUE"""),"#VALUE!")</f>
        <v>#VALUE!</v>
      </c>
      <c r="BK1108" t="str">
        <f ca="1">IFERROR(__xludf.DUMMYFUNCTION("""COMPUTED_VALUE"""),"#VALUE!")</f>
        <v>#VALUE!</v>
      </c>
      <c r="BM1108" t="str">
        <f ca="1">IFERROR(__xludf.DUMMYFUNCTION("""COMPUTED_VALUE"""),"#VALUE!")</f>
        <v>#VALUE!</v>
      </c>
      <c r="CS1108" t="str">
        <f ca="1">IFERROR(__xludf.DUMMYFUNCTION("""COMPUTED_VALUE"""),"#VALUE!")</f>
        <v>#VALUE!</v>
      </c>
      <c r="CU1108" t="str">
        <f ca="1">IFERROR(__xludf.DUMMYFUNCTION("""COMPUTED_VALUE"""),"#VALUE!")</f>
        <v>#VALUE!</v>
      </c>
      <c r="CW1108" t="str">
        <f ca="1">IFERROR(__xludf.DUMMYFUNCTION("""COMPUTED_VALUE"""),"#VALUE!")</f>
        <v>#VALUE!</v>
      </c>
      <c r="CY1108" t="str">
        <f ca="1">IFERROR(__xludf.DUMMYFUNCTION("""COMPUTED_VALUE"""),"#VALUE!")</f>
        <v>#VALUE!</v>
      </c>
      <c r="DC1108" t="str">
        <f ca="1">IFERROR(__xludf.DUMMYFUNCTION("""COMPUTED_VALUE"""),"#VALUE!")</f>
        <v>#VALUE!</v>
      </c>
      <c r="DE1108" t="str">
        <f ca="1">IFERROR(__xludf.DUMMYFUNCTION("""COMPUTED_VALUE"""),"#VALUE!")</f>
        <v>#VALUE!</v>
      </c>
    </row>
    <row r="1109" spans="1:109" ht="13.2" x14ac:dyDescent="0.25">
      <c r="A1109" t="str">
        <f ca="1">IFERROR(__xludf.DUMMYFUNCTION("""COMPUTED_VALUE"""),"P1118")</f>
        <v>P1118</v>
      </c>
      <c r="BC1109" t="str">
        <f ca="1">IFERROR(__xludf.DUMMYFUNCTION("""COMPUTED_VALUE"""),"#VALUE!")</f>
        <v>#VALUE!</v>
      </c>
      <c r="BE1109" t="str">
        <f ca="1">IFERROR(__xludf.DUMMYFUNCTION("""COMPUTED_VALUE"""),"#VALUE!")</f>
        <v>#VALUE!</v>
      </c>
      <c r="BG1109" t="str">
        <f ca="1">IFERROR(__xludf.DUMMYFUNCTION("""COMPUTED_VALUE"""),"#VALUE!")</f>
        <v>#VALUE!</v>
      </c>
      <c r="BI1109" t="str">
        <f ca="1">IFERROR(__xludf.DUMMYFUNCTION("""COMPUTED_VALUE"""),"#VALUE!")</f>
        <v>#VALUE!</v>
      </c>
      <c r="BK1109" t="str">
        <f ca="1">IFERROR(__xludf.DUMMYFUNCTION("""COMPUTED_VALUE"""),"#VALUE!")</f>
        <v>#VALUE!</v>
      </c>
      <c r="BM1109" t="str">
        <f ca="1">IFERROR(__xludf.DUMMYFUNCTION("""COMPUTED_VALUE"""),"#VALUE!")</f>
        <v>#VALUE!</v>
      </c>
      <c r="CS1109" t="str">
        <f ca="1">IFERROR(__xludf.DUMMYFUNCTION("""COMPUTED_VALUE"""),"#VALUE!")</f>
        <v>#VALUE!</v>
      </c>
      <c r="CU1109" t="str">
        <f ca="1">IFERROR(__xludf.DUMMYFUNCTION("""COMPUTED_VALUE"""),"#VALUE!")</f>
        <v>#VALUE!</v>
      </c>
      <c r="CW1109" t="str">
        <f ca="1">IFERROR(__xludf.DUMMYFUNCTION("""COMPUTED_VALUE"""),"#VALUE!")</f>
        <v>#VALUE!</v>
      </c>
      <c r="CY1109" t="str">
        <f ca="1">IFERROR(__xludf.DUMMYFUNCTION("""COMPUTED_VALUE"""),"#VALUE!")</f>
        <v>#VALUE!</v>
      </c>
      <c r="DC1109" t="str">
        <f ca="1">IFERROR(__xludf.DUMMYFUNCTION("""COMPUTED_VALUE"""),"#VALUE!")</f>
        <v>#VALUE!</v>
      </c>
      <c r="DE1109" t="str">
        <f ca="1">IFERROR(__xludf.DUMMYFUNCTION("""COMPUTED_VALUE"""),"#VALUE!")</f>
        <v>#VALUE!</v>
      </c>
    </row>
    <row r="1110" spans="1:109" ht="13.2" x14ac:dyDescent="0.25">
      <c r="A1110" t="str">
        <f ca="1">IFERROR(__xludf.DUMMYFUNCTION("""COMPUTED_VALUE"""),"P1119")</f>
        <v>P1119</v>
      </c>
      <c r="BC1110" t="str">
        <f ca="1">IFERROR(__xludf.DUMMYFUNCTION("""COMPUTED_VALUE"""),"#VALUE!")</f>
        <v>#VALUE!</v>
      </c>
      <c r="BE1110" t="str">
        <f ca="1">IFERROR(__xludf.DUMMYFUNCTION("""COMPUTED_VALUE"""),"#VALUE!")</f>
        <v>#VALUE!</v>
      </c>
      <c r="BG1110" t="str">
        <f ca="1">IFERROR(__xludf.DUMMYFUNCTION("""COMPUTED_VALUE"""),"#VALUE!")</f>
        <v>#VALUE!</v>
      </c>
      <c r="BI1110" t="str">
        <f ca="1">IFERROR(__xludf.DUMMYFUNCTION("""COMPUTED_VALUE"""),"#VALUE!")</f>
        <v>#VALUE!</v>
      </c>
      <c r="BK1110" t="str">
        <f ca="1">IFERROR(__xludf.DUMMYFUNCTION("""COMPUTED_VALUE"""),"#VALUE!")</f>
        <v>#VALUE!</v>
      </c>
      <c r="BM1110" t="str">
        <f ca="1">IFERROR(__xludf.DUMMYFUNCTION("""COMPUTED_VALUE"""),"#VALUE!")</f>
        <v>#VALUE!</v>
      </c>
      <c r="CS1110" t="str">
        <f ca="1">IFERROR(__xludf.DUMMYFUNCTION("""COMPUTED_VALUE"""),"#VALUE!")</f>
        <v>#VALUE!</v>
      </c>
      <c r="CU1110" t="str">
        <f ca="1">IFERROR(__xludf.DUMMYFUNCTION("""COMPUTED_VALUE"""),"#VALUE!")</f>
        <v>#VALUE!</v>
      </c>
      <c r="CW1110" t="str">
        <f ca="1">IFERROR(__xludf.DUMMYFUNCTION("""COMPUTED_VALUE"""),"#VALUE!")</f>
        <v>#VALUE!</v>
      </c>
      <c r="CY1110" t="str">
        <f ca="1">IFERROR(__xludf.DUMMYFUNCTION("""COMPUTED_VALUE"""),"#VALUE!")</f>
        <v>#VALUE!</v>
      </c>
      <c r="DC1110" t="str">
        <f ca="1">IFERROR(__xludf.DUMMYFUNCTION("""COMPUTED_VALUE"""),"#VALUE!")</f>
        <v>#VALUE!</v>
      </c>
      <c r="DE1110" t="str">
        <f ca="1">IFERROR(__xludf.DUMMYFUNCTION("""COMPUTED_VALUE"""),"#VALUE!")</f>
        <v>#VALUE!</v>
      </c>
    </row>
    <row r="1111" spans="1:109" ht="13.2" x14ac:dyDescent="0.25">
      <c r="A1111" t="str">
        <f ca="1">IFERROR(__xludf.DUMMYFUNCTION("""COMPUTED_VALUE"""),"P1120")</f>
        <v>P1120</v>
      </c>
      <c r="BC1111" t="str">
        <f ca="1">IFERROR(__xludf.DUMMYFUNCTION("""COMPUTED_VALUE"""),"#VALUE!")</f>
        <v>#VALUE!</v>
      </c>
      <c r="BE1111" t="str">
        <f ca="1">IFERROR(__xludf.DUMMYFUNCTION("""COMPUTED_VALUE"""),"#VALUE!")</f>
        <v>#VALUE!</v>
      </c>
      <c r="BG1111" t="str">
        <f ca="1">IFERROR(__xludf.DUMMYFUNCTION("""COMPUTED_VALUE"""),"#VALUE!")</f>
        <v>#VALUE!</v>
      </c>
      <c r="BI1111" t="str">
        <f ca="1">IFERROR(__xludf.DUMMYFUNCTION("""COMPUTED_VALUE"""),"#VALUE!")</f>
        <v>#VALUE!</v>
      </c>
      <c r="BK1111" t="str">
        <f ca="1">IFERROR(__xludf.DUMMYFUNCTION("""COMPUTED_VALUE"""),"#VALUE!")</f>
        <v>#VALUE!</v>
      </c>
      <c r="BM1111" t="str">
        <f ca="1">IFERROR(__xludf.DUMMYFUNCTION("""COMPUTED_VALUE"""),"#VALUE!")</f>
        <v>#VALUE!</v>
      </c>
      <c r="CS1111" t="str">
        <f ca="1">IFERROR(__xludf.DUMMYFUNCTION("""COMPUTED_VALUE"""),"#VALUE!")</f>
        <v>#VALUE!</v>
      </c>
      <c r="CU1111" t="str">
        <f ca="1">IFERROR(__xludf.DUMMYFUNCTION("""COMPUTED_VALUE"""),"#VALUE!")</f>
        <v>#VALUE!</v>
      </c>
      <c r="CW1111" t="str">
        <f ca="1">IFERROR(__xludf.DUMMYFUNCTION("""COMPUTED_VALUE"""),"#VALUE!")</f>
        <v>#VALUE!</v>
      </c>
      <c r="CY1111" t="str">
        <f ca="1">IFERROR(__xludf.DUMMYFUNCTION("""COMPUTED_VALUE"""),"#VALUE!")</f>
        <v>#VALUE!</v>
      </c>
      <c r="DC1111" t="str">
        <f ca="1">IFERROR(__xludf.DUMMYFUNCTION("""COMPUTED_VALUE"""),"#VALUE!")</f>
        <v>#VALUE!</v>
      </c>
      <c r="DE1111" t="str">
        <f ca="1">IFERROR(__xludf.DUMMYFUNCTION("""COMPUTED_VALUE"""),"#VALUE!")</f>
        <v>#VALUE!</v>
      </c>
    </row>
    <row r="1112" spans="1:109" ht="13.2" x14ac:dyDescent="0.25">
      <c r="A1112" t="str">
        <f ca="1">IFERROR(__xludf.DUMMYFUNCTION("""COMPUTED_VALUE"""),"P1121")</f>
        <v>P1121</v>
      </c>
      <c r="BC1112" t="str">
        <f ca="1">IFERROR(__xludf.DUMMYFUNCTION("""COMPUTED_VALUE"""),"#VALUE!")</f>
        <v>#VALUE!</v>
      </c>
      <c r="BE1112" t="str">
        <f ca="1">IFERROR(__xludf.DUMMYFUNCTION("""COMPUTED_VALUE"""),"#VALUE!")</f>
        <v>#VALUE!</v>
      </c>
      <c r="BG1112" t="str">
        <f ca="1">IFERROR(__xludf.DUMMYFUNCTION("""COMPUTED_VALUE"""),"#VALUE!")</f>
        <v>#VALUE!</v>
      </c>
      <c r="BI1112" t="str">
        <f ca="1">IFERROR(__xludf.DUMMYFUNCTION("""COMPUTED_VALUE"""),"#VALUE!")</f>
        <v>#VALUE!</v>
      </c>
      <c r="BK1112" t="str">
        <f ca="1">IFERROR(__xludf.DUMMYFUNCTION("""COMPUTED_VALUE"""),"#VALUE!")</f>
        <v>#VALUE!</v>
      </c>
      <c r="BM1112" t="str">
        <f ca="1">IFERROR(__xludf.DUMMYFUNCTION("""COMPUTED_VALUE"""),"#VALUE!")</f>
        <v>#VALUE!</v>
      </c>
      <c r="CS1112" t="str">
        <f ca="1">IFERROR(__xludf.DUMMYFUNCTION("""COMPUTED_VALUE"""),"#VALUE!")</f>
        <v>#VALUE!</v>
      </c>
      <c r="CU1112" t="str">
        <f ca="1">IFERROR(__xludf.DUMMYFUNCTION("""COMPUTED_VALUE"""),"#VALUE!")</f>
        <v>#VALUE!</v>
      </c>
      <c r="CW1112" t="str">
        <f ca="1">IFERROR(__xludf.DUMMYFUNCTION("""COMPUTED_VALUE"""),"#VALUE!")</f>
        <v>#VALUE!</v>
      </c>
      <c r="CY1112" t="str">
        <f ca="1">IFERROR(__xludf.DUMMYFUNCTION("""COMPUTED_VALUE"""),"#VALUE!")</f>
        <v>#VALUE!</v>
      </c>
      <c r="DC1112" t="str">
        <f ca="1">IFERROR(__xludf.DUMMYFUNCTION("""COMPUTED_VALUE"""),"#VALUE!")</f>
        <v>#VALUE!</v>
      </c>
      <c r="DE1112" t="str">
        <f ca="1">IFERROR(__xludf.DUMMYFUNCTION("""COMPUTED_VALUE"""),"#VALUE!")</f>
        <v>#VALUE!</v>
      </c>
    </row>
    <row r="1113" spans="1:109" ht="13.2" x14ac:dyDescent="0.25">
      <c r="A1113" t="str">
        <f ca="1">IFERROR(__xludf.DUMMYFUNCTION("""COMPUTED_VALUE"""),"P1122")</f>
        <v>P1122</v>
      </c>
      <c r="BC1113" t="str">
        <f ca="1">IFERROR(__xludf.DUMMYFUNCTION("""COMPUTED_VALUE"""),"#VALUE!")</f>
        <v>#VALUE!</v>
      </c>
      <c r="BE1113" t="str">
        <f ca="1">IFERROR(__xludf.DUMMYFUNCTION("""COMPUTED_VALUE"""),"#VALUE!")</f>
        <v>#VALUE!</v>
      </c>
      <c r="BG1113" t="str">
        <f ca="1">IFERROR(__xludf.DUMMYFUNCTION("""COMPUTED_VALUE"""),"#VALUE!")</f>
        <v>#VALUE!</v>
      </c>
      <c r="BI1113" t="str">
        <f ca="1">IFERROR(__xludf.DUMMYFUNCTION("""COMPUTED_VALUE"""),"#VALUE!")</f>
        <v>#VALUE!</v>
      </c>
      <c r="BK1113" t="str">
        <f ca="1">IFERROR(__xludf.DUMMYFUNCTION("""COMPUTED_VALUE"""),"#VALUE!")</f>
        <v>#VALUE!</v>
      </c>
      <c r="BM1113" t="str">
        <f ca="1">IFERROR(__xludf.DUMMYFUNCTION("""COMPUTED_VALUE"""),"#VALUE!")</f>
        <v>#VALUE!</v>
      </c>
      <c r="CS1113" t="str">
        <f ca="1">IFERROR(__xludf.DUMMYFUNCTION("""COMPUTED_VALUE"""),"#VALUE!")</f>
        <v>#VALUE!</v>
      </c>
      <c r="CU1113" t="str">
        <f ca="1">IFERROR(__xludf.DUMMYFUNCTION("""COMPUTED_VALUE"""),"#VALUE!")</f>
        <v>#VALUE!</v>
      </c>
      <c r="CW1113" t="str">
        <f ca="1">IFERROR(__xludf.DUMMYFUNCTION("""COMPUTED_VALUE"""),"#VALUE!")</f>
        <v>#VALUE!</v>
      </c>
      <c r="CY1113" t="str">
        <f ca="1">IFERROR(__xludf.DUMMYFUNCTION("""COMPUTED_VALUE"""),"#VALUE!")</f>
        <v>#VALUE!</v>
      </c>
      <c r="DC1113" t="str">
        <f ca="1">IFERROR(__xludf.DUMMYFUNCTION("""COMPUTED_VALUE"""),"#VALUE!")</f>
        <v>#VALUE!</v>
      </c>
      <c r="DE1113" t="str">
        <f ca="1">IFERROR(__xludf.DUMMYFUNCTION("""COMPUTED_VALUE"""),"#VALUE!")</f>
        <v>#VALUE!</v>
      </c>
    </row>
    <row r="1114" spans="1:109" ht="13.2" x14ac:dyDescent="0.25">
      <c r="A1114" t="str">
        <f ca="1">IFERROR(__xludf.DUMMYFUNCTION("""COMPUTED_VALUE"""),"P1123")</f>
        <v>P1123</v>
      </c>
      <c r="BC1114" t="str">
        <f ca="1">IFERROR(__xludf.DUMMYFUNCTION("""COMPUTED_VALUE"""),"#VALUE!")</f>
        <v>#VALUE!</v>
      </c>
      <c r="BE1114" t="str">
        <f ca="1">IFERROR(__xludf.DUMMYFUNCTION("""COMPUTED_VALUE"""),"#VALUE!")</f>
        <v>#VALUE!</v>
      </c>
      <c r="BG1114" t="str">
        <f ca="1">IFERROR(__xludf.DUMMYFUNCTION("""COMPUTED_VALUE"""),"#VALUE!")</f>
        <v>#VALUE!</v>
      </c>
      <c r="BI1114" t="str">
        <f ca="1">IFERROR(__xludf.DUMMYFUNCTION("""COMPUTED_VALUE"""),"#VALUE!")</f>
        <v>#VALUE!</v>
      </c>
      <c r="BK1114" t="str">
        <f ca="1">IFERROR(__xludf.DUMMYFUNCTION("""COMPUTED_VALUE"""),"#VALUE!")</f>
        <v>#VALUE!</v>
      </c>
      <c r="BM1114" t="str">
        <f ca="1">IFERROR(__xludf.DUMMYFUNCTION("""COMPUTED_VALUE"""),"#VALUE!")</f>
        <v>#VALUE!</v>
      </c>
      <c r="CS1114" t="str">
        <f ca="1">IFERROR(__xludf.DUMMYFUNCTION("""COMPUTED_VALUE"""),"#VALUE!")</f>
        <v>#VALUE!</v>
      </c>
      <c r="CU1114" t="str">
        <f ca="1">IFERROR(__xludf.DUMMYFUNCTION("""COMPUTED_VALUE"""),"#VALUE!")</f>
        <v>#VALUE!</v>
      </c>
      <c r="CW1114" t="str">
        <f ca="1">IFERROR(__xludf.DUMMYFUNCTION("""COMPUTED_VALUE"""),"#VALUE!")</f>
        <v>#VALUE!</v>
      </c>
      <c r="CY1114" t="str">
        <f ca="1">IFERROR(__xludf.DUMMYFUNCTION("""COMPUTED_VALUE"""),"#VALUE!")</f>
        <v>#VALUE!</v>
      </c>
      <c r="DC1114" t="str">
        <f ca="1">IFERROR(__xludf.DUMMYFUNCTION("""COMPUTED_VALUE"""),"#VALUE!")</f>
        <v>#VALUE!</v>
      </c>
      <c r="DE1114" t="str">
        <f ca="1">IFERROR(__xludf.DUMMYFUNCTION("""COMPUTED_VALUE"""),"#VALUE!")</f>
        <v>#VALUE!</v>
      </c>
    </row>
    <row r="1115" spans="1:109" ht="13.2" x14ac:dyDescent="0.25">
      <c r="A1115" t="str">
        <f ca="1">IFERROR(__xludf.DUMMYFUNCTION("""COMPUTED_VALUE"""),"P1124")</f>
        <v>P1124</v>
      </c>
      <c r="BC1115" t="str">
        <f ca="1">IFERROR(__xludf.DUMMYFUNCTION("""COMPUTED_VALUE"""),"#VALUE!")</f>
        <v>#VALUE!</v>
      </c>
      <c r="BE1115" t="str">
        <f ca="1">IFERROR(__xludf.DUMMYFUNCTION("""COMPUTED_VALUE"""),"#VALUE!")</f>
        <v>#VALUE!</v>
      </c>
      <c r="BG1115" t="str">
        <f ca="1">IFERROR(__xludf.DUMMYFUNCTION("""COMPUTED_VALUE"""),"#VALUE!")</f>
        <v>#VALUE!</v>
      </c>
      <c r="BI1115" t="str">
        <f ca="1">IFERROR(__xludf.DUMMYFUNCTION("""COMPUTED_VALUE"""),"#VALUE!")</f>
        <v>#VALUE!</v>
      </c>
      <c r="BK1115" t="str">
        <f ca="1">IFERROR(__xludf.DUMMYFUNCTION("""COMPUTED_VALUE"""),"#VALUE!")</f>
        <v>#VALUE!</v>
      </c>
      <c r="BM1115" t="str">
        <f ca="1">IFERROR(__xludf.DUMMYFUNCTION("""COMPUTED_VALUE"""),"#VALUE!")</f>
        <v>#VALUE!</v>
      </c>
      <c r="CS1115" t="str">
        <f ca="1">IFERROR(__xludf.DUMMYFUNCTION("""COMPUTED_VALUE"""),"#VALUE!")</f>
        <v>#VALUE!</v>
      </c>
      <c r="CU1115" t="str">
        <f ca="1">IFERROR(__xludf.DUMMYFUNCTION("""COMPUTED_VALUE"""),"#VALUE!")</f>
        <v>#VALUE!</v>
      </c>
      <c r="CW1115" t="str">
        <f ca="1">IFERROR(__xludf.DUMMYFUNCTION("""COMPUTED_VALUE"""),"#VALUE!")</f>
        <v>#VALUE!</v>
      </c>
      <c r="CY1115" t="str">
        <f ca="1">IFERROR(__xludf.DUMMYFUNCTION("""COMPUTED_VALUE"""),"#VALUE!")</f>
        <v>#VALUE!</v>
      </c>
      <c r="DC1115" t="str">
        <f ca="1">IFERROR(__xludf.DUMMYFUNCTION("""COMPUTED_VALUE"""),"#VALUE!")</f>
        <v>#VALUE!</v>
      </c>
      <c r="DE1115" t="str">
        <f ca="1">IFERROR(__xludf.DUMMYFUNCTION("""COMPUTED_VALUE"""),"#VALUE!")</f>
        <v>#VALUE!</v>
      </c>
    </row>
    <row r="1116" spans="1:109" ht="13.2" x14ac:dyDescent="0.25">
      <c r="A1116" t="str">
        <f ca="1">IFERROR(__xludf.DUMMYFUNCTION("""COMPUTED_VALUE"""),"P1125")</f>
        <v>P1125</v>
      </c>
      <c r="BC1116" t="str">
        <f ca="1">IFERROR(__xludf.DUMMYFUNCTION("""COMPUTED_VALUE"""),"#VALUE!")</f>
        <v>#VALUE!</v>
      </c>
      <c r="BE1116" t="str">
        <f ca="1">IFERROR(__xludf.DUMMYFUNCTION("""COMPUTED_VALUE"""),"#VALUE!")</f>
        <v>#VALUE!</v>
      </c>
      <c r="BG1116" t="str">
        <f ca="1">IFERROR(__xludf.DUMMYFUNCTION("""COMPUTED_VALUE"""),"#VALUE!")</f>
        <v>#VALUE!</v>
      </c>
      <c r="BI1116" t="str">
        <f ca="1">IFERROR(__xludf.DUMMYFUNCTION("""COMPUTED_VALUE"""),"#VALUE!")</f>
        <v>#VALUE!</v>
      </c>
      <c r="BK1116" t="str">
        <f ca="1">IFERROR(__xludf.DUMMYFUNCTION("""COMPUTED_VALUE"""),"#VALUE!")</f>
        <v>#VALUE!</v>
      </c>
      <c r="BM1116" t="str">
        <f ca="1">IFERROR(__xludf.DUMMYFUNCTION("""COMPUTED_VALUE"""),"#VALUE!")</f>
        <v>#VALUE!</v>
      </c>
      <c r="CS1116" t="str">
        <f ca="1">IFERROR(__xludf.DUMMYFUNCTION("""COMPUTED_VALUE"""),"#VALUE!")</f>
        <v>#VALUE!</v>
      </c>
      <c r="CU1116" t="str">
        <f ca="1">IFERROR(__xludf.DUMMYFUNCTION("""COMPUTED_VALUE"""),"#VALUE!")</f>
        <v>#VALUE!</v>
      </c>
      <c r="CW1116" t="str">
        <f ca="1">IFERROR(__xludf.DUMMYFUNCTION("""COMPUTED_VALUE"""),"#VALUE!")</f>
        <v>#VALUE!</v>
      </c>
      <c r="CY1116" t="str">
        <f ca="1">IFERROR(__xludf.DUMMYFUNCTION("""COMPUTED_VALUE"""),"#VALUE!")</f>
        <v>#VALUE!</v>
      </c>
      <c r="DC1116" t="str">
        <f ca="1">IFERROR(__xludf.DUMMYFUNCTION("""COMPUTED_VALUE"""),"#VALUE!")</f>
        <v>#VALUE!</v>
      </c>
      <c r="DE1116" t="str">
        <f ca="1">IFERROR(__xludf.DUMMYFUNCTION("""COMPUTED_VALUE"""),"#VALUE!")</f>
        <v>#VALUE!</v>
      </c>
    </row>
    <row r="1117" spans="1:109" ht="13.2" x14ac:dyDescent="0.25">
      <c r="A1117" t="str">
        <f ca="1">IFERROR(__xludf.DUMMYFUNCTION("""COMPUTED_VALUE"""),"P1126")</f>
        <v>P1126</v>
      </c>
      <c r="BC1117" t="str">
        <f ca="1">IFERROR(__xludf.DUMMYFUNCTION("""COMPUTED_VALUE"""),"#VALUE!")</f>
        <v>#VALUE!</v>
      </c>
      <c r="BE1117" t="str">
        <f ca="1">IFERROR(__xludf.DUMMYFUNCTION("""COMPUTED_VALUE"""),"#VALUE!")</f>
        <v>#VALUE!</v>
      </c>
      <c r="BG1117" t="str">
        <f ca="1">IFERROR(__xludf.DUMMYFUNCTION("""COMPUTED_VALUE"""),"#VALUE!")</f>
        <v>#VALUE!</v>
      </c>
      <c r="BI1117" t="str">
        <f ca="1">IFERROR(__xludf.DUMMYFUNCTION("""COMPUTED_VALUE"""),"#VALUE!")</f>
        <v>#VALUE!</v>
      </c>
      <c r="BK1117" t="str">
        <f ca="1">IFERROR(__xludf.DUMMYFUNCTION("""COMPUTED_VALUE"""),"#VALUE!")</f>
        <v>#VALUE!</v>
      </c>
      <c r="BM1117" t="str">
        <f ca="1">IFERROR(__xludf.DUMMYFUNCTION("""COMPUTED_VALUE"""),"#VALUE!")</f>
        <v>#VALUE!</v>
      </c>
      <c r="CS1117" t="str">
        <f ca="1">IFERROR(__xludf.DUMMYFUNCTION("""COMPUTED_VALUE"""),"#VALUE!")</f>
        <v>#VALUE!</v>
      </c>
      <c r="CU1117" t="str">
        <f ca="1">IFERROR(__xludf.DUMMYFUNCTION("""COMPUTED_VALUE"""),"#VALUE!")</f>
        <v>#VALUE!</v>
      </c>
      <c r="CW1117" t="str">
        <f ca="1">IFERROR(__xludf.DUMMYFUNCTION("""COMPUTED_VALUE"""),"#VALUE!")</f>
        <v>#VALUE!</v>
      </c>
      <c r="CY1117" t="str">
        <f ca="1">IFERROR(__xludf.DUMMYFUNCTION("""COMPUTED_VALUE"""),"#VALUE!")</f>
        <v>#VALUE!</v>
      </c>
      <c r="DC1117" t="str">
        <f ca="1">IFERROR(__xludf.DUMMYFUNCTION("""COMPUTED_VALUE"""),"#VALUE!")</f>
        <v>#VALUE!</v>
      </c>
      <c r="DE1117" t="str">
        <f ca="1">IFERROR(__xludf.DUMMYFUNCTION("""COMPUTED_VALUE"""),"#VALUE!")</f>
        <v>#VALUE!</v>
      </c>
    </row>
    <row r="1118" spans="1:109" ht="13.2" x14ac:dyDescent="0.25">
      <c r="A1118" t="str">
        <f ca="1">IFERROR(__xludf.DUMMYFUNCTION("""COMPUTED_VALUE"""),"P1127")</f>
        <v>P1127</v>
      </c>
      <c r="BC1118" t="str">
        <f ca="1">IFERROR(__xludf.DUMMYFUNCTION("""COMPUTED_VALUE"""),"#VALUE!")</f>
        <v>#VALUE!</v>
      </c>
      <c r="BE1118" t="str">
        <f ca="1">IFERROR(__xludf.DUMMYFUNCTION("""COMPUTED_VALUE"""),"#VALUE!")</f>
        <v>#VALUE!</v>
      </c>
      <c r="BG1118" t="str">
        <f ca="1">IFERROR(__xludf.DUMMYFUNCTION("""COMPUTED_VALUE"""),"#VALUE!")</f>
        <v>#VALUE!</v>
      </c>
      <c r="BI1118" t="str">
        <f ca="1">IFERROR(__xludf.DUMMYFUNCTION("""COMPUTED_VALUE"""),"#VALUE!")</f>
        <v>#VALUE!</v>
      </c>
      <c r="BK1118" t="str">
        <f ca="1">IFERROR(__xludf.DUMMYFUNCTION("""COMPUTED_VALUE"""),"#VALUE!")</f>
        <v>#VALUE!</v>
      </c>
      <c r="BM1118" t="str">
        <f ca="1">IFERROR(__xludf.DUMMYFUNCTION("""COMPUTED_VALUE"""),"#VALUE!")</f>
        <v>#VALUE!</v>
      </c>
      <c r="CS1118" t="str">
        <f ca="1">IFERROR(__xludf.DUMMYFUNCTION("""COMPUTED_VALUE"""),"#VALUE!")</f>
        <v>#VALUE!</v>
      </c>
      <c r="CU1118" t="str">
        <f ca="1">IFERROR(__xludf.DUMMYFUNCTION("""COMPUTED_VALUE"""),"#VALUE!")</f>
        <v>#VALUE!</v>
      </c>
      <c r="CW1118" t="str">
        <f ca="1">IFERROR(__xludf.DUMMYFUNCTION("""COMPUTED_VALUE"""),"#VALUE!")</f>
        <v>#VALUE!</v>
      </c>
      <c r="CY1118" t="str">
        <f ca="1">IFERROR(__xludf.DUMMYFUNCTION("""COMPUTED_VALUE"""),"#VALUE!")</f>
        <v>#VALUE!</v>
      </c>
      <c r="DC1118" t="str">
        <f ca="1">IFERROR(__xludf.DUMMYFUNCTION("""COMPUTED_VALUE"""),"#VALUE!")</f>
        <v>#VALUE!</v>
      </c>
      <c r="DE1118" t="str">
        <f ca="1">IFERROR(__xludf.DUMMYFUNCTION("""COMPUTED_VALUE"""),"#VALUE!")</f>
        <v>#VALUE!</v>
      </c>
    </row>
    <row r="1119" spans="1:109" ht="13.2" x14ac:dyDescent="0.25">
      <c r="A1119" t="str">
        <f ca="1">IFERROR(__xludf.DUMMYFUNCTION("""COMPUTED_VALUE"""),"P1128")</f>
        <v>P1128</v>
      </c>
      <c r="BC1119" t="str">
        <f ca="1">IFERROR(__xludf.DUMMYFUNCTION("""COMPUTED_VALUE"""),"#VALUE!")</f>
        <v>#VALUE!</v>
      </c>
      <c r="BE1119" t="str">
        <f ca="1">IFERROR(__xludf.DUMMYFUNCTION("""COMPUTED_VALUE"""),"#VALUE!")</f>
        <v>#VALUE!</v>
      </c>
      <c r="BG1119" t="str">
        <f ca="1">IFERROR(__xludf.DUMMYFUNCTION("""COMPUTED_VALUE"""),"#VALUE!")</f>
        <v>#VALUE!</v>
      </c>
      <c r="BI1119" t="str">
        <f ca="1">IFERROR(__xludf.DUMMYFUNCTION("""COMPUTED_VALUE"""),"#VALUE!")</f>
        <v>#VALUE!</v>
      </c>
      <c r="BK1119" t="str">
        <f ca="1">IFERROR(__xludf.DUMMYFUNCTION("""COMPUTED_VALUE"""),"#VALUE!")</f>
        <v>#VALUE!</v>
      </c>
      <c r="BM1119" t="str">
        <f ca="1">IFERROR(__xludf.DUMMYFUNCTION("""COMPUTED_VALUE"""),"#VALUE!")</f>
        <v>#VALUE!</v>
      </c>
      <c r="CS1119" t="str">
        <f ca="1">IFERROR(__xludf.DUMMYFUNCTION("""COMPUTED_VALUE"""),"#VALUE!")</f>
        <v>#VALUE!</v>
      </c>
      <c r="CU1119" t="str">
        <f ca="1">IFERROR(__xludf.DUMMYFUNCTION("""COMPUTED_VALUE"""),"#VALUE!")</f>
        <v>#VALUE!</v>
      </c>
      <c r="CW1119" t="str">
        <f ca="1">IFERROR(__xludf.DUMMYFUNCTION("""COMPUTED_VALUE"""),"#VALUE!")</f>
        <v>#VALUE!</v>
      </c>
      <c r="CY1119" t="str">
        <f ca="1">IFERROR(__xludf.DUMMYFUNCTION("""COMPUTED_VALUE"""),"#VALUE!")</f>
        <v>#VALUE!</v>
      </c>
      <c r="DC1119" t="str">
        <f ca="1">IFERROR(__xludf.DUMMYFUNCTION("""COMPUTED_VALUE"""),"#VALUE!")</f>
        <v>#VALUE!</v>
      </c>
      <c r="DE1119" t="str">
        <f ca="1">IFERROR(__xludf.DUMMYFUNCTION("""COMPUTED_VALUE"""),"#VALUE!")</f>
        <v>#VALUE!</v>
      </c>
    </row>
    <row r="1120" spans="1:109" ht="13.2" x14ac:dyDescent="0.25">
      <c r="A1120" t="str">
        <f ca="1">IFERROR(__xludf.DUMMYFUNCTION("""COMPUTED_VALUE"""),"P1129")</f>
        <v>P1129</v>
      </c>
      <c r="BC1120" t="str">
        <f ca="1">IFERROR(__xludf.DUMMYFUNCTION("""COMPUTED_VALUE"""),"#VALUE!")</f>
        <v>#VALUE!</v>
      </c>
      <c r="BE1120" t="str">
        <f ca="1">IFERROR(__xludf.DUMMYFUNCTION("""COMPUTED_VALUE"""),"#VALUE!")</f>
        <v>#VALUE!</v>
      </c>
      <c r="BG1120" t="str">
        <f ca="1">IFERROR(__xludf.DUMMYFUNCTION("""COMPUTED_VALUE"""),"#VALUE!")</f>
        <v>#VALUE!</v>
      </c>
      <c r="BI1120" t="str">
        <f ca="1">IFERROR(__xludf.DUMMYFUNCTION("""COMPUTED_VALUE"""),"#VALUE!")</f>
        <v>#VALUE!</v>
      </c>
      <c r="BK1120" t="str">
        <f ca="1">IFERROR(__xludf.DUMMYFUNCTION("""COMPUTED_VALUE"""),"#VALUE!")</f>
        <v>#VALUE!</v>
      </c>
      <c r="BM1120" t="str">
        <f ca="1">IFERROR(__xludf.DUMMYFUNCTION("""COMPUTED_VALUE"""),"#VALUE!")</f>
        <v>#VALUE!</v>
      </c>
      <c r="CS1120" t="str">
        <f ca="1">IFERROR(__xludf.DUMMYFUNCTION("""COMPUTED_VALUE"""),"#VALUE!")</f>
        <v>#VALUE!</v>
      </c>
      <c r="CU1120" t="str">
        <f ca="1">IFERROR(__xludf.DUMMYFUNCTION("""COMPUTED_VALUE"""),"#VALUE!")</f>
        <v>#VALUE!</v>
      </c>
      <c r="CW1120" t="str">
        <f ca="1">IFERROR(__xludf.DUMMYFUNCTION("""COMPUTED_VALUE"""),"#VALUE!")</f>
        <v>#VALUE!</v>
      </c>
      <c r="CY1120" t="str">
        <f ca="1">IFERROR(__xludf.DUMMYFUNCTION("""COMPUTED_VALUE"""),"#VALUE!")</f>
        <v>#VALUE!</v>
      </c>
      <c r="DC1120" t="str">
        <f ca="1">IFERROR(__xludf.DUMMYFUNCTION("""COMPUTED_VALUE"""),"#VALUE!")</f>
        <v>#VALUE!</v>
      </c>
      <c r="DE1120" t="str">
        <f ca="1">IFERROR(__xludf.DUMMYFUNCTION("""COMPUTED_VALUE"""),"#VALUE!")</f>
        <v>#VALUE!</v>
      </c>
    </row>
    <row r="1121" spans="1:109" ht="13.2" x14ac:dyDescent="0.25">
      <c r="A1121" t="str">
        <f ca="1">IFERROR(__xludf.DUMMYFUNCTION("""COMPUTED_VALUE"""),"P1130")</f>
        <v>P1130</v>
      </c>
      <c r="BC1121" t="str">
        <f ca="1">IFERROR(__xludf.DUMMYFUNCTION("""COMPUTED_VALUE"""),"#VALUE!")</f>
        <v>#VALUE!</v>
      </c>
      <c r="BE1121" t="str">
        <f ca="1">IFERROR(__xludf.DUMMYFUNCTION("""COMPUTED_VALUE"""),"#VALUE!")</f>
        <v>#VALUE!</v>
      </c>
      <c r="BG1121" t="str">
        <f ca="1">IFERROR(__xludf.DUMMYFUNCTION("""COMPUTED_VALUE"""),"#VALUE!")</f>
        <v>#VALUE!</v>
      </c>
      <c r="BI1121" t="str">
        <f ca="1">IFERROR(__xludf.DUMMYFUNCTION("""COMPUTED_VALUE"""),"#VALUE!")</f>
        <v>#VALUE!</v>
      </c>
      <c r="BK1121" t="str">
        <f ca="1">IFERROR(__xludf.DUMMYFUNCTION("""COMPUTED_VALUE"""),"#VALUE!")</f>
        <v>#VALUE!</v>
      </c>
      <c r="BM1121" t="str">
        <f ca="1">IFERROR(__xludf.DUMMYFUNCTION("""COMPUTED_VALUE"""),"#VALUE!")</f>
        <v>#VALUE!</v>
      </c>
      <c r="CS1121" t="str">
        <f ca="1">IFERROR(__xludf.DUMMYFUNCTION("""COMPUTED_VALUE"""),"#VALUE!")</f>
        <v>#VALUE!</v>
      </c>
      <c r="CU1121" t="str">
        <f ca="1">IFERROR(__xludf.DUMMYFUNCTION("""COMPUTED_VALUE"""),"#VALUE!")</f>
        <v>#VALUE!</v>
      </c>
      <c r="CW1121" t="str">
        <f ca="1">IFERROR(__xludf.DUMMYFUNCTION("""COMPUTED_VALUE"""),"#VALUE!")</f>
        <v>#VALUE!</v>
      </c>
      <c r="CY1121" t="str">
        <f ca="1">IFERROR(__xludf.DUMMYFUNCTION("""COMPUTED_VALUE"""),"#VALUE!")</f>
        <v>#VALUE!</v>
      </c>
      <c r="DC1121" t="str">
        <f ca="1">IFERROR(__xludf.DUMMYFUNCTION("""COMPUTED_VALUE"""),"#VALUE!")</f>
        <v>#VALUE!</v>
      </c>
      <c r="DE1121" t="str">
        <f ca="1">IFERROR(__xludf.DUMMYFUNCTION("""COMPUTED_VALUE"""),"#VALUE!")</f>
        <v>#VALUE!</v>
      </c>
    </row>
    <row r="1122" spans="1:109" ht="13.2" x14ac:dyDescent="0.25">
      <c r="A1122" t="str">
        <f ca="1">IFERROR(__xludf.DUMMYFUNCTION("""COMPUTED_VALUE"""),"P1131")</f>
        <v>P1131</v>
      </c>
      <c r="BC1122" t="str">
        <f ca="1">IFERROR(__xludf.DUMMYFUNCTION("""COMPUTED_VALUE"""),"#VALUE!")</f>
        <v>#VALUE!</v>
      </c>
      <c r="BE1122" t="str">
        <f ca="1">IFERROR(__xludf.DUMMYFUNCTION("""COMPUTED_VALUE"""),"#VALUE!")</f>
        <v>#VALUE!</v>
      </c>
      <c r="BG1122" t="str">
        <f ca="1">IFERROR(__xludf.DUMMYFUNCTION("""COMPUTED_VALUE"""),"#VALUE!")</f>
        <v>#VALUE!</v>
      </c>
      <c r="BI1122" t="str">
        <f ca="1">IFERROR(__xludf.DUMMYFUNCTION("""COMPUTED_VALUE"""),"#VALUE!")</f>
        <v>#VALUE!</v>
      </c>
      <c r="BK1122" t="str">
        <f ca="1">IFERROR(__xludf.DUMMYFUNCTION("""COMPUTED_VALUE"""),"#VALUE!")</f>
        <v>#VALUE!</v>
      </c>
      <c r="BM1122" t="str">
        <f ca="1">IFERROR(__xludf.DUMMYFUNCTION("""COMPUTED_VALUE"""),"#VALUE!")</f>
        <v>#VALUE!</v>
      </c>
      <c r="CS1122" t="str">
        <f ca="1">IFERROR(__xludf.DUMMYFUNCTION("""COMPUTED_VALUE"""),"#VALUE!")</f>
        <v>#VALUE!</v>
      </c>
      <c r="CU1122" t="str">
        <f ca="1">IFERROR(__xludf.DUMMYFUNCTION("""COMPUTED_VALUE"""),"#VALUE!")</f>
        <v>#VALUE!</v>
      </c>
      <c r="CW1122" t="str">
        <f ca="1">IFERROR(__xludf.DUMMYFUNCTION("""COMPUTED_VALUE"""),"#VALUE!")</f>
        <v>#VALUE!</v>
      </c>
      <c r="CY1122" t="str">
        <f ca="1">IFERROR(__xludf.DUMMYFUNCTION("""COMPUTED_VALUE"""),"#VALUE!")</f>
        <v>#VALUE!</v>
      </c>
      <c r="DC1122" t="str">
        <f ca="1">IFERROR(__xludf.DUMMYFUNCTION("""COMPUTED_VALUE"""),"#VALUE!")</f>
        <v>#VALUE!</v>
      </c>
      <c r="DE1122" t="str">
        <f ca="1">IFERROR(__xludf.DUMMYFUNCTION("""COMPUTED_VALUE"""),"#VALUE!")</f>
        <v>#VALUE!</v>
      </c>
    </row>
    <row r="1123" spans="1:109" ht="13.2" x14ac:dyDescent="0.25">
      <c r="A1123" t="str">
        <f ca="1">IFERROR(__xludf.DUMMYFUNCTION("""COMPUTED_VALUE"""),"P1132")</f>
        <v>P1132</v>
      </c>
      <c r="BC1123" t="str">
        <f ca="1">IFERROR(__xludf.DUMMYFUNCTION("""COMPUTED_VALUE"""),"#VALUE!")</f>
        <v>#VALUE!</v>
      </c>
      <c r="BE1123" t="str">
        <f ca="1">IFERROR(__xludf.DUMMYFUNCTION("""COMPUTED_VALUE"""),"#VALUE!")</f>
        <v>#VALUE!</v>
      </c>
      <c r="BG1123" t="str">
        <f ca="1">IFERROR(__xludf.DUMMYFUNCTION("""COMPUTED_VALUE"""),"#VALUE!")</f>
        <v>#VALUE!</v>
      </c>
      <c r="BI1123" t="str">
        <f ca="1">IFERROR(__xludf.DUMMYFUNCTION("""COMPUTED_VALUE"""),"#VALUE!")</f>
        <v>#VALUE!</v>
      </c>
      <c r="BK1123" t="str">
        <f ca="1">IFERROR(__xludf.DUMMYFUNCTION("""COMPUTED_VALUE"""),"#VALUE!")</f>
        <v>#VALUE!</v>
      </c>
      <c r="BM1123" t="str">
        <f ca="1">IFERROR(__xludf.DUMMYFUNCTION("""COMPUTED_VALUE"""),"#VALUE!")</f>
        <v>#VALUE!</v>
      </c>
      <c r="CS1123" t="str">
        <f ca="1">IFERROR(__xludf.DUMMYFUNCTION("""COMPUTED_VALUE"""),"#VALUE!")</f>
        <v>#VALUE!</v>
      </c>
      <c r="CU1123" t="str">
        <f ca="1">IFERROR(__xludf.DUMMYFUNCTION("""COMPUTED_VALUE"""),"#VALUE!")</f>
        <v>#VALUE!</v>
      </c>
      <c r="CW1123" t="str">
        <f ca="1">IFERROR(__xludf.DUMMYFUNCTION("""COMPUTED_VALUE"""),"#VALUE!")</f>
        <v>#VALUE!</v>
      </c>
      <c r="CY1123" t="str">
        <f ca="1">IFERROR(__xludf.DUMMYFUNCTION("""COMPUTED_VALUE"""),"#VALUE!")</f>
        <v>#VALUE!</v>
      </c>
      <c r="DC1123" t="str">
        <f ca="1">IFERROR(__xludf.DUMMYFUNCTION("""COMPUTED_VALUE"""),"#VALUE!")</f>
        <v>#VALUE!</v>
      </c>
      <c r="DE1123" t="str">
        <f ca="1">IFERROR(__xludf.DUMMYFUNCTION("""COMPUTED_VALUE"""),"#VALUE!")</f>
        <v>#VALUE!</v>
      </c>
    </row>
    <row r="1124" spans="1:109" ht="13.2" x14ac:dyDescent="0.25">
      <c r="A1124" t="str">
        <f ca="1">IFERROR(__xludf.DUMMYFUNCTION("""COMPUTED_VALUE"""),"P1133")</f>
        <v>P1133</v>
      </c>
      <c r="BC1124" t="str">
        <f ca="1">IFERROR(__xludf.DUMMYFUNCTION("""COMPUTED_VALUE"""),"#VALUE!")</f>
        <v>#VALUE!</v>
      </c>
      <c r="BE1124" t="str">
        <f ca="1">IFERROR(__xludf.DUMMYFUNCTION("""COMPUTED_VALUE"""),"#VALUE!")</f>
        <v>#VALUE!</v>
      </c>
      <c r="BG1124" t="str">
        <f ca="1">IFERROR(__xludf.DUMMYFUNCTION("""COMPUTED_VALUE"""),"#VALUE!")</f>
        <v>#VALUE!</v>
      </c>
      <c r="BI1124" t="str">
        <f ca="1">IFERROR(__xludf.DUMMYFUNCTION("""COMPUTED_VALUE"""),"#VALUE!")</f>
        <v>#VALUE!</v>
      </c>
      <c r="BK1124" t="str">
        <f ca="1">IFERROR(__xludf.DUMMYFUNCTION("""COMPUTED_VALUE"""),"#VALUE!")</f>
        <v>#VALUE!</v>
      </c>
      <c r="BM1124" t="str">
        <f ca="1">IFERROR(__xludf.DUMMYFUNCTION("""COMPUTED_VALUE"""),"#VALUE!")</f>
        <v>#VALUE!</v>
      </c>
      <c r="CS1124" t="str">
        <f ca="1">IFERROR(__xludf.DUMMYFUNCTION("""COMPUTED_VALUE"""),"#VALUE!")</f>
        <v>#VALUE!</v>
      </c>
      <c r="CU1124" t="str">
        <f ca="1">IFERROR(__xludf.DUMMYFUNCTION("""COMPUTED_VALUE"""),"#VALUE!")</f>
        <v>#VALUE!</v>
      </c>
      <c r="CW1124" t="str">
        <f ca="1">IFERROR(__xludf.DUMMYFUNCTION("""COMPUTED_VALUE"""),"#VALUE!")</f>
        <v>#VALUE!</v>
      </c>
      <c r="CY1124" t="str">
        <f ca="1">IFERROR(__xludf.DUMMYFUNCTION("""COMPUTED_VALUE"""),"#VALUE!")</f>
        <v>#VALUE!</v>
      </c>
      <c r="DC1124" t="str">
        <f ca="1">IFERROR(__xludf.DUMMYFUNCTION("""COMPUTED_VALUE"""),"#VALUE!")</f>
        <v>#VALUE!</v>
      </c>
      <c r="DE1124" t="str">
        <f ca="1">IFERROR(__xludf.DUMMYFUNCTION("""COMPUTED_VALUE"""),"#VALUE!")</f>
        <v>#VALUE!</v>
      </c>
    </row>
    <row r="1125" spans="1:109" ht="13.2" x14ac:dyDescent="0.25">
      <c r="A1125" t="str">
        <f ca="1">IFERROR(__xludf.DUMMYFUNCTION("""COMPUTED_VALUE"""),"P1134")</f>
        <v>P1134</v>
      </c>
      <c r="BC1125" t="str">
        <f ca="1">IFERROR(__xludf.DUMMYFUNCTION("""COMPUTED_VALUE"""),"#VALUE!")</f>
        <v>#VALUE!</v>
      </c>
      <c r="BE1125" t="str">
        <f ca="1">IFERROR(__xludf.DUMMYFUNCTION("""COMPUTED_VALUE"""),"#VALUE!")</f>
        <v>#VALUE!</v>
      </c>
      <c r="BG1125" t="str">
        <f ca="1">IFERROR(__xludf.DUMMYFUNCTION("""COMPUTED_VALUE"""),"#VALUE!")</f>
        <v>#VALUE!</v>
      </c>
      <c r="BI1125" t="str">
        <f ca="1">IFERROR(__xludf.DUMMYFUNCTION("""COMPUTED_VALUE"""),"#VALUE!")</f>
        <v>#VALUE!</v>
      </c>
      <c r="BK1125" t="str">
        <f ca="1">IFERROR(__xludf.DUMMYFUNCTION("""COMPUTED_VALUE"""),"#VALUE!")</f>
        <v>#VALUE!</v>
      </c>
      <c r="BM1125" t="str">
        <f ca="1">IFERROR(__xludf.DUMMYFUNCTION("""COMPUTED_VALUE"""),"#VALUE!")</f>
        <v>#VALUE!</v>
      </c>
      <c r="CS1125" t="str">
        <f ca="1">IFERROR(__xludf.DUMMYFUNCTION("""COMPUTED_VALUE"""),"#VALUE!")</f>
        <v>#VALUE!</v>
      </c>
      <c r="CU1125" t="str">
        <f ca="1">IFERROR(__xludf.DUMMYFUNCTION("""COMPUTED_VALUE"""),"#VALUE!")</f>
        <v>#VALUE!</v>
      </c>
      <c r="CW1125" t="str">
        <f ca="1">IFERROR(__xludf.DUMMYFUNCTION("""COMPUTED_VALUE"""),"#VALUE!")</f>
        <v>#VALUE!</v>
      </c>
      <c r="CY1125" t="str">
        <f ca="1">IFERROR(__xludf.DUMMYFUNCTION("""COMPUTED_VALUE"""),"#VALUE!")</f>
        <v>#VALUE!</v>
      </c>
      <c r="DC1125" t="str">
        <f ca="1">IFERROR(__xludf.DUMMYFUNCTION("""COMPUTED_VALUE"""),"#VALUE!")</f>
        <v>#VALUE!</v>
      </c>
      <c r="DE1125" t="str">
        <f ca="1">IFERROR(__xludf.DUMMYFUNCTION("""COMPUTED_VALUE"""),"#VALUE!")</f>
        <v>#VALUE!</v>
      </c>
    </row>
    <row r="1126" spans="1:109" ht="13.2" x14ac:dyDescent="0.25">
      <c r="A1126" t="str">
        <f ca="1">IFERROR(__xludf.DUMMYFUNCTION("""COMPUTED_VALUE"""),"P1135")</f>
        <v>P1135</v>
      </c>
      <c r="BC1126" t="str">
        <f ca="1">IFERROR(__xludf.DUMMYFUNCTION("""COMPUTED_VALUE"""),"#VALUE!")</f>
        <v>#VALUE!</v>
      </c>
      <c r="BE1126" t="str">
        <f ca="1">IFERROR(__xludf.DUMMYFUNCTION("""COMPUTED_VALUE"""),"#VALUE!")</f>
        <v>#VALUE!</v>
      </c>
      <c r="BG1126" t="str">
        <f ca="1">IFERROR(__xludf.DUMMYFUNCTION("""COMPUTED_VALUE"""),"#VALUE!")</f>
        <v>#VALUE!</v>
      </c>
      <c r="BI1126" t="str">
        <f ca="1">IFERROR(__xludf.DUMMYFUNCTION("""COMPUTED_VALUE"""),"#VALUE!")</f>
        <v>#VALUE!</v>
      </c>
      <c r="BK1126" t="str">
        <f ca="1">IFERROR(__xludf.DUMMYFUNCTION("""COMPUTED_VALUE"""),"#VALUE!")</f>
        <v>#VALUE!</v>
      </c>
      <c r="BM1126" t="str">
        <f ca="1">IFERROR(__xludf.DUMMYFUNCTION("""COMPUTED_VALUE"""),"#VALUE!")</f>
        <v>#VALUE!</v>
      </c>
      <c r="CS1126" t="str">
        <f ca="1">IFERROR(__xludf.DUMMYFUNCTION("""COMPUTED_VALUE"""),"#VALUE!")</f>
        <v>#VALUE!</v>
      </c>
      <c r="CU1126" t="str">
        <f ca="1">IFERROR(__xludf.DUMMYFUNCTION("""COMPUTED_VALUE"""),"#VALUE!")</f>
        <v>#VALUE!</v>
      </c>
      <c r="CW1126" t="str">
        <f ca="1">IFERROR(__xludf.DUMMYFUNCTION("""COMPUTED_VALUE"""),"#VALUE!")</f>
        <v>#VALUE!</v>
      </c>
      <c r="CY1126" t="str">
        <f ca="1">IFERROR(__xludf.DUMMYFUNCTION("""COMPUTED_VALUE"""),"#VALUE!")</f>
        <v>#VALUE!</v>
      </c>
      <c r="DC1126" t="str">
        <f ca="1">IFERROR(__xludf.DUMMYFUNCTION("""COMPUTED_VALUE"""),"#VALUE!")</f>
        <v>#VALUE!</v>
      </c>
      <c r="DE1126" t="str">
        <f ca="1">IFERROR(__xludf.DUMMYFUNCTION("""COMPUTED_VALUE"""),"#VALUE!")</f>
        <v>#VALUE!</v>
      </c>
    </row>
    <row r="1127" spans="1:109" ht="13.2" x14ac:dyDescent="0.25">
      <c r="A1127" t="str">
        <f ca="1">IFERROR(__xludf.DUMMYFUNCTION("""COMPUTED_VALUE"""),"P1136")</f>
        <v>P1136</v>
      </c>
      <c r="BC1127" t="str">
        <f ca="1">IFERROR(__xludf.DUMMYFUNCTION("""COMPUTED_VALUE"""),"#VALUE!")</f>
        <v>#VALUE!</v>
      </c>
      <c r="BE1127" t="str">
        <f ca="1">IFERROR(__xludf.DUMMYFUNCTION("""COMPUTED_VALUE"""),"#VALUE!")</f>
        <v>#VALUE!</v>
      </c>
      <c r="BG1127" t="str">
        <f ca="1">IFERROR(__xludf.DUMMYFUNCTION("""COMPUTED_VALUE"""),"#VALUE!")</f>
        <v>#VALUE!</v>
      </c>
      <c r="BI1127" t="str">
        <f ca="1">IFERROR(__xludf.DUMMYFUNCTION("""COMPUTED_VALUE"""),"#VALUE!")</f>
        <v>#VALUE!</v>
      </c>
      <c r="BK1127" t="str">
        <f ca="1">IFERROR(__xludf.DUMMYFUNCTION("""COMPUTED_VALUE"""),"#VALUE!")</f>
        <v>#VALUE!</v>
      </c>
      <c r="BM1127" t="str">
        <f ca="1">IFERROR(__xludf.DUMMYFUNCTION("""COMPUTED_VALUE"""),"#VALUE!")</f>
        <v>#VALUE!</v>
      </c>
      <c r="CS1127" t="str">
        <f ca="1">IFERROR(__xludf.DUMMYFUNCTION("""COMPUTED_VALUE"""),"#VALUE!")</f>
        <v>#VALUE!</v>
      </c>
      <c r="CU1127" t="str">
        <f ca="1">IFERROR(__xludf.DUMMYFUNCTION("""COMPUTED_VALUE"""),"#VALUE!")</f>
        <v>#VALUE!</v>
      </c>
      <c r="CW1127" t="str">
        <f ca="1">IFERROR(__xludf.DUMMYFUNCTION("""COMPUTED_VALUE"""),"#VALUE!")</f>
        <v>#VALUE!</v>
      </c>
      <c r="CY1127" t="str">
        <f ca="1">IFERROR(__xludf.DUMMYFUNCTION("""COMPUTED_VALUE"""),"#VALUE!")</f>
        <v>#VALUE!</v>
      </c>
      <c r="DC1127" t="str">
        <f ca="1">IFERROR(__xludf.DUMMYFUNCTION("""COMPUTED_VALUE"""),"#VALUE!")</f>
        <v>#VALUE!</v>
      </c>
      <c r="DE1127" t="str">
        <f ca="1">IFERROR(__xludf.DUMMYFUNCTION("""COMPUTED_VALUE"""),"#VALUE!")</f>
        <v>#VALUE!</v>
      </c>
    </row>
    <row r="1128" spans="1:109" ht="13.2" x14ac:dyDescent="0.25">
      <c r="A1128" t="str">
        <f ca="1">IFERROR(__xludf.DUMMYFUNCTION("""COMPUTED_VALUE"""),"P1137")</f>
        <v>P1137</v>
      </c>
      <c r="BC1128" t="str">
        <f ca="1">IFERROR(__xludf.DUMMYFUNCTION("""COMPUTED_VALUE"""),"#VALUE!")</f>
        <v>#VALUE!</v>
      </c>
      <c r="BE1128" t="str">
        <f ca="1">IFERROR(__xludf.DUMMYFUNCTION("""COMPUTED_VALUE"""),"#VALUE!")</f>
        <v>#VALUE!</v>
      </c>
      <c r="BG1128" t="str">
        <f ca="1">IFERROR(__xludf.DUMMYFUNCTION("""COMPUTED_VALUE"""),"#VALUE!")</f>
        <v>#VALUE!</v>
      </c>
      <c r="BI1128" t="str">
        <f ca="1">IFERROR(__xludf.DUMMYFUNCTION("""COMPUTED_VALUE"""),"#VALUE!")</f>
        <v>#VALUE!</v>
      </c>
      <c r="BK1128" t="str">
        <f ca="1">IFERROR(__xludf.DUMMYFUNCTION("""COMPUTED_VALUE"""),"#VALUE!")</f>
        <v>#VALUE!</v>
      </c>
      <c r="BM1128" t="str">
        <f ca="1">IFERROR(__xludf.DUMMYFUNCTION("""COMPUTED_VALUE"""),"#VALUE!")</f>
        <v>#VALUE!</v>
      </c>
      <c r="CS1128" t="str">
        <f ca="1">IFERROR(__xludf.DUMMYFUNCTION("""COMPUTED_VALUE"""),"#VALUE!")</f>
        <v>#VALUE!</v>
      </c>
      <c r="CU1128" t="str">
        <f ca="1">IFERROR(__xludf.DUMMYFUNCTION("""COMPUTED_VALUE"""),"#VALUE!")</f>
        <v>#VALUE!</v>
      </c>
      <c r="CW1128" t="str">
        <f ca="1">IFERROR(__xludf.DUMMYFUNCTION("""COMPUTED_VALUE"""),"#VALUE!")</f>
        <v>#VALUE!</v>
      </c>
      <c r="CY1128" t="str">
        <f ca="1">IFERROR(__xludf.DUMMYFUNCTION("""COMPUTED_VALUE"""),"#VALUE!")</f>
        <v>#VALUE!</v>
      </c>
      <c r="DC1128" t="str">
        <f ca="1">IFERROR(__xludf.DUMMYFUNCTION("""COMPUTED_VALUE"""),"#VALUE!")</f>
        <v>#VALUE!</v>
      </c>
      <c r="DE1128" t="str">
        <f ca="1">IFERROR(__xludf.DUMMYFUNCTION("""COMPUTED_VALUE"""),"#VALUE!")</f>
        <v>#VALUE!</v>
      </c>
    </row>
    <row r="1129" spans="1:109" ht="13.2" x14ac:dyDescent="0.25">
      <c r="A1129" t="str">
        <f ca="1">IFERROR(__xludf.DUMMYFUNCTION("""COMPUTED_VALUE"""),"P1138")</f>
        <v>P1138</v>
      </c>
      <c r="BC1129" t="str">
        <f ca="1">IFERROR(__xludf.DUMMYFUNCTION("""COMPUTED_VALUE"""),"#VALUE!")</f>
        <v>#VALUE!</v>
      </c>
      <c r="BE1129" t="str">
        <f ca="1">IFERROR(__xludf.DUMMYFUNCTION("""COMPUTED_VALUE"""),"#VALUE!")</f>
        <v>#VALUE!</v>
      </c>
      <c r="BG1129" t="str">
        <f ca="1">IFERROR(__xludf.DUMMYFUNCTION("""COMPUTED_VALUE"""),"#VALUE!")</f>
        <v>#VALUE!</v>
      </c>
      <c r="BI1129" t="str">
        <f ca="1">IFERROR(__xludf.DUMMYFUNCTION("""COMPUTED_VALUE"""),"#VALUE!")</f>
        <v>#VALUE!</v>
      </c>
      <c r="BK1129" t="str">
        <f ca="1">IFERROR(__xludf.DUMMYFUNCTION("""COMPUTED_VALUE"""),"#VALUE!")</f>
        <v>#VALUE!</v>
      </c>
      <c r="BM1129" t="str">
        <f ca="1">IFERROR(__xludf.DUMMYFUNCTION("""COMPUTED_VALUE"""),"#VALUE!")</f>
        <v>#VALUE!</v>
      </c>
      <c r="CS1129" t="str">
        <f ca="1">IFERROR(__xludf.DUMMYFUNCTION("""COMPUTED_VALUE"""),"#VALUE!")</f>
        <v>#VALUE!</v>
      </c>
      <c r="CU1129" t="str">
        <f ca="1">IFERROR(__xludf.DUMMYFUNCTION("""COMPUTED_VALUE"""),"#VALUE!")</f>
        <v>#VALUE!</v>
      </c>
      <c r="CW1129" t="str">
        <f ca="1">IFERROR(__xludf.DUMMYFUNCTION("""COMPUTED_VALUE"""),"#VALUE!")</f>
        <v>#VALUE!</v>
      </c>
      <c r="CY1129" t="str">
        <f ca="1">IFERROR(__xludf.DUMMYFUNCTION("""COMPUTED_VALUE"""),"#VALUE!")</f>
        <v>#VALUE!</v>
      </c>
      <c r="DC1129" t="str">
        <f ca="1">IFERROR(__xludf.DUMMYFUNCTION("""COMPUTED_VALUE"""),"#VALUE!")</f>
        <v>#VALUE!</v>
      </c>
      <c r="DE1129" t="str">
        <f ca="1">IFERROR(__xludf.DUMMYFUNCTION("""COMPUTED_VALUE"""),"#VALUE!")</f>
        <v>#VALUE!</v>
      </c>
    </row>
    <row r="1130" spans="1:109" ht="13.2" x14ac:dyDescent="0.25">
      <c r="A1130" t="str">
        <f ca="1">IFERROR(__xludf.DUMMYFUNCTION("""COMPUTED_VALUE"""),"P1139")</f>
        <v>P1139</v>
      </c>
      <c r="BC1130" t="str">
        <f ca="1">IFERROR(__xludf.DUMMYFUNCTION("""COMPUTED_VALUE"""),"#VALUE!")</f>
        <v>#VALUE!</v>
      </c>
      <c r="BE1130" t="str">
        <f ca="1">IFERROR(__xludf.DUMMYFUNCTION("""COMPUTED_VALUE"""),"#VALUE!")</f>
        <v>#VALUE!</v>
      </c>
      <c r="BG1130" t="str">
        <f ca="1">IFERROR(__xludf.DUMMYFUNCTION("""COMPUTED_VALUE"""),"#VALUE!")</f>
        <v>#VALUE!</v>
      </c>
      <c r="BI1130" t="str">
        <f ca="1">IFERROR(__xludf.DUMMYFUNCTION("""COMPUTED_VALUE"""),"#VALUE!")</f>
        <v>#VALUE!</v>
      </c>
      <c r="BK1130" t="str">
        <f ca="1">IFERROR(__xludf.DUMMYFUNCTION("""COMPUTED_VALUE"""),"#VALUE!")</f>
        <v>#VALUE!</v>
      </c>
      <c r="BM1130" t="str">
        <f ca="1">IFERROR(__xludf.DUMMYFUNCTION("""COMPUTED_VALUE"""),"#VALUE!")</f>
        <v>#VALUE!</v>
      </c>
      <c r="CS1130" t="str">
        <f ca="1">IFERROR(__xludf.DUMMYFUNCTION("""COMPUTED_VALUE"""),"#VALUE!")</f>
        <v>#VALUE!</v>
      </c>
      <c r="CU1130" t="str">
        <f ca="1">IFERROR(__xludf.DUMMYFUNCTION("""COMPUTED_VALUE"""),"#VALUE!")</f>
        <v>#VALUE!</v>
      </c>
      <c r="CW1130" t="str">
        <f ca="1">IFERROR(__xludf.DUMMYFUNCTION("""COMPUTED_VALUE"""),"#VALUE!")</f>
        <v>#VALUE!</v>
      </c>
      <c r="CY1130" t="str">
        <f ca="1">IFERROR(__xludf.DUMMYFUNCTION("""COMPUTED_VALUE"""),"#VALUE!")</f>
        <v>#VALUE!</v>
      </c>
      <c r="DC1130" t="str">
        <f ca="1">IFERROR(__xludf.DUMMYFUNCTION("""COMPUTED_VALUE"""),"#VALUE!")</f>
        <v>#VALUE!</v>
      </c>
      <c r="DE1130" t="str">
        <f ca="1">IFERROR(__xludf.DUMMYFUNCTION("""COMPUTED_VALUE"""),"#VALUE!")</f>
        <v>#VALUE!</v>
      </c>
    </row>
    <row r="1131" spans="1:109" ht="13.2" x14ac:dyDescent="0.25">
      <c r="A1131" t="str">
        <f ca="1">IFERROR(__xludf.DUMMYFUNCTION("""COMPUTED_VALUE"""),"P1140")</f>
        <v>P1140</v>
      </c>
      <c r="BC1131" t="str">
        <f ca="1">IFERROR(__xludf.DUMMYFUNCTION("""COMPUTED_VALUE"""),"#VALUE!")</f>
        <v>#VALUE!</v>
      </c>
      <c r="BE1131" t="str">
        <f ca="1">IFERROR(__xludf.DUMMYFUNCTION("""COMPUTED_VALUE"""),"#VALUE!")</f>
        <v>#VALUE!</v>
      </c>
      <c r="BG1131" t="str">
        <f ca="1">IFERROR(__xludf.DUMMYFUNCTION("""COMPUTED_VALUE"""),"#VALUE!")</f>
        <v>#VALUE!</v>
      </c>
      <c r="BI1131" t="str">
        <f ca="1">IFERROR(__xludf.DUMMYFUNCTION("""COMPUTED_VALUE"""),"#VALUE!")</f>
        <v>#VALUE!</v>
      </c>
      <c r="BK1131" t="str">
        <f ca="1">IFERROR(__xludf.DUMMYFUNCTION("""COMPUTED_VALUE"""),"#VALUE!")</f>
        <v>#VALUE!</v>
      </c>
      <c r="BM1131" t="str">
        <f ca="1">IFERROR(__xludf.DUMMYFUNCTION("""COMPUTED_VALUE"""),"#VALUE!")</f>
        <v>#VALUE!</v>
      </c>
      <c r="CS1131" t="str">
        <f ca="1">IFERROR(__xludf.DUMMYFUNCTION("""COMPUTED_VALUE"""),"#VALUE!")</f>
        <v>#VALUE!</v>
      </c>
      <c r="CU1131" t="str">
        <f ca="1">IFERROR(__xludf.DUMMYFUNCTION("""COMPUTED_VALUE"""),"#VALUE!")</f>
        <v>#VALUE!</v>
      </c>
      <c r="CW1131" t="str">
        <f ca="1">IFERROR(__xludf.DUMMYFUNCTION("""COMPUTED_VALUE"""),"#VALUE!")</f>
        <v>#VALUE!</v>
      </c>
      <c r="CY1131" t="str">
        <f ca="1">IFERROR(__xludf.DUMMYFUNCTION("""COMPUTED_VALUE"""),"#VALUE!")</f>
        <v>#VALUE!</v>
      </c>
      <c r="DC1131" t="str">
        <f ca="1">IFERROR(__xludf.DUMMYFUNCTION("""COMPUTED_VALUE"""),"#VALUE!")</f>
        <v>#VALUE!</v>
      </c>
      <c r="DE1131" t="str">
        <f ca="1">IFERROR(__xludf.DUMMYFUNCTION("""COMPUTED_VALUE"""),"#VALUE!")</f>
        <v>#VALUE!</v>
      </c>
    </row>
    <row r="1132" spans="1:109" ht="13.2" x14ac:dyDescent="0.25">
      <c r="A1132" t="str">
        <f ca="1">IFERROR(__xludf.DUMMYFUNCTION("""COMPUTED_VALUE"""),"P1141")</f>
        <v>P1141</v>
      </c>
      <c r="BC1132" t="str">
        <f ca="1">IFERROR(__xludf.DUMMYFUNCTION("""COMPUTED_VALUE"""),"#VALUE!")</f>
        <v>#VALUE!</v>
      </c>
      <c r="BE1132" t="str">
        <f ca="1">IFERROR(__xludf.DUMMYFUNCTION("""COMPUTED_VALUE"""),"#VALUE!")</f>
        <v>#VALUE!</v>
      </c>
      <c r="BG1132" t="str">
        <f ca="1">IFERROR(__xludf.DUMMYFUNCTION("""COMPUTED_VALUE"""),"#VALUE!")</f>
        <v>#VALUE!</v>
      </c>
      <c r="BI1132" t="str">
        <f ca="1">IFERROR(__xludf.DUMMYFUNCTION("""COMPUTED_VALUE"""),"#VALUE!")</f>
        <v>#VALUE!</v>
      </c>
      <c r="BK1132" t="str">
        <f ca="1">IFERROR(__xludf.DUMMYFUNCTION("""COMPUTED_VALUE"""),"#VALUE!")</f>
        <v>#VALUE!</v>
      </c>
      <c r="BM1132" t="str">
        <f ca="1">IFERROR(__xludf.DUMMYFUNCTION("""COMPUTED_VALUE"""),"#VALUE!")</f>
        <v>#VALUE!</v>
      </c>
      <c r="CS1132" t="str">
        <f ca="1">IFERROR(__xludf.DUMMYFUNCTION("""COMPUTED_VALUE"""),"#VALUE!")</f>
        <v>#VALUE!</v>
      </c>
      <c r="CU1132" t="str">
        <f ca="1">IFERROR(__xludf.DUMMYFUNCTION("""COMPUTED_VALUE"""),"#VALUE!")</f>
        <v>#VALUE!</v>
      </c>
      <c r="CW1132" t="str">
        <f ca="1">IFERROR(__xludf.DUMMYFUNCTION("""COMPUTED_VALUE"""),"#VALUE!")</f>
        <v>#VALUE!</v>
      </c>
      <c r="CY1132" t="str">
        <f ca="1">IFERROR(__xludf.DUMMYFUNCTION("""COMPUTED_VALUE"""),"#VALUE!")</f>
        <v>#VALUE!</v>
      </c>
      <c r="DC1132" t="str">
        <f ca="1">IFERROR(__xludf.DUMMYFUNCTION("""COMPUTED_VALUE"""),"#VALUE!")</f>
        <v>#VALUE!</v>
      </c>
      <c r="DE1132" t="str">
        <f ca="1">IFERROR(__xludf.DUMMYFUNCTION("""COMPUTED_VALUE"""),"#VALUE!")</f>
        <v>#VALUE!</v>
      </c>
    </row>
    <row r="1133" spans="1:109" ht="13.2" x14ac:dyDescent="0.25">
      <c r="A1133" t="str">
        <f ca="1">IFERROR(__xludf.DUMMYFUNCTION("""COMPUTED_VALUE"""),"P1142")</f>
        <v>P1142</v>
      </c>
      <c r="BC1133" t="str">
        <f ca="1">IFERROR(__xludf.DUMMYFUNCTION("""COMPUTED_VALUE"""),"#VALUE!")</f>
        <v>#VALUE!</v>
      </c>
      <c r="BE1133" t="str">
        <f ca="1">IFERROR(__xludf.DUMMYFUNCTION("""COMPUTED_VALUE"""),"#VALUE!")</f>
        <v>#VALUE!</v>
      </c>
      <c r="BG1133" t="str">
        <f ca="1">IFERROR(__xludf.DUMMYFUNCTION("""COMPUTED_VALUE"""),"#VALUE!")</f>
        <v>#VALUE!</v>
      </c>
      <c r="BI1133" t="str">
        <f ca="1">IFERROR(__xludf.DUMMYFUNCTION("""COMPUTED_VALUE"""),"#VALUE!")</f>
        <v>#VALUE!</v>
      </c>
      <c r="BK1133" t="str">
        <f ca="1">IFERROR(__xludf.DUMMYFUNCTION("""COMPUTED_VALUE"""),"#VALUE!")</f>
        <v>#VALUE!</v>
      </c>
      <c r="BM1133" t="str">
        <f ca="1">IFERROR(__xludf.DUMMYFUNCTION("""COMPUTED_VALUE"""),"#VALUE!")</f>
        <v>#VALUE!</v>
      </c>
      <c r="CS1133" t="str">
        <f ca="1">IFERROR(__xludf.DUMMYFUNCTION("""COMPUTED_VALUE"""),"#VALUE!")</f>
        <v>#VALUE!</v>
      </c>
      <c r="CU1133" t="str">
        <f ca="1">IFERROR(__xludf.DUMMYFUNCTION("""COMPUTED_VALUE"""),"#VALUE!")</f>
        <v>#VALUE!</v>
      </c>
      <c r="CW1133" t="str">
        <f ca="1">IFERROR(__xludf.DUMMYFUNCTION("""COMPUTED_VALUE"""),"#VALUE!")</f>
        <v>#VALUE!</v>
      </c>
      <c r="CY1133" t="str">
        <f ca="1">IFERROR(__xludf.DUMMYFUNCTION("""COMPUTED_VALUE"""),"#VALUE!")</f>
        <v>#VALUE!</v>
      </c>
      <c r="DC1133" t="str">
        <f ca="1">IFERROR(__xludf.DUMMYFUNCTION("""COMPUTED_VALUE"""),"#VALUE!")</f>
        <v>#VALUE!</v>
      </c>
      <c r="DE1133" t="str">
        <f ca="1">IFERROR(__xludf.DUMMYFUNCTION("""COMPUTED_VALUE"""),"#VALUE!")</f>
        <v>#VALUE!</v>
      </c>
    </row>
    <row r="1134" spans="1:109" ht="13.2" x14ac:dyDescent="0.25">
      <c r="A1134" t="str">
        <f ca="1">IFERROR(__xludf.DUMMYFUNCTION("""COMPUTED_VALUE"""),"P1143")</f>
        <v>P1143</v>
      </c>
      <c r="BC1134" t="str">
        <f ca="1">IFERROR(__xludf.DUMMYFUNCTION("""COMPUTED_VALUE"""),"#VALUE!")</f>
        <v>#VALUE!</v>
      </c>
      <c r="BE1134" t="str">
        <f ca="1">IFERROR(__xludf.DUMMYFUNCTION("""COMPUTED_VALUE"""),"#VALUE!")</f>
        <v>#VALUE!</v>
      </c>
      <c r="BG1134" t="str">
        <f ca="1">IFERROR(__xludf.DUMMYFUNCTION("""COMPUTED_VALUE"""),"#VALUE!")</f>
        <v>#VALUE!</v>
      </c>
      <c r="BI1134" t="str">
        <f ca="1">IFERROR(__xludf.DUMMYFUNCTION("""COMPUTED_VALUE"""),"#VALUE!")</f>
        <v>#VALUE!</v>
      </c>
      <c r="BK1134" t="str">
        <f ca="1">IFERROR(__xludf.DUMMYFUNCTION("""COMPUTED_VALUE"""),"#VALUE!")</f>
        <v>#VALUE!</v>
      </c>
      <c r="BM1134" t="str">
        <f ca="1">IFERROR(__xludf.DUMMYFUNCTION("""COMPUTED_VALUE"""),"#VALUE!")</f>
        <v>#VALUE!</v>
      </c>
      <c r="CS1134" t="str">
        <f ca="1">IFERROR(__xludf.DUMMYFUNCTION("""COMPUTED_VALUE"""),"#VALUE!")</f>
        <v>#VALUE!</v>
      </c>
      <c r="CU1134" t="str">
        <f ca="1">IFERROR(__xludf.DUMMYFUNCTION("""COMPUTED_VALUE"""),"#VALUE!")</f>
        <v>#VALUE!</v>
      </c>
      <c r="CW1134" t="str">
        <f ca="1">IFERROR(__xludf.DUMMYFUNCTION("""COMPUTED_VALUE"""),"#VALUE!")</f>
        <v>#VALUE!</v>
      </c>
      <c r="CY1134" t="str">
        <f ca="1">IFERROR(__xludf.DUMMYFUNCTION("""COMPUTED_VALUE"""),"#VALUE!")</f>
        <v>#VALUE!</v>
      </c>
      <c r="DC1134" t="str">
        <f ca="1">IFERROR(__xludf.DUMMYFUNCTION("""COMPUTED_VALUE"""),"#VALUE!")</f>
        <v>#VALUE!</v>
      </c>
      <c r="DE1134" t="str">
        <f ca="1">IFERROR(__xludf.DUMMYFUNCTION("""COMPUTED_VALUE"""),"#VALUE!")</f>
        <v>#VALUE!</v>
      </c>
    </row>
    <row r="1135" spans="1:109" ht="13.2" x14ac:dyDescent="0.25">
      <c r="A1135" t="str">
        <f ca="1">IFERROR(__xludf.DUMMYFUNCTION("""COMPUTED_VALUE"""),"P1144")</f>
        <v>P1144</v>
      </c>
      <c r="BC1135" t="str">
        <f ca="1">IFERROR(__xludf.DUMMYFUNCTION("""COMPUTED_VALUE"""),"#VALUE!")</f>
        <v>#VALUE!</v>
      </c>
      <c r="BE1135" t="str">
        <f ca="1">IFERROR(__xludf.DUMMYFUNCTION("""COMPUTED_VALUE"""),"#VALUE!")</f>
        <v>#VALUE!</v>
      </c>
      <c r="BG1135" t="str">
        <f ca="1">IFERROR(__xludf.DUMMYFUNCTION("""COMPUTED_VALUE"""),"#VALUE!")</f>
        <v>#VALUE!</v>
      </c>
      <c r="BI1135" t="str">
        <f ca="1">IFERROR(__xludf.DUMMYFUNCTION("""COMPUTED_VALUE"""),"#VALUE!")</f>
        <v>#VALUE!</v>
      </c>
      <c r="BK1135" t="str">
        <f ca="1">IFERROR(__xludf.DUMMYFUNCTION("""COMPUTED_VALUE"""),"#VALUE!")</f>
        <v>#VALUE!</v>
      </c>
      <c r="BM1135" t="str">
        <f ca="1">IFERROR(__xludf.DUMMYFUNCTION("""COMPUTED_VALUE"""),"#VALUE!")</f>
        <v>#VALUE!</v>
      </c>
      <c r="CS1135" t="str">
        <f ca="1">IFERROR(__xludf.DUMMYFUNCTION("""COMPUTED_VALUE"""),"#VALUE!")</f>
        <v>#VALUE!</v>
      </c>
      <c r="CU1135" t="str">
        <f ca="1">IFERROR(__xludf.DUMMYFUNCTION("""COMPUTED_VALUE"""),"#VALUE!")</f>
        <v>#VALUE!</v>
      </c>
      <c r="CW1135" t="str">
        <f ca="1">IFERROR(__xludf.DUMMYFUNCTION("""COMPUTED_VALUE"""),"#VALUE!")</f>
        <v>#VALUE!</v>
      </c>
      <c r="CY1135" t="str">
        <f ca="1">IFERROR(__xludf.DUMMYFUNCTION("""COMPUTED_VALUE"""),"#VALUE!")</f>
        <v>#VALUE!</v>
      </c>
      <c r="DC1135" t="str">
        <f ca="1">IFERROR(__xludf.DUMMYFUNCTION("""COMPUTED_VALUE"""),"#VALUE!")</f>
        <v>#VALUE!</v>
      </c>
      <c r="DE1135" t="str">
        <f ca="1">IFERROR(__xludf.DUMMYFUNCTION("""COMPUTED_VALUE"""),"#VALUE!")</f>
        <v>#VALUE!</v>
      </c>
    </row>
    <row r="1136" spans="1:109" ht="13.2" x14ac:dyDescent="0.25">
      <c r="A1136" t="str">
        <f ca="1">IFERROR(__xludf.DUMMYFUNCTION("""COMPUTED_VALUE"""),"P1145")</f>
        <v>P1145</v>
      </c>
      <c r="BC1136" t="str">
        <f ca="1">IFERROR(__xludf.DUMMYFUNCTION("""COMPUTED_VALUE"""),"#VALUE!")</f>
        <v>#VALUE!</v>
      </c>
      <c r="BE1136" t="str">
        <f ca="1">IFERROR(__xludf.DUMMYFUNCTION("""COMPUTED_VALUE"""),"#VALUE!")</f>
        <v>#VALUE!</v>
      </c>
      <c r="BG1136" t="str">
        <f ca="1">IFERROR(__xludf.DUMMYFUNCTION("""COMPUTED_VALUE"""),"#VALUE!")</f>
        <v>#VALUE!</v>
      </c>
      <c r="BI1136" t="str">
        <f ca="1">IFERROR(__xludf.DUMMYFUNCTION("""COMPUTED_VALUE"""),"#VALUE!")</f>
        <v>#VALUE!</v>
      </c>
      <c r="BK1136" t="str">
        <f ca="1">IFERROR(__xludf.DUMMYFUNCTION("""COMPUTED_VALUE"""),"#VALUE!")</f>
        <v>#VALUE!</v>
      </c>
      <c r="BM1136" t="str">
        <f ca="1">IFERROR(__xludf.DUMMYFUNCTION("""COMPUTED_VALUE"""),"#VALUE!")</f>
        <v>#VALUE!</v>
      </c>
      <c r="CS1136" t="str">
        <f ca="1">IFERROR(__xludf.DUMMYFUNCTION("""COMPUTED_VALUE"""),"#VALUE!")</f>
        <v>#VALUE!</v>
      </c>
      <c r="CU1136" t="str">
        <f ca="1">IFERROR(__xludf.DUMMYFUNCTION("""COMPUTED_VALUE"""),"#VALUE!")</f>
        <v>#VALUE!</v>
      </c>
      <c r="CW1136" t="str">
        <f ca="1">IFERROR(__xludf.DUMMYFUNCTION("""COMPUTED_VALUE"""),"#VALUE!")</f>
        <v>#VALUE!</v>
      </c>
      <c r="CY1136" t="str">
        <f ca="1">IFERROR(__xludf.DUMMYFUNCTION("""COMPUTED_VALUE"""),"#VALUE!")</f>
        <v>#VALUE!</v>
      </c>
      <c r="DC1136" t="str">
        <f ca="1">IFERROR(__xludf.DUMMYFUNCTION("""COMPUTED_VALUE"""),"#VALUE!")</f>
        <v>#VALUE!</v>
      </c>
      <c r="DE1136" t="str">
        <f ca="1">IFERROR(__xludf.DUMMYFUNCTION("""COMPUTED_VALUE"""),"#VALUE!")</f>
        <v>#VALUE!</v>
      </c>
    </row>
    <row r="1137" spans="1:109" ht="13.2" x14ac:dyDescent="0.25">
      <c r="A1137" t="str">
        <f ca="1">IFERROR(__xludf.DUMMYFUNCTION("""COMPUTED_VALUE"""),"P1146")</f>
        <v>P1146</v>
      </c>
      <c r="BC1137" t="str">
        <f ca="1">IFERROR(__xludf.DUMMYFUNCTION("""COMPUTED_VALUE"""),"#VALUE!")</f>
        <v>#VALUE!</v>
      </c>
      <c r="BE1137" t="str">
        <f ca="1">IFERROR(__xludf.DUMMYFUNCTION("""COMPUTED_VALUE"""),"#VALUE!")</f>
        <v>#VALUE!</v>
      </c>
      <c r="BG1137" t="str">
        <f ca="1">IFERROR(__xludf.DUMMYFUNCTION("""COMPUTED_VALUE"""),"#VALUE!")</f>
        <v>#VALUE!</v>
      </c>
      <c r="BI1137" t="str">
        <f ca="1">IFERROR(__xludf.DUMMYFUNCTION("""COMPUTED_VALUE"""),"#VALUE!")</f>
        <v>#VALUE!</v>
      </c>
      <c r="BK1137" t="str">
        <f ca="1">IFERROR(__xludf.DUMMYFUNCTION("""COMPUTED_VALUE"""),"#VALUE!")</f>
        <v>#VALUE!</v>
      </c>
      <c r="BM1137" t="str">
        <f ca="1">IFERROR(__xludf.DUMMYFUNCTION("""COMPUTED_VALUE"""),"#VALUE!")</f>
        <v>#VALUE!</v>
      </c>
      <c r="CS1137" t="str">
        <f ca="1">IFERROR(__xludf.DUMMYFUNCTION("""COMPUTED_VALUE"""),"#VALUE!")</f>
        <v>#VALUE!</v>
      </c>
      <c r="CU1137" t="str">
        <f ca="1">IFERROR(__xludf.DUMMYFUNCTION("""COMPUTED_VALUE"""),"#VALUE!")</f>
        <v>#VALUE!</v>
      </c>
      <c r="CW1137" t="str">
        <f ca="1">IFERROR(__xludf.DUMMYFUNCTION("""COMPUTED_VALUE"""),"#VALUE!")</f>
        <v>#VALUE!</v>
      </c>
      <c r="CY1137" t="str">
        <f ca="1">IFERROR(__xludf.DUMMYFUNCTION("""COMPUTED_VALUE"""),"#VALUE!")</f>
        <v>#VALUE!</v>
      </c>
      <c r="DC1137" t="str">
        <f ca="1">IFERROR(__xludf.DUMMYFUNCTION("""COMPUTED_VALUE"""),"#VALUE!")</f>
        <v>#VALUE!</v>
      </c>
      <c r="DE1137" t="str">
        <f ca="1">IFERROR(__xludf.DUMMYFUNCTION("""COMPUTED_VALUE"""),"#VALUE!")</f>
        <v>#VALUE!</v>
      </c>
    </row>
    <row r="1138" spans="1:109" ht="13.2" x14ac:dyDescent="0.25">
      <c r="A1138" t="str">
        <f ca="1">IFERROR(__xludf.DUMMYFUNCTION("""COMPUTED_VALUE"""),"P1147")</f>
        <v>P1147</v>
      </c>
      <c r="BC1138" t="str">
        <f ca="1">IFERROR(__xludf.DUMMYFUNCTION("""COMPUTED_VALUE"""),"#VALUE!")</f>
        <v>#VALUE!</v>
      </c>
      <c r="BE1138" t="str">
        <f ca="1">IFERROR(__xludf.DUMMYFUNCTION("""COMPUTED_VALUE"""),"#VALUE!")</f>
        <v>#VALUE!</v>
      </c>
      <c r="BG1138" t="str">
        <f ca="1">IFERROR(__xludf.DUMMYFUNCTION("""COMPUTED_VALUE"""),"#VALUE!")</f>
        <v>#VALUE!</v>
      </c>
      <c r="BI1138" t="str">
        <f ca="1">IFERROR(__xludf.DUMMYFUNCTION("""COMPUTED_VALUE"""),"#VALUE!")</f>
        <v>#VALUE!</v>
      </c>
      <c r="BK1138" t="str">
        <f ca="1">IFERROR(__xludf.DUMMYFUNCTION("""COMPUTED_VALUE"""),"#VALUE!")</f>
        <v>#VALUE!</v>
      </c>
      <c r="BM1138" t="str">
        <f ca="1">IFERROR(__xludf.DUMMYFUNCTION("""COMPUTED_VALUE"""),"#VALUE!")</f>
        <v>#VALUE!</v>
      </c>
      <c r="CS1138" t="str">
        <f ca="1">IFERROR(__xludf.DUMMYFUNCTION("""COMPUTED_VALUE"""),"#VALUE!")</f>
        <v>#VALUE!</v>
      </c>
      <c r="CU1138" t="str">
        <f ca="1">IFERROR(__xludf.DUMMYFUNCTION("""COMPUTED_VALUE"""),"#VALUE!")</f>
        <v>#VALUE!</v>
      </c>
      <c r="CW1138" t="str">
        <f ca="1">IFERROR(__xludf.DUMMYFUNCTION("""COMPUTED_VALUE"""),"#VALUE!")</f>
        <v>#VALUE!</v>
      </c>
      <c r="CY1138" t="str">
        <f ca="1">IFERROR(__xludf.DUMMYFUNCTION("""COMPUTED_VALUE"""),"#VALUE!")</f>
        <v>#VALUE!</v>
      </c>
      <c r="DC1138" t="str">
        <f ca="1">IFERROR(__xludf.DUMMYFUNCTION("""COMPUTED_VALUE"""),"#VALUE!")</f>
        <v>#VALUE!</v>
      </c>
      <c r="DE1138" t="str">
        <f ca="1">IFERROR(__xludf.DUMMYFUNCTION("""COMPUTED_VALUE"""),"#VALUE!")</f>
        <v>#VALUE!</v>
      </c>
    </row>
    <row r="1139" spans="1:109" ht="13.2" x14ac:dyDescent="0.25">
      <c r="A1139" t="str">
        <f ca="1">IFERROR(__xludf.DUMMYFUNCTION("""COMPUTED_VALUE"""),"P1148")</f>
        <v>P1148</v>
      </c>
      <c r="BC1139" t="str">
        <f ca="1">IFERROR(__xludf.DUMMYFUNCTION("""COMPUTED_VALUE"""),"#VALUE!")</f>
        <v>#VALUE!</v>
      </c>
      <c r="BE1139" t="str">
        <f ca="1">IFERROR(__xludf.DUMMYFUNCTION("""COMPUTED_VALUE"""),"#VALUE!")</f>
        <v>#VALUE!</v>
      </c>
      <c r="BG1139" t="str">
        <f ca="1">IFERROR(__xludf.DUMMYFUNCTION("""COMPUTED_VALUE"""),"#VALUE!")</f>
        <v>#VALUE!</v>
      </c>
      <c r="BI1139" t="str">
        <f ca="1">IFERROR(__xludf.DUMMYFUNCTION("""COMPUTED_VALUE"""),"#VALUE!")</f>
        <v>#VALUE!</v>
      </c>
      <c r="BK1139" t="str">
        <f ca="1">IFERROR(__xludf.DUMMYFUNCTION("""COMPUTED_VALUE"""),"#VALUE!")</f>
        <v>#VALUE!</v>
      </c>
      <c r="BM1139" t="str">
        <f ca="1">IFERROR(__xludf.DUMMYFUNCTION("""COMPUTED_VALUE"""),"#VALUE!")</f>
        <v>#VALUE!</v>
      </c>
      <c r="CS1139" t="str">
        <f ca="1">IFERROR(__xludf.DUMMYFUNCTION("""COMPUTED_VALUE"""),"#VALUE!")</f>
        <v>#VALUE!</v>
      </c>
      <c r="CU1139" t="str">
        <f ca="1">IFERROR(__xludf.DUMMYFUNCTION("""COMPUTED_VALUE"""),"#VALUE!")</f>
        <v>#VALUE!</v>
      </c>
      <c r="CW1139" t="str">
        <f ca="1">IFERROR(__xludf.DUMMYFUNCTION("""COMPUTED_VALUE"""),"#VALUE!")</f>
        <v>#VALUE!</v>
      </c>
      <c r="CY1139" t="str">
        <f ca="1">IFERROR(__xludf.DUMMYFUNCTION("""COMPUTED_VALUE"""),"#VALUE!")</f>
        <v>#VALUE!</v>
      </c>
      <c r="DC1139" t="str">
        <f ca="1">IFERROR(__xludf.DUMMYFUNCTION("""COMPUTED_VALUE"""),"#VALUE!")</f>
        <v>#VALUE!</v>
      </c>
      <c r="DE1139" t="str">
        <f ca="1">IFERROR(__xludf.DUMMYFUNCTION("""COMPUTED_VALUE"""),"#VALUE!")</f>
        <v>#VALUE!</v>
      </c>
    </row>
    <row r="1140" spans="1:109" ht="13.2" x14ac:dyDescent="0.25">
      <c r="A1140" t="str">
        <f ca="1">IFERROR(__xludf.DUMMYFUNCTION("""COMPUTED_VALUE"""),"P1149")</f>
        <v>P1149</v>
      </c>
      <c r="BC1140" t="str">
        <f ca="1">IFERROR(__xludf.DUMMYFUNCTION("""COMPUTED_VALUE"""),"#VALUE!")</f>
        <v>#VALUE!</v>
      </c>
      <c r="BE1140" t="str">
        <f ca="1">IFERROR(__xludf.DUMMYFUNCTION("""COMPUTED_VALUE"""),"#VALUE!")</f>
        <v>#VALUE!</v>
      </c>
      <c r="BG1140" t="str">
        <f ca="1">IFERROR(__xludf.DUMMYFUNCTION("""COMPUTED_VALUE"""),"#VALUE!")</f>
        <v>#VALUE!</v>
      </c>
      <c r="BI1140" t="str">
        <f ca="1">IFERROR(__xludf.DUMMYFUNCTION("""COMPUTED_VALUE"""),"#VALUE!")</f>
        <v>#VALUE!</v>
      </c>
      <c r="BK1140" t="str">
        <f ca="1">IFERROR(__xludf.DUMMYFUNCTION("""COMPUTED_VALUE"""),"#VALUE!")</f>
        <v>#VALUE!</v>
      </c>
      <c r="BM1140" t="str">
        <f ca="1">IFERROR(__xludf.DUMMYFUNCTION("""COMPUTED_VALUE"""),"#VALUE!")</f>
        <v>#VALUE!</v>
      </c>
      <c r="CS1140" t="str">
        <f ca="1">IFERROR(__xludf.DUMMYFUNCTION("""COMPUTED_VALUE"""),"#VALUE!")</f>
        <v>#VALUE!</v>
      </c>
      <c r="CU1140" t="str">
        <f ca="1">IFERROR(__xludf.DUMMYFUNCTION("""COMPUTED_VALUE"""),"#VALUE!")</f>
        <v>#VALUE!</v>
      </c>
      <c r="CW1140" t="str">
        <f ca="1">IFERROR(__xludf.DUMMYFUNCTION("""COMPUTED_VALUE"""),"#VALUE!")</f>
        <v>#VALUE!</v>
      </c>
      <c r="CY1140" t="str">
        <f ca="1">IFERROR(__xludf.DUMMYFUNCTION("""COMPUTED_VALUE"""),"#VALUE!")</f>
        <v>#VALUE!</v>
      </c>
      <c r="DC1140" t="str">
        <f ca="1">IFERROR(__xludf.DUMMYFUNCTION("""COMPUTED_VALUE"""),"#VALUE!")</f>
        <v>#VALUE!</v>
      </c>
      <c r="DE1140" t="str">
        <f ca="1">IFERROR(__xludf.DUMMYFUNCTION("""COMPUTED_VALUE"""),"#VALUE!")</f>
        <v>#VALUE!</v>
      </c>
    </row>
    <row r="1141" spans="1:109" ht="13.2" x14ac:dyDescent="0.25">
      <c r="A1141" t="str">
        <f ca="1">IFERROR(__xludf.DUMMYFUNCTION("""COMPUTED_VALUE"""),"P1150")</f>
        <v>P1150</v>
      </c>
      <c r="BC1141" t="str">
        <f ca="1">IFERROR(__xludf.DUMMYFUNCTION("""COMPUTED_VALUE"""),"#VALUE!")</f>
        <v>#VALUE!</v>
      </c>
      <c r="BE1141" t="str">
        <f ca="1">IFERROR(__xludf.DUMMYFUNCTION("""COMPUTED_VALUE"""),"#VALUE!")</f>
        <v>#VALUE!</v>
      </c>
      <c r="BG1141" t="str">
        <f ca="1">IFERROR(__xludf.DUMMYFUNCTION("""COMPUTED_VALUE"""),"#VALUE!")</f>
        <v>#VALUE!</v>
      </c>
      <c r="BI1141" t="str">
        <f ca="1">IFERROR(__xludf.DUMMYFUNCTION("""COMPUTED_VALUE"""),"#VALUE!")</f>
        <v>#VALUE!</v>
      </c>
      <c r="BK1141" t="str">
        <f ca="1">IFERROR(__xludf.DUMMYFUNCTION("""COMPUTED_VALUE"""),"#VALUE!")</f>
        <v>#VALUE!</v>
      </c>
      <c r="BM1141" t="str">
        <f ca="1">IFERROR(__xludf.DUMMYFUNCTION("""COMPUTED_VALUE"""),"#VALUE!")</f>
        <v>#VALUE!</v>
      </c>
      <c r="CS1141" t="str">
        <f ca="1">IFERROR(__xludf.DUMMYFUNCTION("""COMPUTED_VALUE"""),"#VALUE!")</f>
        <v>#VALUE!</v>
      </c>
      <c r="CU1141" t="str">
        <f ca="1">IFERROR(__xludf.DUMMYFUNCTION("""COMPUTED_VALUE"""),"#VALUE!")</f>
        <v>#VALUE!</v>
      </c>
      <c r="CW1141" t="str">
        <f ca="1">IFERROR(__xludf.DUMMYFUNCTION("""COMPUTED_VALUE"""),"#VALUE!")</f>
        <v>#VALUE!</v>
      </c>
      <c r="CY1141" t="str">
        <f ca="1">IFERROR(__xludf.DUMMYFUNCTION("""COMPUTED_VALUE"""),"#VALUE!")</f>
        <v>#VALUE!</v>
      </c>
      <c r="DC1141" t="str">
        <f ca="1">IFERROR(__xludf.DUMMYFUNCTION("""COMPUTED_VALUE"""),"#VALUE!")</f>
        <v>#VALUE!</v>
      </c>
      <c r="DE1141" t="str">
        <f ca="1">IFERROR(__xludf.DUMMYFUNCTION("""COMPUTED_VALUE"""),"#VALUE!")</f>
        <v>#VALUE!</v>
      </c>
    </row>
    <row r="1142" spans="1:109" ht="13.2" x14ac:dyDescent="0.25">
      <c r="A1142" t="str">
        <f ca="1">IFERROR(__xludf.DUMMYFUNCTION("""COMPUTED_VALUE"""),"P1151")</f>
        <v>P1151</v>
      </c>
      <c r="BC1142" t="str">
        <f ca="1">IFERROR(__xludf.DUMMYFUNCTION("""COMPUTED_VALUE"""),"#VALUE!")</f>
        <v>#VALUE!</v>
      </c>
      <c r="BE1142" t="str">
        <f ca="1">IFERROR(__xludf.DUMMYFUNCTION("""COMPUTED_VALUE"""),"#VALUE!")</f>
        <v>#VALUE!</v>
      </c>
      <c r="BG1142" t="str">
        <f ca="1">IFERROR(__xludf.DUMMYFUNCTION("""COMPUTED_VALUE"""),"#VALUE!")</f>
        <v>#VALUE!</v>
      </c>
      <c r="BI1142" t="str">
        <f ca="1">IFERROR(__xludf.DUMMYFUNCTION("""COMPUTED_VALUE"""),"#VALUE!")</f>
        <v>#VALUE!</v>
      </c>
      <c r="BK1142" t="str">
        <f ca="1">IFERROR(__xludf.DUMMYFUNCTION("""COMPUTED_VALUE"""),"#VALUE!")</f>
        <v>#VALUE!</v>
      </c>
      <c r="BM1142" t="str">
        <f ca="1">IFERROR(__xludf.DUMMYFUNCTION("""COMPUTED_VALUE"""),"#VALUE!")</f>
        <v>#VALUE!</v>
      </c>
      <c r="CS1142" t="str">
        <f ca="1">IFERROR(__xludf.DUMMYFUNCTION("""COMPUTED_VALUE"""),"#VALUE!")</f>
        <v>#VALUE!</v>
      </c>
      <c r="CU1142" t="str">
        <f ca="1">IFERROR(__xludf.DUMMYFUNCTION("""COMPUTED_VALUE"""),"#VALUE!")</f>
        <v>#VALUE!</v>
      </c>
      <c r="CW1142" t="str">
        <f ca="1">IFERROR(__xludf.DUMMYFUNCTION("""COMPUTED_VALUE"""),"#VALUE!")</f>
        <v>#VALUE!</v>
      </c>
      <c r="CY1142" t="str">
        <f ca="1">IFERROR(__xludf.DUMMYFUNCTION("""COMPUTED_VALUE"""),"#VALUE!")</f>
        <v>#VALUE!</v>
      </c>
      <c r="DC1142" t="str">
        <f ca="1">IFERROR(__xludf.DUMMYFUNCTION("""COMPUTED_VALUE"""),"#VALUE!")</f>
        <v>#VALUE!</v>
      </c>
      <c r="DE1142" t="str">
        <f ca="1">IFERROR(__xludf.DUMMYFUNCTION("""COMPUTED_VALUE"""),"#VALUE!")</f>
        <v>#VALUE!</v>
      </c>
    </row>
    <row r="1143" spans="1:109" ht="13.2" x14ac:dyDescent="0.25">
      <c r="A1143" t="str">
        <f ca="1">IFERROR(__xludf.DUMMYFUNCTION("""COMPUTED_VALUE"""),"P1152")</f>
        <v>P1152</v>
      </c>
      <c r="BC1143" t="str">
        <f ca="1">IFERROR(__xludf.DUMMYFUNCTION("""COMPUTED_VALUE"""),"#VALUE!")</f>
        <v>#VALUE!</v>
      </c>
      <c r="BE1143" t="str">
        <f ca="1">IFERROR(__xludf.DUMMYFUNCTION("""COMPUTED_VALUE"""),"#VALUE!")</f>
        <v>#VALUE!</v>
      </c>
      <c r="BG1143" t="str">
        <f ca="1">IFERROR(__xludf.DUMMYFUNCTION("""COMPUTED_VALUE"""),"#VALUE!")</f>
        <v>#VALUE!</v>
      </c>
      <c r="BI1143" t="str">
        <f ca="1">IFERROR(__xludf.DUMMYFUNCTION("""COMPUTED_VALUE"""),"#VALUE!")</f>
        <v>#VALUE!</v>
      </c>
      <c r="BK1143" t="str">
        <f ca="1">IFERROR(__xludf.DUMMYFUNCTION("""COMPUTED_VALUE"""),"#VALUE!")</f>
        <v>#VALUE!</v>
      </c>
      <c r="BM1143" t="str">
        <f ca="1">IFERROR(__xludf.DUMMYFUNCTION("""COMPUTED_VALUE"""),"#VALUE!")</f>
        <v>#VALUE!</v>
      </c>
      <c r="CS1143" t="str">
        <f ca="1">IFERROR(__xludf.DUMMYFUNCTION("""COMPUTED_VALUE"""),"#VALUE!")</f>
        <v>#VALUE!</v>
      </c>
      <c r="CU1143" t="str">
        <f ca="1">IFERROR(__xludf.DUMMYFUNCTION("""COMPUTED_VALUE"""),"#VALUE!")</f>
        <v>#VALUE!</v>
      </c>
      <c r="CW1143" t="str">
        <f ca="1">IFERROR(__xludf.DUMMYFUNCTION("""COMPUTED_VALUE"""),"#VALUE!")</f>
        <v>#VALUE!</v>
      </c>
      <c r="CY1143" t="str">
        <f ca="1">IFERROR(__xludf.DUMMYFUNCTION("""COMPUTED_VALUE"""),"#VALUE!")</f>
        <v>#VALUE!</v>
      </c>
      <c r="DC1143" t="str">
        <f ca="1">IFERROR(__xludf.DUMMYFUNCTION("""COMPUTED_VALUE"""),"#VALUE!")</f>
        <v>#VALUE!</v>
      </c>
      <c r="DE1143" t="str">
        <f ca="1">IFERROR(__xludf.DUMMYFUNCTION("""COMPUTED_VALUE"""),"#VALUE!")</f>
        <v>#VALUE!</v>
      </c>
    </row>
    <row r="1144" spans="1:109" ht="13.2" x14ac:dyDescent="0.25">
      <c r="A1144" t="str">
        <f ca="1">IFERROR(__xludf.DUMMYFUNCTION("""COMPUTED_VALUE"""),"P1153")</f>
        <v>P1153</v>
      </c>
      <c r="BC1144" t="str">
        <f ca="1">IFERROR(__xludf.DUMMYFUNCTION("""COMPUTED_VALUE"""),"#VALUE!")</f>
        <v>#VALUE!</v>
      </c>
      <c r="BE1144" t="str">
        <f ca="1">IFERROR(__xludf.DUMMYFUNCTION("""COMPUTED_VALUE"""),"#VALUE!")</f>
        <v>#VALUE!</v>
      </c>
      <c r="BG1144" t="str">
        <f ca="1">IFERROR(__xludf.DUMMYFUNCTION("""COMPUTED_VALUE"""),"#VALUE!")</f>
        <v>#VALUE!</v>
      </c>
      <c r="BI1144" t="str">
        <f ca="1">IFERROR(__xludf.DUMMYFUNCTION("""COMPUTED_VALUE"""),"#VALUE!")</f>
        <v>#VALUE!</v>
      </c>
      <c r="BK1144" t="str">
        <f ca="1">IFERROR(__xludf.DUMMYFUNCTION("""COMPUTED_VALUE"""),"#VALUE!")</f>
        <v>#VALUE!</v>
      </c>
      <c r="BM1144" t="str">
        <f ca="1">IFERROR(__xludf.DUMMYFUNCTION("""COMPUTED_VALUE"""),"#VALUE!")</f>
        <v>#VALUE!</v>
      </c>
      <c r="CS1144" t="str">
        <f ca="1">IFERROR(__xludf.DUMMYFUNCTION("""COMPUTED_VALUE"""),"#VALUE!")</f>
        <v>#VALUE!</v>
      </c>
      <c r="CU1144" t="str">
        <f ca="1">IFERROR(__xludf.DUMMYFUNCTION("""COMPUTED_VALUE"""),"#VALUE!")</f>
        <v>#VALUE!</v>
      </c>
      <c r="CW1144" t="str">
        <f ca="1">IFERROR(__xludf.DUMMYFUNCTION("""COMPUTED_VALUE"""),"#VALUE!")</f>
        <v>#VALUE!</v>
      </c>
      <c r="CY1144" t="str">
        <f ca="1">IFERROR(__xludf.DUMMYFUNCTION("""COMPUTED_VALUE"""),"#VALUE!")</f>
        <v>#VALUE!</v>
      </c>
      <c r="DC1144" t="str">
        <f ca="1">IFERROR(__xludf.DUMMYFUNCTION("""COMPUTED_VALUE"""),"#VALUE!")</f>
        <v>#VALUE!</v>
      </c>
      <c r="DE1144" t="str">
        <f ca="1">IFERROR(__xludf.DUMMYFUNCTION("""COMPUTED_VALUE"""),"#VALUE!")</f>
        <v>#VALUE!</v>
      </c>
    </row>
    <row r="1145" spans="1:109" ht="13.2" x14ac:dyDescent="0.25">
      <c r="A1145" t="str">
        <f ca="1">IFERROR(__xludf.DUMMYFUNCTION("""COMPUTED_VALUE"""),"P1154")</f>
        <v>P1154</v>
      </c>
      <c r="BC1145" t="str">
        <f ca="1">IFERROR(__xludf.DUMMYFUNCTION("""COMPUTED_VALUE"""),"#VALUE!")</f>
        <v>#VALUE!</v>
      </c>
      <c r="BE1145" t="str">
        <f ca="1">IFERROR(__xludf.DUMMYFUNCTION("""COMPUTED_VALUE"""),"#VALUE!")</f>
        <v>#VALUE!</v>
      </c>
      <c r="BG1145" t="str">
        <f ca="1">IFERROR(__xludf.DUMMYFUNCTION("""COMPUTED_VALUE"""),"#VALUE!")</f>
        <v>#VALUE!</v>
      </c>
      <c r="BI1145" t="str">
        <f ca="1">IFERROR(__xludf.DUMMYFUNCTION("""COMPUTED_VALUE"""),"#VALUE!")</f>
        <v>#VALUE!</v>
      </c>
      <c r="BK1145" t="str">
        <f ca="1">IFERROR(__xludf.DUMMYFUNCTION("""COMPUTED_VALUE"""),"#VALUE!")</f>
        <v>#VALUE!</v>
      </c>
      <c r="BM1145" t="str">
        <f ca="1">IFERROR(__xludf.DUMMYFUNCTION("""COMPUTED_VALUE"""),"#VALUE!")</f>
        <v>#VALUE!</v>
      </c>
      <c r="CS1145" t="str">
        <f ca="1">IFERROR(__xludf.DUMMYFUNCTION("""COMPUTED_VALUE"""),"#VALUE!")</f>
        <v>#VALUE!</v>
      </c>
      <c r="CU1145" t="str">
        <f ca="1">IFERROR(__xludf.DUMMYFUNCTION("""COMPUTED_VALUE"""),"#VALUE!")</f>
        <v>#VALUE!</v>
      </c>
      <c r="CW1145" t="str">
        <f ca="1">IFERROR(__xludf.DUMMYFUNCTION("""COMPUTED_VALUE"""),"#VALUE!")</f>
        <v>#VALUE!</v>
      </c>
      <c r="CY1145" t="str">
        <f ca="1">IFERROR(__xludf.DUMMYFUNCTION("""COMPUTED_VALUE"""),"#VALUE!")</f>
        <v>#VALUE!</v>
      </c>
      <c r="DC1145" t="str">
        <f ca="1">IFERROR(__xludf.DUMMYFUNCTION("""COMPUTED_VALUE"""),"#VALUE!")</f>
        <v>#VALUE!</v>
      </c>
      <c r="DE1145" t="str">
        <f ca="1">IFERROR(__xludf.DUMMYFUNCTION("""COMPUTED_VALUE"""),"#VALUE!")</f>
        <v>#VALUE!</v>
      </c>
    </row>
    <row r="1146" spans="1:109" ht="13.2" x14ac:dyDescent="0.25">
      <c r="A1146" t="str">
        <f ca="1">IFERROR(__xludf.DUMMYFUNCTION("""COMPUTED_VALUE"""),"P1155")</f>
        <v>P1155</v>
      </c>
      <c r="BC1146" t="str">
        <f ca="1">IFERROR(__xludf.DUMMYFUNCTION("""COMPUTED_VALUE"""),"#VALUE!")</f>
        <v>#VALUE!</v>
      </c>
      <c r="BE1146" t="str">
        <f ca="1">IFERROR(__xludf.DUMMYFUNCTION("""COMPUTED_VALUE"""),"#VALUE!")</f>
        <v>#VALUE!</v>
      </c>
      <c r="BG1146" t="str">
        <f ca="1">IFERROR(__xludf.DUMMYFUNCTION("""COMPUTED_VALUE"""),"#VALUE!")</f>
        <v>#VALUE!</v>
      </c>
      <c r="BI1146" t="str">
        <f ca="1">IFERROR(__xludf.DUMMYFUNCTION("""COMPUTED_VALUE"""),"#VALUE!")</f>
        <v>#VALUE!</v>
      </c>
      <c r="BK1146" t="str">
        <f ca="1">IFERROR(__xludf.DUMMYFUNCTION("""COMPUTED_VALUE"""),"#VALUE!")</f>
        <v>#VALUE!</v>
      </c>
      <c r="BM1146" t="str">
        <f ca="1">IFERROR(__xludf.DUMMYFUNCTION("""COMPUTED_VALUE"""),"#VALUE!")</f>
        <v>#VALUE!</v>
      </c>
      <c r="CS1146" t="str">
        <f ca="1">IFERROR(__xludf.DUMMYFUNCTION("""COMPUTED_VALUE"""),"#VALUE!")</f>
        <v>#VALUE!</v>
      </c>
      <c r="CU1146" t="str">
        <f ca="1">IFERROR(__xludf.DUMMYFUNCTION("""COMPUTED_VALUE"""),"#VALUE!")</f>
        <v>#VALUE!</v>
      </c>
      <c r="CW1146" t="str">
        <f ca="1">IFERROR(__xludf.DUMMYFUNCTION("""COMPUTED_VALUE"""),"#VALUE!")</f>
        <v>#VALUE!</v>
      </c>
      <c r="CY1146" t="str">
        <f ca="1">IFERROR(__xludf.DUMMYFUNCTION("""COMPUTED_VALUE"""),"#VALUE!")</f>
        <v>#VALUE!</v>
      </c>
      <c r="DC1146" t="str">
        <f ca="1">IFERROR(__xludf.DUMMYFUNCTION("""COMPUTED_VALUE"""),"#VALUE!")</f>
        <v>#VALUE!</v>
      </c>
      <c r="DE1146" t="str">
        <f ca="1">IFERROR(__xludf.DUMMYFUNCTION("""COMPUTED_VALUE"""),"#VALUE!")</f>
        <v>#VALUE!</v>
      </c>
    </row>
    <row r="1147" spans="1:109" ht="13.2" x14ac:dyDescent="0.25">
      <c r="A1147" t="str">
        <f ca="1">IFERROR(__xludf.DUMMYFUNCTION("""COMPUTED_VALUE"""),"P1156")</f>
        <v>P1156</v>
      </c>
      <c r="BC1147" t="str">
        <f ca="1">IFERROR(__xludf.DUMMYFUNCTION("""COMPUTED_VALUE"""),"#VALUE!")</f>
        <v>#VALUE!</v>
      </c>
      <c r="BE1147" t="str">
        <f ca="1">IFERROR(__xludf.DUMMYFUNCTION("""COMPUTED_VALUE"""),"#VALUE!")</f>
        <v>#VALUE!</v>
      </c>
      <c r="BG1147" t="str">
        <f ca="1">IFERROR(__xludf.DUMMYFUNCTION("""COMPUTED_VALUE"""),"#VALUE!")</f>
        <v>#VALUE!</v>
      </c>
      <c r="BI1147" t="str">
        <f ca="1">IFERROR(__xludf.DUMMYFUNCTION("""COMPUTED_VALUE"""),"#VALUE!")</f>
        <v>#VALUE!</v>
      </c>
      <c r="BK1147" t="str">
        <f ca="1">IFERROR(__xludf.DUMMYFUNCTION("""COMPUTED_VALUE"""),"#VALUE!")</f>
        <v>#VALUE!</v>
      </c>
      <c r="BM1147" t="str">
        <f ca="1">IFERROR(__xludf.DUMMYFUNCTION("""COMPUTED_VALUE"""),"#VALUE!")</f>
        <v>#VALUE!</v>
      </c>
      <c r="CS1147" t="str">
        <f ca="1">IFERROR(__xludf.DUMMYFUNCTION("""COMPUTED_VALUE"""),"#VALUE!")</f>
        <v>#VALUE!</v>
      </c>
      <c r="CU1147" t="str">
        <f ca="1">IFERROR(__xludf.DUMMYFUNCTION("""COMPUTED_VALUE"""),"#VALUE!")</f>
        <v>#VALUE!</v>
      </c>
      <c r="CW1147" t="str">
        <f ca="1">IFERROR(__xludf.DUMMYFUNCTION("""COMPUTED_VALUE"""),"#VALUE!")</f>
        <v>#VALUE!</v>
      </c>
      <c r="CY1147" t="str">
        <f ca="1">IFERROR(__xludf.DUMMYFUNCTION("""COMPUTED_VALUE"""),"#VALUE!")</f>
        <v>#VALUE!</v>
      </c>
      <c r="DC1147" t="str">
        <f ca="1">IFERROR(__xludf.DUMMYFUNCTION("""COMPUTED_VALUE"""),"#VALUE!")</f>
        <v>#VALUE!</v>
      </c>
      <c r="DE1147" t="str">
        <f ca="1">IFERROR(__xludf.DUMMYFUNCTION("""COMPUTED_VALUE"""),"#VALUE!")</f>
        <v>#VALUE!</v>
      </c>
    </row>
    <row r="1148" spans="1:109" ht="13.2" x14ac:dyDescent="0.25">
      <c r="A1148" t="str">
        <f ca="1">IFERROR(__xludf.DUMMYFUNCTION("""COMPUTED_VALUE"""),"P1157")</f>
        <v>P1157</v>
      </c>
      <c r="BC1148" t="str">
        <f ca="1">IFERROR(__xludf.DUMMYFUNCTION("""COMPUTED_VALUE"""),"#VALUE!")</f>
        <v>#VALUE!</v>
      </c>
      <c r="BE1148" t="str">
        <f ca="1">IFERROR(__xludf.DUMMYFUNCTION("""COMPUTED_VALUE"""),"#VALUE!")</f>
        <v>#VALUE!</v>
      </c>
      <c r="BG1148" t="str">
        <f ca="1">IFERROR(__xludf.DUMMYFUNCTION("""COMPUTED_VALUE"""),"#VALUE!")</f>
        <v>#VALUE!</v>
      </c>
      <c r="BI1148" t="str">
        <f ca="1">IFERROR(__xludf.DUMMYFUNCTION("""COMPUTED_VALUE"""),"#VALUE!")</f>
        <v>#VALUE!</v>
      </c>
      <c r="BK1148" t="str">
        <f ca="1">IFERROR(__xludf.DUMMYFUNCTION("""COMPUTED_VALUE"""),"#VALUE!")</f>
        <v>#VALUE!</v>
      </c>
      <c r="BM1148" t="str">
        <f ca="1">IFERROR(__xludf.DUMMYFUNCTION("""COMPUTED_VALUE"""),"#VALUE!")</f>
        <v>#VALUE!</v>
      </c>
      <c r="CS1148" t="str">
        <f ca="1">IFERROR(__xludf.DUMMYFUNCTION("""COMPUTED_VALUE"""),"#VALUE!")</f>
        <v>#VALUE!</v>
      </c>
      <c r="CU1148" t="str">
        <f ca="1">IFERROR(__xludf.DUMMYFUNCTION("""COMPUTED_VALUE"""),"#VALUE!")</f>
        <v>#VALUE!</v>
      </c>
      <c r="CW1148" t="str">
        <f ca="1">IFERROR(__xludf.DUMMYFUNCTION("""COMPUTED_VALUE"""),"#VALUE!")</f>
        <v>#VALUE!</v>
      </c>
      <c r="CY1148" t="str">
        <f ca="1">IFERROR(__xludf.DUMMYFUNCTION("""COMPUTED_VALUE"""),"#VALUE!")</f>
        <v>#VALUE!</v>
      </c>
      <c r="DC1148" t="str">
        <f ca="1">IFERROR(__xludf.DUMMYFUNCTION("""COMPUTED_VALUE"""),"#VALUE!")</f>
        <v>#VALUE!</v>
      </c>
      <c r="DE1148" t="str">
        <f ca="1">IFERROR(__xludf.DUMMYFUNCTION("""COMPUTED_VALUE"""),"#VALUE!")</f>
        <v>#VALUE!</v>
      </c>
    </row>
    <row r="1149" spans="1:109" ht="13.2" x14ac:dyDescent="0.25">
      <c r="A1149" t="str">
        <f ca="1">IFERROR(__xludf.DUMMYFUNCTION("""COMPUTED_VALUE"""),"P1158")</f>
        <v>P1158</v>
      </c>
      <c r="BC1149" t="str">
        <f ca="1">IFERROR(__xludf.DUMMYFUNCTION("""COMPUTED_VALUE"""),"#VALUE!")</f>
        <v>#VALUE!</v>
      </c>
      <c r="BE1149" t="str">
        <f ca="1">IFERROR(__xludf.DUMMYFUNCTION("""COMPUTED_VALUE"""),"#VALUE!")</f>
        <v>#VALUE!</v>
      </c>
      <c r="BG1149" t="str">
        <f ca="1">IFERROR(__xludf.DUMMYFUNCTION("""COMPUTED_VALUE"""),"#VALUE!")</f>
        <v>#VALUE!</v>
      </c>
      <c r="BI1149" t="str">
        <f ca="1">IFERROR(__xludf.DUMMYFUNCTION("""COMPUTED_VALUE"""),"#VALUE!")</f>
        <v>#VALUE!</v>
      </c>
      <c r="BK1149" t="str">
        <f ca="1">IFERROR(__xludf.DUMMYFUNCTION("""COMPUTED_VALUE"""),"#VALUE!")</f>
        <v>#VALUE!</v>
      </c>
      <c r="BM1149" t="str">
        <f ca="1">IFERROR(__xludf.DUMMYFUNCTION("""COMPUTED_VALUE"""),"#VALUE!")</f>
        <v>#VALUE!</v>
      </c>
      <c r="CS1149" t="str">
        <f ca="1">IFERROR(__xludf.DUMMYFUNCTION("""COMPUTED_VALUE"""),"#VALUE!")</f>
        <v>#VALUE!</v>
      </c>
      <c r="CU1149" t="str">
        <f ca="1">IFERROR(__xludf.DUMMYFUNCTION("""COMPUTED_VALUE"""),"#VALUE!")</f>
        <v>#VALUE!</v>
      </c>
      <c r="CW1149" t="str">
        <f ca="1">IFERROR(__xludf.DUMMYFUNCTION("""COMPUTED_VALUE"""),"#VALUE!")</f>
        <v>#VALUE!</v>
      </c>
      <c r="CY1149" t="str">
        <f ca="1">IFERROR(__xludf.DUMMYFUNCTION("""COMPUTED_VALUE"""),"#VALUE!")</f>
        <v>#VALUE!</v>
      </c>
      <c r="DC1149" t="str">
        <f ca="1">IFERROR(__xludf.DUMMYFUNCTION("""COMPUTED_VALUE"""),"#VALUE!")</f>
        <v>#VALUE!</v>
      </c>
      <c r="DE1149" t="str">
        <f ca="1">IFERROR(__xludf.DUMMYFUNCTION("""COMPUTED_VALUE"""),"#VALUE!")</f>
        <v>#VALUE!</v>
      </c>
    </row>
    <row r="1150" spans="1:109" ht="13.2" x14ac:dyDescent="0.25">
      <c r="A1150" t="str">
        <f ca="1">IFERROR(__xludf.DUMMYFUNCTION("""COMPUTED_VALUE"""),"P1159")</f>
        <v>P1159</v>
      </c>
      <c r="BC1150" t="str">
        <f ca="1">IFERROR(__xludf.DUMMYFUNCTION("""COMPUTED_VALUE"""),"#VALUE!")</f>
        <v>#VALUE!</v>
      </c>
      <c r="BE1150" t="str">
        <f ca="1">IFERROR(__xludf.DUMMYFUNCTION("""COMPUTED_VALUE"""),"#VALUE!")</f>
        <v>#VALUE!</v>
      </c>
      <c r="BG1150" t="str">
        <f ca="1">IFERROR(__xludf.DUMMYFUNCTION("""COMPUTED_VALUE"""),"#VALUE!")</f>
        <v>#VALUE!</v>
      </c>
      <c r="BI1150" t="str">
        <f ca="1">IFERROR(__xludf.DUMMYFUNCTION("""COMPUTED_VALUE"""),"#VALUE!")</f>
        <v>#VALUE!</v>
      </c>
      <c r="BK1150" t="str">
        <f ca="1">IFERROR(__xludf.DUMMYFUNCTION("""COMPUTED_VALUE"""),"#VALUE!")</f>
        <v>#VALUE!</v>
      </c>
      <c r="BM1150" t="str">
        <f ca="1">IFERROR(__xludf.DUMMYFUNCTION("""COMPUTED_VALUE"""),"#VALUE!")</f>
        <v>#VALUE!</v>
      </c>
      <c r="CS1150" t="str">
        <f ca="1">IFERROR(__xludf.DUMMYFUNCTION("""COMPUTED_VALUE"""),"#VALUE!")</f>
        <v>#VALUE!</v>
      </c>
      <c r="CU1150" t="str">
        <f ca="1">IFERROR(__xludf.DUMMYFUNCTION("""COMPUTED_VALUE"""),"#VALUE!")</f>
        <v>#VALUE!</v>
      </c>
      <c r="CW1150" t="str">
        <f ca="1">IFERROR(__xludf.DUMMYFUNCTION("""COMPUTED_VALUE"""),"#VALUE!")</f>
        <v>#VALUE!</v>
      </c>
      <c r="CY1150" t="str">
        <f ca="1">IFERROR(__xludf.DUMMYFUNCTION("""COMPUTED_VALUE"""),"#VALUE!")</f>
        <v>#VALUE!</v>
      </c>
      <c r="DC1150" t="str">
        <f ca="1">IFERROR(__xludf.DUMMYFUNCTION("""COMPUTED_VALUE"""),"#VALUE!")</f>
        <v>#VALUE!</v>
      </c>
      <c r="DE1150" t="str">
        <f ca="1">IFERROR(__xludf.DUMMYFUNCTION("""COMPUTED_VALUE"""),"#VALUE!")</f>
        <v>#VALUE!</v>
      </c>
    </row>
    <row r="1151" spans="1:109" ht="13.2" x14ac:dyDescent="0.25">
      <c r="A1151" t="str">
        <f ca="1">IFERROR(__xludf.DUMMYFUNCTION("""COMPUTED_VALUE"""),"P1160")</f>
        <v>P1160</v>
      </c>
      <c r="BC1151" t="str">
        <f ca="1">IFERROR(__xludf.DUMMYFUNCTION("""COMPUTED_VALUE"""),"#VALUE!")</f>
        <v>#VALUE!</v>
      </c>
      <c r="BE1151" t="str">
        <f ca="1">IFERROR(__xludf.DUMMYFUNCTION("""COMPUTED_VALUE"""),"#VALUE!")</f>
        <v>#VALUE!</v>
      </c>
      <c r="BG1151" t="str">
        <f ca="1">IFERROR(__xludf.DUMMYFUNCTION("""COMPUTED_VALUE"""),"#VALUE!")</f>
        <v>#VALUE!</v>
      </c>
      <c r="BI1151" t="str">
        <f ca="1">IFERROR(__xludf.DUMMYFUNCTION("""COMPUTED_VALUE"""),"#VALUE!")</f>
        <v>#VALUE!</v>
      </c>
      <c r="BK1151" t="str">
        <f ca="1">IFERROR(__xludf.DUMMYFUNCTION("""COMPUTED_VALUE"""),"#VALUE!")</f>
        <v>#VALUE!</v>
      </c>
      <c r="BM1151" t="str">
        <f ca="1">IFERROR(__xludf.DUMMYFUNCTION("""COMPUTED_VALUE"""),"#VALUE!")</f>
        <v>#VALUE!</v>
      </c>
      <c r="CS1151" t="str">
        <f ca="1">IFERROR(__xludf.DUMMYFUNCTION("""COMPUTED_VALUE"""),"#VALUE!")</f>
        <v>#VALUE!</v>
      </c>
      <c r="CU1151" t="str">
        <f ca="1">IFERROR(__xludf.DUMMYFUNCTION("""COMPUTED_VALUE"""),"#VALUE!")</f>
        <v>#VALUE!</v>
      </c>
      <c r="CW1151" t="str">
        <f ca="1">IFERROR(__xludf.DUMMYFUNCTION("""COMPUTED_VALUE"""),"#VALUE!")</f>
        <v>#VALUE!</v>
      </c>
      <c r="CY1151" t="str">
        <f ca="1">IFERROR(__xludf.DUMMYFUNCTION("""COMPUTED_VALUE"""),"#VALUE!")</f>
        <v>#VALUE!</v>
      </c>
      <c r="DC1151" t="str">
        <f ca="1">IFERROR(__xludf.DUMMYFUNCTION("""COMPUTED_VALUE"""),"#VALUE!")</f>
        <v>#VALUE!</v>
      </c>
      <c r="DE1151" t="str">
        <f ca="1">IFERROR(__xludf.DUMMYFUNCTION("""COMPUTED_VALUE"""),"#VALUE!")</f>
        <v>#VALUE!</v>
      </c>
    </row>
    <row r="1152" spans="1:109" ht="13.2" x14ac:dyDescent="0.25">
      <c r="A1152" t="str">
        <f ca="1">IFERROR(__xludf.DUMMYFUNCTION("""COMPUTED_VALUE"""),"P1161")</f>
        <v>P1161</v>
      </c>
      <c r="BC1152" t="str">
        <f ca="1">IFERROR(__xludf.DUMMYFUNCTION("""COMPUTED_VALUE"""),"#VALUE!")</f>
        <v>#VALUE!</v>
      </c>
      <c r="BE1152" t="str">
        <f ca="1">IFERROR(__xludf.DUMMYFUNCTION("""COMPUTED_VALUE"""),"#VALUE!")</f>
        <v>#VALUE!</v>
      </c>
      <c r="BG1152" t="str">
        <f ca="1">IFERROR(__xludf.DUMMYFUNCTION("""COMPUTED_VALUE"""),"#VALUE!")</f>
        <v>#VALUE!</v>
      </c>
      <c r="BI1152" t="str">
        <f ca="1">IFERROR(__xludf.DUMMYFUNCTION("""COMPUTED_VALUE"""),"#VALUE!")</f>
        <v>#VALUE!</v>
      </c>
      <c r="BK1152" t="str">
        <f ca="1">IFERROR(__xludf.DUMMYFUNCTION("""COMPUTED_VALUE"""),"#VALUE!")</f>
        <v>#VALUE!</v>
      </c>
      <c r="BM1152" t="str">
        <f ca="1">IFERROR(__xludf.DUMMYFUNCTION("""COMPUTED_VALUE"""),"#VALUE!")</f>
        <v>#VALUE!</v>
      </c>
      <c r="CS1152" t="str">
        <f ca="1">IFERROR(__xludf.DUMMYFUNCTION("""COMPUTED_VALUE"""),"#VALUE!")</f>
        <v>#VALUE!</v>
      </c>
      <c r="CU1152" t="str">
        <f ca="1">IFERROR(__xludf.DUMMYFUNCTION("""COMPUTED_VALUE"""),"#VALUE!")</f>
        <v>#VALUE!</v>
      </c>
      <c r="CW1152" t="str">
        <f ca="1">IFERROR(__xludf.DUMMYFUNCTION("""COMPUTED_VALUE"""),"#VALUE!")</f>
        <v>#VALUE!</v>
      </c>
      <c r="CY1152" t="str">
        <f ca="1">IFERROR(__xludf.DUMMYFUNCTION("""COMPUTED_VALUE"""),"#VALUE!")</f>
        <v>#VALUE!</v>
      </c>
      <c r="DC1152" t="str">
        <f ca="1">IFERROR(__xludf.DUMMYFUNCTION("""COMPUTED_VALUE"""),"#VALUE!")</f>
        <v>#VALUE!</v>
      </c>
      <c r="DE1152" t="str">
        <f ca="1">IFERROR(__xludf.DUMMYFUNCTION("""COMPUTED_VALUE"""),"#VALUE!")</f>
        <v>#VALUE!</v>
      </c>
    </row>
    <row r="1153" spans="1:109" ht="13.2" x14ac:dyDescent="0.25">
      <c r="A1153" t="str">
        <f ca="1">IFERROR(__xludf.DUMMYFUNCTION("""COMPUTED_VALUE"""),"P1162")</f>
        <v>P1162</v>
      </c>
      <c r="BC1153" t="str">
        <f ca="1">IFERROR(__xludf.DUMMYFUNCTION("""COMPUTED_VALUE"""),"#VALUE!")</f>
        <v>#VALUE!</v>
      </c>
      <c r="BE1153" t="str">
        <f ca="1">IFERROR(__xludf.DUMMYFUNCTION("""COMPUTED_VALUE"""),"#VALUE!")</f>
        <v>#VALUE!</v>
      </c>
      <c r="BG1153" t="str">
        <f ca="1">IFERROR(__xludf.DUMMYFUNCTION("""COMPUTED_VALUE"""),"#VALUE!")</f>
        <v>#VALUE!</v>
      </c>
      <c r="BI1153" t="str">
        <f ca="1">IFERROR(__xludf.DUMMYFUNCTION("""COMPUTED_VALUE"""),"#VALUE!")</f>
        <v>#VALUE!</v>
      </c>
      <c r="BK1153" t="str">
        <f ca="1">IFERROR(__xludf.DUMMYFUNCTION("""COMPUTED_VALUE"""),"#VALUE!")</f>
        <v>#VALUE!</v>
      </c>
      <c r="BM1153" t="str">
        <f ca="1">IFERROR(__xludf.DUMMYFUNCTION("""COMPUTED_VALUE"""),"#VALUE!")</f>
        <v>#VALUE!</v>
      </c>
      <c r="CS1153" t="str">
        <f ca="1">IFERROR(__xludf.DUMMYFUNCTION("""COMPUTED_VALUE"""),"#VALUE!")</f>
        <v>#VALUE!</v>
      </c>
      <c r="CU1153" t="str">
        <f ca="1">IFERROR(__xludf.DUMMYFUNCTION("""COMPUTED_VALUE"""),"#VALUE!")</f>
        <v>#VALUE!</v>
      </c>
      <c r="CW1153" t="str">
        <f ca="1">IFERROR(__xludf.DUMMYFUNCTION("""COMPUTED_VALUE"""),"#VALUE!")</f>
        <v>#VALUE!</v>
      </c>
      <c r="CY1153" t="str">
        <f ca="1">IFERROR(__xludf.DUMMYFUNCTION("""COMPUTED_VALUE"""),"#VALUE!")</f>
        <v>#VALUE!</v>
      </c>
      <c r="DC1153" t="str">
        <f ca="1">IFERROR(__xludf.DUMMYFUNCTION("""COMPUTED_VALUE"""),"#VALUE!")</f>
        <v>#VALUE!</v>
      </c>
      <c r="DE1153" t="str">
        <f ca="1">IFERROR(__xludf.DUMMYFUNCTION("""COMPUTED_VALUE"""),"#VALUE!")</f>
        <v>#VALUE!</v>
      </c>
    </row>
    <row r="1154" spans="1:109" ht="13.2" x14ac:dyDescent="0.25">
      <c r="A1154" t="str">
        <f ca="1">IFERROR(__xludf.DUMMYFUNCTION("""COMPUTED_VALUE"""),"P1163")</f>
        <v>P1163</v>
      </c>
      <c r="BC1154" t="str">
        <f ca="1">IFERROR(__xludf.DUMMYFUNCTION("""COMPUTED_VALUE"""),"#VALUE!")</f>
        <v>#VALUE!</v>
      </c>
      <c r="BE1154" t="str">
        <f ca="1">IFERROR(__xludf.DUMMYFUNCTION("""COMPUTED_VALUE"""),"#VALUE!")</f>
        <v>#VALUE!</v>
      </c>
      <c r="BG1154" t="str">
        <f ca="1">IFERROR(__xludf.DUMMYFUNCTION("""COMPUTED_VALUE"""),"#VALUE!")</f>
        <v>#VALUE!</v>
      </c>
      <c r="BI1154" t="str">
        <f ca="1">IFERROR(__xludf.DUMMYFUNCTION("""COMPUTED_VALUE"""),"#VALUE!")</f>
        <v>#VALUE!</v>
      </c>
      <c r="BK1154" t="str">
        <f ca="1">IFERROR(__xludf.DUMMYFUNCTION("""COMPUTED_VALUE"""),"#VALUE!")</f>
        <v>#VALUE!</v>
      </c>
      <c r="BM1154" t="str">
        <f ca="1">IFERROR(__xludf.DUMMYFUNCTION("""COMPUTED_VALUE"""),"#VALUE!")</f>
        <v>#VALUE!</v>
      </c>
      <c r="CS1154" t="str">
        <f ca="1">IFERROR(__xludf.DUMMYFUNCTION("""COMPUTED_VALUE"""),"#VALUE!")</f>
        <v>#VALUE!</v>
      </c>
      <c r="CU1154" t="str">
        <f ca="1">IFERROR(__xludf.DUMMYFUNCTION("""COMPUTED_VALUE"""),"#VALUE!")</f>
        <v>#VALUE!</v>
      </c>
      <c r="CW1154" t="str">
        <f ca="1">IFERROR(__xludf.DUMMYFUNCTION("""COMPUTED_VALUE"""),"#VALUE!")</f>
        <v>#VALUE!</v>
      </c>
      <c r="CY1154" t="str">
        <f ca="1">IFERROR(__xludf.DUMMYFUNCTION("""COMPUTED_VALUE"""),"#VALUE!")</f>
        <v>#VALUE!</v>
      </c>
      <c r="DC1154" t="str">
        <f ca="1">IFERROR(__xludf.DUMMYFUNCTION("""COMPUTED_VALUE"""),"#VALUE!")</f>
        <v>#VALUE!</v>
      </c>
      <c r="DE1154" t="str">
        <f ca="1">IFERROR(__xludf.DUMMYFUNCTION("""COMPUTED_VALUE"""),"#VALUE!")</f>
        <v>#VALUE!</v>
      </c>
    </row>
    <row r="1155" spans="1:109" ht="13.2" x14ac:dyDescent="0.25">
      <c r="A1155" t="str">
        <f ca="1">IFERROR(__xludf.DUMMYFUNCTION("""COMPUTED_VALUE"""),"P1164")</f>
        <v>P1164</v>
      </c>
      <c r="BC1155" t="str">
        <f ca="1">IFERROR(__xludf.DUMMYFUNCTION("""COMPUTED_VALUE"""),"#VALUE!")</f>
        <v>#VALUE!</v>
      </c>
      <c r="BE1155" t="str">
        <f ca="1">IFERROR(__xludf.DUMMYFUNCTION("""COMPUTED_VALUE"""),"#VALUE!")</f>
        <v>#VALUE!</v>
      </c>
      <c r="BG1155" t="str">
        <f ca="1">IFERROR(__xludf.DUMMYFUNCTION("""COMPUTED_VALUE"""),"#VALUE!")</f>
        <v>#VALUE!</v>
      </c>
      <c r="BI1155" t="str">
        <f ca="1">IFERROR(__xludf.DUMMYFUNCTION("""COMPUTED_VALUE"""),"#VALUE!")</f>
        <v>#VALUE!</v>
      </c>
      <c r="BK1155" t="str">
        <f ca="1">IFERROR(__xludf.DUMMYFUNCTION("""COMPUTED_VALUE"""),"#VALUE!")</f>
        <v>#VALUE!</v>
      </c>
      <c r="BM1155" t="str">
        <f ca="1">IFERROR(__xludf.DUMMYFUNCTION("""COMPUTED_VALUE"""),"#VALUE!")</f>
        <v>#VALUE!</v>
      </c>
      <c r="CS1155" t="str">
        <f ca="1">IFERROR(__xludf.DUMMYFUNCTION("""COMPUTED_VALUE"""),"#VALUE!")</f>
        <v>#VALUE!</v>
      </c>
      <c r="CU1155" t="str">
        <f ca="1">IFERROR(__xludf.DUMMYFUNCTION("""COMPUTED_VALUE"""),"#VALUE!")</f>
        <v>#VALUE!</v>
      </c>
      <c r="CW1155" t="str">
        <f ca="1">IFERROR(__xludf.DUMMYFUNCTION("""COMPUTED_VALUE"""),"#VALUE!")</f>
        <v>#VALUE!</v>
      </c>
      <c r="CY1155" t="str">
        <f ca="1">IFERROR(__xludf.DUMMYFUNCTION("""COMPUTED_VALUE"""),"#VALUE!")</f>
        <v>#VALUE!</v>
      </c>
      <c r="DC1155" t="str">
        <f ca="1">IFERROR(__xludf.DUMMYFUNCTION("""COMPUTED_VALUE"""),"#VALUE!")</f>
        <v>#VALUE!</v>
      </c>
      <c r="DE1155" t="str">
        <f ca="1">IFERROR(__xludf.DUMMYFUNCTION("""COMPUTED_VALUE"""),"#VALUE!")</f>
        <v>#VALUE!</v>
      </c>
    </row>
    <row r="1156" spans="1:109" ht="13.2" x14ac:dyDescent="0.25">
      <c r="A1156" t="str">
        <f ca="1">IFERROR(__xludf.DUMMYFUNCTION("""COMPUTED_VALUE"""),"P1165")</f>
        <v>P1165</v>
      </c>
      <c r="BC1156" t="str">
        <f ca="1">IFERROR(__xludf.DUMMYFUNCTION("""COMPUTED_VALUE"""),"#VALUE!")</f>
        <v>#VALUE!</v>
      </c>
      <c r="BE1156" t="str">
        <f ca="1">IFERROR(__xludf.DUMMYFUNCTION("""COMPUTED_VALUE"""),"#VALUE!")</f>
        <v>#VALUE!</v>
      </c>
      <c r="BG1156" t="str">
        <f ca="1">IFERROR(__xludf.DUMMYFUNCTION("""COMPUTED_VALUE"""),"#VALUE!")</f>
        <v>#VALUE!</v>
      </c>
      <c r="BI1156" t="str">
        <f ca="1">IFERROR(__xludf.DUMMYFUNCTION("""COMPUTED_VALUE"""),"#VALUE!")</f>
        <v>#VALUE!</v>
      </c>
      <c r="BK1156" t="str">
        <f ca="1">IFERROR(__xludf.DUMMYFUNCTION("""COMPUTED_VALUE"""),"#VALUE!")</f>
        <v>#VALUE!</v>
      </c>
      <c r="BM1156" t="str">
        <f ca="1">IFERROR(__xludf.DUMMYFUNCTION("""COMPUTED_VALUE"""),"#VALUE!")</f>
        <v>#VALUE!</v>
      </c>
      <c r="CS1156" t="str">
        <f ca="1">IFERROR(__xludf.DUMMYFUNCTION("""COMPUTED_VALUE"""),"#VALUE!")</f>
        <v>#VALUE!</v>
      </c>
      <c r="CU1156" t="str">
        <f ca="1">IFERROR(__xludf.DUMMYFUNCTION("""COMPUTED_VALUE"""),"#VALUE!")</f>
        <v>#VALUE!</v>
      </c>
      <c r="CW1156" t="str">
        <f ca="1">IFERROR(__xludf.DUMMYFUNCTION("""COMPUTED_VALUE"""),"#VALUE!")</f>
        <v>#VALUE!</v>
      </c>
      <c r="CY1156" t="str">
        <f ca="1">IFERROR(__xludf.DUMMYFUNCTION("""COMPUTED_VALUE"""),"#VALUE!")</f>
        <v>#VALUE!</v>
      </c>
      <c r="DC1156" t="str">
        <f ca="1">IFERROR(__xludf.DUMMYFUNCTION("""COMPUTED_VALUE"""),"#VALUE!")</f>
        <v>#VALUE!</v>
      </c>
      <c r="DE1156" t="str">
        <f ca="1">IFERROR(__xludf.DUMMYFUNCTION("""COMPUTED_VALUE"""),"#VALUE!")</f>
        <v>#VALUE!</v>
      </c>
    </row>
    <row r="1157" spans="1:109" ht="13.2" x14ac:dyDescent="0.25">
      <c r="A1157" t="str">
        <f ca="1">IFERROR(__xludf.DUMMYFUNCTION("""COMPUTED_VALUE"""),"P1166")</f>
        <v>P1166</v>
      </c>
      <c r="BC1157" t="str">
        <f ca="1">IFERROR(__xludf.DUMMYFUNCTION("""COMPUTED_VALUE"""),"#VALUE!")</f>
        <v>#VALUE!</v>
      </c>
      <c r="BE1157" t="str">
        <f ca="1">IFERROR(__xludf.DUMMYFUNCTION("""COMPUTED_VALUE"""),"#VALUE!")</f>
        <v>#VALUE!</v>
      </c>
      <c r="BG1157" t="str">
        <f ca="1">IFERROR(__xludf.DUMMYFUNCTION("""COMPUTED_VALUE"""),"#VALUE!")</f>
        <v>#VALUE!</v>
      </c>
      <c r="BI1157" t="str">
        <f ca="1">IFERROR(__xludf.DUMMYFUNCTION("""COMPUTED_VALUE"""),"#VALUE!")</f>
        <v>#VALUE!</v>
      </c>
      <c r="BK1157" t="str">
        <f ca="1">IFERROR(__xludf.DUMMYFUNCTION("""COMPUTED_VALUE"""),"#VALUE!")</f>
        <v>#VALUE!</v>
      </c>
      <c r="BM1157" t="str">
        <f ca="1">IFERROR(__xludf.DUMMYFUNCTION("""COMPUTED_VALUE"""),"#VALUE!")</f>
        <v>#VALUE!</v>
      </c>
      <c r="CS1157" t="str">
        <f ca="1">IFERROR(__xludf.DUMMYFUNCTION("""COMPUTED_VALUE"""),"#VALUE!")</f>
        <v>#VALUE!</v>
      </c>
      <c r="CU1157" t="str">
        <f ca="1">IFERROR(__xludf.DUMMYFUNCTION("""COMPUTED_VALUE"""),"#VALUE!")</f>
        <v>#VALUE!</v>
      </c>
      <c r="CW1157" t="str">
        <f ca="1">IFERROR(__xludf.DUMMYFUNCTION("""COMPUTED_VALUE"""),"#VALUE!")</f>
        <v>#VALUE!</v>
      </c>
      <c r="CY1157" t="str">
        <f ca="1">IFERROR(__xludf.DUMMYFUNCTION("""COMPUTED_VALUE"""),"#VALUE!")</f>
        <v>#VALUE!</v>
      </c>
      <c r="DC1157" t="str">
        <f ca="1">IFERROR(__xludf.DUMMYFUNCTION("""COMPUTED_VALUE"""),"#VALUE!")</f>
        <v>#VALUE!</v>
      </c>
      <c r="DE1157" t="str">
        <f ca="1">IFERROR(__xludf.DUMMYFUNCTION("""COMPUTED_VALUE"""),"#VALUE!")</f>
        <v>#VALUE!</v>
      </c>
    </row>
    <row r="1158" spans="1:109" ht="13.2" x14ac:dyDescent="0.25">
      <c r="A1158" t="str">
        <f ca="1">IFERROR(__xludf.DUMMYFUNCTION("""COMPUTED_VALUE"""),"P1167")</f>
        <v>P1167</v>
      </c>
      <c r="BC1158" t="str">
        <f ca="1">IFERROR(__xludf.DUMMYFUNCTION("""COMPUTED_VALUE"""),"#VALUE!")</f>
        <v>#VALUE!</v>
      </c>
      <c r="BE1158" t="str">
        <f ca="1">IFERROR(__xludf.DUMMYFUNCTION("""COMPUTED_VALUE"""),"#VALUE!")</f>
        <v>#VALUE!</v>
      </c>
      <c r="BG1158" t="str">
        <f ca="1">IFERROR(__xludf.DUMMYFUNCTION("""COMPUTED_VALUE"""),"#VALUE!")</f>
        <v>#VALUE!</v>
      </c>
      <c r="BI1158" t="str">
        <f ca="1">IFERROR(__xludf.DUMMYFUNCTION("""COMPUTED_VALUE"""),"#VALUE!")</f>
        <v>#VALUE!</v>
      </c>
      <c r="BK1158" t="str">
        <f ca="1">IFERROR(__xludf.DUMMYFUNCTION("""COMPUTED_VALUE"""),"#VALUE!")</f>
        <v>#VALUE!</v>
      </c>
      <c r="BM1158" t="str">
        <f ca="1">IFERROR(__xludf.DUMMYFUNCTION("""COMPUTED_VALUE"""),"#VALUE!")</f>
        <v>#VALUE!</v>
      </c>
      <c r="CS1158" t="str">
        <f ca="1">IFERROR(__xludf.DUMMYFUNCTION("""COMPUTED_VALUE"""),"#VALUE!")</f>
        <v>#VALUE!</v>
      </c>
      <c r="CU1158" t="str">
        <f ca="1">IFERROR(__xludf.DUMMYFUNCTION("""COMPUTED_VALUE"""),"#VALUE!")</f>
        <v>#VALUE!</v>
      </c>
      <c r="CW1158" t="str">
        <f ca="1">IFERROR(__xludf.DUMMYFUNCTION("""COMPUTED_VALUE"""),"#VALUE!")</f>
        <v>#VALUE!</v>
      </c>
      <c r="CY1158" t="str">
        <f ca="1">IFERROR(__xludf.DUMMYFUNCTION("""COMPUTED_VALUE"""),"#VALUE!")</f>
        <v>#VALUE!</v>
      </c>
      <c r="DC1158" t="str">
        <f ca="1">IFERROR(__xludf.DUMMYFUNCTION("""COMPUTED_VALUE"""),"#VALUE!")</f>
        <v>#VALUE!</v>
      </c>
      <c r="DE1158" t="str">
        <f ca="1">IFERROR(__xludf.DUMMYFUNCTION("""COMPUTED_VALUE"""),"#VALUE!")</f>
        <v>#VALUE!</v>
      </c>
    </row>
    <row r="1159" spans="1:109" ht="13.2" x14ac:dyDescent="0.25">
      <c r="A1159" t="str">
        <f ca="1">IFERROR(__xludf.DUMMYFUNCTION("""COMPUTED_VALUE"""),"P1168")</f>
        <v>P1168</v>
      </c>
      <c r="BC1159" t="str">
        <f ca="1">IFERROR(__xludf.DUMMYFUNCTION("""COMPUTED_VALUE"""),"#VALUE!")</f>
        <v>#VALUE!</v>
      </c>
      <c r="BE1159" t="str">
        <f ca="1">IFERROR(__xludf.DUMMYFUNCTION("""COMPUTED_VALUE"""),"#VALUE!")</f>
        <v>#VALUE!</v>
      </c>
      <c r="BG1159" t="str">
        <f ca="1">IFERROR(__xludf.DUMMYFUNCTION("""COMPUTED_VALUE"""),"#VALUE!")</f>
        <v>#VALUE!</v>
      </c>
      <c r="BI1159" t="str">
        <f ca="1">IFERROR(__xludf.DUMMYFUNCTION("""COMPUTED_VALUE"""),"#VALUE!")</f>
        <v>#VALUE!</v>
      </c>
      <c r="BK1159" t="str">
        <f ca="1">IFERROR(__xludf.DUMMYFUNCTION("""COMPUTED_VALUE"""),"#VALUE!")</f>
        <v>#VALUE!</v>
      </c>
      <c r="BM1159" t="str">
        <f ca="1">IFERROR(__xludf.DUMMYFUNCTION("""COMPUTED_VALUE"""),"#VALUE!")</f>
        <v>#VALUE!</v>
      </c>
      <c r="CS1159" t="str">
        <f ca="1">IFERROR(__xludf.DUMMYFUNCTION("""COMPUTED_VALUE"""),"#VALUE!")</f>
        <v>#VALUE!</v>
      </c>
      <c r="CU1159" t="str">
        <f ca="1">IFERROR(__xludf.DUMMYFUNCTION("""COMPUTED_VALUE"""),"#VALUE!")</f>
        <v>#VALUE!</v>
      </c>
      <c r="CW1159" t="str">
        <f ca="1">IFERROR(__xludf.DUMMYFUNCTION("""COMPUTED_VALUE"""),"#VALUE!")</f>
        <v>#VALUE!</v>
      </c>
      <c r="CY1159" t="str">
        <f ca="1">IFERROR(__xludf.DUMMYFUNCTION("""COMPUTED_VALUE"""),"#VALUE!")</f>
        <v>#VALUE!</v>
      </c>
      <c r="DC1159" t="str">
        <f ca="1">IFERROR(__xludf.DUMMYFUNCTION("""COMPUTED_VALUE"""),"#VALUE!")</f>
        <v>#VALUE!</v>
      </c>
      <c r="DE1159" t="str">
        <f ca="1">IFERROR(__xludf.DUMMYFUNCTION("""COMPUTED_VALUE"""),"#VALUE!")</f>
        <v>#VALUE!</v>
      </c>
    </row>
    <row r="1160" spans="1:109" ht="13.2" x14ac:dyDescent="0.25">
      <c r="A1160" t="str">
        <f ca="1">IFERROR(__xludf.DUMMYFUNCTION("""COMPUTED_VALUE"""),"P1169")</f>
        <v>P1169</v>
      </c>
      <c r="BC1160" t="str">
        <f ca="1">IFERROR(__xludf.DUMMYFUNCTION("""COMPUTED_VALUE"""),"#VALUE!")</f>
        <v>#VALUE!</v>
      </c>
      <c r="BE1160" t="str">
        <f ca="1">IFERROR(__xludf.DUMMYFUNCTION("""COMPUTED_VALUE"""),"#VALUE!")</f>
        <v>#VALUE!</v>
      </c>
      <c r="BG1160" t="str">
        <f ca="1">IFERROR(__xludf.DUMMYFUNCTION("""COMPUTED_VALUE"""),"#VALUE!")</f>
        <v>#VALUE!</v>
      </c>
      <c r="BI1160" t="str">
        <f ca="1">IFERROR(__xludf.DUMMYFUNCTION("""COMPUTED_VALUE"""),"#VALUE!")</f>
        <v>#VALUE!</v>
      </c>
      <c r="BK1160" t="str">
        <f ca="1">IFERROR(__xludf.DUMMYFUNCTION("""COMPUTED_VALUE"""),"#VALUE!")</f>
        <v>#VALUE!</v>
      </c>
      <c r="BM1160" t="str">
        <f ca="1">IFERROR(__xludf.DUMMYFUNCTION("""COMPUTED_VALUE"""),"#VALUE!")</f>
        <v>#VALUE!</v>
      </c>
      <c r="CS1160" t="str">
        <f ca="1">IFERROR(__xludf.DUMMYFUNCTION("""COMPUTED_VALUE"""),"#VALUE!")</f>
        <v>#VALUE!</v>
      </c>
      <c r="CU1160" t="str">
        <f ca="1">IFERROR(__xludf.DUMMYFUNCTION("""COMPUTED_VALUE"""),"#VALUE!")</f>
        <v>#VALUE!</v>
      </c>
      <c r="CW1160" t="str">
        <f ca="1">IFERROR(__xludf.DUMMYFUNCTION("""COMPUTED_VALUE"""),"#VALUE!")</f>
        <v>#VALUE!</v>
      </c>
      <c r="CY1160" t="str">
        <f ca="1">IFERROR(__xludf.DUMMYFUNCTION("""COMPUTED_VALUE"""),"#VALUE!")</f>
        <v>#VALUE!</v>
      </c>
      <c r="DC1160" t="str">
        <f ca="1">IFERROR(__xludf.DUMMYFUNCTION("""COMPUTED_VALUE"""),"#VALUE!")</f>
        <v>#VALUE!</v>
      </c>
      <c r="DE1160" t="str">
        <f ca="1">IFERROR(__xludf.DUMMYFUNCTION("""COMPUTED_VALUE"""),"#VALUE!")</f>
        <v>#VALUE!</v>
      </c>
    </row>
    <row r="1161" spans="1:109" ht="13.2" x14ac:dyDescent="0.25">
      <c r="A1161" t="str">
        <f ca="1">IFERROR(__xludf.DUMMYFUNCTION("""COMPUTED_VALUE"""),"P1170")</f>
        <v>P1170</v>
      </c>
      <c r="BC1161" t="str">
        <f ca="1">IFERROR(__xludf.DUMMYFUNCTION("""COMPUTED_VALUE"""),"#VALUE!")</f>
        <v>#VALUE!</v>
      </c>
      <c r="BE1161" t="str">
        <f ca="1">IFERROR(__xludf.DUMMYFUNCTION("""COMPUTED_VALUE"""),"#VALUE!")</f>
        <v>#VALUE!</v>
      </c>
      <c r="BG1161" t="str">
        <f ca="1">IFERROR(__xludf.DUMMYFUNCTION("""COMPUTED_VALUE"""),"#VALUE!")</f>
        <v>#VALUE!</v>
      </c>
      <c r="BI1161" t="str">
        <f ca="1">IFERROR(__xludf.DUMMYFUNCTION("""COMPUTED_VALUE"""),"#VALUE!")</f>
        <v>#VALUE!</v>
      </c>
      <c r="BK1161" t="str">
        <f ca="1">IFERROR(__xludf.DUMMYFUNCTION("""COMPUTED_VALUE"""),"#VALUE!")</f>
        <v>#VALUE!</v>
      </c>
      <c r="BM1161" t="str">
        <f ca="1">IFERROR(__xludf.DUMMYFUNCTION("""COMPUTED_VALUE"""),"#VALUE!")</f>
        <v>#VALUE!</v>
      </c>
      <c r="CS1161" t="str">
        <f ca="1">IFERROR(__xludf.DUMMYFUNCTION("""COMPUTED_VALUE"""),"#VALUE!")</f>
        <v>#VALUE!</v>
      </c>
      <c r="CU1161" t="str">
        <f ca="1">IFERROR(__xludf.DUMMYFUNCTION("""COMPUTED_VALUE"""),"#VALUE!")</f>
        <v>#VALUE!</v>
      </c>
      <c r="CW1161" t="str">
        <f ca="1">IFERROR(__xludf.DUMMYFUNCTION("""COMPUTED_VALUE"""),"#VALUE!")</f>
        <v>#VALUE!</v>
      </c>
      <c r="CY1161" t="str">
        <f ca="1">IFERROR(__xludf.DUMMYFUNCTION("""COMPUTED_VALUE"""),"#VALUE!")</f>
        <v>#VALUE!</v>
      </c>
      <c r="DC1161" t="str">
        <f ca="1">IFERROR(__xludf.DUMMYFUNCTION("""COMPUTED_VALUE"""),"#VALUE!")</f>
        <v>#VALUE!</v>
      </c>
      <c r="DE1161" t="str">
        <f ca="1">IFERROR(__xludf.DUMMYFUNCTION("""COMPUTED_VALUE"""),"#VALUE!")</f>
        <v>#VALUE!</v>
      </c>
    </row>
    <row r="1162" spans="1:109" ht="13.2" x14ac:dyDescent="0.25">
      <c r="A1162" t="str">
        <f ca="1">IFERROR(__xludf.DUMMYFUNCTION("""COMPUTED_VALUE"""),"P1171")</f>
        <v>P1171</v>
      </c>
      <c r="BC1162" t="str">
        <f ca="1">IFERROR(__xludf.DUMMYFUNCTION("""COMPUTED_VALUE"""),"#VALUE!")</f>
        <v>#VALUE!</v>
      </c>
      <c r="BE1162" t="str">
        <f ca="1">IFERROR(__xludf.DUMMYFUNCTION("""COMPUTED_VALUE"""),"#VALUE!")</f>
        <v>#VALUE!</v>
      </c>
      <c r="BG1162" t="str">
        <f ca="1">IFERROR(__xludf.DUMMYFUNCTION("""COMPUTED_VALUE"""),"#VALUE!")</f>
        <v>#VALUE!</v>
      </c>
      <c r="BI1162" t="str">
        <f ca="1">IFERROR(__xludf.DUMMYFUNCTION("""COMPUTED_VALUE"""),"#VALUE!")</f>
        <v>#VALUE!</v>
      </c>
      <c r="BK1162" t="str">
        <f ca="1">IFERROR(__xludf.DUMMYFUNCTION("""COMPUTED_VALUE"""),"#VALUE!")</f>
        <v>#VALUE!</v>
      </c>
      <c r="BM1162" t="str">
        <f ca="1">IFERROR(__xludf.DUMMYFUNCTION("""COMPUTED_VALUE"""),"#VALUE!")</f>
        <v>#VALUE!</v>
      </c>
      <c r="CS1162" t="str">
        <f ca="1">IFERROR(__xludf.DUMMYFUNCTION("""COMPUTED_VALUE"""),"#VALUE!")</f>
        <v>#VALUE!</v>
      </c>
      <c r="CU1162" t="str">
        <f ca="1">IFERROR(__xludf.DUMMYFUNCTION("""COMPUTED_VALUE"""),"#VALUE!")</f>
        <v>#VALUE!</v>
      </c>
      <c r="CW1162" t="str">
        <f ca="1">IFERROR(__xludf.DUMMYFUNCTION("""COMPUTED_VALUE"""),"#VALUE!")</f>
        <v>#VALUE!</v>
      </c>
      <c r="CY1162" t="str">
        <f ca="1">IFERROR(__xludf.DUMMYFUNCTION("""COMPUTED_VALUE"""),"#VALUE!")</f>
        <v>#VALUE!</v>
      </c>
      <c r="DC1162" t="str">
        <f ca="1">IFERROR(__xludf.DUMMYFUNCTION("""COMPUTED_VALUE"""),"#VALUE!")</f>
        <v>#VALUE!</v>
      </c>
      <c r="DE1162" t="str">
        <f ca="1">IFERROR(__xludf.DUMMYFUNCTION("""COMPUTED_VALUE"""),"#VALUE!")</f>
        <v>#VALUE!</v>
      </c>
    </row>
    <row r="1163" spans="1:109" ht="13.2" x14ac:dyDescent="0.25">
      <c r="A1163" t="str">
        <f ca="1">IFERROR(__xludf.DUMMYFUNCTION("""COMPUTED_VALUE"""),"P1172")</f>
        <v>P1172</v>
      </c>
      <c r="BC1163" t="str">
        <f ca="1">IFERROR(__xludf.DUMMYFUNCTION("""COMPUTED_VALUE"""),"#VALUE!")</f>
        <v>#VALUE!</v>
      </c>
      <c r="BE1163" t="str">
        <f ca="1">IFERROR(__xludf.DUMMYFUNCTION("""COMPUTED_VALUE"""),"#VALUE!")</f>
        <v>#VALUE!</v>
      </c>
      <c r="BG1163" t="str">
        <f ca="1">IFERROR(__xludf.DUMMYFUNCTION("""COMPUTED_VALUE"""),"#VALUE!")</f>
        <v>#VALUE!</v>
      </c>
      <c r="BI1163" t="str">
        <f ca="1">IFERROR(__xludf.DUMMYFUNCTION("""COMPUTED_VALUE"""),"#VALUE!")</f>
        <v>#VALUE!</v>
      </c>
      <c r="BK1163" t="str">
        <f ca="1">IFERROR(__xludf.DUMMYFUNCTION("""COMPUTED_VALUE"""),"#VALUE!")</f>
        <v>#VALUE!</v>
      </c>
      <c r="BM1163" t="str">
        <f ca="1">IFERROR(__xludf.DUMMYFUNCTION("""COMPUTED_VALUE"""),"#VALUE!")</f>
        <v>#VALUE!</v>
      </c>
      <c r="CS1163" t="str">
        <f ca="1">IFERROR(__xludf.DUMMYFUNCTION("""COMPUTED_VALUE"""),"#VALUE!")</f>
        <v>#VALUE!</v>
      </c>
      <c r="CU1163" t="str">
        <f ca="1">IFERROR(__xludf.DUMMYFUNCTION("""COMPUTED_VALUE"""),"#VALUE!")</f>
        <v>#VALUE!</v>
      </c>
      <c r="CW1163" t="str">
        <f ca="1">IFERROR(__xludf.DUMMYFUNCTION("""COMPUTED_VALUE"""),"#VALUE!")</f>
        <v>#VALUE!</v>
      </c>
      <c r="CY1163" t="str">
        <f ca="1">IFERROR(__xludf.DUMMYFUNCTION("""COMPUTED_VALUE"""),"#VALUE!")</f>
        <v>#VALUE!</v>
      </c>
      <c r="DC1163" t="str">
        <f ca="1">IFERROR(__xludf.DUMMYFUNCTION("""COMPUTED_VALUE"""),"#VALUE!")</f>
        <v>#VALUE!</v>
      </c>
      <c r="DE1163" t="str">
        <f ca="1">IFERROR(__xludf.DUMMYFUNCTION("""COMPUTED_VALUE"""),"#VALUE!")</f>
        <v>#VALUE!</v>
      </c>
    </row>
    <row r="1164" spans="1:109" ht="13.2" x14ac:dyDescent="0.25">
      <c r="A1164" t="str">
        <f ca="1">IFERROR(__xludf.DUMMYFUNCTION("""COMPUTED_VALUE"""),"P1173")</f>
        <v>P1173</v>
      </c>
      <c r="BC1164" t="str">
        <f ca="1">IFERROR(__xludf.DUMMYFUNCTION("""COMPUTED_VALUE"""),"#VALUE!")</f>
        <v>#VALUE!</v>
      </c>
      <c r="BE1164" t="str">
        <f ca="1">IFERROR(__xludf.DUMMYFUNCTION("""COMPUTED_VALUE"""),"#VALUE!")</f>
        <v>#VALUE!</v>
      </c>
      <c r="BG1164" t="str">
        <f ca="1">IFERROR(__xludf.DUMMYFUNCTION("""COMPUTED_VALUE"""),"#VALUE!")</f>
        <v>#VALUE!</v>
      </c>
      <c r="BI1164" t="str">
        <f ca="1">IFERROR(__xludf.DUMMYFUNCTION("""COMPUTED_VALUE"""),"#VALUE!")</f>
        <v>#VALUE!</v>
      </c>
      <c r="BK1164" t="str">
        <f ca="1">IFERROR(__xludf.DUMMYFUNCTION("""COMPUTED_VALUE"""),"#VALUE!")</f>
        <v>#VALUE!</v>
      </c>
      <c r="BM1164" t="str">
        <f ca="1">IFERROR(__xludf.DUMMYFUNCTION("""COMPUTED_VALUE"""),"#VALUE!")</f>
        <v>#VALUE!</v>
      </c>
      <c r="CS1164" t="str">
        <f ca="1">IFERROR(__xludf.DUMMYFUNCTION("""COMPUTED_VALUE"""),"#VALUE!")</f>
        <v>#VALUE!</v>
      </c>
      <c r="CU1164" t="str">
        <f ca="1">IFERROR(__xludf.DUMMYFUNCTION("""COMPUTED_VALUE"""),"#VALUE!")</f>
        <v>#VALUE!</v>
      </c>
      <c r="CW1164" t="str">
        <f ca="1">IFERROR(__xludf.DUMMYFUNCTION("""COMPUTED_VALUE"""),"#VALUE!")</f>
        <v>#VALUE!</v>
      </c>
      <c r="CY1164" t="str">
        <f ca="1">IFERROR(__xludf.DUMMYFUNCTION("""COMPUTED_VALUE"""),"#VALUE!")</f>
        <v>#VALUE!</v>
      </c>
      <c r="DC1164" t="str">
        <f ca="1">IFERROR(__xludf.DUMMYFUNCTION("""COMPUTED_VALUE"""),"#VALUE!")</f>
        <v>#VALUE!</v>
      </c>
      <c r="DE1164" t="str">
        <f ca="1">IFERROR(__xludf.DUMMYFUNCTION("""COMPUTED_VALUE"""),"#VALUE!")</f>
        <v>#VALUE!</v>
      </c>
    </row>
    <row r="1165" spans="1:109" ht="13.2" x14ac:dyDescent="0.25">
      <c r="A1165" t="str">
        <f ca="1">IFERROR(__xludf.DUMMYFUNCTION("""COMPUTED_VALUE"""),"P1174")</f>
        <v>P1174</v>
      </c>
      <c r="BC1165" t="str">
        <f ca="1">IFERROR(__xludf.DUMMYFUNCTION("""COMPUTED_VALUE"""),"#VALUE!")</f>
        <v>#VALUE!</v>
      </c>
      <c r="BE1165" t="str">
        <f ca="1">IFERROR(__xludf.DUMMYFUNCTION("""COMPUTED_VALUE"""),"#VALUE!")</f>
        <v>#VALUE!</v>
      </c>
      <c r="BG1165" t="str">
        <f ca="1">IFERROR(__xludf.DUMMYFUNCTION("""COMPUTED_VALUE"""),"#VALUE!")</f>
        <v>#VALUE!</v>
      </c>
      <c r="BI1165" t="str">
        <f ca="1">IFERROR(__xludf.DUMMYFUNCTION("""COMPUTED_VALUE"""),"#VALUE!")</f>
        <v>#VALUE!</v>
      </c>
      <c r="BK1165" t="str">
        <f ca="1">IFERROR(__xludf.DUMMYFUNCTION("""COMPUTED_VALUE"""),"#VALUE!")</f>
        <v>#VALUE!</v>
      </c>
      <c r="BM1165" t="str">
        <f ca="1">IFERROR(__xludf.DUMMYFUNCTION("""COMPUTED_VALUE"""),"#VALUE!")</f>
        <v>#VALUE!</v>
      </c>
      <c r="CS1165" t="str">
        <f ca="1">IFERROR(__xludf.DUMMYFUNCTION("""COMPUTED_VALUE"""),"#VALUE!")</f>
        <v>#VALUE!</v>
      </c>
      <c r="CU1165" t="str">
        <f ca="1">IFERROR(__xludf.DUMMYFUNCTION("""COMPUTED_VALUE"""),"#VALUE!")</f>
        <v>#VALUE!</v>
      </c>
      <c r="CW1165" t="str">
        <f ca="1">IFERROR(__xludf.DUMMYFUNCTION("""COMPUTED_VALUE"""),"#VALUE!")</f>
        <v>#VALUE!</v>
      </c>
      <c r="CY1165" t="str">
        <f ca="1">IFERROR(__xludf.DUMMYFUNCTION("""COMPUTED_VALUE"""),"#VALUE!")</f>
        <v>#VALUE!</v>
      </c>
      <c r="DC1165" t="str">
        <f ca="1">IFERROR(__xludf.DUMMYFUNCTION("""COMPUTED_VALUE"""),"#VALUE!")</f>
        <v>#VALUE!</v>
      </c>
      <c r="DE1165" t="str">
        <f ca="1">IFERROR(__xludf.DUMMYFUNCTION("""COMPUTED_VALUE"""),"#VALUE!")</f>
        <v>#VALUE!</v>
      </c>
    </row>
    <row r="1166" spans="1:109" ht="13.2" x14ac:dyDescent="0.25">
      <c r="A1166" t="str">
        <f ca="1">IFERROR(__xludf.DUMMYFUNCTION("""COMPUTED_VALUE"""),"P1175")</f>
        <v>P1175</v>
      </c>
      <c r="BC1166" t="str">
        <f ca="1">IFERROR(__xludf.DUMMYFUNCTION("""COMPUTED_VALUE"""),"#VALUE!")</f>
        <v>#VALUE!</v>
      </c>
      <c r="BE1166" t="str">
        <f ca="1">IFERROR(__xludf.DUMMYFUNCTION("""COMPUTED_VALUE"""),"#VALUE!")</f>
        <v>#VALUE!</v>
      </c>
      <c r="BG1166" t="str">
        <f ca="1">IFERROR(__xludf.DUMMYFUNCTION("""COMPUTED_VALUE"""),"#VALUE!")</f>
        <v>#VALUE!</v>
      </c>
      <c r="BI1166" t="str">
        <f ca="1">IFERROR(__xludf.DUMMYFUNCTION("""COMPUTED_VALUE"""),"#VALUE!")</f>
        <v>#VALUE!</v>
      </c>
      <c r="BK1166" t="str">
        <f ca="1">IFERROR(__xludf.DUMMYFUNCTION("""COMPUTED_VALUE"""),"#VALUE!")</f>
        <v>#VALUE!</v>
      </c>
      <c r="BM1166" t="str">
        <f ca="1">IFERROR(__xludf.DUMMYFUNCTION("""COMPUTED_VALUE"""),"#VALUE!")</f>
        <v>#VALUE!</v>
      </c>
      <c r="CS1166" t="str">
        <f ca="1">IFERROR(__xludf.DUMMYFUNCTION("""COMPUTED_VALUE"""),"#VALUE!")</f>
        <v>#VALUE!</v>
      </c>
      <c r="CU1166" t="str">
        <f ca="1">IFERROR(__xludf.DUMMYFUNCTION("""COMPUTED_VALUE"""),"#VALUE!")</f>
        <v>#VALUE!</v>
      </c>
      <c r="CW1166" t="str">
        <f ca="1">IFERROR(__xludf.DUMMYFUNCTION("""COMPUTED_VALUE"""),"#VALUE!")</f>
        <v>#VALUE!</v>
      </c>
      <c r="CY1166" t="str">
        <f ca="1">IFERROR(__xludf.DUMMYFUNCTION("""COMPUTED_VALUE"""),"#VALUE!")</f>
        <v>#VALUE!</v>
      </c>
      <c r="DC1166" t="str">
        <f ca="1">IFERROR(__xludf.DUMMYFUNCTION("""COMPUTED_VALUE"""),"#VALUE!")</f>
        <v>#VALUE!</v>
      </c>
      <c r="DE1166" t="str">
        <f ca="1">IFERROR(__xludf.DUMMYFUNCTION("""COMPUTED_VALUE"""),"#VALUE!")</f>
        <v>#VALUE!</v>
      </c>
    </row>
    <row r="1167" spans="1:109" ht="13.2" x14ac:dyDescent="0.25">
      <c r="A1167" t="str">
        <f ca="1">IFERROR(__xludf.DUMMYFUNCTION("""COMPUTED_VALUE"""),"P1176")</f>
        <v>P1176</v>
      </c>
      <c r="BC1167" t="str">
        <f ca="1">IFERROR(__xludf.DUMMYFUNCTION("""COMPUTED_VALUE"""),"#VALUE!")</f>
        <v>#VALUE!</v>
      </c>
      <c r="BE1167" t="str">
        <f ca="1">IFERROR(__xludf.DUMMYFUNCTION("""COMPUTED_VALUE"""),"#VALUE!")</f>
        <v>#VALUE!</v>
      </c>
      <c r="BG1167" t="str">
        <f ca="1">IFERROR(__xludf.DUMMYFUNCTION("""COMPUTED_VALUE"""),"#VALUE!")</f>
        <v>#VALUE!</v>
      </c>
      <c r="BI1167" t="str">
        <f ca="1">IFERROR(__xludf.DUMMYFUNCTION("""COMPUTED_VALUE"""),"#VALUE!")</f>
        <v>#VALUE!</v>
      </c>
      <c r="BK1167" t="str">
        <f ca="1">IFERROR(__xludf.DUMMYFUNCTION("""COMPUTED_VALUE"""),"#VALUE!")</f>
        <v>#VALUE!</v>
      </c>
      <c r="BM1167" t="str">
        <f ca="1">IFERROR(__xludf.DUMMYFUNCTION("""COMPUTED_VALUE"""),"#VALUE!")</f>
        <v>#VALUE!</v>
      </c>
      <c r="CS1167" t="str">
        <f ca="1">IFERROR(__xludf.DUMMYFUNCTION("""COMPUTED_VALUE"""),"#VALUE!")</f>
        <v>#VALUE!</v>
      </c>
      <c r="CU1167" t="str">
        <f ca="1">IFERROR(__xludf.DUMMYFUNCTION("""COMPUTED_VALUE"""),"#VALUE!")</f>
        <v>#VALUE!</v>
      </c>
      <c r="CW1167" t="str">
        <f ca="1">IFERROR(__xludf.DUMMYFUNCTION("""COMPUTED_VALUE"""),"#VALUE!")</f>
        <v>#VALUE!</v>
      </c>
      <c r="CY1167" t="str">
        <f ca="1">IFERROR(__xludf.DUMMYFUNCTION("""COMPUTED_VALUE"""),"#VALUE!")</f>
        <v>#VALUE!</v>
      </c>
      <c r="DC1167" t="str">
        <f ca="1">IFERROR(__xludf.DUMMYFUNCTION("""COMPUTED_VALUE"""),"#VALUE!")</f>
        <v>#VALUE!</v>
      </c>
      <c r="DE1167" t="str">
        <f ca="1">IFERROR(__xludf.DUMMYFUNCTION("""COMPUTED_VALUE"""),"#VALUE!")</f>
        <v>#VALUE!</v>
      </c>
    </row>
    <row r="1168" spans="1:109" ht="13.2" x14ac:dyDescent="0.25">
      <c r="A1168" t="str">
        <f ca="1">IFERROR(__xludf.DUMMYFUNCTION("""COMPUTED_VALUE"""),"P1177")</f>
        <v>P1177</v>
      </c>
      <c r="BC1168" t="str">
        <f ca="1">IFERROR(__xludf.DUMMYFUNCTION("""COMPUTED_VALUE"""),"#VALUE!")</f>
        <v>#VALUE!</v>
      </c>
      <c r="BE1168" t="str">
        <f ca="1">IFERROR(__xludf.DUMMYFUNCTION("""COMPUTED_VALUE"""),"#VALUE!")</f>
        <v>#VALUE!</v>
      </c>
      <c r="BG1168" t="str">
        <f ca="1">IFERROR(__xludf.DUMMYFUNCTION("""COMPUTED_VALUE"""),"#VALUE!")</f>
        <v>#VALUE!</v>
      </c>
      <c r="BI1168" t="str">
        <f ca="1">IFERROR(__xludf.DUMMYFUNCTION("""COMPUTED_VALUE"""),"#VALUE!")</f>
        <v>#VALUE!</v>
      </c>
      <c r="BK1168" t="str">
        <f ca="1">IFERROR(__xludf.DUMMYFUNCTION("""COMPUTED_VALUE"""),"#VALUE!")</f>
        <v>#VALUE!</v>
      </c>
      <c r="BM1168" t="str">
        <f ca="1">IFERROR(__xludf.DUMMYFUNCTION("""COMPUTED_VALUE"""),"#VALUE!")</f>
        <v>#VALUE!</v>
      </c>
      <c r="CS1168" t="str">
        <f ca="1">IFERROR(__xludf.DUMMYFUNCTION("""COMPUTED_VALUE"""),"#VALUE!")</f>
        <v>#VALUE!</v>
      </c>
      <c r="CU1168" t="str">
        <f ca="1">IFERROR(__xludf.DUMMYFUNCTION("""COMPUTED_VALUE"""),"#VALUE!")</f>
        <v>#VALUE!</v>
      </c>
      <c r="CW1168" t="str">
        <f ca="1">IFERROR(__xludf.DUMMYFUNCTION("""COMPUTED_VALUE"""),"#VALUE!")</f>
        <v>#VALUE!</v>
      </c>
      <c r="CY1168" t="str">
        <f ca="1">IFERROR(__xludf.DUMMYFUNCTION("""COMPUTED_VALUE"""),"#VALUE!")</f>
        <v>#VALUE!</v>
      </c>
      <c r="DC1168" t="str">
        <f ca="1">IFERROR(__xludf.DUMMYFUNCTION("""COMPUTED_VALUE"""),"#VALUE!")</f>
        <v>#VALUE!</v>
      </c>
      <c r="DE1168" t="str">
        <f ca="1">IFERROR(__xludf.DUMMYFUNCTION("""COMPUTED_VALUE"""),"#VALUE!")</f>
        <v>#VALUE!</v>
      </c>
    </row>
    <row r="1169" spans="1:109" ht="13.2" x14ac:dyDescent="0.25">
      <c r="A1169" t="str">
        <f ca="1">IFERROR(__xludf.DUMMYFUNCTION("""COMPUTED_VALUE"""),"P1178")</f>
        <v>P1178</v>
      </c>
      <c r="BC1169" t="str">
        <f ca="1">IFERROR(__xludf.DUMMYFUNCTION("""COMPUTED_VALUE"""),"#VALUE!")</f>
        <v>#VALUE!</v>
      </c>
      <c r="BE1169" t="str">
        <f ca="1">IFERROR(__xludf.DUMMYFUNCTION("""COMPUTED_VALUE"""),"#VALUE!")</f>
        <v>#VALUE!</v>
      </c>
      <c r="BG1169" t="str">
        <f ca="1">IFERROR(__xludf.DUMMYFUNCTION("""COMPUTED_VALUE"""),"#VALUE!")</f>
        <v>#VALUE!</v>
      </c>
      <c r="BI1169" t="str">
        <f ca="1">IFERROR(__xludf.DUMMYFUNCTION("""COMPUTED_VALUE"""),"#VALUE!")</f>
        <v>#VALUE!</v>
      </c>
      <c r="BK1169" t="str">
        <f ca="1">IFERROR(__xludf.DUMMYFUNCTION("""COMPUTED_VALUE"""),"#VALUE!")</f>
        <v>#VALUE!</v>
      </c>
      <c r="BM1169" t="str">
        <f ca="1">IFERROR(__xludf.DUMMYFUNCTION("""COMPUTED_VALUE"""),"#VALUE!")</f>
        <v>#VALUE!</v>
      </c>
      <c r="CS1169" t="str">
        <f ca="1">IFERROR(__xludf.DUMMYFUNCTION("""COMPUTED_VALUE"""),"#VALUE!")</f>
        <v>#VALUE!</v>
      </c>
      <c r="CU1169" t="str">
        <f ca="1">IFERROR(__xludf.DUMMYFUNCTION("""COMPUTED_VALUE"""),"#VALUE!")</f>
        <v>#VALUE!</v>
      </c>
      <c r="CW1169" t="str">
        <f ca="1">IFERROR(__xludf.DUMMYFUNCTION("""COMPUTED_VALUE"""),"#VALUE!")</f>
        <v>#VALUE!</v>
      </c>
      <c r="CY1169" t="str">
        <f ca="1">IFERROR(__xludf.DUMMYFUNCTION("""COMPUTED_VALUE"""),"#VALUE!")</f>
        <v>#VALUE!</v>
      </c>
      <c r="DC1169" t="str">
        <f ca="1">IFERROR(__xludf.DUMMYFUNCTION("""COMPUTED_VALUE"""),"#VALUE!")</f>
        <v>#VALUE!</v>
      </c>
      <c r="DE1169" t="str">
        <f ca="1">IFERROR(__xludf.DUMMYFUNCTION("""COMPUTED_VALUE"""),"#VALUE!")</f>
        <v>#VALUE!</v>
      </c>
    </row>
    <row r="1170" spans="1:109" ht="13.2" x14ac:dyDescent="0.25">
      <c r="A1170" t="str">
        <f ca="1">IFERROR(__xludf.DUMMYFUNCTION("""COMPUTED_VALUE"""),"P1179")</f>
        <v>P1179</v>
      </c>
      <c r="BC1170" t="str">
        <f ca="1">IFERROR(__xludf.DUMMYFUNCTION("""COMPUTED_VALUE"""),"#VALUE!")</f>
        <v>#VALUE!</v>
      </c>
      <c r="BE1170" t="str">
        <f ca="1">IFERROR(__xludf.DUMMYFUNCTION("""COMPUTED_VALUE"""),"#VALUE!")</f>
        <v>#VALUE!</v>
      </c>
      <c r="BG1170" t="str">
        <f ca="1">IFERROR(__xludf.DUMMYFUNCTION("""COMPUTED_VALUE"""),"#VALUE!")</f>
        <v>#VALUE!</v>
      </c>
      <c r="BI1170" t="str">
        <f ca="1">IFERROR(__xludf.DUMMYFUNCTION("""COMPUTED_VALUE"""),"#VALUE!")</f>
        <v>#VALUE!</v>
      </c>
      <c r="BK1170" t="str">
        <f ca="1">IFERROR(__xludf.DUMMYFUNCTION("""COMPUTED_VALUE"""),"#VALUE!")</f>
        <v>#VALUE!</v>
      </c>
      <c r="BM1170" t="str">
        <f ca="1">IFERROR(__xludf.DUMMYFUNCTION("""COMPUTED_VALUE"""),"#VALUE!")</f>
        <v>#VALUE!</v>
      </c>
      <c r="CS1170" t="str">
        <f ca="1">IFERROR(__xludf.DUMMYFUNCTION("""COMPUTED_VALUE"""),"#VALUE!")</f>
        <v>#VALUE!</v>
      </c>
      <c r="CU1170" t="str">
        <f ca="1">IFERROR(__xludf.DUMMYFUNCTION("""COMPUTED_VALUE"""),"#VALUE!")</f>
        <v>#VALUE!</v>
      </c>
      <c r="CW1170" t="str">
        <f ca="1">IFERROR(__xludf.DUMMYFUNCTION("""COMPUTED_VALUE"""),"#VALUE!")</f>
        <v>#VALUE!</v>
      </c>
      <c r="CY1170" t="str">
        <f ca="1">IFERROR(__xludf.DUMMYFUNCTION("""COMPUTED_VALUE"""),"#VALUE!")</f>
        <v>#VALUE!</v>
      </c>
      <c r="DC1170" t="str">
        <f ca="1">IFERROR(__xludf.DUMMYFUNCTION("""COMPUTED_VALUE"""),"#VALUE!")</f>
        <v>#VALUE!</v>
      </c>
      <c r="DE1170" t="str">
        <f ca="1">IFERROR(__xludf.DUMMYFUNCTION("""COMPUTED_VALUE"""),"#VALUE!")</f>
        <v>#VALUE!</v>
      </c>
    </row>
    <row r="1171" spans="1:109" ht="13.2" x14ac:dyDescent="0.25">
      <c r="A1171" t="str">
        <f ca="1">IFERROR(__xludf.DUMMYFUNCTION("""COMPUTED_VALUE"""),"P1180")</f>
        <v>P1180</v>
      </c>
      <c r="BC1171" t="str">
        <f ca="1">IFERROR(__xludf.DUMMYFUNCTION("""COMPUTED_VALUE"""),"#VALUE!")</f>
        <v>#VALUE!</v>
      </c>
      <c r="BE1171" t="str">
        <f ca="1">IFERROR(__xludf.DUMMYFUNCTION("""COMPUTED_VALUE"""),"#VALUE!")</f>
        <v>#VALUE!</v>
      </c>
      <c r="BG1171" t="str">
        <f ca="1">IFERROR(__xludf.DUMMYFUNCTION("""COMPUTED_VALUE"""),"#VALUE!")</f>
        <v>#VALUE!</v>
      </c>
      <c r="BI1171" t="str">
        <f ca="1">IFERROR(__xludf.DUMMYFUNCTION("""COMPUTED_VALUE"""),"#VALUE!")</f>
        <v>#VALUE!</v>
      </c>
      <c r="BK1171" t="str">
        <f ca="1">IFERROR(__xludf.DUMMYFUNCTION("""COMPUTED_VALUE"""),"#VALUE!")</f>
        <v>#VALUE!</v>
      </c>
      <c r="BM1171" t="str">
        <f ca="1">IFERROR(__xludf.DUMMYFUNCTION("""COMPUTED_VALUE"""),"#VALUE!")</f>
        <v>#VALUE!</v>
      </c>
      <c r="CS1171" t="str">
        <f ca="1">IFERROR(__xludf.DUMMYFUNCTION("""COMPUTED_VALUE"""),"#VALUE!")</f>
        <v>#VALUE!</v>
      </c>
      <c r="CU1171" t="str">
        <f ca="1">IFERROR(__xludf.DUMMYFUNCTION("""COMPUTED_VALUE"""),"#VALUE!")</f>
        <v>#VALUE!</v>
      </c>
      <c r="CW1171" t="str">
        <f ca="1">IFERROR(__xludf.DUMMYFUNCTION("""COMPUTED_VALUE"""),"#VALUE!")</f>
        <v>#VALUE!</v>
      </c>
      <c r="CY1171" t="str">
        <f ca="1">IFERROR(__xludf.DUMMYFUNCTION("""COMPUTED_VALUE"""),"#VALUE!")</f>
        <v>#VALUE!</v>
      </c>
      <c r="DC1171" t="str">
        <f ca="1">IFERROR(__xludf.DUMMYFUNCTION("""COMPUTED_VALUE"""),"#VALUE!")</f>
        <v>#VALUE!</v>
      </c>
      <c r="DE1171" t="str">
        <f ca="1">IFERROR(__xludf.DUMMYFUNCTION("""COMPUTED_VALUE"""),"#VALUE!")</f>
        <v>#VALUE!</v>
      </c>
    </row>
    <row r="1172" spans="1:109" ht="13.2" x14ac:dyDescent="0.25">
      <c r="A1172" t="str">
        <f ca="1">IFERROR(__xludf.DUMMYFUNCTION("""COMPUTED_VALUE"""),"P1181")</f>
        <v>P1181</v>
      </c>
      <c r="BC1172" t="str">
        <f ca="1">IFERROR(__xludf.DUMMYFUNCTION("""COMPUTED_VALUE"""),"#VALUE!")</f>
        <v>#VALUE!</v>
      </c>
      <c r="BE1172" t="str">
        <f ca="1">IFERROR(__xludf.DUMMYFUNCTION("""COMPUTED_VALUE"""),"#VALUE!")</f>
        <v>#VALUE!</v>
      </c>
      <c r="BG1172" t="str">
        <f ca="1">IFERROR(__xludf.DUMMYFUNCTION("""COMPUTED_VALUE"""),"#VALUE!")</f>
        <v>#VALUE!</v>
      </c>
      <c r="BI1172" t="str">
        <f ca="1">IFERROR(__xludf.DUMMYFUNCTION("""COMPUTED_VALUE"""),"#VALUE!")</f>
        <v>#VALUE!</v>
      </c>
      <c r="BK1172" t="str">
        <f ca="1">IFERROR(__xludf.DUMMYFUNCTION("""COMPUTED_VALUE"""),"#VALUE!")</f>
        <v>#VALUE!</v>
      </c>
      <c r="BM1172" t="str">
        <f ca="1">IFERROR(__xludf.DUMMYFUNCTION("""COMPUTED_VALUE"""),"#VALUE!")</f>
        <v>#VALUE!</v>
      </c>
      <c r="CS1172" t="str">
        <f ca="1">IFERROR(__xludf.DUMMYFUNCTION("""COMPUTED_VALUE"""),"#VALUE!")</f>
        <v>#VALUE!</v>
      </c>
      <c r="CU1172" t="str">
        <f ca="1">IFERROR(__xludf.DUMMYFUNCTION("""COMPUTED_VALUE"""),"#VALUE!")</f>
        <v>#VALUE!</v>
      </c>
      <c r="CW1172" t="str">
        <f ca="1">IFERROR(__xludf.DUMMYFUNCTION("""COMPUTED_VALUE"""),"#VALUE!")</f>
        <v>#VALUE!</v>
      </c>
      <c r="CY1172" t="str">
        <f ca="1">IFERROR(__xludf.DUMMYFUNCTION("""COMPUTED_VALUE"""),"#VALUE!")</f>
        <v>#VALUE!</v>
      </c>
      <c r="DC1172" t="str">
        <f ca="1">IFERROR(__xludf.DUMMYFUNCTION("""COMPUTED_VALUE"""),"#VALUE!")</f>
        <v>#VALUE!</v>
      </c>
      <c r="DE1172" t="str">
        <f ca="1">IFERROR(__xludf.DUMMYFUNCTION("""COMPUTED_VALUE"""),"#VALUE!")</f>
        <v>#VALUE!</v>
      </c>
    </row>
    <row r="1173" spans="1:109" ht="13.2" x14ac:dyDescent="0.25">
      <c r="A1173" t="str">
        <f ca="1">IFERROR(__xludf.DUMMYFUNCTION("""COMPUTED_VALUE"""),"P1182")</f>
        <v>P1182</v>
      </c>
      <c r="BC1173" t="str">
        <f ca="1">IFERROR(__xludf.DUMMYFUNCTION("""COMPUTED_VALUE"""),"#VALUE!")</f>
        <v>#VALUE!</v>
      </c>
      <c r="BE1173" t="str">
        <f ca="1">IFERROR(__xludf.DUMMYFUNCTION("""COMPUTED_VALUE"""),"#VALUE!")</f>
        <v>#VALUE!</v>
      </c>
      <c r="BG1173" t="str">
        <f ca="1">IFERROR(__xludf.DUMMYFUNCTION("""COMPUTED_VALUE"""),"#VALUE!")</f>
        <v>#VALUE!</v>
      </c>
      <c r="BI1173" t="str">
        <f ca="1">IFERROR(__xludf.DUMMYFUNCTION("""COMPUTED_VALUE"""),"#VALUE!")</f>
        <v>#VALUE!</v>
      </c>
      <c r="BK1173" t="str">
        <f ca="1">IFERROR(__xludf.DUMMYFUNCTION("""COMPUTED_VALUE"""),"#VALUE!")</f>
        <v>#VALUE!</v>
      </c>
      <c r="BM1173" t="str">
        <f ca="1">IFERROR(__xludf.DUMMYFUNCTION("""COMPUTED_VALUE"""),"#VALUE!")</f>
        <v>#VALUE!</v>
      </c>
      <c r="CS1173" t="str">
        <f ca="1">IFERROR(__xludf.DUMMYFUNCTION("""COMPUTED_VALUE"""),"#VALUE!")</f>
        <v>#VALUE!</v>
      </c>
      <c r="CU1173" t="str">
        <f ca="1">IFERROR(__xludf.DUMMYFUNCTION("""COMPUTED_VALUE"""),"#VALUE!")</f>
        <v>#VALUE!</v>
      </c>
      <c r="CW1173" t="str">
        <f ca="1">IFERROR(__xludf.DUMMYFUNCTION("""COMPUTED_VALUE"""),"#VALUE!")</f>
        <v>#VALUE!</v>
      </c>
      <c r="CY1173" t="str">
        <f ca="1">IFERROR(__xludf.DUMMYFUNCTION("""COMPUTED_VALUE"""),"#VALUE!")</f>
        <v>#VALUE!</v>
      </c>
      <c r="DC1173" t="str">
        <f ca="1">IFERROR(__xludf.DUMMYFUNCTION("""COMPUTED_VALUE"""),"#VALUE!")</f>
        <v>#VALUE!</v>
      </c>
      <c r="DE1173" t="str">
        <f ca="1">IFERROR(__xludf.DUMMYFUNCTION("""COMPUTED_VALUE"""),"#VALUE!")</f>
        <v>#VALUE!</v>
      </c>
    </row>
    <row r="1174" spans="1:109" ht="13.2" x14ac:dyDescent="0.25">
      <c r="A1174" t="str">
        <f ca="1">IFERROR(__xludf.DUMMYFUNCTION("""COMPUTED_VALUE"""),"P1183")</f>
        <v>P1183</v>
      </c>
      <c r="BC1174" t="str">
        <f ca="1">IFERROR(__xludf.DUMMYFUNCTION("""COMPUTED_VALUE"""),"#VALUE!")</f>
        <v>#VALUE!</v>
      </c>
      <c r="BE1174" t="str">
        <f ca="1">IFERROR(__xludf.DUMMYFUNCTION("""COMPUTED_VALUE"""),"#VALUE!")</f>
        <v>#VALUE!</v>
      </c>
      <c r="BG1174" t="str">
        <f ca="1">IFERROR(__xludf.DUMMYFUNCTION("""COMPUTED_VALUE"""),"#VALUE!")</f>
        <v>#VALUE!</v>
      </c>
      <c r="BI1174" t="str">
        <f ca="1">IFERROR(__xludf.DUMMYFUNCTION("""COMPUTED_VALUE"""),"#VALUE!")</f>
        <v>#VALUE!</v>
      </c>
      <c r="BK1174" t="str">
        <f ca="1">IFERROR(__xludf.DUMMYFUNCTION("""COMPUTED_VALUE"""),"#VALUE!")</f>
        <v>#VALUE!</v>
      </c>
      <c r="BM1174" t="str">
        <f ca="1">IFERROR(__xludf.DUMMYFUNCTION("""COMPUTED_VALUE"""),"#VALUE!")</f>
        <v>#VALUE!</v>
      </c>
      <c r="CS1174" t="str">
        <f ca="1">IFERROR(__xludf.DUMMYFUNCTION("""COMPUTED_VALUE"""),"#VALUE!")</f>
        <v>#VALUE!</v>
      </c>
      <c r="CU1174" t="str">
        <f ca="1">IFERROR(__xludf.DUMMYFUNCTION("""COMPUTED_VALUE"""),"#VALUE!")</f>
        <v>#VALUE!</v>
      </c>
      <c r="CW1174" t="str">
        <f ca="1">IFERROR(__xludf.DUMMYFUNCTION("""COMPUTED_VALUE"""),"#VALUE!")</f>
        <v>#VALUE!</v>
      </c>
      <c r="CY1174" t="str">
        <f ca="1">IFERROR(__xludf.DUMMYFUNCTION("""COMPUTED_VALUE"""),"#VALUE!")</f>
        <v>#VALUE!</v>
      </c>
      <c r="DC1174" t="str">
        <f ca="1">IFERROR(__xludf.DUMMYFUNCTION("""COMPUTED_VALUE"""),"#VALUE!")</f>
        <v>#VALUE!</v>
      </c>
      <c r="DE1174" t="str">
        <f ca="1">IFERROR(__xludf.DUMMYFUNCTION("""COMPUTED_VALUE"""),"#VALUE!")</f>
        <v>#VALUE!</v>
      </c>
    </row>
    <row r="1175" spans="1:109" ht="13.2" x14ac:dyDescent="0.25">
      <c r="A1175" t="str">
        <f ca="1">IFERROR(__xludf.DUMMYFUNCTION("""COMPUTED_VALUE"""),"P1184")</f>
        <v>P1184</v>
      </c>
      <c r="BC1175" t="str">
        <f ca="1">IFERROR(__xludf.DUMMYFUNCTION("""COMPUTED_VALUE"""),"#VALUE!")</f>
        <v>#VALUE!</v>
      </c>
      <c r="BE1175" t="str">
        <f ca="1">IFERROR(__xludf.DUMMYFUNCTION("""COMPUTED_VALUE"""),"#VALUE!")</f>
        <v>#VALUE!</v>
      </c>
      <c r="BG1175" t="str">
        <f ca="1">IFERROR(__xludf.DUMMYFUNCTION("""COMPUTED_VALUE"""),"#VALUE!")</f>
        <v>#VALUE!</v>
      </c>
      <c r="BI1175" t="str">
        <f ca="1">IFERROR(__xludf.DUMMYFUNCTION("""COMPUTED_VALUE"""),"#VALUE!")</f>
        <v>#VALUE!</v>
      </c>
      <c r="BK1175" t="str">
        <f ca="1">IFERROR(__xludf.DUMMYFUNCTION("""COMPUTED_VALUE"""),"#VALUE!")</f>
        <v>#VALUE!</v>
      </c>
      <c r="BM1175" t="str">
        <f ca="1">IFERROR(__xludf.DUMMYFUNCTION("""COMPUTED_VALUE"""),"#VALUE!")</f>
        <v>#VALUE!</v>
      </c>
      <c r="CS1175" t="str">
        <f ca="1">IFERROR(__xludf.DUMMYFUNCTION("""COMPUTED_VALUE"""),"#VALUE!")</f>
        <v>#VALUE!</v>
      </c>
      <c r="CU1175" t="str">
        <f ca="1">IFERROR(__xludf.DUMMYFUNCTION("""COMPUTED_VALUE"""),"#VALUE!")</f>
        <v>#VALUE!</v>
      </c>
      <c r="CW1175" t="str">
        <f ca="1">IFERROR(__xludf.DUMMYFUNCTION("""COMPUTED_VALUE"""),"#VALUE!")</f>
        <v>#VALUE!</v>
      </c>
      <c r="CY1175" t="str">
        <f ca="1">IFERROR(__xludf.DUMMYFUNCTION("""COMPUTED_VALUE"""),"#VALUE!")</f>
        <v>#VALUE!</v>
      </c>
      <c r="DC1175" t="str">
        <f ca="1">IFERROR(__xludf.DUMMYFUNCTION("""COMPUTED_VALUE"""),"#VALUE!")</f>
        <v>#VALUE!</v>
      </c>
      <c r="DE1175" t="str">
        <f ca="1">IFERROR(__xludf.DUMMYFUNCTION("""COMPUTED_VALUE"""),"#VALUE!")</f>
        <v>#VALUE!</v>
      </c>
    </row>
    <row r="1176" spans="1:109" ht="13.2" x14ac:dyDescent="0.25">
      <c r="A1176" t="str">
        <f ca="1">IFERROR(__xludf.DUMMYFUNCTION("""COMPUTED_VALUE"""),"P1185")</f>
        <v>P1185</v>
      </c>
      <c r="BC1176" t="str">
        <f ca="1">IFERROR(__xludf.DUMMYFUNCTION("""COMPUTED_VALUE"""),"#VALUE!")</f>
        <v>#VALUE!</v>
      </c>
      <c r="BE1176" t="str">
        <f ca="1">IFERROR(__xludf.DUMMYFUNCTION("""COMPUTED_VALUE"""),"#VALUE!")</f>
        <v>#VALUE!</v>
      </c>
      <c r="BG1176" t="str">
        <f ca="1">IFERROR(__xludf.DUMMYFUNCTION("""COMPUTED_VALUE"""),"#VALUE!")</f>
        <v>#VALUE!</v>
      </c>
      <c r="BI1176" t="str">
        <f ca="1">IFERROR(__xludf.DUMMYFUNCTION("""COMPUTED_VALUE"""),"#VALUE!")</f>
        <v>#VALUE!</v>
      </c>
      <c r="BK1176" t="str">
        <f ca="1">IFERROR(__xludf.DUMMYFUNCTION("""COMPUTED_VALUE"""),"#VALUE!")</f>
        <v>#VALUE!</v>
      </c>
      <c r="BM1176" t="str">
        <f ca="1">IFERROR(__xludf.DUMMYFUNCTION("""COMPUTED_VALUE"""),"#VALUE!")</f>
        <v>#VALUE!</v>
      </c>
      <c r="CS1176" t="str">
        <f ca="1">IFERROR(__xludf.DUMMYFUNCTION("""COMPUTED_VALUE"""),"#VALUE!")</f>
        <v>#VALUE!</v>
      </c>
      <c r="CU1176" t="str">
        <f ca="1">IFERROR(__xludf.DUMMYFUNCTION("""COMPUTED_VALUE"""),"#VALUE!")</f>
        <v>#VALUE!</v>
      </c>
      <c r="CW1176" t="str">
        <f ca="1">IFERROR(__xludf.DUMMYFUNCTION("""COMPUTED_VALUE"""),"#VALUE!")</f>
        <v>#VALUE!</v>
      </c>
      <c r="CY1176" t="str">
        <f ca="1">IFERROR(__xludf.DUMMYFUNCTION("""COMPUTED_VALUE"""),"#VALUE!")</f>
        <v>#VALUE!</v>
      </c>
      <c r="DC1176" t="str">
        <f ca="1">IFERROR(__xludf.DUMMYFUNCTION("""COMPUTED_VALUE"""),"#VALUE!")</f>
        <v>#VALUE!</v>
      </c>
      <c r="DE1176" t="str">
        <f ca="1">IFERROR(__xludf.DUMMYFUNCTION("""COMPUTED_VALUE"""),"#VALUE!")</f>
        <v>#VALUE!</v>
      </c>
    </row>
    <row r="1177" spans="1:109" ht="13.2" x14ac:dyDescent="0.25">
      <c r="A1177" t="str">
        <f ca="1">IFERROR(__xludf.DUMMYFUNCTION("""COMPUTED_VALUE"""),"P1186")</f>
        <v>P1186</v>
      </c>
      <c r="BC1177" t="str">
        <f ca="1">IFERROR(__xludf.DUMMYFUNCTION("""COMPUTED_VALUE"""),"#VALUE!")</f>
        <v>#VALUE!</v>
      </c>
      <c r="BE1177" t="str">
        <f ca="1">IFERROR(__xludf.DUMMYFUNCTION("""COMPUTED_VALUE"""),"#VALUE!")</f>
        <v>#VALUE!</v>
      </c>
      <c r="BG1177" t="str">
        <f ca="1">IFERROR(__xludf.DUMMYFUNCTION("""COMPUTED_VALUE"""),"#VALUE!")</f>
        <v>#VALUE!</v>
      </c>
      <c r="BI1177" t="str">
        <f ca="1">IFERROR(__xludf.DUMMYFUNCTION("""COMPUTED_VALUE"""),"#VALUE!")</f>
        <v>#VALUE!</v>
      </c>
      <c r="BK1177" t="str">
        <f ca="1">IFERROR(__xludf.DUMMYFUNCTION("""COMPUTED_VALUE"""),"#VALUE!")</f>
        <v>#VALUE!</v>
      </c>
      <c r="BM1177" t="str">
        <f ca="1">IFERROR(__xludf.DUMMYFUNCTION("""COMPUTED_VALUE"""),"#VALUE!")</f>
        <v>#VALUE!</v>
      </c>
      <c r="CS1177" t="str">
        <f ca="1">IFERROR(__xludf.DUMMYFUNCTION("""COMPUTED_VALUE"""),"#VALUE!")</f>
        <v>#VALUE!</v>
      </c>
      <c r="CU1177" t="str">
        <f ca="1">IFERROR(__xludf.DUMMYFUNCTION("""COMPUTED_VALUE"""),"#VALUE!")</f>
        <v>#VALUE!</v>
      </c>
      <c r="CW1177" t="str">
        <f ca="1">IFERROR(__xludf.DUMMYFUNCTION("""COMPUTED_VALUE"""),"#VALUE!")</f>
        <v>#VALUE!</v>
      </c>
      <c r="CY1177" t="str">
        <f ca="1">IFERROR(__xludf.DUMMYFUNCTION("""COMPUTED_VALUE"""),"#VALUE!")</f>
        <v>#VALUE!</v>
      </c>
      <c r="DC1177" t="str">
        <f ca="1">IFERROR(__xludf.DUMMYFUNCTION("""COMPUTED_VALUE"""),"#VALUE!")</f>
        <v>#VALUE!</v>
      </c>
      <c r="DE1177" t="str">
        <f ca="1">IFERROR(__xludf.DUMMYFUNCTION("""COMPUTED_VALUE"""),"#VALUE!")</f>
        <v>#VALUE!</v>
      </c>
    </row>
    <row r="1178" spans="1:109" ht="13.2" x14ac:dyDescent="0.25">
      <c r="A1178" t="str">
        <f ca="1">IFERROR(__xludf.DUMMYFUNCTION("""COMPUTED_VALUE"""),"P1187")</f>
        <v>P1187</v>
      </c>
      <c r="BC1178" t="str">
        <f ca="1">IFERROR(__xludf.DUMMYFUNCTION("""COMPUTED_VALUE"""),"#VALUE!")</f>
        <v>#VALUE!</v>
      </c>
      <c r="BE1178" t="str">
        <f ca="1">IFERROR(__xludf.DUMMYFUNCTION("""COMPUTED_VALUE"""),"#VALUE!")</f>
        <v>#VALUE!</v>
      </c>
      <c r="BG1178" t="str">
        <f ca="1">IFERROR(__xludf.DUMMYFUNCTION("""COMPUTED_VALUE"""),"#VALUE!")</f>
        <v>#VALUE!</v>
      </c>
      <c r="BI1178" t="str">
        <f ca="1">IFERROR(__xludf.DUMMYFUNCTION("""COMPUTED_VALUE"""),"#VALUE!")</f>
        <v>#VALUE!</v>
      </c>
      <c r="BK1178" t="str">
        <f ca="1">IFERROR(__xludf.DUMMYFUNCTION("""COMPUTED_VALUE"""),"#VALUE!")</f>
        <v>#VALUE!</v>
      </c>
      <c r="BM1178" t="str">
        <f ca="1">IFERROR(__xludf.DUMMYFUNCTION("""COMPUTED_VALUE"""),"#VALUE!")</f>
        <v>#VALUE!</v>
      </c>
      <c r="CS1178" t="str">
        <f ca="1">IFERROR(__xludf.DUMMYFUNCTION("""COMPUTED_VALUE"""),"#VALUE!")</f>
        <v>#VALUE!</v>
      </c>
      <c r="CU1178" t="str">
        <f ca="1">IFERROR(__xludf.DUMMYFUNCTION("""COMPUTED_VALUE"""),"#VALUE!")</f>
        <v>#VALUE!</v>
      </c>
      <c r="CW1178" t="str">
        <f ca="1">IFERROR(__xludf.DUMMYFUNCTION("""COMPUTED_VALUE"""),"#VALUE!")</f>
        <v>#VALUE!</v>
      </c>
      <c r="CY1178" t="str">
        <f ca="1">IFERROR(__xludf.DUMMYFUNCTION("""COMPUTED_VALUE"""),"#VALUE!")</f>
        <v>#VALUE!</v>
      </c>
      <c r="DC1178" t="str">
        <f ca="1">IFERROR(__xludf.DUMMYFUNCTION("""COMPUTED_VALUE"""),"#VALUE!")</f>
        <v>#VALUE!</v>
      </c>
      <c r="DE1178" t="str">
        <f ca="1">IFERROR(__xludf.DUMMYFUNCTION("""COMPUTED_VALUE"""),"#VALUE!")</f>
        <v>#VALUE!</v>
      </c>
    </row>
    <row r="1179" spans="1:109" ht="13.2" x14ac:dyDescent="0.25">
      <c r="A1179" t="str">
        <f ca="1">IFERROR(__xludf.DUMMYFUNCTION("""COMPUTED_VALUE"""),"P1188")</f>
        <v>P1188</v>
      </c>
      <c r="BC1179" t="str">
        <f ca="1">IFERROR(__xludf.DUMMYFUNCTION("""COMPUTED_VALUE"""),"#VALUE!")</f>
        <v>#VALUE!</v>
      </c>
      <c r="BE1179" t="str">
        <f ca="1">IFERROR(__xludf.DUMMYFUNCTION("""COMPUTED_VALUE"""),"#VALUE!")</f>
        <v>#VALUE!</v>
      </c>
      <c r="BG1179" t="str">
        <f ca="1">IFERROR(__xludf.DUMMYFUNCTION("""COMPUTED_VALUE"""),"#VALUE!")</f>
        <v>#VALUE!</v>
      </c>
      <c r="BI1179" t="str">
        <f ca="1">IFERROR(__xludf.DUMMYFUNCTION("""COMPUTED_VALUE"""),"#VALUE!")</f>
        <v>#VALUE!</v>
      </c>
      <c r="BK1179" t="str">
        <f ca="1">IFERROR(__xludf.DUMMYFUNCTION("""COMPUTED_VALUE"""),"#VALUE!")</f>
        <v>#VALUE!</v>
      </c>
      <c r="BM1179" t="str">
        <f ca="1">IFERROR(__xludf.DUMMYFUNCTION("""COMPUTED_VALUE"""),"#VALUE!")</f>
        <v>#VALUE!</v>
      </c>
      <c r="CS1179" t="str">
        <f ca="1">IFERROR(__xludf.DUMMYFUNCTION("""COMPUTED_VALUE"""),"#VALUE!")</f>
        <v>#VALUE!</v>
      </c>
      <c r="CU1179" t="str">
        <f ca="1">IFERROR(__xludf.DUMMYFUNCTION("""COMPUTED_VALUE"""),"#VALUE!")</f>
        <v>#VALUE!</v>
      </c>
      <c r="CW1179" t="str">
        <f ca="1">IFERROR(__xludf.DUMMYFUNCTION("""COMPUTED_VALUE"""),"#VALUE!")</f>
        <v>#VALUE!</v>
      </c>
      <c r="CY1179" t="str">
        <f ca="1">IFERROR(__xludf.DUMMYFUNCTION("""COMPUTED_VALUE"""),"#VALUE!")</f>
        <v>#VALUE!</v>
      </c>
      <c r="DC1179" t="str">
        <f ca="1">IFERROR(__xludf.DUMMYFUNCTION("""COMPUTED_VALUE"""),"#VALUE!")</f>
        <v>#VALUE!</v>
      </c>
      <c r="DE1179" t="str">
        <f ca="1">IFERROR(__xludf.DUMMYFUNCTION("""COMPUTED_VALUE"""),"#VALUE!")</f>
        <v>#VALUE!</v>
      </c>
    </row>
    <row r="1180" spans="1:109" ht="13.2" x14ac:dyDescent="0.25">
      <c r="A1180" t="str">
        <f ca="1">IFERROR(__xludf.DUMMYFUNCTION("""COMPUTED_VALUE"""),"P1189")</f>
        <v>P1189</v>
      </c>
      <c r="BC1180" t="str">
        <f ca="1">IFERROR(__xludf.DUMMYFUNCTION("""COMPUTED_VALUE"""),"#VALUE!")</f>
        <v>#VALUE!</v>
      </c>
      <c r="BE1180" t="str">
        <f ca="1">IFERROR(__xludf.DUMMYFUNCTION("""COMPUTED_VALUE"""),"#VALUE!")</f>
        <v>#VALUE!</v>
      </c>
      <c r="BG1180" t="str">
        <f ca="1">IFERROR(__xludf.DUMMYFUNCTION("""COMPUTED_VALUE"""),"#VALUE!")</f>
        <v>#VALUE!</v>
      </c>
      <c r="BI1180" t="str">
        <f ca="1">IFERROR(__xludf.DUMMYFUNCTION("""COMPUTED_VALUE"""),"#VALUE!")</f>
        <v>#VALUE!</v>
      </c>
      <c r="BK1180" t="str">
        <f ca="1">IFERROR(__xludf.DUMMYFUNCTION("""COMPUTED_VALUE"""),"#VALUE!")</f>
        <v>#VALUE!</v>
      </c>
      <c r="BM1180" t="str">
        <f ca="1">IFERROR(__xludf.DUMMYFUNCTION("""COMPUTED_VALUE"""),"#VALUE!")</f>
        <v>#VALUE!</v>
      </c>
      <c r="CS1180" t="str">
        <f ca="1">IFERROR(__xludf.DUMMYFUNCTION("""COMPUTED_VALUE"""),"#VALUE!")</f>
        <v>#VALUE!</v>
      </c>
      <c r="CU1180" t="str">
        <f ca="1">IFERROR(__xludf.DUMMYFUNCTION("""COMPUTED_VALUE"""),"#VALUE!")</f>
        <v>#VALUE!</v>
      </c>
      <c r="CW1180" t="str">
        <f ca="1">IFERROR(__xludf.DUMMYFUNCTION("""COMPUTED_VALUE"""),"#VALUE!")</f>
        <v>#VALUE!</v>
      </c>
      <c r="CY1180" t="str">
        <f ca="1">IFERROR(__xludf.DUMMYFUNCTION("""COMPUTED_VALUE"""),"#VALUE!")</f>
        <v>#VALUE!</v>
      </c>
      <c r="DC1180" t="str">
        <f ca="1">IFERROR(__xludf.DUMMYFUNCTION("""COMPUTED_VALUE"""),"#VALUE!")</f>
        <v>#VALUE!</v>
      </c>
      <c r="DE1180" t="str">
        <f ca="1">IFERROR(__xludf.DUMMYFUNCTION("""COMPUTED_VALUE"""),"#VALUE!")</f>
        <v>#VALUE!</v>
      </c>
    </row>
    <row r="1181" spans="1:109" ht="13.2" x14ac:dyDescent="0.25">
      <c r="A1181" t="str">
        <f ca="1">IFERROR(__xludf.DUMMYFUNCTION("""COMPUTED_VALUE"""),"P1190")</f>
        <v>P1190</v>
      </c>
      <c r="BC1181" t="str">
        <f ca="1">IFERROR(__xludf.DUMMYFUNCTION("""COMPUTED_VALUE"""),"#VALUE!")</f>
        <v>#VALUE!</v>
      </c>
      <c r="BE1181" t="str">
        <f ca="1">IFERROR(__xludf.DUMMYFUNCTION("""COMPUTED_VALUE"""),"#VALUE!")</f>
        <v>#VALUE!</v>
      </c>
      <c r="BG1181" t="str">
        <f ca="1">IFERROR(__xludf.DUMMYFUNCTION("""COMPUTED_VALUE"""),"#VALUE!")</f>
        <v>#VALUE!</v>
      </c>
      <c r="BI1181" t="str">
        <f ca="1">IFERROR(__xludf.DUMMYFUNCTION("""COMPUTED_VALUE"""),"#VALUE!")</f>
        <v>#VALUE!</v>
      </c>
      <c r="BK1181" t="str">
        <f ca="1">IFERROR(__xludf.DUMMYFUNCTION("""COMPUTED_VALUE"""),"#VALUE!")</f>
        <v>#VALUE!</v>
      </c>
      <c r="BM1181" t="str">
        <f ca="1">IFERROR(__xludf.DUMMYFUNCTION("""COMPUTED_VALUE"""),"#VALUE!")</f>
        <v>#VALUE!</v>
      </c>
      <c r="CS1181" t="str">
        <f ca="1">IFERROR(__xludf.DUMMYFUNCTION("""COMPUTED_VALUE"""),"#VALUE!")</f>
        <v>#VALUE!</v>
      </c>
      <c r="CU1181" t="str">
        <f ca="1">IFERROR(__xludf.DUMMYFUNCTION("""COMPUTED_VALUE"""),"#VALUE!")</f>
        <v>#VALUE!</v>
      </c>
      <c r="CW1181" t="str">
        <f ca="1">IFERROR(__xludf.DUMMYFUNCTION("""COMPUTED_VALUE"""),"#VALUE!")</f>
        <v>#VALUE!</v>
      </c>
      <c r="CY1181" t="str">
        <f ca="1">IFERROR(__xludf.DUMMYFUNCTION("""COMPUTED_VALUE"""),"#VALUE!")</f>
        <v>#VALUE!</v>
      </c>
      <c r="DC1181" t="str">
        <f ca="1">IFERROR(__xludf.DUMMYFUNCTION("""COMPUTED_VALUE"""),"#VALUE!")</f>
        <v>#VALUE!</v>
      </c>
      <c r="DE1181" t="str">
        <f ca="1">IFERROR(__xludf.DUMMYFUNCTION("""COMPUTED_VALUE"""),"#VALUE!")</f>
        <v>#VALUE!</v>
      </c>
    </row>
    <row r="1182" spans="1:109" ht="13.2" x14ac:dyDescent="0.25">
      <c r="A1182" t="str">
        <f ca="1">IFERROR(__xludf.DUMMYFUNCTION("""COMPUTED_VALUE"""),"P1191")</f>
        <v>P1191</v>
      </c>
      <c r="BC1182" t="str">
        <f ca="1">IFERROR(__xludf.DUMMYFUNCTION("""COMPUTED_VALUE"""),"#VALUE!")</f>
        <v>#VALUE!</v>
      </c>
      <c r="BE1182" t="str">
        <f ca="1">IFERROR(__xludf.DUMMYFUNCTION("""COMPUTED_VALUE"""),"#VALUE!")</f>
        <v>#VALUE!</v>
      </c>
      <c r="BG1182" t="str">
        <f ca="1">IFERROR(__xludf.DUMMYFUNCTION("""COMPUTED_VALUE"""),"#VALUE!")</f>
        <v>#VALUE!</v>
      </c>
      <c r="BI1182" t="str">
        <f ca="1">IFERROR(__xludf.DUMMYFUNCTION("""COMPUTED_VALUE"""),"#VALUE!")</f>
        <v>#VALUE!</v>
      </c>
      <c r="BK1182" t="str">
        <f ca="1">IFERROR(__xludf.DUMMYFUNCTION("""COMPUTED_VALUE"""),"#VALUE!")</f>
        <v>#VALUE!</v>
      </c>
      <c r="BM1182" t="str">
        <f ca="1">IFERROR(__xludf.DUMMYFUNCTION("""COMPUTED_VALUE"""),"#VALUE!")</f>
        <v>#VALUE!</v>
      </c>
      <c r="CS1182" t="str">
        <f ca="1">IFERROR(__xludf.DUMMYFUNCTION("""COMPUTED_VALUE"""),"#VALUE!")</f>
        <v>#VALUE!</v>
      </c>
      <c r="CU1182" t="str">
        <f ca="1">IFERROR(__xludf.DUMMYFUNCTION("""COMPUTED_VALUE"""),"#VALUE!")</f>
        <v>#VALUE!</v>
      </c>
      <c r="CW1182" t="str">
        <f ca="1">IFERROR(__xludf.DUMMYFUNCTION("""COMPUTED_VALUE"""),"#VALUE!")</f>
        <v>#VALUE!</v>
      </c>
      <c r="CY1182" t="str">
        <f ca="1">IFERROR(__xludf.DUMMYFUNCTION("""COMPUTED_VALUE"""),"#VALUE!")</f>
        <v>#VALUE!</v>
      </c>
      <c r="DC1182" t="str">
        <f ca="1">IFERROR(__xludf.DUMMYFUNCTION("""COMPUTED_VALUE"""),"#VALUE!")</f>
        <v>#VALUE!</v>
      </c>
      <c r="DE1182" t="str">
        <f ca="1">IFERROR(__xludf.DUMMYFUNCTION("""COMPUTED_VALUE"""),"#VALUE!")</f>
        <v>#VALUE!</v>
      </c>
    </row>
    <row r="1183" spans="1:109" ht="13.2" x14ac:dyDescent="0.25">
      <c r="A1183" t="str">
        <f ca="1">IFERROR(__xludf.DUMMYFUNCTION("""COMPUTED_VALUE"""),"P1192")</f>
        <v>P1192</v>
      </c>
      <c r="BC1183" t="str">
        <f ca="1">IFERROR(__xludf.DUMMYFUNCTION("""COMPUTED_VALUE"""),"#VALUE!")</f>
        <v>#VALUE!</v>
      </c>
      <c r="BE1183" t="str">
        <f ca="1">IFERROR(__xludf.DUMMYFUNCTION("""COMPUTED_VALUE"""),"#VALUE!")</f>
        <v>#VALUE!</v>
      </c>
      <c r="BG1183" t="str">
        <f ca="1">IFERROR(__xludf.DUMMYFUNCTION("""COMPUTED_VALUE"""),"#VALUE!")</f>
        <v>#VALUE!</v>
      </c>
      <c r="BI1183" t="str">
        <f ca="1">IFERROR(__xludf.DUMMYFUNCTION("""COMPUTED_VALUE"""),"#VALUE!")</f>
        <v>#VALUE!</v>
      </c>
      <c r="BK1183" t="str">
        <f ca="1">IFERROR(__xludf.DUMMYFUNCTION("""COMPUTED_VALUE"""),"#VALUE!")</f>
        <v>#VALUE!</v>
      </c>
      <c r="BM1183" t="str">
        <f ca="1">IFERROR(__xludf.DUMMYFUNCTION("""COMPUTED_VALUE"""),"#VALUE!")</f>
        <v>#VALUE!</v>
      </c>
      <c r="CS1183" t="str">
        <f ca="1">IFERROR(__xludf.DUMMYFUNCTION("""COMPUTED_VALUE"""),"#VALUE!")</f>
        <v>#VALUE!</v>
      </c>
      <c r="CU1183" t="str">
        <f ca="1">IFERROR(__xludf.DUMMYFUNCTION("""COMPUTED_VALUE"""),"#VALUE!")</f>
        <v>#VALUE!</v>
      </c>
      <c r="CW1183" t="str">
        <f ca="1">IFERROR(__xludf.DUMMYFUNCTION("""COMPUTED_VALUE"""),"#VALUE!")</f>
        <v>#VALUE!</v>
      </c>
      <c r="CY1183" t="str">
        <f ca="1">IFERROR(__xludf.DUMMYFUNCTION("""COMPUTED_VALUE"""),"#VALUE!")</f>
        <v>#VALUE!</v>
      </c>
      <c r="DC1183" t="str">
        <f ca="1">IFERROR(__xludf.DUMMYFUNCTION("""COMPUTED_VALUE"""),"#VALUE!")</f>
        <v>#VALUE!</v>
      </c>
      <c r="DE1183" t="str">
        <f ca="1">IFERROR(__xludf.DUMMYFUNCTION("""COMPUTED_VALUE"""),"#VALUE!")</f>
        <v>#VALUE!</v>
      </c>
    </row>
    <row r="1184" spans="1:109" ht="13.2" x14ac:dyDescent="0.25">
      <c r="A1184" t="str">
        <f ca="1">IFERROR(__xludf.DUMMYFUNCTION("""COMPUTED_VALUE"""),"P1193")</f>
        <v>P1193</v>
      </c>
      <c r="BC1184" t="str">
        <f ca="1">IFERROR(__xludf.DUMMYFUNCTION("""COMPUTED_VALUE"""),"#VALUE!")</f>
        <v>#VALUE!</v>
      </c>
      <c r="BE1184" t="str">
        <f ca="1">IFERROR(__xludf.DUMMYFUNCTION("""COMPUTED_VALUE"""),"#VALUE!")</f>
        <v>#VALUE!</v>
      </c>
      <c r="BG1184" t="str">
        <f ca="1">IFERROR(__xludf.DUMMYFUNCTION("""COMPUTED_VALUE"""),"#VALUE!")</f>
        <v>#VALUE!</v>
      </c>
      <c r="BI1184" t="str">
        <f ca="1">IFERROR(__xludf.DUMMYFUNCTION("""COMPUTED_VALUE"""),"#VALUE!")</f>
        <v>#VALUE!</v>
      </c>
      <c r="BK1184" t="str">
        <f ca="1">IFERROR(__xludf.DUMMYFUNCTION("""COMPUTED_VALUE"""),"#VALUE!")</f>
        <v>#VALUE!</v>
      </c>
      <c r="BM1184" t="str">
        <f ca="1">IFERROR(__xludf.DUMMYFUNCTION("""COMPUTED_VALUE"""),"#VALUE!")</f>
        <v>#VALUE!</v>
      </c>
      <c r="CS1184" t="str">
        <f ca="1">IFERROR(__xludf.DUMMYFUNCTION("""COMPUTED_VALUE"""),"#VALUE!")</f>
        <v>#VALUE!</v>
      </c>
      <c r="CU1184" t="str">
        <f ca="1">IFERROR(__xludf.DUMMYFUNCTION("""COMPUTED_VALUE"""),"#VALUE!")</f>
        <v>#VALUE!</v>
      </c>
      <c r="CW1184" t="str">
        <f ca="1">IFERROR(__xludf.DUMMYFUNCTION("""COMPUTED_VALUE"""),"#VALUE!")</f>
        <v>#VALUE!</v>
      </c>
      <c r="CY1184" t="str">
        <f ca="1">IFERROR(__xludf.DUMMYFUNCTION("""COMPUTED_VALUE"""),"#VALUE!")</f>
        <v>#VALUE!</v>
      </c>
      <c r="DC1184" t="str">
        <f ca="1">IFERROR(__xludf.DUMMYFUNCTION("""COMPUTED_VALUE"""),"#VALUE!")</f>
        <v>#VALUE!</v>
      </c>
      <c r="DE1184" t="str">
        <f ca="1">IFERROR(__xludf.DUMMYFUNCTION("""COMPUTED_VALUE"""),"#VALUE!")</f>
        <v>#VALUE!</v>
      </c>
    </row>
    <row r="1185" spans="1:109" ht="13.2" x14ac:dyDescent="0.25">
      <c r="A1185" t="str">
        <f ca="1">IFERROR(__xludf.DUMMYFUNCTION("""COMPUTED_VALUE"""),"P1194")</f>
        <v>P1194</v>
      </c>
      <c r="BC1185" t="str">
        <f ca="1">IFERROR(__xludf.DUMMYFUNCTION("""COMPUTED_VALUE"""),"#VALUE!")</f>
        <v>#VALUE!</v>
      </c>
      <c r="BE1185" t="str">
        <f ca="1">IFERROR(__xludf.DUMMYFUNCTION("""COMPUTED_VALUE"""),"#VALUE!")</f>
        <v>#VALUE!</v>
      </c>
      <c r="BG1185" t="str">
        <f ca="1">IFERROR(__xludf.DUMMYFUNCTION("""COMPUTED_VALUE"""),"#VALUE!")</f>
        <v>#VALUE!</v>
      </c>
      <c r="BI1185" t="str">
        <f ca="1">IFERROR(__xludf.DUMMYFUNCTION("""COMPUTED_VALUE"""),"#VALUE!")</f>
        <v>#VALUE!</v>
      </c>
      <c r="BK1185" t="str">
        <f ca="1">IFERROR(__xludf.DUMMYFUNCTION("""COMPUTED_VALUE"""),"#VALUE!")</f>
        <v>#VALUE!</v>
      </c>
      <c r="BM1185" t="str">
        <f ca="1">IFERROR(__xludf.DUMMYFUNCTION("""COMPUTED_VALUE"""),"#VALUE!")</f>
        <v>#VALUE!</v>
      </c>
      <c r="CS1185" t="str">
        <f ca="1">IFERROR(__xludf.DUMMYFUNCTION("""COMPUTED_VALUE"""),"#VALUE!")</f>
        <v>#VALUE!</v>
      </c>
      <c r="CU1185" t="str">
        <f ca="1">IFERROR(__xludf.DUMMYFUNCTION("""COMPUTED_VALUE"""),"#VALUE!")</f>
        <v>#VALUE!</v>
      </c>
      <c r="CW1185" t="str">
        <f ca="1">IFERROR(__xludf.DUMMYFUNCTION("""COMPUTED_VALUE"""),"#VALUE!")</f>
        <v>#VALUE!</v>
      </c>
      <c r="CY1185" t="str">
        <f ca="1">IFERROR(__xludf.DUMMYFUNCTION("""COMPUTED_VALUE"""),"#VALUE!")</f>
        <v>#VALUE!</v>
      </c>
      <c r="DC1185" t="str">
        <f ca="1">IFERROR(__xludf.DUMMYFUNCTION("""COMPUTED_VALUE"""),"#VALUE!")</f>
        <v>#VALUE!</v>
      </c>
      <c r="DE1185" t="str">
        <f ca="1">IFERROR(__xludf.DUMMYFUNCTION("""COMPUTED_VALUE"""),"#VALUE!")</f>
        <v>#VALUE!</v>
      </c>
    </row>
    <row r="1186" spans="1:109" ht="13.2" x14ac:dyDescent="0.25">
      <c r="A1186" t="str">
        <f ca="1">IFERROR(__xludf.DUMMYFUNCTION("""COMPUTED_VALUE"""),"P1195")</f>
        <v>P1195</v>
      </c>
      <c r="BC1186" t="str">
        <f ca="1">IFERROR(__xludf.DUMMYFUNCTION("""COMPUTED_VALUE"""),"#VALUE!")</f>
        <v>#VALUE!</v>
      </c>
      <c r="BE1186" t="str">
        <f ca="1">IFERROR(__xludf.DUMMYFUNCTION("""COMPUTED_VALUE"""),"#VALUE!")</f>
        <v>#VALUE!</v>
      </c>
      <c r="BG1186" t="str">
        <f ca="1">IFERROR(__xludf.DUMMYFUNCTION("""COMPUTED_VALUE"""),"#VALUE!")</f>
        <v>#VALUE!</v>
      </c>
      <c r="BI1186" t="str">
        <f ca="1">IFERROR(__xludf.DUMMYFUNCTION("""COMPUTED_VALUE"""),"#VALUE!")</f>
        <v>#VALUE!</v>
      </c>
      <c r="BK1186" t="str">
        <f ca="1">IFERROR(__xludf.DUMMYFUNCTION("""COMPUTED_VALUE"""),"#VALUE!")</f>
        <v>#VALUE!</v>
      </c>
      <c r="BM1186" t="str">
        <f ca="1">IFERROR(__xludf.DUMMYFUNCTION("""COMPUTED_VALUE"""),"#VALUE!")</f>
        <v>#VALUE!</v>
      </c>
      <c r="CS1186" t="str">
        <f ca="1">IFERROR(__xludf.DUMMYFUNCTION("""COMPUTED_VALUE"""),"#VALUE!")</f>
        <v>#VALUE!</v>
      </c>
      <c r="CU1186" t="str">
        <f ca="1">IFERROR(__xludf.DUMMYFUNCTION("""COMPUTED_VALUE"""),"#VALUE!")</f>
        <v>#VALUE!</v>
      </c>
      <c r="CW1186" t="str">
        <f ca="1">IFERROR(__xludf.DUMMYFUNCTION("""COMPUTED_VALUE"""),"#VALUE!")</f>
        <v>#VALUE!</v>
      </c>
      <c r="CY1186" t="str">
        <f ca="1">IFERROR(__xludf.DUMMYFUNCTION("""COMPUTED_VALUE"""),"#VALUE!")</f>
        <v>#VALUE!</v>
      </c>
      <c r="DC1186" t="str">
        <f ca="1">IFERROR(__xludf.DUMMYFUNCTION("""COMPUTED_VALUE"""),"#VALUE!")</f>
        <v>#VALUE!</v>
      </c>
      <c r="DE1186" t="str">
        <f ca="1">IFERROR(__xludf.DUMMYFUNCTION("""COMPUTED_VALUE"""),"#VALUE!")</f>
        <v>#VALUE!</v>
      </c>
    </row>
    <row r="1187" spans="1:109" ht="13.2" x14ac:dyDescent="0.25">
      <c r="A1187" t="str">
        <f ca="1">IFERROR(__xludf.DUMMYFUNCTION("""COMPUTED_VALUE"""),"P1196")</f>
        <v>P1196</v>
      </c>
      <c r="BC1187" t="str">
        <f ca="1">IFERROR(__xludf.DUMMYFUNCTION("""COMPUTED_VALUE"""),"#VALUE!")</f>
        <v>#VALUE!</v>
      </c>
      <c r="BE1187" t="str">
        <f ca="1">IFERROR(__xludf.DUMMYFUNCTION("""COMPUTED_VALUE"""),"#VALUE!")</f>
        <v>#VALUE!</v>
      </c>
      <c r="BG1187" t="str">
        <f ca="1">IFERROR(__xludf.DUMMYFUNCTION("""COMPUTED_VALUE"""),"#VALUE!")</f>
        <v>#VALUE!</v>
      </c>
      <c r="BI1187" t="str">
        <f ca="1">IFERROR(__xludf.DUMMYFUNCTION("""COMPUTED_VALUE"""),"#VALUE!")</f>
        <v>#VALUE!</v>
      </c>
      <c r="BK1187" t="str">
        <f ca="1">IFERROR(__xludf.DUMMYFUNCTION("""COMPUTED_VALUE"""),"#VALUE!")</f>
        <v>#VALUE!</v>
      </c>
      <c r="BM1187" t="str">
        <f ca="1">IFERROR(__xludf.DUMMYFUNCTION("""COMPUTED_VALUE"""),"#VALUE!")</f>
        <v>#VALUE!</v>
      </c>
      <c r="CS1187" t="str">
        <f ca="1">IFERROR(__xludf.DUMMYFUNCTION("""COMPUTED_VALUE"""),"#VALUE!")</f>
        <v>#VALUE!</v>
      </c>
      <c r="CU1187" t="str">
        <f ca="1">IFERROR(__xludf.DUMMYFUNCTION("""COMPUTED_VALUE"""),"#VALUE!")</f>
        <v>#VALUE!</v>
      </c>
      <c r="CW1187" t="str">
        <f ca="1">IFERROR(__xludf.DUMMYFUNCTION("""COMPUTED_VALUE"""),"#VALUE!")</f>
        <v>#VALUE!</v>
      </c>
      <c r="CY1187" t="str">
        <f ca="1">IFERROR(__xludf.DUMMYFUNCTION("""COMPUTED_VALUE"""),"#VALUE!")</f>
        <v>#VALUE!</v>
      </c>
      <c r="DC1187" t="str">
        <f ca="1">IFERROR(__xludf.DUMMYFUNCTION("""COMPUTED_VALUE"""),"#VALUE!")</f>
        <v>#VALUE!</v>
      </c>
      <c r="DE1187" t="str">
        <f ca="1">IFERROR(__xludf.DUMMYFUNCTION("""COMPUTED_VALUE"""),"#VALUE!")</f>
        <v>#VALUE!</v>
      </c>
    </row>
    <row r="1188" spans="1:109" ht="13.2" x14ac:dyDescent="0.25">
      <c r="A1188" t="str">
        <f ca="1">IFERROR(__xludf.DUMMYFUNCTION("""COMPUTED_VALUE"""),"P1197")</f>
        <v>P1197</v>
      </c>
      <c r="BC1188" t="str">
        <f ca="1">IFERROR(__xludf.DUMMYFUNCTION("""COMPUTED_VALUE"""),"#VALUE!")</f>
        <v>#VALUE!</v>
      </c>
      <c r="BE1188" t="str">
        <f ca="1">IFERROR(__xludf.DUMMYFUNCTION("""COMPUTED_VALUE"""),"#VALUE!")</f>
        <v>#VALUE!</v>
      </c>
      <c r="BG1188" t="str">
        <f ca="1">IFERROR(__xludf.DUMMYFUNCTION("""COMPUTED_VALUE"""),"#VALUE!")</f>
        <v>#VALUE!</v>
      </c>
      <c r="BI1188" t="str">
        <f ca="1">IFERROR(__xludf.DUMMYFUNCTION("""COMPUTED_VALUE"""),"#VALUE!")</f>
        <v>#VALUE!</v>
      </c>
      <c r="BK1188" t="str">
        <f ca="1">IFERROR(__xludf.DUMMYFUNCTION("""COMPUTED_VALUE"""),"#VALUE!")</f>
        <v>#VALUE!</v>
      </c>
      <c r="BM1188" t="str">
        <f ca="1">IFERROR(__xludf.DUMMYFUNCTION("""COMPUTED_VALUE"""),"#VALUE!")</f>
        <v>#VALUE!</v>
      </c>
      <c r="CS1188" t="str">
        <f ca="1">IFERROR(__xludf.DUMMYFUNCTION("""COMPUTED_VALUE"""),"#VALUE!")</f>
        <v>#VALUE!</v>
      </c>
      <c r="CU1188" t="str">
        <f ca="1">IFERROR(__xludf.DUMMYFUNCTION("""COMPUTED_VALUE"""),"#VALUE!")</f>
        <v>#VALUE!</v>
      </c>
      <c r="CW1188" t="str">
        <f ca="1">IFERROR(__xludf.DUMMYFUNCTION("""COMPUTED_VALUE"""),"#VALUE!")</f>
        <v>#VALUE!</v>
      </c>
      <c r="CY1188" t="str">
        <f ca="1">IFERROR(__xludf.DUMMYFUNCTION("""COMPUTED_VALUE"""),"#VALUE!")</f>
        <v>#VALUE!</v>
      </c>
      <c r="DC1188" t="str">
        <f ca="1">IFERROR(__xludf.DUMMYFUNCTION("""COMPUTED_VALUE"""),"#VALUE!")</f>
        <v>#VALUE!</v>
      </c>
      <c r="DE1188" t="str">
        <f ca="1">IFERROR(__xludf.DUMMYFUNCTION("""COMPUTED_VALUE"""),"#VALUE!")</f>
        <v>#VALUE!</v>
      </c>
    </row>
    <row r="1189" spans="1:109" ht="13.2" x14ac:dyDescent="0.25">
      <c r="A1189" t="str">
        <f ca="1">IFERROR(__xludf.DUMMYFUNCTION("""COMPUTED_VALUE"""),"P1198")</f>
        <v>P1198</v>
      </c>
      <c r="BC1189" t="str">
        <f ca="1">IFERROR(__xludf.DUMMYFUNCTION("""COMPUTED_VALUE"""),"#VALUE!")</f>
        <v>#VALUE!</v>
      </c>
      <c r="BE1189" t="str">
        <f ca="1">IFERROR(__xludf.DUMMYFUNCTION("""COMPUTED_VALUE"""),"#VALUE!")</f>
        <v>#VALUE!</v>
      </c>
      <c r="BG1189" t="str">
        <f ca="1">IFERROR(__xludf.DUMMYFUNCTION("""COMPUTED_VALUE"""),"#VALUE!")</f>
        <v>#VALUE!</v>
      </c>
      <c r="BI1189" t="str">
        <f ca="1">IFERROR(__xludf.DUMMYFUNCTION("""COMPUTED_VALUE"""),"#VALUE!")</f>
        <v>#VALUE!</v>
      </c>
      <c r="BK1189" t="str">
        <f ca="1">IFERROR(__xludf.DUMMYFUNCTION("""COMPUTED_VALUE"""),"#VALUE!")</f>
        <v>#VALUE!</v>
      </c>
      <c r="BM1189" t="str">
        <f ca="1">IFERROR(__xludf.DUMMYFUNCTION("""COMPUTED_VALUE"""),"#VALUE!")</f>
        <v>#VALUE!</v>
      </c>
      <c r="CS1189" t="str">
        <f ca="1">IFERROR(__xludf.DUMMYFUNCTION("""COMPUTED_VALUE"""),"#VALUE!")</f>
        <v>#VALUE!</v>
      </c>
      <c r="CU1189" t="str">
        <f ca="1">IFERROR(__xludf.DUMMYFUNCTION("""COMPUTED_VALUE"""),"#VALUE!")</f>
        <v>#VALUE!</v>
      </c>
      <c r="CW1189" t="str">
        <f ca="1">IFERROR(__xludf.DUMMYFUNCTION("""COMPUTED_VALUE"""),"#VALUE!")</f>
        <v>#VALUE!</v>
      </c>
      <c r="CY1189" t="str">
        <f ca="1">IFERROR(__xludf.DUMMYFUNCTION("""COMPUTED_VALUE"""),"#VALUE!")</f>
        <v>#VALUE!</v>
      </c>
      <c r="DC1189" t="str">
        <f ca="1">IFERROR(__xludf.DUMMYFUNCTION("""COMPUTED_VALUE"""),"#VALUE!")</f>
        <v>#VALUE!</v>
      </c>
      <c r="DE1189" t="str">
        <f ca="1">IFERROR(__xludf.DUMMYFUNCTION("""COMPUTED_VALUE"""),"#VALUE!")</f>
        <v>#VALUE!</v>
      </c>
    </row>
    <row r="1190" spans="1:109" ht="13.2" x14ac:dyDescent="0.25">
      <c r="A1190" t="str">
        <f ca="1">IFERROR(__xludf.DUMMYFUNCTION("""COMPUTED_VALUE"""),"P1199")</f>
        <v>P1199</v>
      </c>
      <c r="BC1190" t="str">
        <f ca="1">IFERROR(__xludf.DUMMYFUNCTION("""COMPUTED_VALUE"""),"#VALUE!")</f>
        <v>#VALUE!</v>
      </c>
      <c r="BE1190" t="str">
        <f ca="1">IFERROR(__xludf.DUMMYFUNCTION("""COMPUTED_VALUE"""),"#VALUE!")</f>
        <v>#VALUE!</v>
      </c>
      <c r="BG1190" t="str">
        <f ca="1">IFERROR(__xludf.DUMMYFUNCTION("""COMPUTED_VALUE"""),"#VALUE!")</f>
        <v>#VALUE!</v>
      </c>
      <c r="BI1190" t="str">
        <f ca="1">IFERROR(__xludf.DUMMYFUNCTION("""COMPUTED_VALUE"""),"#VALUE!")</f>
        <v>#VALUE!</v>
      </c>
      <c r="BK1190" t="str">
        <f ca="1">IFERROR(__xludf.DUMMYFUNCTION("""COMPUTED_VALUE"""),"#VALUE!")</f>
        <v>#VALUE!</v>
      </c>
      <c r="BM1190" t="str">
        <f ca="1">IFERROR(__xludf.DUMMYFUNCTION("""COMPUTED_VALUE"""),"#VALUE!")</f>
        <v>#VALUE!</v>
      </c>
      <c r="CS1190" t="str">
        <f ca="1">IFERROR(__xludf.DUMMYFUNCTION("""COMPUTED_VALUE"""),"#VALUE!")</f>
        <v>#VALUE!</v>
      </c>
      <c r="CU1190" t="str">
        <f ca="1">IFERROR(__xludf.DUMMYFUNCTION("""COMPUTED_VALUE"""),"#VALUE!")</f>
        <v>#VALUE!</v>
      </c>
      <c r="CW1190" t="str">
        <f ca="1">IFERROR(__xludf.DUMMYFUNCTION("""COMPUTED_VALUE"""),"#VALUE!")</f>
        <v>#VALUE!</v>
      </c>
      <c r="CY1190" t="str">
        <f ca="1">IFERROR(__xludf.DUMMYFUNCTION("""COMPUTED_VALUE"""),"#VALUE!")</f>
        <v>#VALUE!</v>
      </c>
      <c r="DC1190" t="str">
        <f ca="1">IFERROR(__xludf.DUMMYFUNCTION("""COMPUTED_VALUE"""),"#VALUE!")</f>
        <v>#VALUE!</v>
      </c>
      <c r="DE1190" t="str">
        <f ca="1">IFERROR(__xludf.DUMMYFUNCTION("""COMPUTED_VALUE"""),"#VALUE!")</f>
        <v>#VALUE!</v>
      </c>
    </row>
    <row r="1191" spans="1:109" ht="13.2" x14ac:dyDescent="0.25">
      <c r="A1191" t="str">
        <f ca="1">IFERROR(__xludf.DUMMYFUNCTION("""COMPUTED_VALUE"""),"P1200")</f>
        <v>P1200</v>
      </c>
      <c r="BC1191" t="str">
        <f ca="1">IFERROR(__xludf.DUMMYFUNCTION("""COMPUTED_VALUE"""),"#VALUE!")</f>
        <v>#VALUE!</v>
      </c>
      <c r="BE1191" t="str">
        <f ca="1">IFERROR(__xludf.DUMMYFUNCTION("""COMPUTED_VALUE"""),"#VALUE!")</f>
        <v>#VALUE!</v>
      </c>
      <c r="BG1191" t="str">
        <f ca="1">IFERROR(__xludf.DUMMYFUNCTION("""COMPUTED_VALUE"""),"#VALUE!")</f>
        <v>#VALUE!</v>
      </c>
      <c r="BI1191" t="str">
        <f ca="1">IFERROR(__xludf.DUMMYFUNCTION("""COMPUTED_VALUE"""),"#VALUE!")</f>
        <v>#VALUE!</v>
      </c>
      <c r="BK1191" t="str">
        <f ca="1">IFERROR(__xludf.DUMMYFUNCTION("""COMPUTED_VALUE"""),"#VALUE!")</f>
        <v>#VALUE!</v>
      </c>
      <c r="BM1191" t="str">
        <f ca="1">IFERROR(__xludf.DUMMYFUNCTION("""COMPUTED_VALUE"""),"#VALUE!")</f>
        <v>#VALUE!</v>
      </c>
      <c r="CS1191" t="str">
        <f ca="1">IFERROR(__xludf.DUMMYFUNCTION("""COMPUTED_VALUE"""),"#VALUE!")</f>
        <v>#VALUE!</v>
      </c>
      <c r="CU1191" t="str">
        <f ca="1">IFERROR(__xludf.DUMMYFUNCTION("""COMPUTED_VALUE"""),"#VALUE!")</f>
        <v>#VALUE!</v>
      </c>
      <c r="CW1191" t="str">
        <f ca="1">IFERROR(__xludf.DUMMYFUNCTION("""COMPUTED_VALUE"""),"#VALUE!")</f>
        <v>#VALUE!</v>
      </c>
      <c r="CY1191" t="str">
        <f ca="1">IFERROR(__xludf.DUMMYFUNCTION("""COMPUTED_VALUE"""),"#VALUE!")</f>
        <v>#VALUE!</v>
      </c>
      <c r="DC1191" t="str">
        <f ca="1">IFERROR(__xludf.DUMMYFUNCTION("""COMPUTED_VALUE"""),"#VALUE!")</f>
        <v>#VALUE!</v>
      </c>
      <c r="DE1191" t="str">
        <f ca="1">IFERROR(__xludf.DUMMYFUNCTION("""COMPUTED_VALUE"""),"#VALUE!")</f>
        <v>#VALUE!</v>
      </c>
    </row>
    <row r="1192" spans="1:109" ht="13.2" x14ac:dyDescent="0.25">
      <c r="A1192" t="str">
        <f ca="1">IFERROR(__xludf.DUMMYFUNCTION("""COMPUTED_VALUE"""),"P1201")</f>
        <v>P1201</v>
      </c>
      <c r="BC1192" t="str">
        <f ca="1">IFERROR(__xludf.DUMMYFUNCTION("""COMPUTED_VALUE"""),"#VALUE!")</f>
        <v>#VALUE!</v>
      </c>
      <c r="BE1192" t="str">
        <f ca="1">IFERROR(__xludf.DUMMYFUNCTION("""COMPUTED_VALUE"""),"#VALUE!")</f>
        <v>#VALUE!</v>
      </c>
      <c r="BG1192" t="str">
        <f ca="1">IFERROR(__xludf.DUMMYFUNCTION("""COMPUTED_VALUE"""),"#VALUE!")</f>
        <v>#VALUE!</v>
      </c>
      <c r="BI1192" t="str">
        <f ca="1">IFERROR(__xludf.DUMMYFUNCTION("""COMPUTED_VALUE"""),"#VALUE!")</f>
        <v>#VALUE!</v>
      </c>
      <c r="BK1192" t="str">
        <f ca="1">IFERROR(__xludf.DUMMYFUNCTION("""COMPUTED_VALUE"""),"#VALUE!")</f>
        <v>#VALUE!</v>
      </c>
      <c r="BM1192" t="str">
        <f ca="1">IFERROR(__xludf.DUMMYFUNCTION("""COMPUTED_VALUE"""),"#VALUE!")</f>
        <v>#VALUE!</v>
      </c>
      <c r="CS1192" t="str">
        <f ca="1">IFERROR(__xludf.DUMMYFUNCTION("""COMPUTED_VALUE"""),"#VALUE!")</f>
        <v>#VALUE!</v>
      </c>
      <c r="CU1192" t="str">
        <f ca="1">IFERROR(__xludf.DUMMYFUNCTION("""COMPUTED_VALUE"""),"#VALUE!")</f>
        <v>#VALUE!</v>
      </c>
      <c r="CW1192" t="str">
        <f ca="1">IFERROR(__xludf.DUMMYFUNCTION("""COMPUTED_VALUE"""),"#VALUE!")</f>
        <v>#VALUE!</v>
      </c>
      <c r="CY1192" t="str">
        <f ca="1">IFERROR(__xludf.DUMMYFUNCTION("""COMPUTED_VALUE"""),"#VALUE!")</f>
        <v>#VALUE!</v>
      </c>
      <c r="DC1192" t="str">
        <f ca="1">IFERROR(__xludf.DUMMYFUNCTION("""COMPUTED_VALUE"""),"#VALUE!")</f>
        <v>#VALUE!</v>
      </c>
      <c r="DE1192" t="str">
        <f ca="1">IFERROR(__xludf.DUMMYFUNCTION("""COMPUTED_VALUE"""),"#VALUE!")</f>
        <v>#VALUE!</v>
      </c>
    </row>
    <row r="1193" spans="1:109" ht="13.2" x14ac:dyDescent="0.25">
      <c r="A1193" t="str">
        <f ca="1">IFERROR(__xludf.DUMMYFUNCTION("""COMPUTED_VALUE"""),"P1202")</f>
        <v>P1202</v>
      </c>
      <c r="BC1193" t="str">
        <f ca="1">IFERROR(__xludf.DUMMYFUNCTION("""COMPUTED_VALUE"""),"#VALUE!")</f>
        <v>#VALUE!</v>
      </c>
      <c r="BE1193" t="str">
        <f ca="1">IFERROR(__xludf.DUMMYFUNCTION("""COMPUTED_VALUE"""),"#VALUE!")</f>
        <v>#VALUE!</v>
      </c>
      <c r="BG1193" t="str">
        <f ca="1">IFERROR(__xludf.DUMMYFUNCTION("""COMPUTED_VALUE"""),"#VALUE!")</f>
        <v>#VALUE!</v>
      </c>
      <c r="BI1193" t="str">
        <f ca="1">IFERROR(__xludf.DUMMYFUNCTION("""COMPUTED_VALUE"""),"#VALUE!")</f>
        <v>#VALUE!</v>
      </c>
      <c r="BK1193" t="str">
        <f ca="1">IFERROR(__xludf.DUMMYFUNCTION("""COMPUTED_VALUE"""),"#VALUE!")</f>
        <v>#VALUE!</v>
      </c>
      <c r="BM1193" t="str">
        <f ca="1">IFERROR(__xludf.DUMMYFUNCTION("""COMPUTED_VALUE"""),"#VALUE!")</f>
        <v>#VALUE!</v>
      </c>
      <c r="CS1193" t="str">
        <f ca="1">IFERROR(__xludf.DUMMYFUNCTION("""COMPUTED_VALUE"""),"#VALUE!")</f>
        <v>#VALUE!</v>
      </c>
      <c r="CU1193" t="str">
        <f ca="1">IFERROR(__xludf.DUMMYFUNCTION("""COMPUTED_VALUE"""),"#VALUE!")</f>
        <v>#VALUE!</v>
      </c>
      <c r="CW1193" t="str">
        <f ca="1">IFERROR(__xludf.DUMMYFUNCTION("""COMPUTED_VALUE"""),"#VALUE!")</f>
        <v>#VALUE!</v>
      </c>
      <c r="CY1193" t="str">
        <f ca="1">IFERROR(__xludf.DUMMYFUNCTION("""COMPUTED_VALUE"""),"#VALUE!")</f>
        <v>#VALUE!</v>
      </c>
      <c r="DC1193" t="str">
        <f ca="1">IFERROR(__xludf.DUMMYFUNCTION("""COMPUTED_VALUE"""),"#VALUE!")</f>
        <v>#VALUE!</v>
      </c>
      <c r="DE1193" t="str">
        <f ca="1">IFERROR(__xludf.DUMMYFUNCTION("""COMPUTED_VALUE"""),"#VALUE!")</f>
        <v>#VALUE!</v>
      </c>
    </row>
    <row r="1194" spans="1:109" ht="13.2" x14ac:dyDescent="0.25">
      <c r="A1194" t="str">
        <f ca="1">IFERROR(__xludf.DUMMYFUNCTION("""COMPUTED_VALUE"""),"P1203")</f>
        <v>P1203</v>
      </c>
      <c r="BC1194" t="str">
        <f ca="1">IFERROR(__xludf.DUMMYFUNCTION("""COMPUTED_VALUE"""),"#VALUE!")</f>
        <v>#VALUE!</v>
      </c>
      <c r="BE1194" t="str">
        <f ca="1">IFERROR(__xludf.DUMMYFUNCTION("""COMPUTED_VALUE"""),"#VALUE!")</f>
        <v>#VALUE!</v>
      </c>
      <c r="BG1194" t="str">
        <f ca="1">IFERROR(__xludf.DUMMYFUNCTION("""COMPUTED_VALUE"""),"#VALUE!")</f>
        <v>#VALUE!</v>
      </c>
      <c r="BI1194" t="str">
        <f ca="1">IFERROR(__xludf.DUMMYFUNCTION("""COMPUTED_VALUE"""),"#VALUE!")</f>
        <v>#VALUE!</v>
      </c>
      <c r="BK1194" t="str">
        <f ca="1">IFERROR(__xludf.DUMMYFUNCTION("""COMPUTED_VALUE"""),"#VALUE!")</f>
        <v>#VALUE!</v>
      </c>
      <c r="BM1194" t="str">
        <f ca="1">IFERROR(__xludf.DUMMYFUNCTION("""COMPUTED_VALUE"""),"#VALUE!")</f>
        <v>#VALUE!</v>
      </c>
      <c r="CS1194" t="str">
        <f ca="1">IFERROR(__xludf.DUMMYFUNCTION("""COMPUTED_VALUE"""),"#VALUE!")</f>
        <v>#VALUE!</v>
      </c>
      <c r="CU1194" t="str">
        <f ca="1">IFERROR(__xludf.DUMMYFUNCTION("""COMPUTED_VALUE"""),"#VALUE!")</f>
        <v>#VALUE!</v>
      </c>
      <c r="CW1194" t="str">
        <f ca="1">IFERROR(__xludf.DUMMYFUNCTION("""COMPUTED_VALUE"""),"#VALUE!")</f>
        <v>#VALUE!</v>
      </c>
      <c r="CY1194" t="str">
        <f ca="1">IFERROR(__xludf.DUMMYFUNCTION("""COMPUTED_VALUE"""),"#VALUE!")</f>
        <v>#VALUE!</v>
      </c>
      <c r="DC1194" t="str">
        <f ca="1">IFERROR(__xludf.DUMMYFUNCTION("""COMPUTED_VALUE"""),"#VALUE!")</f>
        <v>#VALUE!</v>
      </c>
      <c r="DE1194" t="str">
        <f ca="1">IFERROR(__xludf.DUMMYFUNCTION("""COMPUTED_VALUE"""),"#VALUE!")</f>
        <v>#VALUE!</v>
      </c>
    </row>
    <row r="1195" spans="1:109" ht="13.2" x14ac:dyDescent="0.25">
      <c r="A1195" t="str">
        <f ca="1">IFERROR(__xludf.DUMMYFUNCTION("""COMPUTED_VALUE"""),"P1204")</f>
        <v>P1204</v>
      </c>
      <c r="BC1195" t="str">
        <f ca="1">IFERROR(__xludf.DUMMYFUNCTION("""COMPUTED_VALUE"""),"#VALUE!")</f>
        <v>#VALUE!</v>
      </c>
      <c r="BE1195" t="str">
        <f ca="1">IFERROR(__xludf.DUMMYFUNCTION("""COMPUTED_VALUE"""),"#VALUE!")</f>
        <v>#VALUE!</v>
      </c>
      <c r="BG1195" t="str">
        <f ca="1">IFERROR(__xludf.DUMMYFUNCTION("""COMPUTED_VALUE"""),"#VALUE!")</f>
        <v>#VALUE!</v>
      </c>
      <c r="BI1195" t="str">
        <f ca="1">IFERROR(__xludf.DUMMYFUNCTION("""COMPUTED_VALUE"""),"#VALUE!")</f>
        <v>#VALUE!</v>
      </c>
      <c r="BK1195" t="str">
        <f ca="1">IFERROR(__xludf.DUMMYFUNCTION("""COMPUTED_VALUE"""),"#VALUE!")</f>
        <v>#VALUE!</v>
      </c>
      <c r="BM1195" t="str">
        <f ca="1">IFERROR(__xludf.DUMMYFUNCTION("""COMPUTED_VALUE"""),"#VALUE!")</f>
        <v>#VALUE!</v>
      </c>
      <c r="CS1195" t="str">
        <f ca="1">IFERROR(__xludf.DUMMYFUNCTION("""COMPUTED_VALUE"""),"#VALUE!")</f>
        <v>#VALUE!</v>
      </c>
      <c r="CU1195" t="str">
        <f ca="1">IFERROR(__xludf.DUMMYFUNCTION("""COMPUTED_VALUE"""),"#VALUE!")</f>
        <v>#VALUE!</v>
      </c>
      <c r="CW1195" t="str">
        <f ca="1">IFERROR(__xludf.DUMMYFUNCTION("""COMPUTED_VALUE"""),"#VALUE!")</f>
        <v>#VALUE!</v>
      </c>
      <c r="CY1195" t="str">
        <f ca="1">IFERROR(__xludf.DUMMYFUNCTION("""COMPUTED_VALUE"""),"#VALUE!")</f>
        <v>#VALUE!</v>
      </c>
      <c r="DC1195" t="str">
        <f ca="1">IFERROR(__xludf.DUMMYFUNCTION("""COMPUTED_VALUE"""),"#VALUE!")</f>
        <v>#VALUE!</v>
      </c>
      <c r="DE1195" t="str">
        <f ca="1">IFERROR(__xludf.DUMMYFUNCTION("""COMPUTED_VALUE"""),"#VALUE!")</f>
        <v>#VALUE!</v>
      </c>
    </row>
    <row r="1196" spans="1:109" ht="13.2" x14ac:dyDescent="0.25">
      <c r="A1196" t="str">
        <f ca="1">IFERROR(__xludf.DUMMYFUNCTION("""COMPUTED_VALUE"""),"P1205")</f>
        <v>P1205</v>
      </c>
      <c r="BC1196" t="str">
        <f ca="1">IFERROR(__xludf.DUMMYFUNCTION("""COMPUTED_VALUE"""),"#VALUE!")</f>
        <v>#VALUE!</v>
      </c>
      <c r="BE1196" t="str">
        <f ca="1">IFERROR(__xludf.DUMMYFUNCTION("""COMPUTED_VALUE"""),"#VALUE!")</f>
        <v>#VALUE!</v>
      </c>
      <c r="BG1196" t="str">
        <f ca="1">IFERROR(__xludf.DUMMYFUNCTION("""COMPUTED_VALUE"""),"#VALUE!")</f>
        <v>#VALUE!</v>
      </c>
      <c r="BI1196" t="str">
        <f ca="1">IFERROR(__xludf.DUMMYFUNCTION("""COMPUTED_VALUE"""),"#VALUE!")</f>
        <v>#VALUE!</v>
      </c>
      <c r="BK1196" t="str">
        <f ca="1">IFERROR(__xludf.DUMMYFUNCTION("""COMPUTED_VALUE"""),"#VALUE!")</f>
        <v>#VALUE!</v>
      </c>
      <c r="BM1196" t="str">
        <f ca="1">IFERROR(__xludf.DUMMYFUNCTION("""COMPUTED_VALUE"""),"#VALUE!")</f>
        <v>#VALUE!</v>
      </c>
      <c r="CS1196" t="str">
        <f ca="1">IFERROR(__xludf.DUMMYFUNCTION("""COMPUTED_VALUE"""),"#VALUE!")</f>
        <v>#VALUE!</v>
      </c>
      <c r="CU1196" t="str">
        <f ca="1">IFERROR(__xludf.DUMMYFUNCTION("""COMPUTED_VALUE"""),"#VALUE!")</f>
        <v>#VALUE!</v>
      </c>
      <c r="CW1196" t="str">
        <f ca="1">IFERROR(__xludf.DUMMYFUNCTION("""COMPUTED_VALUE"""),"#VALUE!")</f>
        <v>#VALUE!</v>
      </c>
      <c r="CY1196" t="str">
        <f ca="1">IFERROR(__xludf.DUMMYFUNCTION("""COMPUTED_VALUE"""),"#VALUE!")</f>
        <v>#VALUE!</v>
      </c>
      <c r="DC1196" t="str">
        <f ca="1">IFERROR(__xludf.DUMMYFUNCTION("""COMPUTED_VALUE"""),"#VALUE!")</f>
        <v>#VALUE!</v>
      </c>
      <c r="DE1196" t="str">
        <f ca="1">IFERROR(__xludf.DUMMYFUNCTION("""COMPUTED_VALUE"""),"#VALUE!")</f>
        <v>#VALUE!</v>
      </c>
    </row>
    <row r="1197" spans="1:109" ht="13.2" x14ac:dyDescent="0.25">
      <c r="A1197" t="str">
        <f ca="1">IFERROR(__xludf.DUMMYFUNCTION("""COMPUTED_VALUE"""),"P1206")</f>
        <v>P1206</v>
      </c>
      <c r="BC1197" t="str">
        <f ca="1">IFERROR(__xludf.DUMMYFUNCTION("""COMPUTED_VALUE"""),"#VALUE!")</f>
        <v>#VALUE!</v>
      </c>
      <c r="BE1197" t="str">
        <f ca="1">IFERROR(__xludf.DUMMYFUNCTION("""COMPUTED_VALUE"""),"#VALUE!")</f>
        <v>#VALUE!</v>
      </c>
      <c r="BG1197" t="str">
        <f ca="1">IFERROR(__xludf.DUMMYFUNCTION("""COMPUTED_VALUE"""),"#VALUE!")</f>
        <v>#VALUE!</v>
      </c>
      <c r="BI1197" t="str">
        <f ca="1">IFERROR(__xludf.DUMMYFUNCTION("""COMPUTED_VALUE"""),"#VALUE!")</f>
        <v>#VALUE!</v>
      </c>
      <c r="BK1197" t="str">
        <f ca="1">IFERROR(__xludf.DUMMYFUNCTION("""COMPUTED_VALUE"""),"#VALUE!")</f>
        <v>#VALUE!</v>
      </c>
      <c r="BM1197" t="str">
        <f ca="1">IFERROR(__xludf.DUMMYFUNCTION("""COMPUTED_VALUE"""),"#VALUE!")</f>
        <v>#VALUE!</v>
      </c>
      <c r="CS1197" t="str">
        <f ca="1">IFERROR(__xludf.DUMMYFUNCTION("""COMPUTED_VALUE"""),"#VALUE!")</f>
        <v>#VALUE!</v>
      </c>
      <c r="CU1197" t="str">
        <f ca="1">IFERROR(__xludf.DUMMYFUNCTION("""COMPUTED_VALUE"""),"#VALUE!")</f>
        <v>#VALUE!</v>
      </c>
      <c r="CW1197" t="str">
        <f ca="1">IFERROR(__xludf.DUMMYFUNCTION("""COMPUTED_VALUE"""),"#VALUE!")</f>
        <v>#VALUE!</v>
      </c>
      <c r="CY1197" t="str">
        <f ca="1">IFERROR(__xludf.DUMMYFUNCTION("""COMPUTED_VALUE"""),"#VALUE!")</f>
        <v>#VALUE!</v>
      </c>
      <c r="DC1197" t="str">
        <f ca="1">IFERROR(__xludf.DUMMYFUNCTION("""COMPUTED_VALUE"""),"#VALUE!")</f>
        <v>#VALUE!</v>
      </c>
      <c r="DE1197" t="str">
        <f ca="1">IFERROR(__xludf.DUMMYFUNCTION("""COMPUTED_VALUE"""),"#VALUE!")</f>
        <v>#VALUE!</v>
      </c>
    </row>
    <row r="1198" spans="1:109" ht="13.2" x14ac:dyDescent="0.25">
      <c r="A1198" t="str">
        <f ca="1">IFERROR(__xludf.DUMMYFUNCTION("""COMPUTED_VALUE"""),"P1207")</f>
        <v>P1207</v>
      </c>
      <c r="BC1198" t="str">
        <f ca="1">IFERROR(__xludf.DUMMYFUNCTION("""COMPUTED_VALUE"""),"#VALUE!")</f>
        <v>#VALUE!</v>
      </c>
      <c r="BE1198" t="str">
        <f ca="1">IFERROR(__xludf.DUMMYFUNCTION("""COMPUTED_VALUE"""),"#VALUE!")</f>
        <v>#VALUE!</v>
      </c>
      <c r="BG1198" t="str">
        <f ca="1">IFERROR(__xludf.DUMMYFUNCTION("""COMPUTED_VALUE"""),"#VALUE!")</f>
        <v>#VALUE!</v>
      </c>
      <c r="BI1198" t="str">
        <f ca="1">IFERROR(__xludf.DUMMYFUNCTION("""COMPUTED_VALUE"""),"#VALUE!")</f>
        <v>#VALUE!</v>
      </c>
      <c r="BK1198" t="str">
        <f ca="1">IFERROR(__xludf.DUMMYFUNCTION("""COMPUTED_VALUE"""),"#VALUE!")</f>
        <v>#VALUE!</v>
      </c>
      <c r="BM1198" t="str">
        <f ca="1">IFERROR(__xludf.DUMMYFUNCTION("""COMPUTED_VALUE"""),"#VALUE!")</f>
        <v>#VALUE!</v>
      </c>
      <c r="CS1198" t="str">
        <f ca="1">IFERROR(__xludf.DUMMYFUNCTION("""COMPUTED_VALUE"""),"#VALUE!")</f>
        <v>#VALUE!</v>
      </c>
      <c r="CU1198" t="str">
        <f ca="1">IFERROR(__xludf.DUMMYFUNCTION("""COMPUTED_VALUE"""),"#VALUE!")</f>
        <v>#VALUE!</v>
      </c>
      <c r="CW1198" t="str">
        <f ca="1">IFERROR(__xludf.DUMMYFUNCTION("""COMPUTED_VALUE"""),"#VALUE!")</f>
        <v>#VALUE!</v>
      </c>
      <c r="CY1198" t="str">
        <f ca="1">IFERROR(__xludf.DUMMYFUNCTION("""COMPUTED_VALUE"""),"#VALUE!")</f>
        <v>#VALUE!</v>
      </c>
      <c r="DC1198" t="str">
        <f ca="1">IFERROR(__xludf.DUMMYFUNCTION("""COMPUTED_VALUE"""),"#VALUE!")</f>
        <v>#VALUE!</v>
      </c>
      <c r="DE1198" t="str">
        <f ca="1">IFERROR(__xludf.DUMMYFUNCTION("""COMPUTED_VALUE"""),"#VALUE!")</f>
        <v>#VALUE!</v>
      </c>
    </row>
    <row r="1199" spans="1:109" ht="13.2" x14ac:dyDescent="0.25">
      <c r="A1199" t="str">
        <f ca="1">IFERROR(__xludf.DUMMYFUNCTION("""COMPUTED_VALUE"""),"P1208")</f>
        <v>P1208</v>
      </c>
      <c r="BC1199" t="str">
        <f ca="1">IFERROR(__xludf.DUMMYFUNCTION("""COMPUTED_VALUE"""),"#VALUE!")</f>
        <v>#VALUE!</v>
      </c>
      <c r="BE1199" t="str">
        <f ca="1">IFERROR(__xludf.DUMMYFUNCTION("""COMPUTED_VALUE"""),"#VALUE!")</f>
        <v>#VALUE!</v>
      </c>
      <c r="BG1199" t="str">
        <f ca="1">IFERROR(__xludf.DUMMYFUNCTION("""COMPUTED_VALUE"""),"#VALUE!")</f>
        <v>#VALUE!</v>
      </c>
      <c r="BI1199" t="str">
        <f ca="1">IFERROR(__xludf.DUMMYFUNCTION("""COMPUTED_VALUE"""),"#VALUE!")</f>
        <v>#VALUE!</v>
      </c>
      <c r="BK1199" t="str">
        <f ca="1">IFERROR(__xludf.DUMMYFUNCTION("""COMPUTED_VALUE"""),"#VALUE!")</f>
        <v>#VALUE!</v>
      </c>
      <c r="BM1199" t="str">
        <f ca="1">IFERROR(__xludf.DUMMYFUNCTION("""COMPUTED_VALUE"""),"#VALUE!")</f>
        <v>#VALUE!</v>
      </c>
      <c r="CS1199" t="str">
        <f ca="1">IFERROR(__xludf.DUMMYFUNCTION("""COMPUTED_VALUE"""),"#VALUE!")</f>
        <v>#VALUE!</v>
      </c>
      <c r="CU1199" t="str">
        <f ca="1">IFERROR(__xludf.DUMMYFUNCTION("""COMPUTED_VALUE"""),"#VALUE!")</f>
        <v>#VALUE!</v>
      </c>
      <c r="CW1199" t="str">
        <f ca="1">IFERROR(__xludf.DUMMYFUNCTION("""COMPUTED_VALUE"""),"#VALUE!")</f>
        <v>#VALUE!</v>
      </c>
      <c r="CY1199" t="str">
        <f ca="1">IFERROR(__xludf.DUMMYFUNCTION("""COMPUTED_VALUE"""),"#VALUE!")</f>
        <v>#VALUE!</v>
      </c>
      <c r="DC1199" t="str">
        <f ca="1">IFERROR(__xludf.DUMMYFUNCTION("""COMPUTED_VALUE"""),"#VALUE!")</f>
        <v>#VALUE!</v>
      </c>
      <c r="DE1199" t="str">
        <f ca="1">IFERROR(__xludf.DUMMYFUNCTION("""COMPUTED_VALUE"""),"#VALUE!")</f>
        <v>#VALUE!</v>
      </c>
    </row>
    <row r="1200" spans="1:109" ht="13.2" x14ac:dyDescent="0.25">
      <c r="A1200" t="str">
        <f ca="1">IFERROR(__xludf.DUMMYFUNCTION("""COMPUTED_VALUE"""),"P1209")</f>
        <v>P1209</v>
      </c>
      <c r="BC1200" t="str">
        <f ca="1">IFERROR(__xludf.DUMMYFUNCTION("""COMPUTED_VALUE"""),"#VALUE!")</f>
        <v>#VALUE!</v>
      </c>
      <c r="BE1200" t="str">
        <f ca="1">IFERROR(__xludf.DUMMYFUNCTION("""COMPUTED_VALUE"""),"#VALUE!")</f>
        <v>#VALUE!</v>
      </c>
      <c r="BG1200" t="str">
        <f ca="1">IFERROR(__xludf.DUMMYFUNCTION("""COMPUTED_VALUE"""),"#VALUE!")</f>
        <v>#VALUE!</v>
      </c>
      <c r="BI1200" t="str">
        <f ca="1">IFERROR(__xludf.DUMMYFUNCTION("""COMPUTED_VALUE"""),"#VALUE!")</f>
        <v>#VALUE!</v>
      </c>
      <c r="BK1200" t="str">
        <f ca="1">IFERROR(__xludf.DUMMYFUNCTION("""COMPUTED_VALUE"""),"#VALUE!")</f>
        <v>#VALUE!</v>
      </c>
      <c r="BM1200" t="str">
        <f ca="1">IFERROR(__xludf.DUMMYFUNCTION("""COMPUTED_VALUE"""),"#VALUE!")</f>
        <v>#VALUE!</v>
      </c>
      <c r="CS1200" t="str">
        <f ca="1">IFERROR(__xludf.DUMMYFUNCTION("""COMPUTED_VALUE"""),"#VALUE!")</f>
        <v>#VALUE!</v>
      </c>
      <c r="CU1200" t="str">
        <f ca="1">IFERROR(__xludf.DUMMYFUNCTION("""COMPUTED_VALUE"""),"#VALUE!")</f>
        <v>#VALUE!</v>
      </c>
      <c r="CW1200" t="str">
        <f ca="1">IFERROR(__xludf.DUMMYFUNCTION("""COMPUTED_VALUE"""),"#VALUE!")</f>
        <v>#VALUE!</v>
      </c>
      <c r="CY1200" t="str">
        <f ca="1">IFERROR(__xludf.DUMMYFUNCTION("""COMPUTED_VALUE"""),"#VALUE!")</f>
        <v>#VALUE!</v>
      </c>
      <c r="DC1200" t="str">
        <f ca="1">IFERROR(__xludf.DUMMYFUNCTION("""COMPUTED_VALUE"""),"#VALUE!")</f>
        <v>#VALUE!</v>
      </c>
      <c r="DE1200" t="str">
        <f ca="1">IFERROR(__xludf.DUMMYFUNCTION("""COMPUTED_VALUE"""),"#VALUE!")</f>
        <v>#VALUE!</v>
      </c>
    </row>
    <row r="1201" spans="1:109" ht="13.2" x14ac:dyDescent="0.25">
      <c r="A1201" t="str">
        <f ca="1">IFERROR(__xludf.DUMMYFUNCTION("""COMPUTED_VALUE"""),"P1210")</f>
        <v>P1210</v>
      </c>
      <c r="BC1201" t="str">
        <f ca="1">IFERROR(__xludf.DUMMYFUNCTION("""COMPUTED_VALUE"""),"#VALUE!")</f>
        <v>#VALUE!</v>
      </c>
      <c r="BE1201" t="str">
        <f ca="1">IFERROR(__xludf.DUMMYFUNCTION("""COMPUTED_VALUE"""),"#VALUE!")</f>
        <v>#VALUE!</v>
      </c>
      <c r="BG1201" t="str">
        <f ca="1">IFERROR(__xludf.DUMMYFUNCTION("""COMPUTED_VALUE"""),"#VALUE!")</f>
        <v>#VALUE!</v>
      </c>
      <c r="BI1201" t="str">
        <f ca="1">IFERROR(__xludf.DUMMYFUNCTION("""COMPUTED_VALUE"""),"#VALUE!")</f>
        <v>#VALUE!</v>
      </c>
      <c r="BK1201" t="str">
        <f ca="1">IFERROR(__xludf.DUMMYFUNCTION("""COMPUTED_VALUE"""),"#VALUE!")</f>
        <v>#VALUE!</v>
      </c>
      <c r="BM1201" t="str">
        <f ca="1">IFERROR(__xludf.DUMMYFUNCTION("""COMPUTED_VALUE"""),"#VALUE!")</f>
        <v>#VALUE!</v>
      </c>
      <c r="CS1201" t="str">
        <f ca="1">IFERROR(__xludf.DUMMYFUNCTION("""COMPUTED_VALUE"""),"#VALUE!")</f>
        <v>#VALUE!</v>
      </c>
      <c r="CU1201" t="str">
        <f ca="1">IFERROR(__xludf.DUMMYFUNCTION("""COMPUTED_VALUE"""),"#VALUE!")</f>
        <v>#VALUE!</v>
      </c>
      <c r="CW1201" t="str">
        <f ca="1">IFERROR(__xludf.DUMMYFUNCTION("""COMPUTED_VALUE"""),"#VALUE!")</f>
        <v>#VALUE!</v>
      </c>
      <c r="CY1201" t="str">
        <f ca="1">IFERROR(__xludf.DUMMYFUNCTION("""COMPUTED_VALUE"""),"#VALUE!")</f>
        <v>#VALUE!</v>
      </c>
      <c r="DC1201" t="str">
        <f ca="1">IFERROR(__xludf.DUMMYFUNCTION("""COMPUTED_VALUE"""),"#VALUE!")</f>
        <v>#VALUE!</v>
      </c>
      <c r="DE1201" t="str">
        <f ca="1">IFERROR(__xludf.DUMMYFUNCTION("""COMPUTED_VALUE"""),"#VALUE!")</f>
        <v>#VALUE!</v>
      </c>
    </row>
    <row r="1202" spans="1:109" ht="13.2" x14ac:dyDescent="0.25">
      <c r="A1202" t="str">
        <f ca="1">IFERROR(__xludf.DUMMYFUNCTION("""COMPUTED_VALUE"""),"P1211")</f>
        <v>P1211</v>
      </c>
      <c r="BC1202" t="str">
        <f ca="1">IFERROR(__xludf.DUMMYFUNCTION("""COMPUTED_VALUE"""),"#VALUE!")</f>
        <v>#VALUE!</v>
      </c>
      <c r="BE1202" t="str">
        <f ca="1">IFERROR(__xludf.DUMMYFUNCTION("""COMPUTED_VALUE"""),"#VALUE!")</f>
        <v>#VALUE!</v>
      </c>
      <c r="BG1202" t="str">
        <f ca="1">IFERROR(__xludf.DUMMYFUNCTION("""COMPUTED_VALUE"""),"#VALUE!")</f>
        <v>#VALUE!</v>
      </c>
      <c r="BI1202" t="str">
        <f ca="1">IFERROR(__xludf.DUMMYFUNCTION("""COMPUTED_VALUE"""),"#VALUE!")</f>
        <v>#VALUE!</v>
      </c>
      <c r="BK1202" t="str">
        <f ca="1">IFERROR(__xludf.DUMMYFUNCTION("""COMPUTED_VALUE"""),"#VALUE!")</f>
        <v>#VALUE!</v>
      </c>
      <c r="BM1202" t="str">
        <f ca="1">IFERROR(__xludf.DUMMYFUNCTION("""COMPUTED_VALUE"""),"#VALUE!")</f>
        <v>#VALUE!</v>
      </c>
      <c r="CS1202" t="str">
        <f ca="1">IFERROR(__xludf.DUMMYFUNCTION("""COMPUTED_VALUE"""),"#VALUE!")</f>
        <v>#VALUE!</v>
      </c>
      <c r="CU1202" t="str">
        <f ca="1">IFERROR(__xludf.DUMMYFUNCTION("""COMPUTED_VALUE"""),"#VALUE!")</f>
        <v>#VALUE!</v>
      </c>
      <c r="CW1202" t="str">
        <f ca="1">IFERROR(__xludf.DUMMYFUNCTION("""COMPUTED_VALUE"""),"#VALUE!")</f>
        <v>#VALUE!</v>
      </c>
      <c r="CY1202" t="str">
        <f ca="1">IFERROR(__xludf.DUMMYFUNCTION("""COMPUTED_VALUE"""),"#VALUE!")</f>
        <v>#VALUE!</v>
      </c>
      <c r="DC1202" t="str">
        <f ca="1">IFERROR(__xludf.DUMMYFUNCTION("""COMPUTED_VALUE"""),"#VALUE!")</f>
        <v>#VALUE!</v>
      </c>
      <c r="DE1202" t="str">
        <f ca="1">IFERROR(__xludf.DUMMYFUNCTION("""COMPUTED_VALUE"""),"#VALUE!")</f>
        <v>#VALUE!</v>
      </c>
    </row>
    <row r="1203" spans="1:109" ht="13.2" x14ac:dyDescent="0.25">
      <c r="A1203" t="str">
        <f ca="1">IFERROR(__xludf.DUMMYFUNCTION("""COMPUTED_VALUE"""),"P1212")</f>
        <v>P1212</v>
      </c>
      <c r="BC1203" t="str">
        <f ca="1">IFERROR(__xludf.DUMMYFUNCTION("""COMPUTED_VALUE"""),"#VALUE!")</f>
        <v>#VALUE!</v>
      </c>
      <c r="BE1203" t="str">
        <f ca="1">IFERROR(__xludf.DUMMYFUNCTION("""COMPUTED_VALUE"""),"#VALUE!")</f>
        <v>#VALUE!</v>
      </c>
      <c r="BG1203" t="str">
        <f ca="1">IFERROR(__xludf.DUMMYFUNCTION("""COMPUTED_VALUE"""),"#VALUE!")</f>
        <v>#VALUE!</v>
      </c>
      <c r="BI1203" t="str">
        <f ca="1">IFERROR(__xludf.DUMMYFUNCTION("""COMPUTED_VALUE"""),"#VALUE!")</f>
        <v>#VALUE!</v>
      </c>
      <c r="BK1203" t="str">
        <f ca="1">IFERROR(__xludf.DUMMYFUNCTION("""COMPUTED_VALUE"""),"#VALUE!")</f>
        <v>#VALUE!</v>
      </c>
      <c r="BM1203" t="str">
        <f ca="1">IFERROR(__xludf.DUMMYFUNCTION("""COMPUTED_VALUE"""),"#VALUE!")</f>
        <v>#VALUE!</v>
      </c>
      <c r="CS1203" t="str">
        <f ca="1">IFERROR(__xludf.DUMMYFUNCTION("""COMPUTED_VALUE"""),"#VALUE!")</f>
        <v>#VALUE!</v>
      </c>
      <c r="CU1203" t="str">
        <f ca="1">IFERROR(__xludf.DUMMYFUNCTION("""COMPUTED_VALUE"""),"#VALUE!")</f>
        <v>#VALUE!</v>
      </c>
      <c r="CW1203" t="str">
        <f ca="1">IFERROR(__xludf.DUMMYFUNCTION("""COMPUTED_VALUE"""),"#VALUE!")</f>
        <v>#VALUE!</v>
      </c>
      <c r="CY1203" t="str">
        <f ca="1">IFERROR(__xludf.DUMMYFUNCTION("""COMPUTED_VALUE"""),"#VALUE!")</f>
        <v>#VALUE!</v>
      </c>
      <c r="DC1203" t="str">
        <f ca="1">IFERROR(__xludf.DUMMYFUNCTION("""COMPUTED_VALUE"""),"#VALUE!")</f>
        <v>#VALUE!</v>
      </c>
      <c r="DE1203" t="str">
        <f ca="1">IFERROR(__xludf.DUMMYFUNCTION("""COMPUTED_VALUE"""),"#VALUE!")</f>
        <v>#VALUE!</v>
      </c>
    </row>
    <row r="1204" spans="1:109" ht="13.2" x14ac:dyDescent="0.25">
      <c r="A1204" t="str">
        <f ca="1">IFERROR(__xludf.DUMMYFUNCTION("""COMPUTED_VALUE"""),"P1213")</f>
        <v>P1213</v>
      </c>
      <c r="BC1204" t="str">
        <f ca="1">IFERROR(__xludf.DUMMYFUNCTION("""COMPUTED_VALUE"""),"#VALUE!")</f>
        <v>#VALUE!</v>
      </c>
      <c r="BE1204" t="str">
        <f ca="1">IFERROR(__xludf.DUMMYFUNCTION("""COMPUTED_VALUE"""),"#VALUE!")</f>
        <v>#VALUE!</v>
      </c>
      <c r="BG1204" t="str">
        <f ca="1">IFERROR(__xludf.DUMMYFUNCTION("""COMPUTED_VALUE"""),"#VALUE!")</f>
        <v>#VALUE!</v>
      </c>
      <c r="BI1204" t="str">
        <f ca="1">IFERROR(__xludf.DUMMYFUNCTION("""COMPUTED_VALUE"""),"#VALUE!")</f>
        <v>#VALUE!</v>
      </c>
      <c r="BK1204" t="str">
        <f ca="1">IFERROR(__xludf.DUMMYFUNCTION("""COMPUTED_VALUE"""),"#VALUE!")</f>
        <v>#VALUE!</v>
      </c>
      <c r="BM1204" t="str">
        <f ca="1">IFERROR(__xludf.DUMMYFUNCTION("""COMPUTED_VALUE"""),"#VALUE!")</f>
        <v>#VALUE!</v>
      </c>
      <c r="CS1204" t="str">
        <f ca="1">IFERROR(__xludf.DUMMYFUNCTION("""COMPUTED_VALUE"""),"#VALUE!")</f>
        <v>#VALUE!</v>
      </c>
      <c r="CU1204" t="str">
        <f ca="1">IFERROR(__xludf.DUMMYFUNCTION("""COMPUTED_VALUE"""),"#VALUE!")</f>
        <v>#VALUE!</v>
      </c>
      <c r="CW1204" t="str">
        <f ca="1">IFERROR(__xludf.DUMMYFUNCTION("""COMPUTED_VALUE"""),"#VALUE!")</f>
        <v>#VALUE!</v>
      </c>
      <c r="CY1204" t="str">
        <f ca="1">IFERROR(__xludf.DUMMYFUNCTION("""COMPUTED_VALUE"""),"#VALUE!")</f>
        <v>#VALUE!</v>
      </c>
      <c r="DC1204" t="str">
        <f ca="1">IFERROR(__xludf.DUMMYFUNCTION("""COMPUTED_VALUE"""),"#VALUE!")</f>
        <v>#VALUE!</v>
      </c>
      <c r="DE1204" t="str">
        <f ca="1">IFERROR(__xludf.DUMMYFUNCTION("""COMPUTED_VALUE"""),"#VALUE!")</f>
        <v>#VALUE!</v>
      </c>
    </row>
    <row r="1205" spans="1:109" ht="13.2" x14ac:dyDescent="0.25">
      <c r="A1205" t="str">
        <f ca="1">IFERROR(__xludf.DUMMYFUNCTION("""COMPUTED_VALUE"""),"P1214")</f>
        <v>P1214</v>
      </c>
      <c r="BC1205" t="str">
        <f ca="1">IFERROR(__xludf.DUMMYFUNCTION("""COMPUTED_VALUE"""),"#VALUE!")</f>
        <v>#VALUE!</v>
      </c>
      <c r="BE1205" t="str">
        <f ca="1">IFERROR(__xludf.DUMMYFUNCTION("""COMPUTED_VALUE"""),"#VALUE!")</f>
        <v>#VALUE!</v>
      </c>
      <c r="BG1205" t="str">
        <f ca="1">IFERROR(__xludf.DUMMYFUNCTION("""COMPUTED_VALUE"""),"#VALUE!")</f>
        <v>#VALUE!</v>
      </c>
      <c r="BI1205" t="str">
        <f ca="1">IFERROR(__xludf.DUMMYFUNCTION("""COMPUTED_VALUE"""),"#VALUE!")</f>
        <v>#VALUE!</v>
      </c>
      <c r="BK1205" t="str">
        <f ca="1">IFERROR(__xludf.DUMMYFUNCTION("""COMPUTED_VALUE"""),"#VALUE!")</f>
        <v>#VALUE!</v>
      </c>
      <c r="BM1205" t="str">
        <f ca="1">IFERROR(__xludf.DUMMYFUNCTION("""COMPUTED_VALUE"""),"#VALUE!")</f>
        <v>#VALUE!</v>
      </c>
      <c r="CS1205" t="str">
        <f ca="1">IFERROR(__xludf.DUMMYFUNCTION("""COMPUTED_VALUE"""),"#VALUE!")</f>
        <v>#VALUE!</v>
      </c>
      <c r="CU1205" t="str">
        <f ca="1">IFERROR(__xludf.DUMMYFUNCTION("""COMPUTED_VALUE"""),"#VALUE!")</f>
        <v>#VALUE!</v>
      </c>
      <c r="CW1205" t="str">
        <f ca="1">IFERROR(__xludf.DUMMYFUNCTION("""COMPUTED_VALUE"""),"#VALUE!")</f>
        <v>#VALUE!</v>
      </c>
      <c r="CY1205" t="str">
        <f ca="1">IFERROR(__xludf.DUMMYFUNCTION("""COMPUTED_VALUE"""),"#VALUE!")</f>
        <v>#VALUE!</v>
      </c>
      <c r="DC1205" t="str">
        <f ca="1">IFERROR(__xludf.DUMMYFUNCTION("""COMPUTED_VALUE"""),"#VALUE!")</f>
        <v>#VALUE!</v>
      </c>
      <c r="DE1205" t="str">
        <f ca="1">IFERROR(__xludf.DUMMYFUNCTION("""COMPUTED_VALUE"""),"#VALUE!")</f>
        <v>#VALUE!</v>
      </c>
    </row>
    <row r="1206" spans="1:109" ht="13.2" x14ac:dyDescent="0.25">
      <c r="A1206" t="str">
        <f ca="1">IFERROR(__xludf.DUMMYFUNCTION("""COMPUTED_VALUE"""),"P1215")</f>
        <v>P1215</v>
      </c>
      <c r="BC1206" t="str">
        <f ca="1">IFERROR(__xludf.DUMMYFUNCTION("""COMPUTED_VALUE"""),"#VALUE!")</f>
        <v>#VALUE!</v>
      </c>
      <c r="BE1206" t="str">
        <f ca="1">IFERROR(__xludf.DUMMYFUNCTION("""COMPUTED_VALUE"""),"#VALUE!")</f>
        <v>#VALUE!</v>
      </c>
      <c r="BG1206" t="str">
        <f ca="1">IFERROR(__xludf.DUMMYFUNCTION("""COMPUTED_VALUE"""),"#VALUE!")</f>
        <v>#VALUE!</v>
      </c>
      <c r="BI1206" t="str">
        <f ca="1">IFERROR(__xludf.DUMMYFUNCTION("""COMPUTED_VALUE"""),"#VALUE!")</f>
        <v>#VALUE!</v>
      </c>
      <c r="BK1206" t="str">
        <f ca="1">IFERROR(__xludf.DUMMYFUNCTION("""COMPUTED_VALUE"""),"#VALUE!")</f>
        <v>#VALUE!</v>
      </c>
      <c r="BM1206" t="str">
        <f ca="1">IFERROR(__xludf.DUMMYFUNCTION("""COMPUTED_VALUE"""),"#VALUE!")</f>
        <v>#VALUE!</v>
      </c>
      <c r="CS1206" t="str">
        <f ca="1">IFERROR(__xludf.DUMMYFUNCTION("""COMPUTED_VALUE"""),"#VALUE!")</f>
        <v>#VALUE!</v>
      </c>
      <c r="CU1206" t="str">
        <f ca="1">IFERROR(__xludf.DUMMYFUNCTION("""COMPUTED_VALUE"""),"#VALUE!")</f>
        <v>#VALUE!</v>
      </c>
      <c r="CW1206" t="str">
        <f ca="1">IFERROR(__xludf.DUMMYFUNCTION("""COMPUTED_VALUE"""),"#VALUE!")</f>
        <v>#VALUE!</v>
      </c>
      <c r="CY1206" t="str">
        <f ca="1">IFERROR(__xludf.DUMMYFUNCTION("""COMPUTED_VALUE"""),"#VALUE!")</f>
        <v>#VALUE!</v>
      </c>
      <c r="DC1206" t="str">
        <f ca="1">IFERROR(__xludf.DUMMYFUNCTION("""COMPUTED_VALUE"""),"#VALUE!")</f>
        <v>#VALUE!</v>
      </c>
      <c r="DE1206" t="str">
        <f ca="1">IFERROR(__xludf.DUMMYFUNCTION("""COMPUTED_VALUE"""),"#VALUE!")</f>
        <v>#VALUE!</v>
      </c>
    </row>
    <row r="1207" spans="1:109" ht="13.2" x14ac:dyDescent="0.25">
      <c r="A1207" t="str">
        <f ca="1">IFERROR(__xludf.DUMMYFUNCTION("""COMPUTED_VALUE"""),"P1216")</f>
        <v>P1216</v>
      </c>
      <c r="BC1207" t="str">
        <f ca="1">IFERROR(__xludf.DUMMYFUNCTION("""COMPUTED_VALUE"""),"#VALUE!")</f>
        <v>#VALUE!</v>
      </c>
      <c r="BE1207" t="str">
        <f ca="1">IFERROR(__xludf.DUMMYFUNCTION("""COMPUTED_VALUE"""),"#VALUE!")</f>
        <v>#VALUE!</v>
      </c>
      <c r="BG1207" t="str">
        <f ca="1">IFERROR(__xludf.DUMMYFUNCTION("""COMPUTED_VALUE"""),"#VALUE!")</f>
        <v>#VALUE!</v>
      </c>
      <c r="BI1207" t="str">
        <f ca="1">IFERROR(__xludf.DUMMYFUNCTION("""COMPUTED_VALUE"""),"#VALUE!")</f>
        <v>#VALUE!</v>
      </c>
      <c r="BK1207" t="str">
        <f ca="1">IFERROR(__xludf.DUMMYFUNCTION("""COMPUTED_VALUE"""),"#VALUE!")</f>
        <v>#VALUE!</v>
      </c>
      <c r="BM1207" t="str">
        <f ca="1">IFERROR(__xludf.DUMMYFUNCTION("""COMPUTED_VALUE"""),"#VALUE!")</f>
        <v>#VALUE!</v>
      </c>
      <c r="CS1207" t="str">
        <f ca="1">IFERROR(__xludf.DUMMYFUNCTION("""COMPUTED_VALUE"""),"#VALUE!")</f>
        <v>#VALUE!</v>
      </c>
      <c r="CU1207" t="str">
        <f ca="1">IFERROR(__xludf.DUMMYFUNCTION("""COMPUTED_VALUE"""),"#VALUE!")</f>
        <v>#VALUE!</v>
      </c>
      <c r="CW1207" t="str">
        <f ca="1">IFERROR(__xludf.DUMMYFUNCTION("""COMPUTED_VALUE"""),"#VALUE!")</f>
        <v>#VALUE!</v>
      </c>
      <c r="CY1207" t="str">
        <f ca="1">IFERROR(__xludf.DUMMYFUNCTION("""COMPUTED_VALUE"""),"#VALUE!")</f>
        <v>#VALUE!</v>
      </c>
      <c r="DC1207" t="str">
        <f ca="1">IFERROR(__xludf.DUMMYFUNCTION("""COMPUTED_VALUE"""),"#VALUE!")</f>
        <v>#VALUE!</v>
      </c>
      <c r="DE1207" t="str">
        <f ca="1">IFERROR(__xludf.DUMMYFUNCTION("""COMPUTED_VALUE"""),"#VALUE!")</f>
        <v>#VALUE!</v>
      </c>
    </row>
    <row r="1208" spans="1:109" ht="13.2" x14ac:dyDescent="0.25">
      <c r="A1208" t="str">
        <f ca="1">IFERROR(__xludf.DUMMYFUNCTION("""COMPUTED_VALUE"""),"P1217")</f>
        <v>P1217</v>
      </c>
      <c r="BC1208" t="str">
        <f ca="1">IFERROR(__xludf.DUMMYFUNCTION("""COMPUTED_VALUE"""),"#VALUE!")</f>
        <v>#VALUE!</v>
      </c>
      <c r="BE1208" t="str">
        <f ca="1">IFERROR(__xludf.DUMMYFUNCTION("""COMPUTED_VALUE"""),"#VALUE!")</f>
        <v>#VALUE!</v>
      </c>
      <c r="BG1208" t="str">
        <f ca="1">IFERROR(__xludf.DUMMYFUNCTION("""COMPUTED_VALUE"""),"#VALUE!")</f>
        <v>#VALUE!</v>
      </c>
      <c r="BI1208" t="str">
        <f ca="1">IFERROR(__xludf.DUMMYFUNCTION("""COMPUTED_VALUE"""),"#VALUE!")</f>
        <v>#VALUE!</v>
      </c>
      <c r="BK1208" t="str">
        <f ca="1">IFERROR(__xludf.DUMMYFUNCTION("""COMPUTED_VALUE"""),"#VALUE!")</f>
        <v>#VALUE!</v>
      </c>
      <c r="BM1208" t="str">
        <f ca="1">IFERROR(__xludf.DUMMYFUNCTION("""COMPUTED_VALUE"""),"#VALUE!")</f>
        <v>#VALUE!</v>
      </c>
      <c r="CS1208" t="str">
        <f ca="1">IFERROR(__xludf.DUMMYFUNCTION("""COMPUTED_VALUE"""),"#VALUE!")</f>
        <v>#VALUE!</v>
      </c>
      <c r="CU1208" t="str">
        <f ca="1">IFERROR(__xludf.DUMMYFUNCTION("""COMPUTED_VALUE"""),"#VALUE!")</f>
        <v>#VALUE!</v>
      </c>
      <c r="CW1208" t="str">
        <f ca="1">IFERROR(__xludf.DUMMYFUNCTION("""COMPUTED_VALUE"""),"#VALUE!")</f>
        <v>#VALUE!</v>
      </c>
      <c r="CY1208" t="str">
        <f ca="1">IFERROR(__xludf.DUMMYFUNCTION("""COMPUTED_VALUE"""),"#VALUE!")</f>
        <v>#VALUE!</v>
      </c>
      <c r="DC1208" t="str">
        <f ca="1">IFERROR(__xludf.DUMMYFUNCTION("""COMPUTED_VALUE"""),"#VALUE!")</f>
        <v>#VALUE!</v>
      </c>
      <c r="DE1208" t="str">
        <f ca="1">IFERROR(__xludf.DUMMYFUNCTION("""COMPUTED_VALUE"""),"#VALUE!")</f>
        <v>#VALUE!</v>
      </c>
    </row>
    <row r="1209" spans="1:109" ht="13.2" x14ac:dyDescent="0.25">
      <c r="A1209" t="str">
        <f ca="1">IFERROR(__xludf.DUMMYFUNCTION("""COMPUTED_VALUE"""),"P1218")</f>
        <v>P1218</v>
      </c>
      <c r="BC1209" t="str">
        <f ca="1">IFERROR(__xludf.DUMMYFUNCTION("""COMPUTED_VALUE"""),"#VALUE!")</f>
        <v>#VALUE!</v>
      </c>
      <c r="BE1209" t="str">
        <f ca="1">IFERROR(__xludf.DUMMYFUNCTION("""COMPUTED_VALUE"""),"#VALUE!")</f>
        <v>#VALUE!</v>
      </c>
      <c r="BG1209" t="str">
        <f ca="1">IFERROR(__xludf.DUMMYFUNCTION("""COMPUTED_VALUE"""),"#VALUE!")</f>
        <v>#VALUE!</v>
      </c>
      <c r="BI1209" t="str">
        <f ca="1">IFERROR(__xludf.DUMMYFUNCTION("""COMPUTED_VALUE"""),"#VALUE!")</f>
        <v>#VALUE!</v>
      </c>
      <c r="BK1209" t="str">
        <f ca="1">IFERROR(__xludf.DUMMYFUNCTION("""COMPUTED_VALUE"""),"#VALUE!")</f>
        <v>#VALUE!</v>
      </c>
      <c r="BM1209" t="str">
        <f ca="1">IFERROR(__xludf.DUMMYFUNCTION("""COMPUTED_VALUE"""),"#VALUE!")</f>
        <v>#VALUE!</v>
      </c>
      <c r="CS1209" t="str">
        <f ca="1">IFERROR(__xludf.DUMMYFUNCTION("""COMPUTED_VALUE"""),"#VALUE!")</f>
        <v>#VALUE!</v>
      </c>
      <c r="CU1209" t="str">
        <f ca="1">IFERROR(__xludf.DUMMYFUNCTION("""COMPUTED_VALUE"""),"#VALUE!")</f>
        <v>#VALUE!</v>
      </c>
      <c r="CW1209" t="str">
        <f ca="1">IFERROR(__xludf.DUMMYFUNCTION("""COMPUTED_VALUE"""),"#VALUE!")</f>
        <v>#VALUE!</v>
      </c>
      <c r="CY1209" t="str">
        <f ca="1">IFERROR(__xludf.DUMMYFUNCTION("""COMPUTED_VALUE"""),"#VALUE!")</f>
        <v>#VALUE!</v>
      </c>
      <c r="DC1209" t="str">
        <f ca="1">IFERROR(__xludf.DUMMYFUNCTION("""COMPUTED_VALUE"""),"#VALUE!")</f>
        <v>#VALUE!</v>
      </c>
      <c r="DE1209" t="str">
        <f ca="1">IFERROR(__xludf.DUMMYFUNCTION("""COMPUTED_VALUE"""),"#VALUE!")</f>
        <v>#VALUE!</v>
      </c>
    </row>
    <row r="1210" spans="1:109" ht="13.2" x14ac:dyDescent="0.25">
      <c r="A1210" t="str">
        <f ca="1">IFERROR(__xludf.DUMMYFUNCTION("""COMPUTED_VALUE"""),"P1219")</f>
        <v>P1219</v>
      </c>
      <c r="BC1210" t="str">
        <f ca="1">IFERROR(__xludf.DUMMYFUNCTION("""COMPUTED_VALUE"""),"#VALUE!")</f>
        <v>#VALUE!</v>
      </c>
      <c r="BE1210" t="str">
        <f ca="1">IFERROR(__xludf.DUMMYFUNCTION("""COMPUTED_VALUE"""),"#VALUE!")</f>
        <v>#VALUE!</v>
      </c>
      <c r="BG1210" t="str">
        <f ca="1">IFERROR(__xludf.DUMMYFUNCTION("""COMPUTED_VALUE"""),"#VALUE!")</f>
        <v>#VALUE!</v>
      </c>
      <c r="BI1210" t="str">
        <f ca="1">IFERROR(__xludf.DUMMYFUNCTION("""COMPUTED_VALUE"""),"#VALUE!")</f>
        <v>#VALUE!</v>
      </c>
      <c r="BK1210" t="str">
        <f ca="1">IFERROR(__xludf.DUMMYFUNCTION("""COMPUTED_VALUE"""),"#VALUE!")</f>
        <v>#VALUE!</v>
      </c>
      <c r="BM1210" t="str">
        <f ca="1">IFERROR(__xludf.DUMMYFUNCTION("""COMPUTED_VALUE"""),"#VALUE!")</f>
        <v>#VALUE!</v>
      </c>
      <c r="CS1210" t="str">
        <f ca="1">IFERROR(__xludf.DUMMYFUNCTION("""COMPUTED_VALUE"""),"#VALUE!")</f>
        <v>#VALUE!</v>
      </c>
      <c r="CU1210" t="str">
        <f ca="1">IFERROR(__xludf.DUMMYFUNCTION("""COMPUTED_VALUE"""),"#VALUE!")</f>
        <v>#VALUE!</v>
      </c>
      <c r="CW1210" t="str">
        <f ca="1">IFERROR(__xludf.DUMMYFUNCTION("""COMPUTED_VALUE"""),"#VALUE!")</f>
        <v>#VALUE!</v>
      </c>
      <c r="CY1210" t="str">
        <f ca="1">IFERROR(__xludf.DUMMYFUNCTION("""COMPUTED_VALUE"""),"#VALUE!")</f>
        <v>#VALUE!</v>
      </c>
      <c r="DC1210" t="str">
        <f ca="1">IFERROR(__xludf.DUMMYFUNCTION("""COMPUTED_VALUE"""),"#VALUE!")</f>
        <v>#VALUE!</v>
      </c>
      <c r="DE1210" t="str">
        <f ca="1">IFERROR(__xludf.DUMMYFUNCTION("""COMPUTED_VALUE"""),"#VALUE!")</f>
        <v>#VALUE!</v>
      </c>
    </row>
    <row r="1211" spans="1:109" ht="13.2" x14ac:dyDescent="0.25">
      <c r="A1211" t="str">
        <f ca="1">IFERROR(__xludf.DUMMYFUNCTION("""COMPUTED_VALUE"""),"P1220")</f>
        <v>P1220</v>
      </c>
      <c r="BC1211" t="str">
        <f ca="1">IFERROR(__xludf.DUMMYFUNCTION("""COMPUTED_VALUE"""),"#VALUE!")</f>
        <v>#VALUE!</v>
      </c>
      <c r="BE1211" t="str">
        <f ca="1">IFERROR(__xludf.DUMMYFUNCTION("""COMPUTED_VALUE"""),"#VALUE!")</f>
        <v>#VALUE!</v>
      </c>
      <c r="BG1211" t="str">
        <f ca="1">IFERROR(__xludf.DUMMYFUNCTION("""COMPUTED_VALUE"""),"#VALUE!")</f>
        <v>#VALUE!</v>
      </c>
      <c r="BI1211" t="str">
        <f ca="1">IFERROR(__xludf.DUMMYFUNCTION("""COMPUTED_VALUE"""),"#VALUE!")</f>
        <v>#VALUE!</v>
      </c>
      <c r="BK1211" t="str">
        <f ca="1">IFERROR(__xludf.DUMMYFUNCTION("""COMPUTED_VALUE"""),"#VALUE!")</f>
        <v>#VALUE!</v>
      </c>
      <c r="BM1211" t="str">
        <f ca="1">IFERROR(__xludf.DUMMYFUNCTION("""COMPUTED_VALUE"""),"#VALUE!")</f>
        <v>#VALUE!</v>
      </c>
      <c r="CS1211" t="str">
        <f ca="1">IFERROR(__xludf.DUMMYFUNCTION("""COMPUTED_VALUE"""),"#VALUE!")</f>
        <v>#VALUE!</v>
      </c>
      <c r="CU1211" t="str">
        <f ca="1">IFERROR(__xludf.DUMMYFUNCTION("""COMPUTED_VALUE"""),"#VALUE!")</f>
        <v>#VALUE!</v>
      </c>
      <c r="CW1211" t="str">
        <f ca="1">IFERROR(__xludf.DUMMYFUNCTION("""COMPUTED_VALUE"""),"#VALUE!")</f>
        <v>#VALUE!</v>
      </c>
      <c r="CY1211" t="str">
        <f ca="1">IFERROR(__xludf.DUMMYFUNCTION("""COMPUTED_VALUE"""),"#VALUE!")</f>
        <v>#VALUE!</v>
      </c>
      <c r="DC1211" t="str">
        <f ca="1">IFERROR(__xludf.DUMMYFUNCTION("""COMPUTED_VALUE"""),"#VALUE!")</f>
        <v>#VALUE!</v>
      </c>
      <c r="DE1211" t="str">
        <f ca="1">IFERROR(__xludf.DUMMYFUNCTION("""COMPUTED_VALUE"""),"#VALUE!")</f>
        <v>#VALUE!</v>
      </c>
    </row>
    <row r="1212" spans="1:109" ht="13.2" x14ac:dyDescent="0.25">
      <c r="A1212" t="str">
        <f ca="1">IFERROR(__xludf.DUMMYFUNCTION("""COMPUTED_VALUE"""),"P1221")</f>
        <v>P1221</v>
      </c>
      <c r="BC1212" t="str">
        <f ca="1">IFERROR(__xludf.DUMMYFUNCTION("""COMPUTED_VALUE"""),"#VALUE!")</f>
        <v>#VALUE!</v>
      </c>
      <c r="BE1212" t="str">
        <f ca="1">IFERROR(__xludf.DUMMYFUNCTION("""COMPUTED_VALUE"""),"#VALUE!")</f>
        <v>#VALUE!</v>
      </c>
      <c r="BG1212" t="str">
        <f ca="1">IFERROR(__xludf.DUMMYFUNCTION("""COMPUTED_VALUE"""),"#VALUE!")</f>
        <v>#VALUE!</v>
      </c>
      <c r="BI1212" t="str">
        <f ca="1">IFERROR(__xludf.DUMMYFUNCTION("""COMPUTED_VALUE"""),"#VALUE!")</f>
        <v>#VALUE!</v>
      </c>
      <c r="BK1212" t="str">
        <f ca="1">IFERROR(__xludf.DUMMYFUNCTION("""COMPUTED_VALUE"""),"#VALUE!")</f>
        <v>#VALUE!</v>
      </c>
      <c r="BM1212" t="str">
        <f ca="1">IFERROR(__xludf.DUMMYFUNCTION("""COMPUTED_VALUE"""),"#VALUE!")</f>
        <v>#VALUE!</v>
      </c>
      <c r="CS1212" t="str">
        <f ca="1">IFERROR(__xludf.DUMMYFUNCTION("""COMPUTED_VALUE"""),"#VALUE!")</f>
        <v>#VALUE!</v>
      </c>
      <c r="CU1212" t="str">
        <f ca="1">IFERROR(__xludf.DUMMYFUNCTION("""COMPUTED_VALUE"""),"#VALUE!")</f>
        <v>#VALUE!</v>
      </c>
      <c r="CW1212" t="str">
        <f ca="1">IFERROR(__xludf.DUMMYFUNCTION("""COMPUTED_VALUE"""),"#VALUE!")</f>
        <v>#VALUE!</v>
      </c>
      <c r="CY1212" t="str">
        <f ca="1">IFERROR(__xludf.DUMMYFUNCTION("""COMPUTED_VALUE"""),"#VALUE!")</f>
        <v>#VALUE!</v>
      </c>
      <c r="DC1212" t="str">
        <f ca="1">IFERROR(__xludf.DUMMYFUNCTION("""COMPUTED_VALUE"""),"#VALUE!")</f>
        <v>#VALUE!</v>
      </c>
      <c r="DE1212" t="str">
        <f ca="1">IFERROR(__xludf.DUMMYFUNCTION("""COMPUTED_VALUE"""),"#VALUE!")</f>
        <v>#VALUE!</v>
      </c>
    </row>
    <row r="1213" spans="1:109" ht="13.2" x14ac:dyDescent="0.25">
      <c r="A1213" t="str">
        <f ca="1">IFERROR(__xludf.DUMMYFUNCTION("""COMPUTED_VALUE"""),"P1222")</f>
        <v>P1222</v>
      </c>
      <c r="BC1213" t="str">
        <f ca="1">IFERROR(__xludf.DUMMYFUNCTION("""COMPUTED_VALUE"""),"#VALUE!")</f>
        <v>#VALUE!</v>
      </c>
      <c r="BE1213" t="str">
        <f ca="1">IFERROR(__xludf.DUMMYFUNCTION("""COMPUTED_VALUE"""),"#VALUE!")</f>
        <v>#VALUE!</v>
      </c>
      <c r="BG1213" t="str">
        <f ca="1">IFERROR(__xludf.DUMMYFUNCTION("""COMPUTED_VALUE"""),"#VALUE!")</f>
        <v>#VALUE!</v>
      </c>
      <c r="BI1213" t="str">
        <f ca="1">IFERROR(__xludf.DUMMYFUNCTION("""COMPUTED_VALUE"""),"#VALUE!")</f>
        <v>#VALUE!</v>
      </c>
      <c r="BK1213" t="str">
        <f ca="1">IFERROR(__xludf.DUMMYFUNCTION("""COMPUTED_VALUE"""),"#VALUE!")</f>
        <v>#VALUE!</v>
      </c>
      <c r="BM1213" t="str">
        <f ca="1">IFERROR(__xludf.DUMMYFUNCTION("""COMPUTED_VALUE"""),"#VALUE!")</f>
        <v>#VALUE!</v>
      </c>
      <c r="CS1213" t="str">
        <f ca="1">IFERROR(__xludf.DUMMYFUNCTION("""COMPUTED_VALUE"""),"#VALUE!")</f>
        <v>#VALUE!</v>
      </c>
      <c r="CU1213" t="str">
        <f ca="1">IFERROR(__xludf.DUMMYFUNCTION("""COMPUTED_VALUE"""),"#VALUE!")</f>
        <v>#VALUE!</v>
      </c>
      <c r="CW1213" t="str">
        <f ca="1">IFERROR(__xludf.DUMMYFUNCTION("""COMPUTED_VALUE"""),"#VALUE!")</f>
        <v>#VALUE!</v>
      </c>
      <c r="CY1213" t="str">
        <f ca="1">IFERROR(__xludf.DUMMYFUNCTION("""COMPUTED_VALUE"""),"#VALUE!")</f>
        <v>#VALUE!</v>
      </c>
      <c r="DC1213" t="str">
        <f ca="1">IFERROR(__xludf.DUMMYFUNCTION("""COMPUTED_VALUE"""),"#VALUE!")</f>
        <v>#VALUE!</v>
      </c>
      <c r="DE1213" t="str">
        <f ca="1">IFERROR(__xludf.DUMMYFUNCTION("""COMPUTED_VALUE"""),"#VALUE!")</f>
        <v>#VALUE!</v>
      </c>
    </row>
    <row r="1214" spans="1:109" ht="13.2" x14ac:dyDescent="0.25">
      <c r="A1214" t="str">
        <f ca="1">IFERROR(__xludf.DUMMYFUNCTION("""COMPUTED_VALUE"""),"P1223")</f>
        <v>P1223</v>
      </c>
      <c r="BC1214" t="str">
        <f ca="1">IFERROR(__xludf.DUMMYFUNCTION("""COMPUTED_VALUE"""),"#VALUE!")</f>
        <v>#VALUE!</v>
      </c>
      <c r="BE1214" t="str">
        <f ca="1">IFERROR(__xludf.DUMMYFUNCTION("""COMPUTED_VALUE"""),"#VALUE!")</f>
        <v>#VALUE!</v>
      </c>
      <c r="BG1214" t="str">
        <f ca="1">IFERROR(__xludf.DUMMYFUNCTION("""COMPUTED_VALUE"""),"#VALUE!")</f>
        <v>#VALUE!</v>
      </c>
      <c r="BI1214" t="str">
        <f ca="1">IFERROR(__xludf.DUMMYFUNCTION("""COMPUTED_VALUE"""),"#VALUE!")</f>
        <v>#VALUE!</v>
      </c>
      <c r="BK1214" t="str">
        <f ca="1">IFERROR(__xludf.DUMMYFUNCTION("""COMPUTED_VALUE"""),"#VALUE!")</f>
        <v>#VALUE!</v>
      </c>
      <c r="BM1214" t="str">
        <f ca="1">IFERROR(__xludf.DUMMYFUNCTION("""COMPUTED_VALUE"""),"#VALUE!")</f>
        <v>#VALUE!</v>
      </c>
      <c r="CS1214" t="str">
        <f ca="1">IFERROR(__xludf.DUMMYFUNCTION("""COMPUTED_VALUE"""),"#VALUE!")</f>
        <v>#VALUE!</v>
      </c>
      <c r="CU1214" t="str">
        <f ca="1">IFERROR(__xludf.DUMMYFUNCTION("""COMPUTED_VALUE"""),"#VALUE!")</f>
        <v>#VALUE!</v>
      </c>
      <c r="CW1214" t="str">
        <f ca="1">IFERROR(__xludf.DUMMYFUNCTION("""COMPUTED_VALUE"""),"#VALUE!")</f>
        <v>#VALUE!</v>
      </c>
      <c r="CY1214" t="str">
        <f ca="1">IFERROR(__xludf.DUMMYFUNCTION("""COMPUTED_VALUE"""),"#VALUE!")</f>
        <v>#VALUE!</v>
      </c>
      <c r="DC1214" t="str">
        <f ca="1">IFERROR(__xludf.DUMMYFUNCTION("""COMPUTED_VALUE"""),"#VALUE!")</f>
        <v>#VALUE!</v>
      </c>
      <c r="DE1214" t="str">
        <f ca="1">IFERROR(__xludf.DUMMYFUNCTION("""COMPUTED_VALUE"""),"#VALUE!")</f>
        <v>#VALUE!</v>
      </c>
    </row>
    <row r="1215" spans="1:109" ht="13.2" x14ac:dyDescent="0.25">
      <c r="A1215" t="str">
        <f ca="1">IFERROR(__xludf.DUMMYFUNCTION("""COMPUTED_VALUE"""),"P1224")</f>
        <v>P1224</v>
      </c>
      <c r="BC1215" t="str">
        <f ca="1">IFERROR(__xludf.DUMMYFUNCTION("""COMPUTED_VALUE"""),"#VALUE!")</f>
        <v>#VALUE!</v>
      </c>
      <c r="BE1215" t="str">
        <f ca="1">IFERROR(__xludf.DUMMYFUNCTION("""COMPUTED_VALUE"""),"#VALUE!")</f>
        <v>#VALUE!</v>
      </c>
      <c r="BG1215" t="str">
        <f ca="1">IFERROR(__xludf.DUMMYFUNCTION("""COMPUTED_VALUE"""),"#VALUE!")</f>
        <v>#VALUE!</v>
      </c>
      <c r="BI1215" t="str">
        <f ca="1">IFERROR(__xludf.DUMMYFUNCTION("""COMPUTED_VALUE"""),"#VALUE!")</f>
        <v>#VALUE!</v>
      </c>
      <c r="BK1215" t="str">
        <f ca="1">IFERROR(__xludf.DUMMYFUNCTION("""COMPUTED_VALUE"""),"#VALUE!")</f>
        <v>#VALUE!</v>
      </c>
      <c r="BM1215" t="str">
        <f ca="1">IFERROR(__xludf.DUMMYFUNCTION("""COMPUTED_VALUE"""),"#VALUE!")</f>
        <v>#VALUE!</v>
      </c>
      <c r="CS1215" t="str">
        <f ca="1">IFERROR(__xludf.DUMMYFUNCTION("""COMPUTED_VALUE"""),"#VALUE!")</f>
        <v>#VALUE!</v>
      </c>
      <c r="CU1215" t="str">
        <f ca="1">IFERROR(__xludf.DUMMYFUNCTION("""COMPUTED_VALUE"""),"#VALUE!")</f>
        <v>#VALUE!</v>
      </c>
      <c r="CW1215" t="str">
        <f ca="1">IFERROR(__xludf.DUMMYFUNCTION("""COMPUTED_VALUE"""),"#VALUE!")</f>
        <v>#VALUE!</v>
      </c>
      <c r="CY1215" t="str">
        <f ca="1">IFERROR(__xludf.DUMMYFUNCTION("""COMPUTED_VALUE"""),"#VALUE!")</f>
        <v>#VALUE!</v>
      </c>
      <c r="DC1215" t="str">
        <f ca="1">IFERROR(__xludf.DUMMYFUNCTION("""COMPUTED_VALUE"""),"#VALUE!")</f>
        <v>#VALUE!</v>
      </c>
      <c r="DE1215" t="str">
        <f ca="1">IFERROR(__xludf.DUMMYFUNCTION("""COMPUTED_VALUE"""),"#VALUE!")</f>
        <v>#VALUE!</v>
      </c>
    </row>
    <row r="1216" spans="1:109" ht="13.2" x14ac:dyDescent="0.25">
      <c r="A1216" t="str">
        <f ca="1">IFERROR(__xludf.DUMMYFUNCTION("""COMPUTED_VALUE"""),"P1225")</f>
        <v>P1225</v>
      </c>
      <c r="BC1216" t="str">
        <f ca="1">IFERROR(__xludf.DUMMYFUNCTION("""COMPUTED_VALUE"""),"#VALUE!")</f>
        <v>#VALUE!</v>
      </c>
      <c r="BE1216" t="str">
        <f ca="1">IFERROR(__xludf.DUMMYFUNCTION("""COMPUTED_VALUE"""),"#VALUE!")</f>
        <v>#VALUE!</v>
      </c>
      <c r="BG1216" t="str">
        <f ca="1">IFERROR(__xludf.DUMMYFUNCTION("""COMPUTED_VALUE"""),"#VALUE!")</f>
        <v>#VALUE!</v>
      </c>
      <c r="BI1216" t="str">
        <f ca="1">IFERROR(__xludf.DUMMYFUNCTION("""COMPUTED_VALUE"""),"#VALUE!")</f>
        <v>#VALUE!</v>
      </c>
      <c r="BK1216" t="str">
        <f ca="1">IFERROR(__xludf.DUMMYFUNCTION("""COMPUTED_VALUE"""),"#VALUE!")</f>
        <v>#VALUE!</v>
      </c>
      <c r="BM1216" t="str">
        <f ca="1">IFERROR(__xludf.DUMMYFUNCTION("""COMPUTED_VALUE"""),"#VALUE!")</f>
        <v>#VALUE!</v>
      </c>
      <c r="CS1216" t="str">
        <f ca="1">IFERROR(__xludf.DUMMYFUNCTION("""COMPUTED_VALUE"""),"#VALUE!")</f>
        <v>#VALUE!</v>
      </c>
      <c r="CU1216" t="str">
        <f ca="1">IFERROR(__xludf.DUMMYFUNCTION("""COMPUTED_VALUE"""),"#VALUE!")</f>
        <v>#VALUE!</v>
      </c>
      <c r="CW1216" t="str">
        <f ca="1">IFERROR(__xludf.DUMMYFUNCTION("""COMPUTED_VALUE"""),"#VALUE!")</f>
        <v>#VALUE!</v>
      </c>
      <c r="CY1216" t="str">
        <f ca="1">IFERROR(__xludf.DUMMYFUNCTION("""COMPUTED_VALUE"""),"#VALUE!")</f>
        <v>#VALUE!</v>
      </c>
      <c r="DC1216" t="str">
        <f ca="1">IFERROR(__xludf.DUMMYFUNCTION("""COMPUTED_VALUE"""),"#VALUE!")</f>
        <v>#VALUE!</v>
      </c>
      <c r="DE1216" t="str">
        <f ca="1">IFERROR(__xludf.DUMMYFUNCTION("""COMPUTED_VALUE"""),"#VALUE!")</f>
        <v>#VALUE!</v>
      </c>
    </row>
    <row r="1217" spans="1:109" ht="13.2" x14ac:dyDescent="0.25">
      <c r="A1217" t="str">
        <f ca="1">IFERROR(__xludf.DUMMYFUNCTION("""COMPUTED_VALUE"""),"P1226")</f>
        <v>P1226</v>
      </c>
      <c r="BC1217" t="str">
        <f ca="1">IFERROR(__xludf.DUMMYFUNCTION("""COMPUTED_VALUE"""),"#VALUE!")</f>
        <v>#VALUE!</v>
      </c>
      <c r="BE1217" t="str">
        <f ca="1">IFERROR(__xludf.DUMMYFUNCTION("""COMPUTED_VALUE"""),"#VALUE!")</f>
        <v>#VALUE!</v>
      </c>
      <c r="BG1217" t="str">
        <f ca="1">IFERROR(__xludf.DUMMYFUNCTION("""COMPUTED_VALUE"""),"#VALUE!")</f>
        <v>#VALUE!</v>
      </c>
      <c r="BI1217" t="str">
        <f ca="1">IFERROR(__xludf.DUMMYFUNCTION("""COMPUTED_VALUE"""),"#VALUE!")</f>
        <v>#VALUE!</v>
      </c>
      <c r="BK1217" t="str">
        <f ca="1">IFERROR(__xludf.DUMMYFUNCTION("""COMPUTED_VALUE"""),"#VALUE!")</f>
        <v>#VALUE!</v>
      </c>
      <c r="BM1217" t="str">
        <f ca="1">IFERROR(__xludf.DUMMYFUNCTION("""COMPUTED_VALUE"""),"#VALUE!")</f>
        <v>#VALUE!</v>
      </c>
      <c r="CS1217" t="str">
        <f ca="1">IFERROR(__xludf.DUMMYFUNCTION("""COMPUTED_VALUE"""),"#VALUE!")</f>
        <v>#VALUE!</v>
      </c>
      <c r="CU1217" t="str">
        <f ca="1">IFERROR(__xludf.DUMMYFUNCTION("""COMPUTED_VALUE"""),"#VALUE!")</f>
        <v>#VALUE!</v>
      </c>
      <c r="CW1217" t="str">
        <f ca="1">IFERROR(__xludf.DUMMYFUNCTION("""COMPUTED_VALUE"""),"#VALUE!")</f>
        <v>#VALUE!</v>
      </c>
      <c r="CY1217" t="str">
        <f ca="1">IFERROR(__xludf.DUMMYFUNCTION("""COMPUTED_VALUE"""),"#VALUE!")</f>
        <v>#VALUE!</v>
      </c>
      <c r="DC1217" t="str">
        <f ca="1">IFERROR(__xludf.DUMMYFUNCTION("""COMPUTED_VALUE"""),"#VALUE!")</f>
        <v>#VALUE!</v>
      </c>
      <c r="DE1217" t="str">
        <f ca="1">IFERROR(__xludf.DUMMYFUNCTION("""COMPUTED_VALUE"""),"#VALUE!")</f>
        <v>#VALUE!</v>
      </c>
    </row>
    <row r="1218" spans="1:109" ht="13.2" x14ac:dyDescent="0.25">
      <c r="A1218" t="str">
        <f ca="1">IFERROR(__xludf.DUMMYFUNCTION("""COMPUTED_VALUE"""),"P1227")</f>
        <v>P1227</v>
      </c>
      <c r="BC1218" t="str">
        <f ca="1">IFERROR(__xludf.DUMMYFUNCTION("""COMPUTED_VALUE"""),"#VALUE!")</f>
        <v>#VALUE!</v>
      </c>
      <c r="BE1218" t="str">
        <f ca="1">IFERROR(__xludf.DUMMYFUNCTION("""COMPUTED_VALUE"""),"#VALUE!")</f>
        <v>#VALUE!</v>
      </c>
      <c r="BG1218" t="str">
        <f ca="1">IFERROR(__xludf.DUMMYFUNCTION("""COMPUTED_VALUE"""),"#VALUE!")</f>
        <v>#VALUE!</v>
      </c>
      <c r="BI1218" t="str">
        <f ca="1">IFERROR(__xludf.DUMMYFUNCTION("""COMPUTED_VALUE"""),"#VALUE!")</f>
        <v>#VALUE!</v>
      </c>
      <c r="BK1218" t="str">
        <f ca="1">IFERROR(__xludf.DUMMYFUNCTION("""COMPUTED_VALUE"""),"#VALUE!")</f>
        <v>#VALUE!</v>
      </c>
      <c r="BM1218" t="str">
        <f ca="1">IFERROR(__xludf.DUMMYFUNCTION("""COMPUTED_VALUE"""),"#VALUE!")</f>
        <v>#VALUE!</v>
      </c>
      <c r="CS1218" t="str">
        <f ca="1">IFERROR(__xludf.DUMMYFUNCTION("""COMPUTED_VALUE"""),"#VALUE!")</f>
        <v>#VALUE!</v>
      </c>
      <c r="CU1218" t="str">
        <f ca="1">IFERROR(__xludf.DUMMYFUNCTION("""COMPUTED_VALUE"""),"#VALUE!")</f>
        <v>#VALUE!</v>
      </c>
      <c r="CW1218" t="str">
        <f ca="1">IFERROR(__xludf.DUMMYFUNCTION("""COMPUTED_VALUE"""),"#VALUE!")</f>
        <v>#VALUE!</v>
      </c>
      <c r="CY1218" t="str">
        <f ca="1">IFERROR(__xludf.DUMMYFUNCTION("""COMPUTED_VALUE"""),"#VALUE!")</f>
        <v>#VALUE!</v>
      </c>
      <c r="DC1218" t="str">
        <f ca="1">IFERROR(__xludf.DUMMYFUNCTION("""COMPUTED_VALUE"""),"#VALUE!")</f>
        <v>#VALUE!</v>
      </c>
      <c r="DE1218" t="str">
        <f ca="1">IFERROR(__xludf.DUMMYFUNCTION("""COMPUTED_VALUE"""),"#VALUE!")</f>
        <v>#VALUE!</v>
      </c>
    </row>
    <row r="1219" spans="1:109" ht="13.2" x14ac:dyDescent="0.25">
      <c r="A1219" t="str">
        <f ca="1">IFERROR(__xludf.DUMMYFUNCTION("""COMPUTED_VALUE"""),"P1228")</f>
        <v>P1228</v>
      </c>
      <c r="BC1219" t="str">
        <f ca="1">IFERROR(__xludf.DUMMYFUNCTION("""COMPUTED_VALUE"""),"#VALUE!")</f>
        <v>#VALUE!</v>
      </c>
      <c r="BE1219" t="str">
        <f ca="1">IFERROR(__xludf.DUMMYFUNCTION("""COMPUTED_VALUE"""),"#VALUE!")</f>
        <v>#VALUE!</v>
      </c>
      <c r="BG1219" t="str">
        <f ca="1">IFERROR(__xludf.DUMMYFUNCTION("""COMPUTED_VALUE"""),"#VALUE!")</f>
        <v>#VALUE!</v>
      </c>
      <c r="BI1219" t="str">
        <f ca="1">IFERROR(__xludf.DUMMYFUNCTION("""COMPUTED_VALUE"""),"#VALUE!")</f>
        <v>#VALUE!</v>
      </c>
      <c r="BK1219" t="str">
        <f ca="1">IFERROR(__xludf.DUMMYFUNCTION("""COMPUTED_VALUE"""),"#VALUE!")</f>
        <v>#VALUE!</v>
      </c>
      <c r="BM1219" t="str">
        <f ca="1">IFERROR(__xludf.DUMMYFUNCTION("""COMPUTED_VALUE"""),"#VALUE!")</f>
        <v>#VALUE!</v>
      </c>
      <c r="CS1219" t="str">
        <f ca="1">IFERROR(__xludf.DUMMYFUNCTION("""COMPUTED_VALUE"""),"#VALUE!")</f>
        <v>#VALUE!</v>
      </c>
      <c r="CU1219" t="str">
        <f ca="1">IFERROR(__xludf.DUMMYFUNCTION("""COMPUTED_VALUE"""),"#VALUE!")</f>
        <v>#VALUE!</v>
      </c>
      <c r="CW1219" t="str">
        <f ca="1">IFERROR(__xludf.DUMMYFUNCTION("""COMPUTED_VALUE"""),"#VALUE!")</f>
        <v>#VALUE!</v>
      </c>
      <c r="CY1219" t="str">
        <f ca="1">IFERROR(__xludf.DUMMYFUNCTION("""COMPUTED_VALUE"""),"#VALUE!")</f>
        <v>#VALUE!</v>
      </c>
      <c r="DC1219" t="str">
        <f ca="1">IFERROR(__xludf.DUMMYFUNCTION("""COMPUTED_VALUE"""),"#VALUE!")</f>
        <v>#VALUE!</v>
      </c>
      <c r="DE1219" t="str">
        <f ca="1">IFERROR(__xludf.DUMMYFUNCTION("""COMPUTED_VALUE"""),"#VALUE!")</f>
        <v>#VALUE!</v>
      </c>
    </row>
    <row r="1220" spans="1:109" ht="13.2" x14ac:dyDescent="0.25">
      <c r="A1220" t="str">
        <f ca="1">IFERROR(__xludf.DUMMYFUNCTION("""COMPUTED_VALUE"""),"P1229")</f>
        <v>P1229</v>
      </c>
      <c r="BC1220" t="str">
        <f ca="1">IFERROR(__xludf.DUMMYFUNCTION("""COMPUTED_VALUE"""),"#VALUE!")</f>
        <v>#VALUE!</v>
      </c>
      <c r="BE1220" t="str">
        <f ca="1">IFERROR(__xludf.DUMMYFUNCTION("""COMPUTED_VALUE"""),"#VALUE!")</f>
        <v>#VALUE!</v>
      </c>
      <c r="BG1220" t="str">
        <f ca="1">IFERROR(__xludf.DUMMYFUNCTION("""COMPUTED_VALUE"""),"#VALUE!")</f>
        <v>#VALUE!</v>
      </c>
      <c r="BI1220" t="str">
        <f ca="1">IFERROR(__xludf.DUMMYFUNCTION("""COMPUTED_VALUE"""),"#VALUE!")</f>
        <v>#VALUE!</v>
      </c>
      <c r="BK1220" t="str">
        <f ca="1">IFERROR(__xludf.DUMMYFUNCTION("""COMPUTED_VALUE"""),"#VALUE!")</f>
        <v>#VALUE!</v>
      </c>
      <c r="BM1220" t="str">
        <f ca="1">IFERROR(__xludf.DUMMYFUNCTION("""COMPUTED_VALUE"""),"#VALUE!")</f>
        <v>#VALUE!</v>
      </c>
      <c r="CS1220" t="str">
        <f ca="1">IFERROR(__xludf.DUMMYFUNCTION("""COMPUTED_VALUE"""),"#VALUE!")</f>
        <v>#VALUE!</v>
      </c>
      <c r="CU1220" t="str">
        <f ca="1">IFERROR(__xludf.DUMMYFUNCTION("""COMPUTED_VALUE"""),"#VALUE!")</f>
        <v>#VALUE!</v>
      </c>
      <c r="CW1220" t="str">
        <f ca="1">IFERROR(__xludf.DUMMYFUNCTION("""COMPUTED_VALUE"""),"#VALUE!")</f>
        <v>#VALUE!</v>
      </c>
      <c r="CY1220" t="str">
        <f ca="1">IFERROR(__xludf.DUMMYFUNCTION("""COMPUTED_VALUE"""),"#VALUE!")</f>
        <v>#VALUE!</v>
      </c>
      <c r="DC1220" t="str">
        <f ca="1">IFERROR(__xludf.DUMMYFUNCTION("""COMPUTED_VALUE"""),"#VALUE!")</f>
        <v>#VALUE!</v>
      </c>
      <c r="DE1220" t="str">
        <f ca="1">IFERROR(__xludf.DUMMYFUNCTION("""COMPUTED_VALUE"""),"#VALUE!")</f>
        <v>#VALUE!</v>
      </c>
    </row>
    <row r="1221" spans="1:109" ht="13.2" x14ac:dyDescent="0.25">
      <c r="A1221" t="str">
        <f ca="1">IFERROR(__xludf.DUMMYFUNCTION("""COMPUTED_VALUE"""),"P1230")</f>
        <v>P1230</v>
      </c>
      <c r="BC1221" t="str">
        <f ca="1">IFERROR(__xludf.DUMMYFUNCTION("""COMPUTED_VALUE"""),"#VALUE!")</f>
        <v>#VALUE!</v>
      </c>
      <c r="BE1221" t="str">
        <f ca="1">IFERROR(__xludf.DUMMYFUNCTION("""COMPUTED_VALUE"""),"#VALUE!")</f>
        <v>#VALUE!</v>
      </c>
      <c r="BG1221" t="str">
        <f ca="1">IFERROR(__xludf.DUMMYFUNCTION("""COMPUTED_VALUE"""),"#VALUE!")</f>
        <v>#VALUE!</v>
      </c>
      <c r="BI1221" t="str">
        <f ca="1">IFERROR(__xludf.DUMMYFUNCTION("""COMPUTED_VALUE"""),"#VALUE!")</f>
        <v>#VALUE!</v>
      </c>
      <c r="BK1221" t="str">
        <f ca="1">IFERROR(__xludf.DUMMYFUNCTION("""COMPUTED_VALUE"""),"#VALUE!")</f>
        <v>#VALUE!</v>
      </c>
      <c r="BM1221" t="str">
        <f ca="1">IFERROR(__xludf.DUMMYFUNCTION("""COMPUTED_VALUE"""),"#VALUE!")</f>
        <v>#VALUE!</v>
      </c>
      <c r="CS1221" t="str">
        <f ca="1">IFERROR(__xludf.DUMMYFUNCTION("""COMPUTED_VALUE"""),"#VALUE!")</f>
        <v>#VALUE!</v>
      </c>
      <c r="CU1221" t="str">
        <f ca="1">IFERROR(__xludf.DUMMYFUNCTION("""COMPUTED_VALUE"""),"#VALUE!")</f>
        <v>#VALUE!</v>
      </c>
      <c r="CW1221" t="str">
        <f ca="1">IFERROR(__xludf.DUMMYFUNCTION("""COMPUTED_VALUE"""),"#VALUE!")</f>
        <v>#VALUE!</v>
      </c>
      <c r="CY1221" t="str">
        <f ca="1">IFERROR(__xludf.DUMMYFUNCTION("""COMPUTED_VALUE"""),"#VALUE!")</f>
        <v>#VALUE!</v>
      </c>
      <c r="DC1221" t="str">
        <f ca="1">IFERROR(__xludf.DUMMYFUNCTION("""COMPUTED_VALUE"""),"#VALUE!")</f>
        <v>#VALUE!</v>
      </c>
      <c r="DE1221" t="str">
        <f ca="1">IFERROR(__xludf.DUMMYFUNCTION("""COMPUTED_VALUE"""),"#VALUE!")</f>
        <v>#VALUE!</v>
      </c>
    </row>
    <row r="1222" spans="1:109" ht="13.2" x14ac:dyDescent="0.25">
      <c r="A1222" t="str">
        <f ca="1">IFERROR(__xludf.DUMMYFUNCTION("""COMPUTED_VALUE"""),"P1231")</f>
        <v>P1231</v>
      </c>
      <c r="BC1222" t="str">
        <f ca="1">IFERROR(__xludf.DUMMYFUNCTION("""COMPUTED_VALUE"""),"#VALUE!")</f>
        <v>#VALUE!</v>
      </c>
      <c r="BE1222" t="str">
        <f ca="1">IFERROR(__xludf.DUMMYFUNCTION("""COMPUTED_VALUE"""),"#VALUE!")</f>
        <v>#VALUE!</v>
      </c>
      <c r="BG1222" t="str">
        <f ca="1">IFERROR(__xludf.DUMMYFUNCTION("""COMPUTED_VALUE"""),"#VALUE!")</f>
        <v>#VALUE!</v>
      </c>
      <c r="BI1222" t="str">
        <f ca="1">IFERROR(__xludf.DUMMYFUNCTION("""COMPUTED_VALUE"""),"#VALUE!")</f>
        <v>#VALUE!</v>
      </c>
      <c r="BK1222" t="str">
        <f ca="1">IFERROR(__xludf.DUMMYFUNCTION("""COMPUTED_VALUE"""),"#VALUE!")</f>
        <v>#VALUE!</v>
      </c>
      <c r="BM1222" t="str">
        <f ca="1">IFERROR(__xludf.DUMMYFUNCTION("""COMPUTED_VALUE"""),"#VALUE!")</f>
        <v>#VALUE!</v>
      </c>
      <c r="CS1222" t="str">
        <f ca="1">IFERROR(__xludf.DUMMYFUNCTION("""COMPUTED_VALUE"""),"#VALUE!")</f>
        <v>#VALUE!</v>
      </c>
      <c r="CU1222" t="str">
        <f ca="1">IFERROR(__xludf.DUMMYFUNCTION("""COMPUTED_VALUE"""),"#VALUE!")</f>
        <v>#VALUE!</v>
      </c>
      <c r="CW1222" t="str">
        <f ca="1">IFERROR(__xludf.DUMMYFUNCTION("""COMPUTED_VALUE"""),"#VALUE!")</f>
        <v>#VALUE!</v>
      </c>
      <c r="CY1222" t="str">
        <f ca="1">IFERROR(__xludf.DUMMYFUNCTION("""COMPUTED_VALUE"""),"#VALUE!")</f>
        <v>#VALUE!</v>
      </c>
      <c r="DC1222" t="str">
        <f ca="1">IFERROR(__xludf.DUMMYFUNCTION("""COMPUTED_VALUE"""),"#VALUE!")</f>
        <v>#VALUE!</v>
      </c>
      <c r="DE1222" t="str">
        <f ca="1">IFERROR(__xludf.DUMMYFUNCTION("""COMPUTED_VALUE"""),"#VALUE!")</f>
        <v>#VALUE!</v>
      </c>
    </row>
    <row r="1223" spans="1:109" ht="13.2" x14ac:dyDescent="0.25">
      <c r="A1223" t="str">
        <f ca="1">IFERROR(__xludf.DUMMYFUNCTION("""COMPUTED_VALUE"""),"P1232")</f>
        <v>P1232</v>
      </c>
      <c r="BC1223" t="str">
        <f ca="1">IFERROR(__xludf.DUMMYFUNCTION("""COMPUTED_VALUE"""),"#VALUE!")</f>
        <v>#VALUE!</v>
      </c>
      <c r="BE1223" t="str">
        <f ca="1">IFERROR(__xludf.DUMMYFUNCTION("""COMPUTED_VALUE"""),"#VALUE!")</f>
        <v>#VALUE!</v>
      </c>
      <c r="BG1223" t="str">
        <f ca="1">IFERROR(__xludf.DUMMYFUNCTION("""COMPUTED_VALUE"""),"#VALUE!")</f>
        <v>#VALUE!</v>
      </c>
      <c r="BI1223" t="str">
        <f ca="1">IFERROR(__xludf.DUMMYFUNCTION("""COMPUTED_VALUE"""),"#VALUE!")</f>
        <v>#VALUE!</v>
      </c>
      <c r="BK1223" t="str">
        <f ca="1">IFERROR(__xludf.DUMMYFUNCTION("""COMPUTED_VALUE"""),"#VALUE!")</f>
        <v>#VALUE!</v>
      </c>
      <c r="BM1223" t="str">
        <f ca="1">IFERROR(__xludf.DUMMYFUNCTION("""COMPUTED_VALUE"""),"#VALUE!")</f>
        <v>#VALUE!</v>
      </c>
      <c r="CS1223" t="str">
        <f ca="1">IFERROR(__xludf.DUMMYFUNCTION("""COMPUTED_VALUE"""),"#VALUE!")</f>
        <v>#VALUE!</v>
      </c>
      <c r="CU1223" t="str">
        <f ca="1">IFERROR(__xludf.DUMMYFUNCTION("""COMPUTED_VALUE"""),"#VALUE!")</f>
        <v>#VALUE!</v>
      </c>
      <c r="CW1223" t="str">
        <f ca="1">IFERROR(__xludf.DUMMYFUNCTION("""COMPUTED_VALUE"""),"#VALUE!")</f>
        <v>#VALUE!</v>
      </c>
      <c r="CY1223" t="str">
        <f ca="1">IFERROR(__xludf.DUMMYFUNCTION("""COMPUTED_VALUE"""),"#VALUE!")</f>
        <v>#VALUE!</v>
      </c>
      <c r="DC1223" t="str">
        <f ca="1">IFERROR(__xludf.DUMMYFUNCTION("""COMPUTED_VALUE"""),"#VALUE!")</f>
        <v>#VALUE!</v>
      </c>
      <c r="DE1223" t="str">
        <f ca="1">IFERROR(__xludf.DUMMYFUNCTION("""COMPUTED_VALUE"""),"#VALUE!")</f>
        <v>#VALUE!</v>
      </c>
    </row>
    <row r="1224" spans="1:109" ht="13.2" x14ac:dyDescent="0.25">
      <c r="A1224" t="str">
        <f ca="1">IFERROR(__xludf.DUMMYFUNCTION("""COMPUTED_VALUE"""),"P1233")</f>
        <v>P1233</v>
      </c>
      <c r="BC1224" t="str">
        <f ca="1">IFERROR(__xludf.DUMMYFUNCTION("""COMPUTED_VALUE"""),"#VALUE!")</f>
        <v>#VALUE!</v>
      </c>
      <c r="BE1224" t="str">
        <f ca="1">IFERROR(__xludf.DUMMYFUNCTION("""COMPUTED_VALUE"""),"#VALUE!")</f>
        <v>#VALUE!</v>
      </c>
      <c r="BG1224" t="str">
        <f ca="1">IFERROR(__xludf.DUMMYFUNCTION("""COMPUTED_VALUE"""),"#VALUE!")</f>
        <v>#VALUE!</v>
      </c>
      <c r="BI1224" t="str">
        <f ca="1">IFERROR(__xludf.DUMMYFUNCTION("""COMPUTED_VALUE"""),"#VALUE!")</f>
        <v>#VALUE!</v>
      </c>
      <c r="BK1224" t="str">
        <f ca="1">IFERROR(__xludf.DUMMYFUNCTION("""COMPUTED_VALUE"""),"#VALUE!")</f>
        <v>#VALUE!</v>
      </c>
      <c r="BM1224" t="str">
        <f ca="1">IFERROR(__xludf.DUMMYFUNCTION("""COMPUTED_VALUE"""),"#VALUE!")</f>
        <v>#VALUE!</v>
      </c>
      <c r="CS1224" t="str">
        <f ca="1">IFERROR(__xludf.DUMMYFUNCTION("""COMPUTED_VALUE"""),"#VALUE!")</f>
        <v>#VALUE!</v>
      </c>
      <c r="CU1224" t="str">
        <f ca="1">IFERROR(__xludf.DUMMYFUNCTION("""COMPUTED_VALUE"""),"#VALUE!")</f>
        <v>#VALUE!</v>
      </c>
      <c r="CW1224" t="str">
        <f ca="1">IFERROR(__xludf.DUMMYFUNCTION("""COMPUTED_VALUE"""),"#VALUE!")</f>
        <v>#VALUE!</v>
      </c>
      <c r="CY1224" t="str">
        <f ca="1">IFERROR(__xludf.DUMMYFUNCTION("""COMPUTED_VALUE"""),"#VALUE!")</f>
        <v>#VALUE!</v>
      </c>
      <c r="DC1224" t="str">
        <f ca="1">IFERROR(__xludf.DUMMYFUNCTION("""COMPUTED_VALUE"""),"#VALUE!")</f>
        <v>#VALUE!</v>
      </c>
      <c r="DE1224" t="str">
        <f ca="1">IFERROR(__xludf.DUMMYFUNCTION("""COMPUTED_VALUE"""),"#VALUE!")</f>
        <v>#VALUE!</v>
      </c>
    </row>
    <row r="1225" spans="1:109" ht="13.2" x14ac:dyDescent="0.25">
      <c r="A1225" t="str">
        <f ca="1">IFERROR(__xludf.DUMMYFUNCTION("""COMPUTED_VALUE"""),"P1234")</f>
        <v>P1234</v>
      </c>
      <c r="BC1225" t="str">
        <f ca="1">IFERROR(__xludf.DUMMYFUNCTION("""COMPUTED_VALUE"""),"#VALUE!")</f>
        <v>#VALUE!</v>
      </c>
      <c r="BE1225" t="str">
        <f ca="1">IFERROR(__xludf.DUMMYFUNCTION("""COMPUTED_VALUE"""),"#VALUE!")</f>
        <v>#VALUE!</v>
      </c>
      <c r="BG1225" t="str">
        <f ca="1">IFERROR(__xludf.DUMMYFUNCTION("""COMPUTED_VALUE"""),"#VALUE!")</f>
        <v>#VALUE!</v>
      </c>
      <c r="BI1225" t="str">
        <f ca="1">IFERROR(__xludf.DUMMYFUNCTION("""COMPUTED_VALUE"""),"#VALUE!")</f>
        <v>#VALUE!</v>
      </c>
      <c r="BK1225" t="str">
        <f ca="1">IFERROR(__xludf.DUMMYFUNCTION("""COMPUTED_VALUE"""),"#VALUE!")</f>
        <v>#VALUE!</v>
      </c>
      <c r="BM1225" t="str">
        <f ca="1">IFERROR(__xludf.DUMMYFUNCTION("""COMPUTED_VALUE"""),"#VALUE!")</f>
        <v>#VALUE!</v>
      </c>
      <c r="CS1225" t="str">
        <f ca="1">IFERROR(__xludf.DUMMYFUNCTION("""COMPUTED_VALUE"""),"#VALUE!")</f>
        <v>#VALUE!</v>
      </c>
      <c r="CU1225" t="str">
        <f ca="1">IFERROR(__xludf.DUMMYFUNCTION("""COMPUTED_VALUE"""),"#VALUE!")</f>
        <v>#VALUE!</v>
      </c>
      <c r="CW1225" t="str">
        <f ca="1">IFERROR(__xludf.DUMMYFUNCTION("""COMPUTED_VALUE"""),"#VALUE!")</f>
        <v>#VALUE!</v>
      </c>
      <c r="CY1225" t="str">
        <f ca="1">IFERROR(__xludf.DUMMYFUNCTION("""COMPUTED_VALUE"""),"#VALUE!")</f>
        <v>#VALUE!</v>
      </c>
      <c r="DC1225" t="str">
        <f ca="1">IFERROR(__xludf.DUMMYFUNCTION("""COMPUTED_VALUE"""),"#VALUE!")</f>
        <v>#VALUE!</v>
      </c>
      <c r="DE1225" t="str">
        <f ca="1">IFERROR(__xludf.DUMMYFUNCTION("""COMPUTED_VALUE"""),"#VALUE!")</f>
        <v>#VALUE!</v>
      </c>
    </row>
    <row r="1226" spans="1:109" ht="13.2" x14ac:dyDescent="0.25">
      <c r="A1226" t="str">
        <f ca="1">IFERROR(__xludf.DUMMYFUNCTION("""COMPUTED_VALUE"""),"P1235")</f>
        <v>P1235</v>
      </c>
      <c r="BC1226" t="str">
        <f ca="1">IFERROR(__xludf.DUMMYFUNCTION("""COMPUTED_VALUE"""),"#VALUE!")</f>
        <v>#VALUE!</v>
      </c>
      <c r="BE1226" t="str">
        <f ca="1">IFERROR(__xludf.DUMMYFUNCTION("""COMPUTED_VALUE"""),"#VALUE!")</f>
        <v>#VALUE!</v>
      </c>
      <c r="BG1226" t="str">
        <f ca="1">IFERROR(__xludf.DUMMYFUNCTION("""COMPUTED_VALUE"""),"#VALUE!")</f>
        <v>#VALUE!</v>
      </c>
      <c r="BI1226" t="str">
        <f ca="1">IFERROR(__xludf.DUMMYFUNCTION("""COMPUTED_VALUE"""),"#VALUE!")</f>
        <v>#VALUE!</v>
      </c>
      <c r="BK1226" t="str">
        <f ca="1">IFERROR(__xludf.DUMMYFUNCTION("""COMPUTED_VALUE"""),"#VALUE!")</f>
        <v>#VALUE!</v>
      </c>
      <c r="BM1226" t="str">
        <f ca="1">IFERROR(__xludf.DUMMYFUNCTION("""COMPUTED_VALUE"""),"#VALUE!")</f>
        <v>#VALUE!</v>
      </c>
      <c r="CS1226" t="str">
        <f ca="1">IFERROR(__xludf.DUMMYFUNCTION("""COMPUTED_VALUE"""),"#VALUE!")</f>
        <v>#VALUE!</v>
      </c>
      <c r="CU1226" t="str">
        <f ca="1">IFERROR(__xludf.DUMMYFUNCTION("""COMPUTED_VALUE"""),"#VALUE!")</f>
        <v>#VALUE!</v>
      </c>
      <c r="CW1226" t="str">
        <f ca="1">IFERROR(__xludf.DUMMYFUNCTION("""COMPUTED_VALUE"""),"#VALUE!")</f>
        <v>#VALUE!</v>
      </c>
      <c r="CY1226" t="str">
        <f ca="1">IFERROR(__xludf.DUMMYFUNCTION("""COMPUTED_VALUE"""),"#VALUE!")</f>
        <v>#VALUE!</v>
      </c>
      <c r="DC1226" t="str">
        <f ca="1">IFERROR(__xludf.DUMMYFUNCTION("""COMPUTED_VALUE"""),"#VALUE!")</f>
        <v>#VALUE!</v>
      </c>
      <c r="DE1226" t="str">
        <f ca="1">IFERROR(__xludf.DUMMYFUNCTION("""COMPUTED_VALUE"""),"#VALUE!")</f>
        <v>#VALUE!</v>
      </c>
    </row>
    <row r="1227" spans="1:109" ht="13.2" x14ac:dyDescent="0.25">
      <c r="A1227" t="str">
        <f ca="1">IFERROR(__xludf.DUMMYFUNCTION("""COMPUTED_VALUE"""),"P1236")</f>
        <v>P1236</v>
      </c>
      <c r="BC1227" t="str">
        <f ca="1">IFERROR(__xludf.DUMMYFUNCTION("""COMPUTED_VALUE"""),"#VALUE!")</f>
        <v>#VALUE!</v>
      </c>
      <c r="BE1227" t="str">
        <f ca="1">IFERROR(__xludf.DUMMYFUNCTION("""COMPUTED_VALUE"""),"#VALUE!")</f>
        <v>#VALUE!</v>
      </c>
      <c r="BG1227" t="str">
        <f ca="1">IFERROR(__xludf.DUMMYFUNCTION("""COMPUTED_VALUE"""),"#VALUE!")</f>
        <v>#VALUE!</v>
      </c>
      <c r="BI1227" t="str">
        <f ca="1">IFERROR(__xludf.DUMMYFUNCTION("""COMPUTED_VALUE"""),"#VALUE!")</f>
        <v>#VALUE!</v>
      </c>
      <c r="BK1227" t="str">
        <f ca="1">IFERROR(__xludf.DUMMYFUNCTION("""COMPUTED_VALUE"""),"#VALUE!")</f>
        <v>#VALUE!</v>
      </c>
      <c r="BM1227" t="str">
        <f ca="1">IFERROR(__xludf.DUMMYFUNCTION("""COMPUTED_VALUE"""),"#VALUE!")</f>
        <v>#VALUE!</v>
      </c>
      <c r="CS1227" t="str">
        <f ca="1">IFERROR(__xludf.DUMMYFUNCTION("""COMPUTED_VALUE"""),"#VALUE!")</f>
        <v>#VALUE!</v>
      </c>
      <c r="CU1227" t="str">
        <f ca="1">IFERROR(__xludf.DUMMYFUNCTION("""COMPUTED_VALUE"""),"#VALUE!")</f>
        <v>#VALUE!</v>
      </c>
      <c r="CW1227" t="str">
        <f ca="1">IFERROR(__xludf.DUMMYFUNCTION("""COMPUTED_VALUE"""),"#VALUE!")</f>
        <v>#VALUE!</v>
      </c>
      <c r="CY1227" t="str">
        <f ca="1">IFERROR(__xludf.DUMMYFUNCTION("""COMPUTED_VALUE"""),"#VALUE!")</f>
        <v>#VALUE!</v>
      </c>
      <c r="DC1227" t="str">
        <f ca="1">IFERROR(__xludf.DUMMYFUNCTION("""COMPUTED_VALUE"""),"#VALUE!")</f>
        <v>#VALUE!</v>
      </c>
      <c r="DE1227" t="str">
        <f ca="1">IFERROR(__xludf.DUMMYFUNCTION("""COMPUTED_VALUE"""),"#VALUE!")</f>
        <v>#VALUE!</v>
      </c>
    </row>
    <row r="1228" spans="1:109" ht="13.2" x14ac:dyDescent="0.25">
      <c r="A1228" t="str">
        <f ca="1">IFERROR(__xludf.DUMMYFUNCTION("""COMPUTED_VALUE"""),"P1237")</f>
        <v>P1237</v>
      </c>
      <c r="BC1228" t="str">
        <f ca="1">IFERROR(__xludf.DUMMYFUNCTION("""COMPUTED_VALUE"""),"#VALUE!")</f>
        <v>#VALUE!</v>
      </c>
      <c r="BE1228" t="str">
        <f ca="1">IFERROR(__xludf.DUMMYFUNCTION("""COMPUTED_VALUE"""),"#VALUE!")</f>
        <v>#VALUE!</v>
      </c>
      <c r="BG1228" t="str">
        <f ca="1">IFERROR(__xludf.DUMMYFUNCTION("""COMPUTED_VALUE"""),"#VALUE!")</f>
        <v>#VALUE!</v>
      </c>
      <c r="BI1228" t="str">
        <f ca="1">IFERROR(__xludf.DUMMYFUNCTION("""COMPUTED_VALUE"""),"#VALUE!")</f>
        <v>#VALUE!</v>
      </c>
      <c r="BK1228" t="str">
        <f ca="1">IFERROR(__xludf.DUMMYFUNCTION("""COMPUTED_VALUE"""),"#VALUE!")</f>
        <v>#VALUE!</v>
      </c>
      <c r="BM1228" t="str">
        <f ca="1">IFERROR(__xludf.DUMMYFUNCTION("""COMPUTED_VALUE"""),"#VALUE!")</f>
        <v>#VALUE!</v>
      </c>
      <c r="CS1228" t="str">
        <f ca="1">IFERROR(__xludf.DUMMYFUNCTION("""COMPUTED_VALUE"""),"#VALUE!")</f>
        <v>#VALUE!</v>
      </c>
      <c r="CU1228" t="str">
        <f ca="1">IFERROR(__xludf.DUMMYFUNCTION("""COMPUTED_VALUE"""),"#VALUE!")</f>
        <v>#VALUE!</v>
      </c>
      <c r="CW1228" t="str">
        <f ca="1">IFERROR(__xludf.DUMMYFUNCTION("""COMPUTED_VALUE"""),"#VALUE!")</f>
        <v>#VALUE!</v>
      </c>
      <c r="CY1228" t="str">
        <f ca="1">IFERROR(__xludf.DUMMYFUNCTION("""COMPUTED_VALUE"""),"#VALUE!")</f>
        <v>#VALUE!</v>
      </c>
      <c r="DC1228" t="str">
        <f ca="1">IFERROR(__xludf.DUMMYFUNCTION("""COMPUTED_VALUE"""),"#VALUE!")</f>
        <v>#VALUE!</v>
      </c>
      <c r="DE1228" t="str">
        <f ca="1">IFERROR(__xludf.DUMMYFUNCTION("""COMPUTED_VALUE"""),"#VALUE!")</f>
        <v>#VALUE!</v>
      </c>
    </row>
    <row r="1229" spans="1:109" ht="13.2" x14ac:dyDescent="0.25">
      <c r="A1229" t="str">
        <f ca="1">IFERROR(__xludf.DUMMYFUNCTION("""COMPUTED_VALUE"""),"P1238")</f>
        <v>P1238</v>
      </c>
      <c r="BC1229" t="str">
        <f ca="1">IFERROR(__xludf.DUMMYFUNCTION("""COMPUTED_VALUE"""),"#VALUE!")</f>
        <v>#VALUE!</v>
      </c>
      <c r="BE1229" t="str">
        <f ca="1">IFERROR(__xludf.DUMMYFUNCTION("""COMPUTED_VALUE"""),"#VALUE!")</f>
        <v>#VALUE!</v>
      </c>
      <c r="BG1229" t="str">
        <f ca="1">IFERROR(__xludf.DUMMYFUNCTION("""COMPUTED_VALUE"""),"#VALUE!")</f>
        <v>#VALUE!</v>
      </c>
      <c r="BI1229" t="str">
        <f ca="1">IFERROR(__xludf.DUMMYFUNCTION("""COMPUTED_VALUE"""),"#VALUE!")</f>
        <v>#VALUE!</v>
      </c>
      <c r="BK1229" t="str">
        <f ca="1">IFERROR(__xludf.DUMMYFUNCTION("""COMPUTED_VALUE"""),"#VALUE!")</f>
        <v>#VALUE!</v>
      </c>
      <c r="BM1229" t="str">
        <f ca="1">IFERROR(__xludf.DUMMYFUNCTION("""COMPUTED_VALUE"""),"#VALUE!")</f>
        <v>#VALUE!</v>
      </c>
      <c r="CS1229" t="str">
        <f ca="1">IFERROR(__xludf.DUMMYFUNCTION("""COMPUTED_VALUE"""),"#VALUE!")</f>
        <v>#VALUE!</v>
      </c>
      <c r="CU1229" t="str">
        <f ca="1">IFERROR(__xludf.DUMMYFUNCTION("""COMPUTED_VALUE"""),"#VALUE!")</f>
        <v>#VALUE!</v>
      </c>
      <c r="CW1229" t="str">
        <f ca="1">IFERROR(__xludf.DUMMYFUNCTION("""COMPUTED_VALUE"""),"#VALUE!")</f>
        <v>#VALUE!</v>
      </c>
      <c r="CY1229" t="str">
        <f ca="1">IFERROR(__xludf.DUMMYFUNCTION("""COMPUTED_VALUE"""),"#VALUE!")</f>
        <v>#VALUE!</v>
      </c>
      <c r="DC1229" t="str">
        <f ca="1">IFERROR(__xludf.DUMMYFUNCTION("""COMPUTED_VALUE"""),"#VALUE!")</f>
        <v>#VALUE!</v>
      </c>
      <c r="DE1229" t="str">
        <f ca="1">IFERROR(__xludf.DUMMYFUNCTION("""COMPUTED_VALUE"""),"#VALUE!")</f>
        <v>#VALUE!</v>
      </c>
    </row>
    <row r="1230" spans="1:109" ht="13.2" x14ac:dyDescent="0.25">
      <c r="A1230" t="str">
        <f ca="1">IFERROR(__xludf.DUMMYFUNCTION("""COMPUTED_VALUE"""),"P1239")</f>
        <v>P1239</v>
      </c>
      <c r="BC1230" t="str">
        <f ca="1">IFERROR(__xludf.DUMMYFUNCTION("""COMPUTED_VALUE"""),"#VALUE!")</f>
        <v>#VALUE!</v>
      </c>
      <c r="BE1230" t="str">
        <f ca="1">IFERROR(__xludf.DUMMYFUNCTION("""COMPUTED_VALUE"""),"#VALUE!")</f>
        <v>#VALUE!</v>
      </c>
      <c r="BG1230" t="str">
        <f ca="1">IFERROR(__xludf.DUMMYFUNCTION("""COMPUTED_VALUE"""),"#VALUE!")</f>
        <v>#VALUE!</v>
      </c>
      <c r="BI1230" t="str">
        <f ca="1">IFERROR(__xludf.DUMMYFUNCTION("""COMPUTED_VALUE"""),"#VALUE!")</f>
        <v>#VALUE!</v>
      </c>
      <c r="BK1230" t="str">
        <f ca="1">IFERROR(__xludf.DUMMYFUNCTION("""COMPUTED_VALUE"""),"#VALUE!")</f>
        <v>#VALUE!</v>
      </c>
      <c r="BM1230" t="str">
        <f ca="1">IFERROR(__xludf.DUMMYFUNCTION("""COMPUTED_VALUE"""),"#VALUE!")</f>
        <v>#VALUE!</v>
      </c>
      <c r="CS1230" t="str">
        <f ca="1">IFERROR(__xludf.DUMMYFUNCTION("""COMPUTED_VALUE"""),"#VALUE!")</f>
        <v>#VALUE!</v>
      </c>
      <c r="CU1230" t="str">
        <f ca="1">IFERROR(__xludf.DUMMYFUNCTION("""COMPUTED_VALUE"""),"#VALUE!")</f>
        <v>#VALUE!</v>
      </c>
      <c r="CW1230" t="str">
        <f ca="1">IFERROR(__xludf.DUMMYFUNCTION("""COMPUTED_VALUE"""),"#VALUE!")</f>
        <v>#VALUE!</v>
      </c>
      <c r="CY1230" t="str">
        <f ca="1">IFERROR(__xludf.DUMMYFUNCTION("""COMPUTED_VALUE"""),"#VALUE!")</f>
        <v>#VALUE!</v>
      </c>
      <c r="DC1230" t="str">
        <f ca="1">IFERROR(__xludf.DUMMYFUNCTION("""COMPUTED_VALUE"""),"#VALUE!")</f>
        <v>#VALUE!</v>
      </c>
      <c r="DE1230" t="str">
        <f ca="1">IFERROR(__xludf.DUMMYFUNCTION("""COMPUTED_VALUE"""),"#VALUE!")</f>
        <v>#VALUE!</v>
      </c>
    </row>
    <row r="1231" spans="1:109" ht="13.2" x14ac:dyDescent="0.25">
      <c r="A1231" t="str">
        <f ca="1">IFERROR(__xludf.DUMMYFUNCTION("""COMPUTED_VALUE"""),"P1240")</f>
        <v>P1240</v>
      </c>
      <c r="BC1231" t="str">
        <f ca="1">IFERROR(__xludf.DUMMYFUNCTION("""COMPUTED_VALUE"""),"#VALUE!")</f>
        <v>#VALUE!</v>
      </c>
      <c r="BE1231" t="str">
        <f ca="1">IFERROR(__xludf.DUMMYFUNCTION("""COMPUTED_VALUE"""),"#VALUE!")</f>
        <v>#VALUE!</v>
      </c>
      <c r="BG1231" t="str">
        <f ca="1">IFERROR(__xludf.DUMMYFUNCTION("""COMPUTED_VALUE"""),"#VALUE!")</f>
        <v>#VALUE!</v>
      </c>
      <c r="BI1231" t="str">
        <f ca="1">IFERROR(__xludf.DUMMYFUNCTION("""COMPUTED_VALUE"""),"#VALUE!")</f>
        <v>#VALUE!</v>
      </c>
      <c r="BK1231" t="str">
        <f ca="1">IFERROR(__xludf.DUMMYFUNCTION("""COMPUTED_VALUE"""),"#VALUE!")</f>
        <v>#VALUE!</v>
      </c>
      <c r="BM1231" t="str">
        <f ca="1">IFERROR(__xludf.DUMMYFUNCTION("""COMPUTED_VALUE"""),"#VALUE!")</f>
        <v>#VALUE!</v>
      </c>
      <c r="CS1231" t="str">
        <f ca="1">IFERROR(__xludf.DUMMYFUNCTION("""COMPUTED_VALUE"""),"#VALUE!")</f>
        <v>#VALUE!</v>
      </c>
      <c r="CU1231" t="str">
        <f ca="1">IFERROR(__xludf.DUMMYFUNCTION("""COMPUTED_VALUE"""),"#VALUE!")</f>
        <v>#VALUE!</v>
      </c>
      <c r="CW1231" t="str">
        <f ca="1">IFERROR(__xludf.DUMMYFUNCTION("""COMPUTED_VALUE"""),"#VALUE!")</f>
        <v>#VALUE!</v>
      </c>
      <c r="CY1231" t="str">
        <f ca="1">IFERROR(__xludf.DUMMYFUNCTION("""COMPUTED_VALUE"""),"#VALUE!")</f>
        <v>#VALUE!</v>
      </c>
      <c r="DC1231" t="str">
        <f ca="1">IFERROR(__xludf.DUMMYFUNCTION("""COMPUTED_VALUE"""),"#VALUE!")</f>
        <v>#VALUE!</v>
      </c>
      <c r="DE1231" t="str">
        <f ca="1">IFERROR(__xludf.DUMMYFUNCTION("""COMPUTED_VALUE"""),"#VALUE!")</f>
        <v>#VALUE!</v>
      </c>
    </row>
    <row r="1232" spans="1:109" ht="13.2" x14ac:dyDescent="0.25">
      <c r="A1232" t="str">
        <f ca="1">IFERROR(__xludf.DUMMYFUNCTION("""COMPUTED_VALUE"""),"P1241")</f>
        <v>P1241</v>
      </c>
      <c r="BC1232" t="str">
        <f ca="1">IFERROR(__xludf.DUMMYFUNCTION("""COMPUTED_VALUE"""),"#VALUE!")</f>
        <v>#VALUE!</v>
      </c>
      <c r="BE1232" t="str">
        <f ca="1">IFERROR(__xludf.DUMMYFUNCTION("""COMPUTED_VALUE"""),"#VALUE!")</f>
        <v>#VALUE!</v>
      </c>
      <c r="BG1232" t="str">
        <f ca="1">IFERROR(__xludf.DUMMYFUNCTION("""COMPUTED_VALUE"""),"#VALUE!")</f>
        <v>#VALUE!</v>
      </c>
      <c r="BI1232" t="str">
        <f ca="1">IFERROR(__xludf.DUMMYFUNCTION("""COMPUTED_VALUE"""),"#VALUE!")</f>
        <v>#VALUE!</v>
      </c>
      <c r="BK1232" t="str">
        <f ca="1">IFERROR(__xludf.DUMMYFUNCTION("""COMPUTED_VALUE"""),"#VALUE!")</f>
        <v>#VALUE!</v>
      </c>
      <c r="BM1232" t="str">
        <f ca="1">IFERROR(__xludf.DUMMYFUNCTION("""COMPUTED_VALUE"""),"#VALUE!")</f>
        <v>#VALUE!</v>
      </c>
      <c r="CS1232" t="str">
        <f ca="1">IFERROR(__xludf.DUMMYFUNCTION("""COMPUTED_VALUE"""),"#VALUE!")</f>
        <v>#VALUE!</v>
      </c>
      <c r="CU1232" t="str">
        <f ca="1">IFERROR(__xludf.DUMMYFUNCTION("""COMPUTED_VALUE"""),"#VALUE!")</f>
        <v>#VALUE!</v>
      </c>
      <c r="CW1232" t="str">
        <f ca="1">IFERROR(__xludf.DUMMYFUNCTION("""COMPUTED_VALUE"""),"#VALUE!")</f>
        <v>#VALUE!</v>
      </c>
      <c r="CY1232" t="str">
        <f ca="1">IFERROR(__xludf.DUMMYFUNCTION("""COMPUTED_VALUE"""),"#VALUE!")</f>
        <v>#VALUE!</v>
      </c>
      <c r="DC1232" t="str">
        <f ca="1">IFERROR(__xludf.DUMMYFUNCTION("""COMPUTED_VALUE"""),"#VALUE!")</f>
        <v>#VALUE!</v>
      </c>
      <c r="DE1232" t="str">
        <f ca="1">IFERROR(__xludf.DUMMYFUNCTION("""COMPUTED_VALUE"""),"#VALUE!")</f>
        <v>#VALUE!</v>
      </c>
    </row>
    <row r="1233" spans="1:109" ht="13.2" x14ac:dyDescent="0.25">
      <c r="A1233" t="str">
        <f ca="1">IFERROR(__xludf.DUMMYFUNCTION("""COMPUTED_VALUE"""),"P1242")</f>
        <v>P1242</v>
      </c>
      <c r="BC1233" t="str">
        <f ca="1">IFERROR(__xludf.DUMMYFUNCTION("""COMPUTED_VALUE"""),"#VALUE!")</f>
        <v>#VALUE!</v>
      </c>
      <c r="BE1233" t="str">
        <f ca="1">IFERROR(__xludf.DUMMYFUNCTION("""COMPUTED_VALUE"""),"#VALUE!")</f>
        <v>#VALUE!</v>
      </c>
      <c r="BG1233" t="str">
        <f ca="1">IFERROR(__xludf.DUMMYFUNCTION("""COMPUTED_VALUE"""),"#VALUE!")</f>
        <v>#VALUE!</v>
      </c>
      <c r="BI1233" t="str">
        <f ca="1">IFERROR(__xludf.DUMMYFUNCTION("""COMPUTED_VALUE"""),"#VALUE!")</f>
        <v>#VALUE!</v>
      </c>
      <c r="BK1233" t="str">
        <f ca="1">IFERROR(__xludf.DUMMYFUNCTION("""COMPUTED_VALUE"""),"#VALUE!")</f>
        <v>#VALUE!</v>
      </c>
      <c r="BM1233" t="str">
        <f ca="1">IFERROR(__xludf.DUMMYFUNCTION("""COMPUTED_VALUE"""),"#VALUE!")</f>
        <v>#VALUE!</v>
      </c>
      <c r="CS1233" t="str">
        <f ca="1">IFERROR(__xludf.DUMMYFUNCTION("""COMPUTED_VALUE"""),"#VALUE!")</f>
        <v>#VALUE!</v>
      </c>
      <c r="CU1233" t="str">
        <f ca="1">IFERROR(__xludf.DUMMYFUNCTION("""COMPUTED_VALUE"""),"#VALUE!")</f>
        <v>#VALUE!</v>
      </c>
      <c r="CW1233" t="str">
        <f ca="1">IFERROR(__xludf.DUMMYFUNCTION("""COMPUTED_VALUE"""),"#VALUE!")</f>
        <v>#VALUE!</v>
      </c>
      <c r="CY1233" t="str">
        <f ca="1">IFERROR(__xludf.DUMMYFUNCTION("""COMPUTED_VALUE"""),"#VALUE!")</f>
        <v>#VALUE!</v>
      </c>
      <c r="DC1233" t="str">
        <f ca="1">IFERROR(__xludf.DUMMYFUNCTION("""COMPUTED_VALUE"""),"#VALUE!")</f>
        <v>#VALUE!</v>
      </c>
      <c r="DE1233" t="str">
        <f ca="1">IFERROR(__xludf.DUMMYFUNCTION("""COMPUTED_VALUE"""),"#VALUE!")</f>
        <v>#VALUE!</v>
      </c>
    </row>
    <row r="1234" spans="1:109" ht="13.2" x14ac:dyDescent="0.25">
      <c r="A1234" t="str">
        <f ca="1">IFERROR(__xludf.DUMMYFUNCTION("""COMPUTED_VALUE"""),"P1243")</f>
        <v>P1243</v>
      </c>
      <c r="BC1234" t="str">
        <f ca="1">IFERROR(__xludf.DUMMYFUNCTION("""COMPUTED_VALUE"""),"#VALUE!")</f>
        <v>#VALUE!</v>
      </c>
      <c r="BE1234" t="str">
        <f ca="1">IFERROR(__xludf.DUMMYFUNCTION("""COMPUTED_VALUE"""),"#VALUE!")</f>
        <v>#VALUE!</v>
      </c>
      <c r="BG1234" t="str">
        <f ca="1">IFERROR(__xludf.DUMMYFUNCTION("""COMPUTED_VALUE"""),"#VALUE!")</f>
        <v>#VALUE!</v>
      </c>
      <c r="BI1234" t="str">
        <f ca="1">IFERROR(__xludf.DUMMYFUNCTION("""COMPUTED_VALUE"""),"#VALUE!")</f>
        <v>#VALUE!</v>
      </c>
      <c r="BK1234" t="str">
        <f ca="1">IFERROR(__xludf.DUMMYFUNCTION("""COMPUTED_VALUE"""),"#VALUE!")</f>
        <v>#VALUE!</v>
      </c>
      <c r="BM1234" t="str">
        <f ca="1">IFERROR(__xludf.DUMMYFUNCTION("""COMPUTED_VALUE"""),"#VALUE!")</f>
        <v>#VALUE!</v>
      </c>
      <c r="CS1234" t="str">
        <f ca="1">IFERROR(__xludf.DUMMYFUNCTION("""COMPUTED_VALUE"""),"#VALUE!")</f>
        <v>#VALUE!</v>
      </c>
      <c r="CU1234" t="str">
        <f ca="1">IFERROR(__xludf.DUMMYFUNCTION("""COMPUTED_VALUE"""),"#VALUE!")</f>
        <v>#VALUE!</v>
      </c>
      <c r="CW1234" t="str">
        <f ca="1">IFERROR(__xludf.DUMMYFUNCTION("""COMPUTED_VALUE"""),"#VALUE!")</f>
        <v>#VALUE!</v>
      </c>
      <c r="CY1234" t="str">
        <f ca="1">IFERROR(__xludf.DUMMYFUNCTION("""COMPUTED_VALUE"""),"#VALUE!")</f>
        <v>#VALUE!</v>
      </c>
      <c r="DC1234" t="str">
        <f ca="1">IFERROR(__xludf.DUMMYFUNCTION("""COMPUTED_VALUE"""),"#VALUE!")</f>
        <v>#VALUE!</v>
      </c>
      <c r="DE1234" t="str">
        <f ca="1">IFERROR(__xludf.DUMMYFUNCTION("""COMPUTED_VALUE"""),"#VALUE!")</f>
        <v>#VALUE!</v>
      </c>
    </row>
    <row r="1235" spans="1:109" ht="13.2" x14ac:dyDescent="0.25">
      <c r="A1235" t="str">
        <f ca="1">IFERROR(__xludf.DUMMYFUNCTION("""COMPUTED_VALUE"""),"P1244")</f>
        <v>P1244</v>
      </c>
      <c r="BC1235" t="str">
        <f ca="1">IFERROR(__xludf.DUMMYFUNCTION("""COMPUTED_VALUE"""),"#VALUE!")</f>
        <v>#VALUE!</v>
      </c>
      <c r="BE1235" t="str">
        <f ca="1">IFERROR(__xludf.DUMMYFUNCTION("""COMPUTED_VALUE"""),"#VALUE!")</f>
        <v>#VALUE!</v>
      </c>
      <c r="BG1235" t="str">
        <f ca="1">IFERROR(__xludf.DUMMYFUNCTION("""COMPUTED_VALUE"""),"#VALUE!")</f>
        <v>#VALUE!</v>
      </c>
      <c r="BI1235" t="str">
        <f ca="1">IFERROR(__xludf.DUMMYFUNCTION("""COMPUTED_VALUE"""),"#VALUE!")</f>
        <v>#VALUE!</v>
      </c>
      <c r="BK1235" t="str">
        <f ca="1">IFERROR(__xludf.DUMMYFUNCTION("""COMPUTED_VALUE"""),"#VALUE!")</f>
        <v>#VALUE!</v>
      </c>
      <c r="BM1235" t="str">
        <f ca="1">IFERROR(__xludf.DUMMYFUNCTION("""COMPUTED_VALUE"""),"#VALUE!")</f>
        <v>#VALUE!</v>
      </c>
      <c r="CS1235" t="str">
        <f ca="1">IFERROR(__xludf.DUMMYFUNCTION("""COMPUTED_VALUE"""),"#VALUE!")</f>
        <v>#VALUE!</v>
      </c>
      <c r="CU1235" t="str">
        <f ca="1">IFERROR(__xludf.DUMMYFUNCTION("""COMPUTED_VALUE"""),"#VALUE!")</f>
        <v>#VALUE!</v>
      </c>
      <c r="CW1235" t="str">
        <f ca="1">IFERROR(__xludf.DUMMYFUNCTION("""COMPUTED_VALUE"""),"#VALUE!")</f>
        <v>#VALUE!</v>
      </c>
      <c r="CY1235" t="str">
        <f ca="1">IFERROR(__xludf.DUMMYFUNCTION("""COMPUTED_VALUE"""),"#VALUE!")</f>
        <v>#VALUE!</v>
      </c>
      <c r="DC1235" t="str">
        <f ca="1">IFERROR(__xludf.DUMMYFUNCTION("""COMPUTED_VALUE"""),"#VALUE!")</f>
        <v>#VALUE!</v>
      </c>
      <c r="DE1235" t="str">
        <f ca="1">IFERROR(__xludf.DUMMYFUNCTION("""COMPUTED_VALUE"""),"#VALUE!")</f>
        <v>#VALUE!</v>
      </c>
    </row>
    <row r="1236" spans="1:109" ht="13.2" x14ac:dyDescent="0.25">
      <c r="A1236" t="str">
        <f ca="1">IFERROR(__xludf.DUMMYFUNCTION("""COMPUTED_VALUE"""),"P1245")</f>
        <v>P1245</v>
      </c>
      <c r="BC1236" t="str">
        <f ca="1">IFERROR(__xludf.DUMMYFUNCTION("""COMPUTED_VALUE"""),"#VALUE!")</f>
        <v>#VALUE!</v>
      </c>
      <c r="BE1236" t="str">
        <f ca="1">IFERROR(__xludf.DUMMYFUNCTION("""COMPUTED_VALUE"""),"#VALUE!")</f>
        <v>#VALUE!</v>
      </c>
      <c r="BG1236" t="str">
        <f ca="1">IFERROR(__xludf.DUMMYFUNCTION("""COMPUTED_VALUE"""),"#VALUE!")</f>
        <v>#VALUE!</v>
      </c>
      <c r="BI1236" t="str">
        <f ca="1">IFERROR(__xludf.DUMMYFUNCTION("""COMPUTED_VALUE"""),"#VALUE!")</f>
        <v>#VALUE!</v>
      </c>
      <c r="BK1236" t="str">
        <f ca="1">IFERROR(__xludf.DUMMYFUNCTION("""COMPUTED_VALUE"""),"#VALUE!")</f>
        <v>#VALUE!</v>
      </c>
      <c r="BM1236" t="str">
        <f ca="1">IFERROR(__xludf.DUMMYFUNCTION("""COMPUTED_VALUE"""),"#VALUE!")</f>
        <v>#VALUE!</v>
      </c>
      <c r="CS1236" t="str">
        <f ca="1">IFERROR(__xludf.DUMMYFUNCTION("""COMPUTED_VALUE"""),"#VALUE!")</f>
        <v>#VALUE!</v>
      </c>
      <c r="CU1236" t="str">
        <f ca="1">IFERROR(__xludf.DUMMYFUNCTION("""COMPUTED_VALUE"""),"#VALUE!")</f>
        <v>#VALUE!</v>
      </c>
      <c r="CW1236" t="str">
        <f ca="1">IFERROR(__xludf.DUMMYFUNCTION("""COMPUTED_VALUE"""),"#VALUE!")</f>
        <v>#VALUE!</v>
      </c>
      <c r="CY1236" t="str">
        <f ca="1">IFERROR(__xludf.DUMMYFUNCTION("""COMPUTED_VALUE"""),"#VALUE!")</f>
        <v>#VALUE!</v>
      </c>
      <c r="DC1236" t="str">
        <f ca="1">IFERROR(__xludf.DUMMYFUNCTION("""COMPUTED_VALUE"""),"#VALUE!")</f>
        <v>#VALUE!</v>
      </c>
      <c r="DE1236" t="str">
        <f ca="1">IFERROR(__xludf.DUMMYFUNCTION("""COMPUTED_VALUE"""),"#VALUE!")</f>
        <v>#VALUE!</v>
      </c>
    </row>
    <row r="1237" spans="1:109" ht="13.2" x14ac:dyDescent="0.25">
      <c r="A1237" t="str">
        <f ca="1">IFERROR(__xludf.DUMMYFUNCTION("""COMPUTED_VALUE"""),"P1246")</f>
        <v>P1246</v>
      </c>
      <c r="BC1237" t="str">
        <f ca="1">IFERROR(__xludf.DUMMYFUNCTION("""COMPUTED_VALUE"""),"#VALUE!")</f>
        <v>#VALUE!</v>
      </c>
      <c r="BE1237" t="str">
        <f ca="1">IFERROR(__xludf.DUMMYFUNCTION("""COMPUTED_VALUE"""),"#VALUE!")</f>
        <v>#VALUE!</v>
      </c>
      <c r="BG1237" t="str">
        <f ca="1">IFERROR(__xludf.DUMMYFUNCTION("""COMPUTED_VALUE"""),"#VALUE!")</f>
        <v>#VALUE!</v>
      </c>
      <c r="BI1237" t="str">
        <f ca="1">IFERROR(__xludf.DUMMYFUNCTION("""COMPUTED_VALUE"""),"#VALUE!")</f>
        <v>#VALUE!</v>
      </c>
      <c r="BK1237" t="str">
        <f ca="1">IFERROR(__xludf.DUMMYFUNCTION("""COMPUTED_VALUE"""),"#VALUE!")</f>
        <v>#VALUE!</v>
      </c>
      <c r="BM1237" t="str">
        <f ca="1">IFERROR(__xludf.DUMMYFUNCTION("""COMPUTED_VALUE"""),"#VALUE!")</f>
        <v>#VALUE!</v>
      </c>
      <c r="CS1237" t="str">
        <f ca="1">IFERROR(__xludf.DUMMYFUNCTION("""COMPUTED_VALUE"""),"#VALUE!")</f>
        <v>#VALUE!</v>
      </c>
      <c r="CU1237" t="str">
        <f ca="1">IFERROR(__xludf.DUMMYFUNCTION("""COMPUTED_VALUE"""),"#VALUE!")</f>
        <v>#VALUE!</v>
      </c>
      <c r="CW1237" t="str">
        <f ca="1">IFERROR(__xludf.DUMMYFUNCTION("""COMPUTED_VALUE"""),"#VALUE!")</f>
        <v>#VALUE!</v>
      </c>
      <c r="CY1237" t="str">
        <f ca="1">IFERROR(__xludf.DUMMYFUNCTION("""COMPUTED_VALUE"""),"#VALUE!")</f>
        <v>#VALUE!</v>
      </c>
      <c r="DC1237" t="str">
        <f ca="1">IFERROR(__xludf.DUMMYFUNCTION("""COMPUTED_VALUE"""),"#VALUE!")</f>
        <v>#VALUE!</v>
      </c>
      <c r="DE1237" t="str">
        <f ca="1">IFERROR(__xludf.DUMMYFUNCTION("""COMPUTED_VALUE"""),"#VALUE!")</f>
        <v>#VALUE!</v>
      </c>
    </row>
    <row r="1238" spans="1:109" ht="13.2" x14ac:dyDescent="0.25">
      <c r="A1238" t="str">
        <f ca="1">IFERROR(__xludf.DUMMYFUNCTION("""COMPUTED_VALUE"""),"P1247")</f>
        <v>P1247</v>
      </c>
      <c r="BC1238" t="str">
        <f ca="1">IFERROR(__xludf.DUMMYFUNCTION("""COMPUTED_VALUE"""),"#VALUE!")</f>
        <v>#VALUE!</v>
      </c>
      <c r="BE1238" t="str">
        <f ca="1">IFERROR(__xludf.DUMMYFUNCTION("""COMPUTED_VALUE"""),"#VALUE!")</f>
        <v>#VALUE!</v>
      </c>
      <c r="BG1238" t="str">
        <f ca="1">IFERROR(__xludf.DUMMYFUNCTION("""COMPUTED_VALUE"""),"#VALUE!")</f>
        <v>#VALUE!</v>
      </c>
      <c r="BI1238" t="str">
        <f ca="1">IFERROR(__xludf.DUMMYFUNCTION("""COMPUTED_VALUE"""),"#VALUE!")</f>
        <v>#VALUE!</v>
      </c>
      <c r="BK1238" t="str">
        <f ca="1">IFERROR(__xludf.DUMMYFUNCTION("""COMPUTED_VALUE"""),"#VALUE!")</f>
        <v>#VALUE!</v>
      </c>
      <c r="BM1238" t="str">
        <f ca="1">IFERROR(__xludf.DUMMYFUNCTION("""COMPUTED_VALUE"""),"#VALUE!")</f>
        <v>#VALUE!</v>
      </c>
      <c r="CS1238" t="str">
        <f ca="1">IFERROR(__xludf.DUMMYFUNCTION("""COMPUTED_VALUE"""),"#VALUE!")</f>
        <v>#VALUE!</v>
      </c>
      <c r="CU1238" t="str">
        <f ca="1">IFERROR(__xludf.DUMMYFUNCTION("""COMPUTED_VALUE"""),"#VALUE!")</f>
        <v>#VALUE!</v>
      </c>
      <c r="CW1238" t="str">
        <f ca="1">IFERROR(__xludf.DUMMYFUNCTION("""COMPUTED_VALUE"""),"#VALUE!")</f>
        <v>#VALUE!</v>
      </c>
      <c r="CY1238" t="str">
        <f ca="1">IFERROR(__xludf.DUMMYFUNCTION("""COMPUTED_VALUE"""),"#VALUE!")</f>
        <v>#VALUE!</v>
      </c>
      <c r="DC1238" t="str">
        <f ca="1">IFERROR(__xludf.DUMMYFUNCTION("""COMPUTED_VALUE"""),"#VALUE!")</f>
        <v>#VALUE!</v>
      </c>
      <c r="DE1238" t="str">
        <f ca="1">IFERROR(__xludf.DUMMYFUNCTION("""COMPUTED_VALUE"""),"#VALUE!")</f>
        <v>#VALUE!</v>
      </c>
    </row>
    <row r="1239" spans="1:109" ht="13.2" x14ac:dyDescent="0.25">
      <c r="A1239" t="str">
        <f ca="1">IFERROR(__xludf.DUMMYFUNCTION("""COMPUTED_VALUE"""),"P1248")</f>
        <v>P1248</v>
      </c>
      <c r="BC1239" t="str">
        <f ca="1">IFERROR(__xludf.DUMMYFUNCTION("""COMPUTED_VALUE"""),"#VALUE!")</f>
        <v>#VALUE!</v>
      </c>
      <c r="BE1239" t="str">
        <f ca="1">IFERROR(__xludf.DUMMYFUNCTION("""COMPUTED_VALUE"""),"#VALUE!")</f>
        <v>#VALUE!</v>
      </c>
      <c r="BG1239" t="str">
        <f ca="1">IFERROR(__xludf.DUMMYFUNCTION("""COMPUTED_VALUE"""),"#VALUE!")</f>
        <v>#VALUE!</v>
      </c>
      <c r="BI1239" t="str">
        <f ca="1">IFERROR(__xludf.DUMMYFUNCTION("""COMPUTED_VALUE"""),"#VALUE!")</f>
        <v>#VALUE!</v>
      </c>
      <c r="BK1239" t="str">
        <f ca="1">IFERROR(__xludf.DUMMYFUNCTION("""COMPUTED_VALUE"""),"#VALUE!")</f>
        <v>#VALUE!</v>
      </c>
      <c r="BM1239" t="str">
        <f ca="1">IFERROR(__xludf.DUMMYFUNCTION("""COMPUTED_VALUE"""),"#VALUE!")</f>
        <v>#VALUE!</v>
      </c>
      <c r="CS1239" t="str">
        <f ca="1">IFERROR(__xludf.DUMMYFUNCTION("""COMPUTED_VALUE"""),"#VALUE!")</f>
        <v>#VALUE!</v>
      </c>
      <c r="CU1239" t="str">
        <f ca="1">IFERROR(__xludf.DUMMYFUNCTION("""COMPUTED_VALUE"""),"#VALUE!")</f>
        <v>#VALUE!</v>
      </c>
      <c r="CW1239" t="str">
        <f ca="1">IFERROR(__xludf.DUMMYFUNCTION("""COMPUTED_VALUE"""),"#VALUE!")</f>
        <v>#VALUE!</v>
      </c>
      <c r="CY1239" t="str">
        <f ca="1">IFERROR(__xludf.DUMMYFUNCTION("""COMPUTED_VALUE"""),"#VALUE!")</f>
        <v>#VALUE!</v>
      </c>
      <c r="DC1239" t="str">
        <f ca="1">IFERROR(__xludf.DUMMYFUNCTION("""COMPUTED_VALUE"""),"#VALUE!")</f>
        <v>#VALUE!</v>
      </c>
      <c r="DE1239" t="str">
        <f ca="1">IFERROR(__xludf.DUMMYFUNCTION("""COMPUTED_VALUE"""),"#VALUE!")</f>
        <v>#VALUE!</v>
      </c>
    </row>
    <row r="1240" spans="1:109" ht="13.2" x14ac:dyDescent="0.25">
      <c r="A1240" t="str">
        <f ca="1">IFERROR(__xludf.DUMMYFUNCTION("""COMPUTED_VALUE"""),"P1249")</f>
        <v>P1249</v>
      </c>
      <c r="BC1240" t="str">
        <f ca="1">IFERROR(__xludf.DUMMYFUNCTION("""COMPUTED_VALUE"""),"#VALUE!")</f>
        <v>#VALUE!</v>
      </c>
      <c r="BE1240" t="str">
        <f ca="1">IFERROR(__xludf.DUMMYFUNCTION("""COMPUTED_VALUE"""),"#VALUE!")</f>
        <v>#VALUE!</v>
      </c>
      <c r="BG1240" t="str">
        <f ca="1">IFERROR(__xludf.DUMMYFUNCTION("""COMPUTED_VALUE"""),"#VALUE!")</f>
        <v>#VALUE!</v>
      </c>
      <c r="BI1240" t="str">
        <f ca="1">IFERROR(__xludf.DUMMYFUNCTION("""COMPUTED_VALUE"""),"#VALUE!")</f>
        <v>#VALUE!</v>
      </c>
      <c r="BK1240" t="str">
        <f ca="1">IFERROR(__xludf.DUMMYFUNCTION("""COMPUTED_VALUE"""),"#VALUE!")</f>
        <v>#VALUE!</v>
      </c>
      <c r="BM1240" t="str">
        <f ca="1">IFERROR(__xludf.DUMMYFUNCTION("""COMPUTED_VALUE"""),"#VALUE!")</f>
        <v>#VALUE!</v>
      </c>
      <c r="CS1240" t="str">
        <f ca="1">IFERROR(__xludf.DUMMYFUNCTION("""COMPUTED_VALUE"""),"#VALUE!")</f>
        <v>#VALUE!</v>
      </c>
      <c r="CU1240" t="str">
        <f ca="1">IFERROR(__xludf.DUMMYFUNCTION("""COMPUTED_VALUE"""),"#VALUE!")</f>
        <v>#VALUE!</v>
      </c>
      <c r="CW1240" t="str">
        <f ca="1">IFERROR(__xludf.DUMMYFUNCTION("""COMPUTED_VALUE"""),"#VALUE!")</f>
        <v>#VALUE!</v>
      </c>
      <c r="CY1240" t="str">
        <f ca="1">IFERROR(__xludf.DUMMYFUNCTION("""COMPUTED_VALUE"""),"#VALUE!")</f>
        <v>#VALUE!</v>
      </c>
      <c r="DC1240" t="str">
        <f ca="1">IFERROR(__xludf.DUMMYFUNCTION("""COMPUTED_VALUE"""),"#VALUE!")</f>
        <v>#VALUE!</v>
      </c>
      <c r="DE1240" t="str">
        <f ca="1">IFERROR(__xludf.DUMMYFUNCTION("""COMPUTED_VALUE"""),"#VALUE!")</f>
        <v>#VALUE!</v>
      </c>
    </row>
    <row r="1241" spans="1:109" ht="13.2" x14ac:dyDescent="0.25">
      <c r="A1241" t="str">
        <f ca="1">IFERROR(__xludf.DUMMYFUNCTION("""COMPUTED_VALUE"""),"P1250")</f>
        <v>P1250</v>
      </c>
      <c r="BC1241" t="str">
        <f ca="1">IFERROR(__xludf.DUMMYFUNCTION("""COMPUTED_VALUE"""),"#VALUE!")</f>
        <v>#VALUE!</v>
      </c>
      <c r="BE1241" t="str">
        <f ca="1">IFERROR(__xludf.DUMMYFUNCTION("""COMPUTED_VALUE"""),"#VALUE!")</f>
        <v>#VALUE!</v>
      </c>
      <c r="BG1241" t="str">
        <f ca="1">IFERROR(__xludf.DUMMYFUNCTION("""COMPUTED_VALUE"""),"#VALUE!")</f>
        <v>#VALUE!</v>
      </c>
      <c r="BI1241" t="str">
        <f ca="1">IFERROR(__xludf.DUMMYFUNCTION("""COMPUTED_VALUE"""),"#VALUE!")</f>
        <v>#VALUE!</v>
      </c>
      <c r="BK1241" t="str">
        <f ca="1">IFERROR(__xludf.DUMMYFUNCTION("""COMPUTED_VALUE"""),"#VALUE!")</f>
        <v>#VALUE!</v>
      </c>
      <c r="BM1241" t="str">
        <f ca="1">IFERROR(__xludf.DUMMYFUNCTION("""COMPUTED_VALUE"""),"#VALUE!")</f>
        <v>#VALUE!</v>
      </c>
      <c r="CS1241" t="str">
        <f ca="1">IFERROR(__xludf.DUMMYFUNCTION("""COMPUTED_VALUE"""),"#VALUE!")</f>
        <v>#VALUE!</v>
      </c>
      <c r="CU1241" t="str">
        <f ca="1">IFERROR(__xludf.DUMMYFUNCTION("""COMPUTED_VALUE"""),"#VALUE!")</f>
        <v>#VALUE!</v>
      </c>
      <c r="CW1241" t="str">
        <f ca="1">IFERROR(__xludf.DUMMYFUNCTION("""COMPUTED_VALUE"""),"#VALUE!")</f>
        <v>#VALUE!</v>
      </c>
      <c r="CY1241" t="str">
        <f ca="1">IFERROR(__xludf.DUMMYFUNCTION("""COMPUTED_VALUE"""),"#VALUE!")</f>
        <v>#VALUE!</v>
      </c>
      <c r="DC1241" t="str">
        <f ca="1">IFERROR(__xludf.DUMMYFUNCTION("""COMPUTED_VALUE"""),"#VALUE!")</f>
        <v>#VALUE!</v>
      </c>
      <c r="DE1241" t="str">
        <f ca="1">IFERROR(__xludf.DUMMYFUNCTION("""COMPUTED_VALUE"""),"#VALUE!")</f>
        <v>#VALUE!</v>
      </c>
    </row>
    <row r="1242" spans="1:109" ht="13.2" x14ac:dyDescent="0.25">
      <c r="A1242" t="str">
        <f ca="1">IFERROR(__xludf.DUMMYFUNCTION("""COMPUTED_VALUE"""),"P1251")</f>
        <v>P1251</v>
      </c>
      <c r="BC1242" t="str">
        <f ca="1">IFERROR(__xludf.DUMMYFUNCTION("""COMPUTED_VALUE"""),"#VALUE!")</f>
        <v>#VALUE!</v>
      </c>
      <c r="BE1242" t="str">
        <f ca="1">IFERROR(__xludf.DUMMYFUNCTION("""COMPUTED_VALUE"""),"#VALUE!")</f>
        <v>#VALUE!</v>
      </c>
      <c r="BG1242" t="str">
        <f ca="1">IFERROR(__xludf.DUMMYFUNCTION("""COMPUTED_VALUE"""),"#VALUE!")</f>
        <v>#VALUE!</v>
      </c>
      <c r="BI1242" t="str">
        <f ca="1">IFERROR(__xludf.DUMMYFUNCTION("""COMPUTED_VALUE"""),"#VALUE!")</f>
        <v>#VALUE!</v>
      </c>
      <c r="BK1242" t="str">
        <f ca="1">IFERROR(__xludf.DUMMYFUNCTION("""COMPUTED_VALUE"""),"#VALUE!")</f>
        <v>#VALUE!</v>
      </c>
      <c r="BM1242" t="str">
        <f ca="1">IFERROR(__xludf.DUMMYFUNCTION("""COMPUTED_VALUE"""),"#VALUE!")</f>
        <v>#VALUE!</v>
      </c>
      <c r="CS1242" t="str">
        <f ca="1">IFERROR(__xludf.DUMMYFUNCTION("""COMPUTED_VALUE"""),"#VALUE!")</f>
        <v>#VALUE!</v>
      </c>
      <c r="CU1242" t="str">
        <f ca="1">IFERROR(__xludf.DUMMYFUNCTION("""COMPUTED_VALUE"""),"#VALUE!")</f>
        <v>#VALUE!</v>
      </c>
      <c r="CW1242" t="str">
        <f ca="1">IFERROR(__xludf.DUMMYFUNCTION("""COMPUTED_VALUE"""),"#VALUE!")</f>
        <v>#VALUE!</v>
      </c>
      <c r="CY1242" t="str">
        <f ca="1">IFERROR(__xludf.DUMMYFUNCTION("""COMPUTED_VALUE"""),"#VALUE!")</f>
        <v>#VALUE!</v>
      </c>
      <c r="DC1242" t="str">
        <f ca="1">IFERROR(__xludf.DUMMYFUNCTION("""COMPUTED_VALUE"""),"#VALUE!")</f>
        <v>#VALUE!</v>
      </c>
      <c r="DE1242" t="str">
        <f ca="1">IFERROR(__xludf.DUMMYFUNCTION("""COMPUTED_VALUE"""),"#VALUE!")</f>
        <v>#VALUE!</v>
      </c>
    </row>
    <row r="1243" spans="1:109" ht="13.2" x14ac:dyDescent="0.25">
      <c r="A1243" t="str">
        <f ca="1">IFERROR(__xludf.DUMMYFUNCTION("""COMPUTED_VALUE"""),"P1252")</f>
        <v>P1252</v>
      </c>
      <c r="BC1243" t="str">
        <f ca="1">IFERROR(__xludf.DUMMYFUNCTION("""COMPUTED_VALUE"""),"#VALUE!")</f>
        <v>#VALUE!</v>
      </c>
      <c r="BE1243" t="str">
        <f ca="1">IFERROR(__xludf.DUMMYFUNCTION("""COMPUTED_VALUE"""),"#VALUE!")</f>
        <v>#VALUE!</v>
      </c>
      <c r="BG1243" t="str">
        <f ca="1">IFERROR(__xludf.DUMMYFUNCTION("""COMPUTED_VALUE"""),"#VALUE!")</f>
        <v>#VALUE!</v>
      </c>
      <c r="BI1243" t="str">
        <f ca="1">IFERROR(__xludf.DUMMYFUNCTION("""COMPUTED_VALUE"""),"#VALUE!")</f>
        <v>#VALUE!</v>
      </c>
      <c r="BK1243" t="str">
        <f ca="1">IFERROR(__xludf.DUMMYFUNCTION("""COMPUTED_VALUE"""),"#VALUE!")</f>
        <v>#VALUE!</v>
      </c>
      <c r="BM1243" t="str">
        <f ca="1">IFERROR(__xludf.DUMMYFUNCTION("""COMPUTED_VALUE"""),"#VALUE!")</f>
        <v>#VALUE!</v>
      </c>
      <c r="CS1243" t="str">
        <f ca="1">IFERROR(__xludf.DUMMYFUNCTION("""COMPUTED_VALUE"""),"#VALUE!")</f>
        <v>#VALUE!</v>
      </c>
      <c r="CU1243" t="str">
        <f ca="1">IFERROR(__xludf.DUMMYFUNCTION("""COMPUTED_VALUE"""),"#VALUE!")</f>
        <v>#VALUE!</v>
      </c>
      <c r="CW1243" t="str">
        <f ca="1">IFERROR(__xludf.DUMMYFUNCTION("""COMPUTED_VALUE"""),"#VALUE!")</f>
        <v>#VALUE!</v>
      </c>
      <c r="CY1243" t="str">
        <f ca="1">IFERROR(__xludf.DUMMYFUNCTION("""COMPUTED_VALUE"""),"#VALUE!")</f>
        <v>#VALUE!</v>
      </c>
      <c r="DC1243" t="str">
        <f ca="1">IFERROR(__xludf.DUMMYFUNCTION("""COMPUTED_VALUE"""),"#VALUE!")</f>
        <v>#VALUE!</v>
      </c>
      <c r="DE1243" t="str">
        <f ca="1">IFERROR(__xludf.DUMMYFUNCTION("""COMPUTED_VALUE"""),"#VALUE!")</f>
        <v>#VALUE!</v>
      </c>
    </row>
    <row r="1244" spans="1:109" ht="13.2" x14ac:dyDescent="0.25">
      <c r="A1244" t="str">
        <f ca="1">IFERROR(__xludf.DUMMYFUNCTION("""COMPUTED_VALUE"""),"P1253")</f>
        <v>P1253</v>
      </c>
      <c r="BC1244" t="str">
        <f ca="1">IFERROR(__xludf.DUMMYFUNCTION("""COMPUTED_VALUE"""),"#VALUE!")</f>
        <v>#VALUE!</v>
      </c>
      <c r="BE1244" t="str">
        <f ca="1">IFERROR(__xludf.DUMMYFUNCTION("""COMPUTED_VALUE"""),"#VALUE!")</f>
        <v>#VALUE!</v>
      </c>
      <c r="BG1244" t="str">
        <f ca="1">IFERROR(__xludf.DUMMYFUNCTION("""COMPUTED_VALUE"""),"#VALUE!")</f>
        <v>#VALUE!</v>
      </c>
      <c r="BI1244" t="str">
        <f ca="1">IFERROR(__xludf.DUMMYFUNCTION("""COMPUTED_VALUE"""),"#VALUE!")</f>
        <v>#VALUE!</v>
      </c>
      <c r="BK1244" t="str">
        <f ca="1">IFERROR(__xludf.DUMMYFUNCTION("""COMPUTED_VALUE"""),"#VALUE!")</f>
        <v>#VALUE!</v>
      </c>
      <c r="BM1244" t="str">
        <f ca="1">IFERROR(__xludf.DUMMYFUNCTION("""COMPUTED_VALUE"""),"#VALUE!")</f>
        <v>#VALUE!</v>
      </c>
      <c r="CS1244" t="str">
        <f ca="1">IFERROR(__xludf.DUMMYFUNCTION("""COMPUTED_VALUE"""),"#VALUE!")</f>
        <v>#VALUE!</v>
      </c>
      <c r="CU1244" t="str">
        <f ca="1">IFERROR(__xludf.DUMMYFUNCTION("""COMPUTED_VALUE"""),"#VALUE!")</f>
        <v>#VALUE!</v>
      </c>
      <c r="CW1244" t="str">
        <f ca="1">IFERROR(__xludf.DUMMYFUNCTION("""COMPUTED_VALUE"""),"#VALUE!")</f>
        <v>#VALUE!</v>
      </c>
      <c r="CY1244" t="str">
        <f ca="1">IFERROR(__xludf.DUMMYFUNCTION("""COMPUTED_VALUE"""),"#VALUE!")</f>
        <v>#VALUE!</v>
      </c>
      <c r="DC1244" t="str">
        <f ca="1">IFERROR(__xludf.DUMMYFUNCTION("""COMPUTED_VALUE"""),"#VALUE!")</f>
        <v>#VALUE!</v>
      </c>
      <c r="DE1244" t="str">
        <f ca="1">IFERROR(__xludf.DUMMYFUNCTION("""COMPUTED_VALUE"""),"#VALUE!")</f>
        <v>#VALUE!</v>
      </c>
    </row>
    <row r="1245" spans="1:109" ht="13.2" x14ac:dyDescent="0.25">
      <c r="A1245" t="str">
        <f ca="1">IFERROR(__xludf.DUMMYFUNCTION("""COMPUTED_VALUE"""),"P1254")</f>
        <v>P1254</v>
      </c>
      <c r="BC1245" t="str">
        <f ca="1">IFERROR(__xludf.DUMMYFUNCTION("""COMPUTED_VALUE"""),"#VALUE!")</f>
        <v>#VALUE!</v>
      </c>
      <c r="BE1245" t="str">
        <f ca="1">IFERROR(__xludf.DUMMYFUNCTION("""COMPUTED_VALUE"""),"#VALUE!")</f>
        <v>#VALUE!</v>
      </c>
      <c r="BG1245" t="str">
        <f ca="1">IFERROR(__xludf.DUMMYFUNCTION("""COMPUTED_VALUE"""),"#VALUE!")</f>
        <v>#VALUE!</v>
      </c>
      <c r="BI1245" t="str">
        <f ca="1">IFERROR(__xludf.DUMMYFUNCTION("""COMPUTED_VALUE"""),"#VALUE!")</f>
        <v>#VALUE!</v>
      </c>
      <c r="BK1245" t="str">
        <f ca="1">IFERROR(__xludf.DUMMYFUNCTION("""COMPUTED_VALUE"""),"#VALUE!")</f>
        <v>#VALUE!</v>
      </c>
      <c r="BM1245" t="str">
        <f ca="1">IFERROR(__xludf.DUMMYFUNCTION("""COMPUTED_VALUE"""),"#VALUE!")</f>
        <v>#VALUE!</v>
      </c>
      <c r="CS1245" t="str">
        <f ca="1">IFERROR(__xludf.DUMMYFUNCTION("""COMPUTED_VALUE"""),"#VALUE!")</f>
        <v>#VALUE!</v>
      </c>
      <c r="CU1245" t="str">
        <f ca="1">IFERROR(__xludf.DUMMYFUNCTION("""COMPUTED_VALUE"""),"#VALUE!")</f>
        <v>#VALUE!</v>
      </c>
      <c r="CW1245" t="str">
        <f ca="1">IFERROR(__xludf.DUMMYFUNCTION("""COMPUTED_VALUE"""),"#VALUE!")</f>
        <v>#VALUE!</v>
      </c>
      <c r="CY1245" t="str">
        <f ca="1">IFERROR(__xludf.DUMMYFUNCTION("""COMPUTED_VALUE"""),"#VALUE!")</f>
        <v>#VALUE!</v>
      </c>
      <c r="DC1245" t="str">
        <f ca="1">IFERROR(__xludf.DUMMYFUNCTION("""COMPUTED_VALUE"""),"#VALUE!")</f>
        <v>#VALUE!</v>
      </c>
      <c r="DE1245" t="str">
        <f ca="1">IFERROR(__xludf.DUMMYFUNCTION("""COMPUTED_VALUE"""),"#VALUE!")</f>
        <v>#VALUE!</v>
      </c>
    </row>
    <row r="1246" spans="1:109" ht="13.2" x14ac:dyDescent="0.25">
      <c r="A1246" t="str">
        <f ca="1">IFERROR(__xludf.DUMMYFUNCTION("""COMPUTED_VALUE"""),"P1255")</f>
        <v>P1255</v>
      </c>
      <c r="BC1246" t="str">
        <f ca="1">IFERROR(__xludf.DUMMYFUNCTION("""COMPUTED_VALUE"""),"#VALUE!")</f>
        <v>#VALUE!</v>
      </c>
      <c r="BE1246" t="str">
        <f ca="1">IFERROR(__xludf.DUMMYFUNCTION("""COMPUTED_VALUE"""),"#VALUE!")</f>
        <v>#VALUE!</v>
      </c>
      <c r="BG1246" t="str">
        <f ca="1">IFERROR(__xludf.DUMMYFUNCTION("""COMPUTED_VALUE"""),"#VALUE!")</f>
        <v>#VALUE!</v>
      </c>
      <c r="BI1246" t="str">
        <f ca="1">IFERROR(__xludf.DUMMYFUNCTION("""COMPUTED_VALUE"""),"#VALUE!")</f>
        <v>#VALUE!</v>
      </c>
      <c r="BK1246" t="str">
        <f ca="1">IFERROR(__xludf.DUMMYFUNCTION("""COMPUTED_VALUE"""),"#VALUE!")</f>
        <v>#VALUE!</v>
      </c>
      <c r="BM1246" t="str">
        <f ca="1">IFERROR(__xludf.DUMMYFUNCTION("""COMPUTED_VALUE"""),"#VALUE!")</f>
        <v>#VALUE!</v>
      </c>
      <c r="CS1246" t="str">
        <f ca="1">IFERROR(__xludf.DUMMYFUNCTION("""COMPUTED_VALUE"""),"#VALUE!")</f>
        <v>#VALUE!</v>
      </c>
      <c r="CU1246" t="str">
        <f ca="1">IFERROR(__xludf.DUMMYFUNCTION("""COMPUTED_VALUE"""),"#VALUE!")</f>
        <v>#VALUE!</v>
      </c>
      <c r="CW1246" t="str">
        <f ca="1">IFERROR(__xludf.DUMMYFUNCTION("""COMPUTED_VALUE"""),"#VALUE!")</f>
        <v>#VALUE!</v>
      </c>
      <c r="CY1246" t="str">
        <f ca="1">IFERROR(__xludf.DUMMYFUNCTION("""COMPUTED_VALUE"""),"#VALUE!")</f>
        <v>#VALUE!</v>
      </c>
      <c r="DC1246" t="str">
        <f ca="1">IFERROR(__xludf.DUMMYFUNCTION("""COMPUTED_VALUE"""),"#VALUE!")</f>
        <v>#VALUE!</v>
      </c>
      <c r="DE1246" t="str">
        <f ca="1">IFERROR(__xludf.DUMMYFUNCTION("""COMPUTED_VALUE"""),"#VALUE!")</f>
        <v>#VALUE!</v>
      </c>
    </row>
    <row r="1247" spans="1:109" ht="13.2" x14ac:dyDescent="0.25">
      <c r="A1247" t="str">
        <f ca="1">IFERROR(__xludf.DUMMYFUNCTION("""COMPUTED_VALUE"""),"P1256")</f>
        <v>P1256</v>
      </c>
      <c r="BC1247" t="str">
        <f ca="1">IFERROR(__xludf.DUMMYFUNCTION("""COMPUTED_VALUE"""),"#VALUE!")</f>
        <v>#VALUE!</v>
      </c>
      <c r="BE1247" t="str">
        <f ca="1">IFERROR(__xludf.DUMMYFUNCTION("""COMPUTED_VALUE"""),"#VALUE!")</f>
        <v>#VALUE!</v>
      </c>
      <c r="BG1247" t="str">
        <f ca="1">IFERROR(__xludf.DUMMYFUNCTION("""COMPUTED_VALUE"""),"#VALUE!")</f>
        <v>#VALUE!</v>
      </c>
      <c r="BI1247" t="str">
        <f ca="1">IFERROR(__xludf.DUMMYFUNCTION("""COMPUTED_VALUE"""),"#VALUE!")</f>
        <v>#VALUE!</v>
      </c>
      <c r="BK1247" t="str">
        <f ca="1">IFERROR(__xludf.DUMMYFUNCTION("""COMPUTED_VALUE"""),"#VALUE!")</f>
        <v>#VALUE!</v>
      </c>
      <c r="BM1247" t="str">
        <f ca="1">IFERROR(__xludf.DUMMYFUNCTION("""COMPUTED_VALUE"""),"#VALUE!")</f>
        <v>#VALUE!</v>
      </c>
      <c r="CS1247" t="str">
        <f ca="1">IFERROR(__xludf.DUMMYFUNCTION("""COMPUTED_VALUE"""),"#VALUE!")</f>
        <v>#VALUE!</v>
      </c>
      <c r="CU1247" t="str">
        <f ca="1">IFERROR(__xludf.DUMMYFUNCTION("""COMPUTED_VALUE"""),"#VALUE!")</f>
        <v>#VALUE!</v>
      </c>
      <c r="CW1247" t="str">
        <f ca="1">IFERROR(__xludf.DUMMYFUNCTION("""COMPUTED_VALUE"""),"#VALUE!")</f>
        <v>#VALUE!</v>
      </c>
      <c r="CY1247" t="str">
        <f ca="1">IFERROR(__xludf.DUMMYFUNCTION("""COMPUTED_VALUE"""),"#VALUE!")</f>
        <v>#VALUE!</v>
      </c>
      <c r="DC1247" t="str">
        <f ca="1">IFERROR(__xludf.DUMMYFUNCTION("""COMPUTED_VALUE"""),"#VALUE!")</f>
        <v>#VALUE!</v>
      </c>
      <c r="DE1247" t="str">
        <f ca="1">IFERROR(__xludf.DUMMYFUNCTION("""COMPUTED_VALUE"""),"#VALUE!")</f>
        <v>#VALUE!</v>
      </c>
    </row>
    <row r="1248" spans="1:109" ht="13.2" x14ac:dyDescent="0.25">
      <c r="A1248" t="str">
        <f ca="1">IFERROR(__xludf.DUMMYFUNCTION("""COMPUTED_VALUE"""),"P1257")</f>
        <v>P1257</v>
      </c>
      <c r="BC1248" t="str">
        <f ca="1">IFERROR(__xludf.DUMMYFUNCTION("""COMPUTED_VALUE"""),"#VALUE!")</f>
        <v>#VALUE!</v>
      </c>
      <c r="BE1248" t="str">
        <f ca="1">IFERROR(__xludf.DUMMYFUNCTION("""COMPUTED_VALUE"""),"#VALUE!")</f>
        <v>#VALUE!</v>
      </c>
      <c r="BG1248" t="str">
        <f ca="1">IFERROR(__xludf.DUMMYFUNCTION("""COMPUTED_VALUE"""),"#VALUE!")</f>
        <v>#VALUE!</v>
      </c>
      <c r="BI1248" t="str">
        <f ca="1">IFERROR(__xludf.DUMMYFUNCTION("""COMPUTED_VALUE"""),"#VALUE!")</f>
        <v>#VALUE!</v>
      </c>
      <c r="BK1248" t="str">
        <f ca="1">IFERROR(__xludf.DUMMYFUNCTION("""COMPUTED_VALUE"""),"#VALUE!")</f>
        <v>#VALUE!</v>
      </c>
      <c r="BM1248" t="str">
        <f ca="1">IFERROR(__xludf.DUMMYFUNCTION("""COMPUTED_VALUE"""),"#VALUE!")</f>
        <v>#VALUE!</v>
      </c>
      <c r="CS1248" t="str">
        <f ca="1">IFERROR(__xludf.DUMMYFUNCTION("""COMPUTED_VALUE"""),"#VALUE!")</f>
        <v>#VALUE!</v>
      </c>
      <c r="CU1248" t="str">
        <f ca="1">IFERROR(__xludf.DUMMYFUNCTION("""COMPUTED_VALUE"""),"#VALUE!")</f>
        <v>#VALUE!</v>
      </c>
      <c r="CW1248" t="str">
        <f ca="1">IFERROR(__xludf.DUMMYFUNCTION("""COMPUTED_VALUE"""),"#VALUE!")</f>
        <v>#VALUE!</v>
      </c>
      <c r="CY1248" t="str">
        <f ca="1">IFERROR(__xludf.DUMMYFUNCTION("""COMPUTED_VALUE"""),"#VALUE!")</f>
        <v>#VALUE!</v>
      </c>
      <c r="DC1248" t="str">
        <f ca="1">IFERROR(__xludf.DUMMYFUNCTION("""COMPUTED_VALUE"""),"#VALUE!")</f>
        <v>#VALUE!</v>
      </c>
      <c r="DE1248" t="str">
        <f ca="1">IFERROR(__xludf.DUMMYFUNCTION("""COMPUTED_VALUE"""),"#VALUE!")</f>
        <v>#VALUE!</v>
      </c>
    </row>
    <row r="1249" spans="1:109" ht="13.2" x14ac:dyDescent="0.25">
      <c r="A1249" t="str">
        <f ca="1">IFERROR(__xludf.DUMMYFUNCTION("""COMPUTED_VALUE"""),"P1258")</f>
        <v>P1258</v>
      </c>
      <c r="BC1249" t="str">
        <f ca="1">IFERROR(__xludf.DUMMYFUNCTION("""COMPUTED_VALUE"""),"#VALUE!")</f>
        <v>#VALUE!</v>
      </c>
      <c r="BE1249" t="str">
        <f ca="1">IFERROR(__xludf.DUMMYFUNCTION("""COMPUTED_VALUE"""),"#VALUE!")</f>
        <v>#VALUE!</v>
      </c>
      <c r="BG1249" t="str">
        <f ca="1">IFERROR(__xludf.DUMMYFUNCTION("""COMPUTED_VALUE"""),"#VALUE!")</f>
        <v>#VALUE!</v>
      </c>
      <c r="BI1249" t="str">
        <f ca="1">IFERROR(__xludf.DUMMYFUNCTION("""COMPUTED_VALUE"""),"#VALUE!")</f>
        <v>#VALUE!</v>
      </c>
      <c r="BK1249" t="str">
        <f ca="1">IFERROR(__xludf.DUMMYFUNCTION("""COMPUTED_VALUE"""),"#VALUE!")</f>
        <v>#VALUE!</v>
      </c>
      <c r="BM1249" t="str">
        <f ca="1">IFERROR(__xludf.DUMMYFUNCTION("""COMPUTED_VALUE"""),"#VALUE!")</f>
        <v>#VALUE!</v>
      </c>
      <c r="CS1249" t="str">
        <f ca="1">IFERROR(__xludf.DUMMYFUNCTION("""COMPUTED_VALUE"""),"#VALUE!")</f>
        <v>#VALUE!</v>
      </c>
      <c r="CU1249" t="str">
        <f ca="1">IFERROR(__xludf.DUMMYFUNCTION("""COMPUTED_VALUE"""),"#VALUE!")</f>
        <v>#VALUE!</v>
      </c>
      <c r="CW1249" t="str">
        <f ca="1">IFERROR(__xludf.DUMMYFUNCTION("""COMPUTED_VALUE"""),"#VALUE!")</f>
        <v>#VALUE!</v>
      </c>
      <c r="CY1249" t="str">
        <f ca="1">IFERROR(__xludf.DUMMYFUNCTION("""COMPUTED_VALUE"""),"#VALUE!")</f>
        <v>#VALUE!</v>
      </c>
      <c r="DC1249" t="str">
        <f ca="1">IFERROR(__xludf.DUMMYFUNCTION("""COMPUTED_VALUE"""),"#VALUE!")</f>
        <v>#VALUE!</v>
      </c>
      <c r="DE1249" t="str">
        <f ca="1">IFERROR(__xludf.DUMMYFUNCTION("""COMPUTED_VALUE"""),"#VALUE!")</f>
        <v>#VALUE!</v>
      </c>
    </row>
    <row r="1250" spans="1:109" ht="13.2" x14ac:dyDescent="0.25">
      <c r="A1250" t="str">
        <f ca="1">IFERROR(__xludf.DUMMYFUNCTION("""COMPUTED_VALUE"""),"P1259")</f>
        <v>P1259</v>
      </c>
      <c r="BC1250" t="str">
        <f ca="1">IFERROR(__xludf.DUMMYFUNCTION("""COMPUTED_VALUE"""),"#VALUE!")</f>
        <v>#VALUE!</v>
      </c>
      <c r="BE1250" t="str">
        <f ca="1">IFERROR(__xludf.DUMMYFUNCTION("""COMPUTED_VALUE"""),"#VALUE!")</f>
        <v>#VALUE!</v>
      </c>
      <c r="BG1250" t="str">
        <f ca="1">IFERROR(__xludf.DUMMYFUNCTION("""COMPUTED_VALUE"""),"#VALUE!")</f>
        <v>#VALUE!</v>
      </c>
      <c r="BI1250" t="str">
        <f ca="1">IFERROR(__xludf.DUMMYFUNCTION("""COMPUTED_VALUE"""),"#VALUE!")</f>
        <v>#VALUE!</v>
      </c>
      <c r="BK1250" t="str">
        <f ca="1">IFERROR(__xludf.DUMMYFUNCTION("""COMPUTED_VALUE"""),"#VALUE!")</f>
        <v>#VALUE!</v>
      </c>
      <c r="BM1250" t="str">
        <f ca="1">IFERROR(__xludf.DUMMYFUNCTION("""COMPUTED_VALUE"""),"#VALUE!")</f>
        <v>#VALUE!</v>
      </c>
      <c r="CS1250" t="str">
        <f ca="1">IFERROR(__xludf.DUMMYFUNCTION("""COMPUTED_VALUE"""),"#VALUE!")</f>
        <v>#VALUE!</v>
      </c>
      <c r="CU1250" t="str">
        <f ca="1">IFERROR(__xludf.DUMMYFUNCTION("""COMPUTED_VALUE"""),"#VALUE!")</f>
        <v>#VALUE!</v>
      </c>
      <c r="CW1250" t="str">
        <f ca="1">IFERROR(__xludf.DUMMYFUNCTION("""COMPUTED_VALUE"""),"#VALUE!")</f>
        <v>#VALUE!</v>
      </c>
      <c r="CY1250" t="str">
        <f ca="1">IFERROR(__xludf.DUMMYFUNCTION("""COMPUTED_VALUE"""),"#VALUE!")</f>
        <v>#VALUE!</v>
      </c>
      <c r="DC1250" t="str">
        <f ca="1">IFERROR(__xludf.DUMMYFUNCTION("""COMPUTED_VALUE"""),"#VALUE!")</f>
        <v>#VALUE!</v>
      </c>
      <c r="DE1250" t="str">
        <f ca="1">IFERROR(__xludf.DUMMYFUNCTION("""COMPUTED_VALUE"""),"#VALUE!")</f>
        <v>#VALUE!</v>
      </c>
    </row>
    <row r="1251" spans="1:109" ht="13.2" x14ac:dyDescent="0.25">
      <c r="A1251" t="str">
        <f ca="1">IFERROR(__xludf.DUMMYFUNCTION("""COMPUTED_VALUE"""),"P1260")</f>
        <v>P1260</v>
      </c>
      <c r="BC1251" t="str">
        <f ca="1">IFERROR(__xludf.DUMMYFUNCTION("""COMPUTED_VALUE"""),"#VALUE!")</f>
        <v>#VALUE!</v>
      </c>
      <c r="BE1251" t="str">
        <f ca="1">IFERROR(__xludf.DUMMYFUNCTION("""COMPUTED_VALUE"""),"#VALUE!")</f>
        <v>#VALUE!</v>
      </c>
      <c r="BG1251" t="str">
        <f ca="1">IFERROR(__xludf.DUMMYFUNCTION("""COMPUTED_VALUE"""),"#VALUE!")</f>
        <v>#VALUE!</v>
      </c>
      <c r="BI1251" t="str">
        <f ca="1">IFERROR(__xludf.DUMMYFUNCTION("""COMPUTED_VALUE"""),"#VALUE!")</f>
        <v>#VALUE!</v>
      </c>
      <c r="BK1251" t="str">
        <f ca="1">IFERROR(__xludf.DUMMYFUNCTION("""COMPUTED_VALUE"""),"#VALUE!")</f>
        <v>#VALUE!</v>
      </c>
      <c r="BM1251" t="str">
        <f ca="1">IFERROR(__xludf.DUMMYFUNCTION("""COMPUTED_VALUE"""),"#VALUE!")</f>
        <v>#VALUE!</v>
      </c>
      <c r="CS1251" t="str">
        <f ca="1">IFERROR(__xludf.DUMMYFUNCTION("""COMPUTED_VALUE"""),"#VALUE!")</f>
        <v>#VALUE!</v>
      </c>
      <c r="CU1251" t="str">
        <f ca="1">IFERROR(__xludf.DUMMYFUNCTION("""COMPUTED_VALUE"""),"#VALUE!")</f>
        <v>#VALUE!</v>
      </c>
      <c r="CW1251" t="str">
        <f ca="1">IFERROR(__xludf.DUMMYFUNCTION("""COMPUTED_VALUE"""),"#VALUE!")</f>
        <v>#VALUE!</v>
      </c>
      <c r="CY1251" t="str">
        <f ca="1">IFERROR(__xludf.DUMMYFUNCTION("""COMPUTED_VALUE"""),"#VALUE!")</f>
        <v>#VALUE!</v>
      </c>
      <c r="DC1251" t="str">
        <f ca="1">IFERROR(__xludf.DUMMYFUNCTION("""COMPUTED_VALUE"""),"#VALUE!")</f>
        <v>#VALUE!</v>
      </c>
      <c r="DE1251" t="str">
        <f ca="1">IFERROR(__xludf.DUMMYFUNCTION("""COMPUTED_VALUE"""),"#VALUE!")</f>
        <v>#VALUE!</v>
      </c>
    </row>
    <row r="1252" spans="1:109" ht="13.2" x14ac:dyDescent="0.25">
      <c r="A1252" t="str">
        <f ca="1">IFERROR(__xludf.DUMMYFUNCTION("""COMPUTED_VALUE"""),"P1261")</f>
        <v>P1261</v>
      </c>
      <c r="BC1252" t="str">
        <f ca="1">IFERROR(__xludf.DUMMYFUNCTION("""COMPUTED_VALUE"""),"#VALUE!")</f>
        <v>#VALUE!</v>
      </c>
      <c r="BE1252" t="str">
        <f ca="1">IFERROR(__xludf.DUMMYFUNCTION("""COMPUTED_VALUE"""),"#VALUE!")</f>
        <v>#VALUE!</v>
      </c>
      <c r="BG1252" t="str">
        <f ca="1">IFERROR(__xludf.DUMMYFUNCTION("""COMPUTED_VALUE"""),"#VALUE!")</f>
        <v>#VALUE!</v>
      </c>
      <c r="BI1252" t="str">
        <f ca="1">IFERROR(__xludf.DUMMYFUNCTION("""COMPUTED_VALUE"""),"#VALUE!")</f>
        <v>#VALUE!</v>
      </c>
      <c r="BK1252" t="str">
        <f ca="1">IFERROR(__xludf.DUMMYFUNCTION("""COMPUTED_VALUE"""),"#VALUE!")</f>
        <v>#VALUE!</v>
      </c>
      <c r="BM1252" t="str">
        <f ca="1">IFERROR(__xludf.DUMMYFUNCTION("""COMPUTED_VALUE"""),"#VALUE!")</f>
        <v>#VALUE!</v>
      </c>
      <c r="CS1252" t="str">
        <f ca="1">IFERROR(__xludf.DUMMYFUNCTION("""COMPUTED_VALUE"""),"#VALUE!")</f>
        <v>#VALUE!</v>
      </c>
      <c r="CU1252" t="str">
        <f ca="1">IFERROR(__xludf.DUMMYFUNCTION("""COMPUTED_VALUE"""),"#VALUE!")</f>
        <v>#VALUE!</v>
      </c>
      <c r="CW1252" t="str">
        <f ca="1">IFERROR(__xludf.DUMMYFUNCTION("""COMPUTED_VALUE"""),"#VALUE!")</f>
        <v>#VALUE!</v>
      </c>
      <c r="CY1252" t="str">
        <f ca="1">IFERROR(__xludf.DUMMYFUNCTION("""COMPUTED_VALUE"""),"#VALUE!")</f>
        <v>#VALUE!</v>
      </c>
      <c r="DC1252" t="str">
        <f ca="1">IFERROR(__xludf.DUMMYFUNCTION("""COMPUTED_VALUE"""),"#VALUE!")</f>
        <v>#VALUE!</v>
      </c>
      <c r="DE1252" t="str">
        <f ca="1">IFERROR(__xludf.DUMMYFUNCTION("""COMPUTED_VALUE"""),"#VALUE!")</f>
        <v>#VALUE!</v>
      </c>
    </row>
    <row r="1253" spans="1:109" ht="13.2" x14ac:dyDescent="0.25">
      <c r="A1253" t="str">
        <f ca="1">IFERROR(__xludf.DUMMYFUNCTION("""COMPUTED_VALUE"""),"P1262")</f>
        <v>P1262</v>
      </c>
      <c r="BC1253" t="str">
        <f ca="1">IFERROR(__xludf.DUMMYFUNCTION("""COMPUTED_VALUE"""),"#VALUE!")</f>
        <v>#VALUE!</v>
      </c>
      <c r="BE1253" t="str">
        <f ca="1">IFERROR(__xludf.DUMMYFUNCTION("""COMPUTED_VALUE"""),"#VALUE!")</f>
        <v>#VALUE!</v>
      </c>
      <c r="BG1253" t="str">
        <f ca="1">IFERROR(__xludf.DUMMYFUNCTION("""COMPUTED_VALUE"""),"#VALUE!")</f>
        <v>#VALUE!</v>
      </c>
      <c r="BI1253" t="str">
        <f ca="1">IFERROR(__xludf.DUMMYFUNCTION("""COMPUTED_VALUE"""),"#VALUE!")</f>
        <v>#VALUE!</v>
      </c>
      <c r="BK1253" t="str">
        <f ca="1">IFERROR(__xludf.DUMMYFUNCTION("""COMPUTED_VALUE"""),"#VALUE!")</f>
        <v>#VALUE!</v>
      </c>
      <c r="BM1253" t="str">
        <f ca="1">IFERROR(__xludf.DUMMYFUNCTION("""COMPUTED_VALUE"""),"#VALUE!")</f>
        <v>#VALUE!</v>
      </c>
      <c r="CS1253" t="str">
        <f ca="1">IFERROR(__xludf.DUMMYFUNCTION("""COMPUTED_VALUE"""),"#VALUE!")</f>
        <v>#VALUE!</v>
      </c>
      <c r="CU1253" t="str">
        <f ca="1">IFERROR(__xludf.DUMMYFUNCTION("""COMPUTED_VALUE"""),"#VALUE!")</f>
        <v>#VALUE!</v>
      </c>
      <c r="CW1253" t="str">
        <f ca="1">IFERROR(__xludf.DUMMYFUNCTION("""COMPUTED_VALUE"""),"#VALUE!")</f>
        <v>#VALUE!</v>
      </c>
      <c r="CY1253" t="str">
        <f ca="1">IFERROR(__xludf.DUMMYFUNCTION("""COMPUTED_VALUE"""),"#VALUE!")</f>
        <v>#VALUE!</v>
      </c>
      <c r="DC1253" t="str">
        <f ca="1">IFERROR(__xludf.DUMMYFUNCTION("""COMPUTED_VALUE"""),"#VALUE!")</f>
        <v>#VALUE!</v>
      </c>
      <c r="DE1253" t="str">
        <f ca="1">IFERROR(__xludf.DUMMYFUNCTION("""COMPUTED_VALUE"""),"#VALUE!")</f>
        <v>#VALUE!</v>
      </c>
    </row>
    <row r="1254" spans="1:109" ht="13.2" x14ac:dyDescent="0.25">
      <c r="A1254" t="str">
        <f ca="1">IFERROR(__xludf.DUMMYFUNCTION("""COMPUTED_VALUE"""),"P1263")</f>
        <v>P1263</v>
      </c>
      <c r="BC1254" t="str">
        <f ca="1">IFERROR(__xludf.DUMMYFUNCTION("""COMPUTED_VALUE"""),"#VALUE!")</f>
        <v>#VALUE!</v>
      </c>
      <c r="BE1254" t="str">
        <f ca="1">IFERROR(__xludf.DUMMYFUNCTION("""COMPUTED_VALUE"""),"#VALUE!")</f>
        <v>#VALUE!</v>
      </c>
      <c r="BG1254" t="str">
        <f ca="1">IFERROR(__xludf.DUMMYFUNCTION("""COMPUTED_VALUE"""),"#VALUE!")</f>
        <v>#VALUE!</v>
      </c>
      <c r="BI1254" t="str">
        <f ca="1">IFERROR(__xludf.DUMMYFUNCTION("""COMPUTED_VALUE"""),"#VALUE!")</f>
        <v>#VALUE!</v>
      </c>
      <c r="BK1254" t="str">
        <f ca="1">IFERROR(__xludf.DUMMYFUNCTION("""COMPUTED_VALUE"""),"#VALUE!")</f>
        <v>#VALUE!</v>
      </c>
      <c r="BM1254" t="str">
        <f ca="1">IFERROR(__xludf.DUMMYFUNCTION("""COMPUTED_VALUE"""),"#VALUE!")</f>
        <v>#VALUE!</v>
      </c>
      <c r="CS1254" t="str">
        <f ca="1">IFERROR(__xludf.DUMMYFUNCTION("""COMPUTED_VALUE"""),"#VALUE!")</f>
        <v>#VALUE!</v>
      </c>
      <c r="CU1254" t="str">
        <f ca="1">IFERROR(__xludf.DUMMYFUNCTION("""COMPUTED_VALUE"""),"#VALUE!")</f>
        <v>#VALUE!</v>
      </c>
      <c r="CW1254" t="str">
        <f ca="1">IFERROR(__xludf.DUMMYFUNCTION("""COMPUTED_VALUE"""),"#VALUE!")</f>
        <v>#VALUE!</v>
      </c>
      <c r="CY1254" t="str">
        <f ca="1">IFERROR(__xludf.DUMMYFUNCTION("""COMPUTED_VALUE"""),"#VALUE!")</f>
        <v>#VALUE!</v>
      </c>
      <c r="DC1254" t="str">
        <f ca="1">IFERROR(__xludf.DUMMYFUNCTION("""COMPUTED_VALUE"""),"#VALUE!")</f>
        <v>#VALUE!</v>
      </c>
      <c r="DE1254" t="str">
        <f ca="1">IFERROR(__xludf.DUMMYFUNCTION("""COMPUTED_VALUE"""),"#VALUE!")</f>
        <v>#VALUE!</v>
      </c>
    </row>
    <row r="1255" spans="1:109" ht="13.2" x14ac:dyDescent="0.25">
      <c r="A1255" t="str">
        <f ca="1">IFERROR(__xludf.DUMMYFUNCTION("""COMPUTED_VALUE"""),"P1264")</f>
        <v>P1264</v>
      </c>
      <c r="BC1255" t="str">
        <f ca="1">IFERROR(__xludf.DUMMYFUNCTION("""COMPUTED_VALUE"""),"#VALUE!")</f>
        <v>#VALUE!</v>
      </c>
      <c r="BE1255" t="str">
        <f ca="1">IFERROR(__xludf.DUMMYFUNCTION("""COMPUTED_VALUE"""),"#VALUE!")</f>
        <v>#VALUE!</v>
      </c>
      <c r="BG1255" t="str">
        <f ca="1">IFERROR(__xludf.DUMMYFUNCTION("""COMPUTED_VALUE"""),"#VALUE!")</f>
        <v>#VALUE!</v>
      </c>
      <c r="BI1255" t="str">
        <f ca="1">IFERROR(__xludf.DUMMYFUNCTION("""COMPUTED_VALUE"""),"#VALUE!")</f>
        <v>#VALUE!</v>
      </c>
      <c r="BK1255" t="str">
        <f ca="1">IFERROR(__xludf.DUMMYFUNCTION("""COMPUTED_VALUE"""),"#VALUE!")</f>
        <v>#VALUE!</v>
      </c>
      <c r="BM1255" t="str">
        <f ca="1">IFERROR(__xludf.DUMMYFUNCTION("""COMPUTED_VALUE"""),"#VALUE!")</f>
        <v>#VALUE!</v>
      </c>
      <c r="CS1255" t="str">
        <f ca="1">IFERROR(__xludf.DUMMYFUNCTION("""COMPUTED_VALUE"""),"#VALUE!")</f>
        <v>#VALUE!</v>
      </c>
      <c r="CU1255" t="str">
        <f ca="1">IFERROR(__xludf.DUMMYFUNCTION("""COMPUTED_VALUE"""),"#VALUE!")</f>
        <v>#VALUE!</v>
      </c>
      <c r="CW1255" t="str">
        <f ca="1">IFERROR(__xludf.DUMMYFUNCTION("""COMPUTED_VALUE"""),"#VALUE!")</f>
        <v>#VALUE!</v>
      </c>
      <c r="CY1255" t="str">
        <f ca="1">IFERROR(__xludf.DUMMYFUNCTION("""COMPUTED_VALUE"""),"#VALUE!")</f>
        <v>#VALUE!</v>
      </c>
      <c r="DC1255" t="str">
        <f ca="1">IFERROR(__xludf.DUMMYFUNCTION("""COMPUTED_VALUE"""),"#VALUE!")</f>
        <v>#VALUE!</v>
      </c>
      <c r="DE1255" t="str">
        <f ca="1">IFERROR(__xludf.DUMMYFUNCTION("""COMPUTED_VALUE"""),"#VALUE!")</f>
        <v>#VALUE!</v>
      </c>
    </row>
    <row r="1256" spans="1:109" ht="13.2" x14ac:dyDescent="0.25">
      <c r="A1256" t="str">
        <f ca="1">IFERROR(__xludf.DUMMYFUNCTION("""COMPUTED_VALUE"""),"P1265")</f>
        <v>P1265</v>
      </c>
      <c r="BC1256" t="str">
        <f ca="1">IFERROR(__xludf.DUMMYFUNCTION("""COMPUTED_VALUE"""),"#VALUE!")</f>
        <v>#VALUE!</v>
      </c>
      <c r="BE1256" t="str">
        <f ca="1">IFERROR(__xludf.DUMMYFUNCTION("""COMPUTED_VALUE"""),"#VALUE!")</f>
        <v>#VALUE!</v>
      </c>
      <c r="BG1256" t="str">
        <f ca="1">IFERROR(__xludf.DUMMYFUNCTION("""COMPUTED_VALUE"""),"#VALUE!")</f>
        <v>#VALUE!</v>
      </c>
      <c r="BI1256" t="str">
        <f ca="1">IFERROR(__xludf.DUMMYFUNCTION("""COMPUTED_VALUE"""),"#VALUE!")</f>
        <v>#VALUE!</v>
      </c>
      <c r="BK1256" t="str">
        <f ca="1">IFERROR(__xludf.DUMMYFUNCTION("""COMPUTED_VALUE"""),"#VALUE!")</f>
        <v>#VALUE!</v>
      </c>
      <c r="BM1256" t="str">
        <f ca="1">IFERROR(__xludf.DUMMYFUNCTION("""COMPUTED_VALUE"""),"#VALUE!")</f>
        <v>#VALUE!</v>
      </c>
      <c r="CS1256" t="str">
        <f ca="1">IFERROR(__xludf.DUMMYFUNCTION("""COMPUTED_VALUE"""),"#VALUE!")</f>
        <v>#VALUE!</v>
      </c>
      <c r="CU1256" t="str">
        <f ca="1">IFERROR(__xludf.DUMMYFUNCTION("""COMPUTED_VALUE"""),"#VALUE!")</f>
        <v>#VALUE!</v>
      </c>
      <c r="CW1256" t="str">
        <f ca="1">IFERROR(__xludf.DUMMYFUNCTION("""COMPUTED_VALUE"""),"#VALUE!")</f>
        <v>#VALUE!</v>
      </c>
      <c r="CY1256" t="str">
        <f ca="1">IFERROR(__xludf.DUMMYFUNCTION("""COMPUTED_VALUE"""),"#VALUE!")</f>
        <v>#VALUE!</v>
      </c>
      <c r="DC1256" t="str">
        <f ca="1">IFERROR(__xludf.DUMMYFUNCTION("""COMPUTED_VALUE"""),"#VALUE!")</f>
        <v>#VALUE!</v>
      </c>
      <c r="DE1256" t="str">
        <f ca="1">IFERROR(__xludf.DUMMYFUNCTION("""COMPUTED_VALUE"""),"#VALUE!")</f>
        <v>#VALUE!</v>
      </c>
    </row>
    <row r="1257" spans="1:109" ht="13.2" x14ac:dyDescent="0.25">
      <c r="A1257" t="str">
        <f ca="1">IFERROR(__xludf.DUMMYFUNCTION("""COMPUTED_VALUE"""),"P1266")</f>
        <v>P1266</v>
      </c>
      <c r="BC1257" t="str">
        <f ca="1">IFERROR(__xludf.DUMMYFUNCTION("""COMPUTED_VALUE"""),"#VALUE!")</f>
        <v>#VALUE!</v>
      </c>
      <c r="BE1257" t="str">
        <f ca="1">IFERROR(__xludf.DUMMYFUNCTION("""COMPUTED_VALUE"""),"#VALUE!")</f>
        <v>#VALUE!</v>
      </c>
      <c r="BG1257" t="str">
        <f ca="1">IFERROR(__xludf.DUMMYFUNCTION("""COMPUTED_VALUE"""),"#VALUE!")</f>
        <v>#VALUE!</v>
      </c>
      <c r="BI1257" t="str">
        <f ca="1">IFERROR(__xludf.DUMMYFUNCTION("""COMPUTED_VALUE"""),"#VALUE!")</f>
        <v>#VALUE!</v>
      </c>
      <c r="BK1257" t="str">
        <f ca="1">IFERROR(__xludf.DUMMYFUNCTION("""COMPUTED_VALUE"""),"#VALUE!")</f>
        <v>#VALUE!</v>
      </c>
      <c r="BM1257" t="str">
        <f ca="1">IFERROR(__xludf.DUMMYFUNCTION("""COMPUTED_VALUE"""),"#VALUE!")</f>
        <v>#VALUE!</v>
      </c>
      <c r="CS1257" t="str">
        <f ca="1">IFERROR(__xludf.DUMMYFUNCTION("""COMPUTED_VALUE"""),"#VALUE!")</f>
        <v>#VALUE!</v>
      </c>
      <c r="CU1257" t="str">
        <f ca="1">IFERROR(__xludf.DUMMYFUNCTION("""COMPUTED_VALUE"""),"#VALUE!")</f>
        <v>#VALUE!</v>
      </c>
      <c r="CW1257" t="str">
        <f ca="1">IFERROR(__xludf.DUMMYFUNCTION("""COMPUTED_VALUE"""),"#VALUE!")</f>
        <v>#VALUE!</v>
      </c>
      <c r="CY1257" t="str">
        <f ca="1">IFERROR(__xludf.DUMMYFUNCTION("""COMPUTED_VALUE"""),"#VALUE!")</f>
        <v>#VALUE!</v>
      </c>
      <c r="DC1257" t="str">
        <f ca="1">IFERROR(__xludf.DUMMYFUNCTION("""COMPUTED_VALUE"""),"#VALUE!")</f>
        <v>#VALUE!</v>
      </c>
      <c r="DE1257" t="str">
        <f ca="1">IFERROR(__xludf.DUMMYFUNCTION("""COMPUTED_VALUE"""),"#VALUE!")</f>
        <v>#VALUE!</v>
      </c>
    </row>
    <row r="1258" spans="1:109" ht="13.2" x14ac:dyDescent="0.25">
      <c r="A1258" t="str">
        <f ca="1">IFERROR(__xludf.DUMMYFUNCTION("""COMPUTED_VALUE"""),"P1267")</f>
        <v>P1267</v>
      </c>
      <c r="BC1258" t="str">
        <f ca="1">IFERROR(__xludf.DUMMYFUNCTION("""COMPUTED_VALUE"""),"#VALUE!")</f>
        <v>#VALUE!</v>
      </c>
      <c r="BE1258" t="str">
        <f ca="1">IFERROR(__xludf.DUMMYFUNCTION("""COMPUTED_VALUE"""),"#VALUE!")</f>
        <v>#VALUE!</v>
      </c>
      <c r="BG1258" t="str">
        <f ca="1">IFERROR(__xludf.DUMMYFUNCTION("""COMPUTED_VALUE"""),"#VALUE!")</f>
        <v>#VALUE!</v>
      </c>
      <c r="BI1258" t="str">
        <f ca="1">IFERROR(__xludf.DUMMYFUNCTION("""COMPUTED_VALUE"""),"#VALUE!")</f>
        <v>#VALUE!</v>
      </c>
      <c r="BK1258" t="str">
        <f ca="1">IFERROR(__xludf.DUMMYFUNCTION("""COMPUTED_VALUE"""),"#VALUE!")</f>
        <v>#VALUE!</v>
      </c>
      <c r="BM1258" t="str">
        <f ca="1">IFERROR(__xludf.DUMMYFUNCTION("""COMPUTED_VALUE"""),"#VALUE!")</f>
        <v>#VALUE!</v>
      </c>
      <c r="CS1258" t="str">
        <f ca="1">IFERROR(__xludf.DUMMYFUNCTION("""COMPUTED_VALUE"""),"#VALUE!")</f>
        <v>#VALUE!</v>
      </c>
      <c r="CU1258" t="str">
        <f ca="1">IFERROR(__xludf.DUMMYFUNCTION("""COMPUTED_VALUE"""),"#VALUE!")</f>
        <v>#VALUE!</v>
      </c>
      <c r="CW1258" t="str">
        <f ca="1">IFERROR(__xludf.DUMMYFUNCTION("""COMPUTED_VALUE"""),"#VALUE!")</f>
        <v>#VALUE!</v>
      </c>
      <c r="CY1258" t="str">
        <f ca="1">IFERROR(__xludf.DUMMYFUNCTION("""COMPUTED_VALUE"""),"#VALUE!")</f>
        <v>#VALUE!</v>
      </c>
      <c r="DC1258" t="str">
        <f ca="1">IFERROR(__xludf.DUMMYFUNCTION("""COMPUTED_VALUE"""),"#VALUE!")</f>
        <v>#VALUE!</v>
      </c>
      <c r="DE1258" t="str">
        <f ca="1">IFERROR(__xludf.DUMMYFUNCTION("""COMPUTED_VALUE"""),"#VALUE!")</f>
        <v>#VALUE!</v>
      </c>
    </row>
    <row r="1259" spans="1:109" ht="13.2" x14ac:dyDescent="0.25">
      <c r="A1259" t="str">
        <f ca="1">IFERROR(__xludf.DUMMYFUNCTION("""COMPUTED_VALUE"""),"P1268")</f>
        <v>P1268</v>
      </c>
      <c r="BC1259" t="str">
        <f ca="1">IFERROR(__xludf.DUMMYFUNCTION("""COMPUTED_VALUE"""),"#VALUE!")</f>
        <v>#VALUE!</v>
      </c>
      <c r="BE1259" t="str">
        <f ca="1">IFERROR(__xludf.DUMMYFUNCTION("""COMPUTED_VALUE"""),"#VALUE!")</f>
        <v>#VALUE!</v>
      </c>
      <c r="BG1259" t="str">
        <f ca="1">IFERROR(__xludf.DUMMYFUNCTION("""COMPUTED_VALUE"""),"#VALUE!")</f>
        <v>#VALUE!</v>
      </c>
      <c r="BI1259" t="str">
        <f ca="1">IFERROR(__xludf.DUMMYFUNCTION("""COMPUTED_VALUE"""),"#VALUE!")</f>
        <v>#VALUE!</v>
      </c>
      <c r="BK1259" t="str">
        <f ca="1">IFERROR(__xludf.DUMMYFUNCTION("""COMPUTED_VALUE"""),"#VALUE!")</f>
        <v>#VALUE!</v>
      </c>
      <c r="BM1259" t="str">
        <f ca="1">IFERROR(__xludf.DUMMYFUNCTION("""COMPUTED_VALUE"""),"#VALUE!")</f>
        <v>#VALUE!</v>
      </c>
      <c r="CS1259" t="str">
        <f ca="1">IFERROR(__xludf.DUMMYFUNCTION("""COMPUTED_VALUE"""),"#VALUE!")</f>
        <v>#VALUE!</v>
      </c>
      <c r="CU1259" t="str">
        <f ca="1">IFERROR(__xludf.DUMMYFUNCTION("""COMPUTED_VALUE"""),"#VALUE!")</f>
        <v>#VALUE!</v>
      </c>
      <c r="CW1259" t="str">
        <f ca="1">IFERROR(__xludf.DUMMYFUNCTION("""COMPUTED_VALUE"""),"#VALUE!")</f>
        <v>#VALUE!</v>
      </c>
      <c r="CY1259" t="str">
        <f ca="1">IFERROR(__xludf.DUMMYFUNCTION("""COMPUTED_VALUE"""),"#VALUE!")</f>
        <v>#VALUE!</v>
      </c>
      <c r="DC1259" t="str">
        <f ca="1">IFERROR(__xludf.DUMMYFUNCTION("""COMPUTED_VALUE"""),"#VALUE!")</f>
        <v>#VALUE!</v>
      </c>
      <c r="DE1259" t="str">
        <f ca="1">IFERROR(__xludf.DUMMYFUNCTION("""COMPUTED_VALUE"""),"#VALUE!")</f>
        <v>#VALUE!</v>
      </c>
    </row>
    <row r="1260" spans="1:109" ht="13.2" x14ac:dyDescent="0.25">
      <c r="A1260" t="str">
        <f ca="1">IFERROR(__xludf.DUMMYFUNCTION("""COMPUTED_VALUE"""),"P1269")</f>
        <v>P1269</v>
      </c>
      <c r="BC1260" t="str">
        <f ca="1">IFERROR(__xludf.DUMMYFUNCTION("""COMPUTED_VALUE"""),"#VALUE!")</f>
        <v>#VALUE!</v>
      </c>
      <c r="BE1260" t="str">
        <f ca="1">IFERROR(__xludf.DUMMYFUNCTION("""COMPUTED_VALUE"""),"#VALUE!")</f>
        <v>#VALUE!</v>
      </c>
      <c r="BG1260" t="str">
        <f ca="1">IFERROR(__xludf.DUMMYFUNCTION("""COMPUTED_VALUE"""),"#VALUE!")</f>
        <v>#VALUE!</v>
      </c>
      <c r="BI1260" t="str">
        <f ca="1">IFERROR(__xludf.DUMMYFUNCTION("""COMPUTED_VALUE"""),"#VALUE!")</f>
        <v>#VALUE!</v>
      </c>
      <c r="BK1260" t="str">
        <f ca="1">IFERROR(__xludf.DUMMYFUNCTION("""COMPUTED_VALUE"""),"#VALUE!")</f>
        <v>#VALUE!</v>
      </c>
      <c r="BM1260" t="str">
        <f ca="1">IFERROR(__xludf.DUMMYFUNCTION("""COMPUTED_VALUE"""),"#VALUE!")</f>
        <v>#VALUE!</v>
      </c>
      <c r="CS1260" t="str">
        <f ca="1">IFERROR(__xludf.DUMMYFUNCTION("""COMPUTED_VALUE"""),"#VALUE!")</f>
        <v>#VALUE!</v>
      </c>
      <c r="CU1260" t="str">
        <f ca="1">IFERROR(__xludf.DUMMYFUNCTION("""COMPUTED_VALUE"""),"#VALUE!")</f>
        <v>#VALUE!</v>
      </c>
      <c r="CW1260" t="str">
        <f ca="1">IFERROR(__xludf.DUMMYFUNCTION("""COMPUTED_VALUE"""),"#VALUE!")</f>
        <v>#VALUE!</v>
      </c>
      <c r="CY1260" t="str">
        <f ca="1">IFERROR(__xludf.DUMMYFUNCTION("""COMPUTED_VALUE"""),"#VALUE!")</f>
        <v>#VALUE!</v>
      </c>
      <c r="DC1260" t="str">
        <f ca="1">IFERROR(__xludf.DUMMYFUNCTION("""COMPUTED_VALUE"""),"#VALUE!")</f>
        <v>#VALUE!</v>
      </c>
      <c r="DE1260" t="str">
        <f ca="1">IFERROR(__xludf.DUMMYFUNCTION("""COMPUTED_VALUE"""),"#VALUE!")</f>
        <v>#VALUE!</v>
      </c>
    </row>
    <row r="1261" spans="1:109" ht="13.2" x14ac:dyDescent="0.25">
      <c r="A1261" t="str">
        <f ca="1">IFERROR(__xludf.DUMMYFUNCTION("""COMPUTED_VALUE"""),"P1270")</f>
        <v>P1270</v>
      </c>
      <c r="BC1261" t="str">
        <f ca="1">IFERROR(__xludf.DUMMYFUNCTION("""COMPUTED_VALUE"""),"#VALUE!")</f>
        <v>#VALUE!</v>
      </c>
      <c r="BE1261" t="str">
        <f ca="1">IFERROR(__xludf.DUMMYFUNCTION("""COMPUTED_VALUE"""),"#VALUE!")</f>
        <v>#VALUE!</v>
      </c>
      <c r="BG1261" t="str">
        <f ca="1">IFERROR(__xludf.DUMMYFUNCTION("""COMPUTED_VALUE"""),"#VALUE!")</f>
        <v>#VALUE!</v>
      </c>
      <c r="BI1261" t="str">
        <f ca="1">IFERROR(__xludf.DUMMYFUNCTION("""COMPUTED_VALUE"""),"#VALUE!")</f>
        <v>#VALUE!</v>
      </c>
      <c r="BK1261" t="str">
        <f ca="1">IFERROR(__xludf.DUMMYFUNCTION("""COMPUTED_VALUE"""),"#VALUE!")</f>
        <v>#VALUE!</v>
      </c>
      <c r="BM1261" t="str">
        <f ca="1">IFERROR(__xludf.DUMMYFUNCTION("""COMPUTED_VALUE"""),"#VALUE!")</f>
        <v>#VALUE!</v>
      </c>
      <c r="CS1261" t="str">
        <f ca="1">IFERROR(__xludf.DUMMYFUNCTION("""COMPUTED_VALUE"""),"#VALUE!")</f>
        <v>#VALUE!</v>
      </c>
      <c r="CU1261" t="str">
        <f ca="1">IFERROR(__xludf.DUMMYFUNCTION("""COMPUTED_VALUE"""),"#VALUE!")</f>
        <v>#VALUE!</v>
      </c>
      <c r="CW1261" t="str">
        <f ca="1">IFERROR(__xludf.DUMMYFUNCTION("""COMPUTED_VALUE"""),"#VALUE!")</f>
        <v>#VALUE!</v>
      </c>
      <c r="CY1261" t="str">
        <f ca="1">IFERROR(__xludf.DUMMYFUNCTION("""COMPUTED_VALUE"""),"#VALUE!")</f>
        <v>#VALUE!</v>
      </c>
      <c r="DC1261" t="str">
        <f ca="1">IFERROR(__xludf.DUMMYFUNCTION("""COMPUTED_VALUE"""),"#VALUE!")</f>
        <v>#VALUE!</v>
      </c>
      <c r="DE1261" t="str">
        <f ca="1">IFERROR(__xludf.DUMMYFUNCTION("""COMPUTED_VALUE"""),"#VALUE!")</f>
        <v>#VALUE!</v>
      </c>
    </row>
    <row r="1262" spans="1:109" ht="13.2" x14ac:dyDescent="0.25">
      <c r="A1262" t="str">
        <f ca="1">IFERROR(__xludf.DUMMYFUNCTION("""COMPUTED_VALUE"""),"P1271")</f>
        <v>P1271</v>
      </c>
      <c r="BC1262" t="str">
        <f ca="1">IFERROR(__xludf.DUMMYFUNCTION("""COMPUTED_VALUE"""),"#VALUE!")</f>
        <v>#VALUE!</v>
      </c>
      <c r="BE1262" t="str">
        <f ca="1">IFERROR(__xludf.DUMMYFUNCTION("""COMPUTED_VALUE"""),"#VALUE!")</f>
        <v>#VALUE!</v>
      </c>
      <c r="BG1262" t="str">
        <f ca="1">IFERROR(__xludf.DUMMYFUNCTION("""COMPUTED_VALUE"""),"#VALUE!")</f>
        <v>#VALUE!</v>
      </c>
      <c r="BI1262" t="str">
        <f ca="1">IFERROR(__xludf.DUMMYFUNCTION("""COMPUTED_VALUE"""),"#VALUE!")</f>
        <v>#VALUE!</v>
      </c>
      <c r="BK1262" t="str">
        <f ca="1">IFERROR(__xludf.DUMMYFUNCTION("""COMPUTED_VALUE"""),"#VALUE!")</f>
        <v>#VALUE!</v>
      </c>
      <c r="BM1262" t="str">
        <f ca="1">IFERROR(__xludf.DUMMYFUNCTION("""COMPUTED_VALUE"""),"#VALUE!")</f>
        <v>#VALUE!</v>
      </c>
      <c r="CS1262" t="str">
        <f ca="1">IFERROR(__xludf.DUMMYFUNCTION("""COMPUTED_VALUE"""),"#VALUE!")</f>
        <v>#VALUE!</v>
      </c>
      <c r="CU1262" t="str">
        <f ca="1">IFERROR(__xludf.DUMMYFUNCTION("""COMPUTED_VALUE"""),"#VALUE!")</f>
        <v>#VALUE!</v>
      </c>
      <c r="CW1262" t="str">
        <f ca="1">IFERROR(__xludf.DUMMYFUNCTION("""COMPUTED_VALUE"""),"#VALUE!")</f>
        <v>#VALUE!</v>
      </c>
      <c r="CY1262" t="str">
        <f ca="1">IFERROR(__xludf.DUMMYFUNCTION("""COMPUTED_VALUE"""),"#VALUE!")</f>
        <v>#VALUE!</v>
      </c>
      <c r="DC1262" t="str">
        <f ca="1">IFERROR(__xludf.DUMMYFUNCTION("""COMPUTED_VALUE"""),"#VALUE!")</f>
        <v>#VALUE!</v>
      </c>
      <c r="DE1262" t="str">
        <f ca="1">IFERROR(__xludf.DUMMYFUNCTION("""COMPUTED_VALUE"""),"#VALUE!")</f>
        <v>#VALUE!</v>
      </c>
    </row>
    <row r="1263" spans="1:109" ht="13.2" x14ac:dyDescent="0.25">
      <c r="A1263" t="str">
        <f ca="1">IFERROR(__xludf.DUMMYFUNCTION("""COMPUTED_VALUE"""),"P1272")</f>
        <v>P1272</v>
      </c>
      <c r="BC1263" t="str">
        <f ca="1">IFERROR(__xludf.DUMMYFUNCTION("""COMPUTED_VALUE"""),"#VALUE!")</f>
        <v>#VALUE!</v>
      </c>
      <c r="BE1263" t="str">
        <f ca="1">IFERROR(__xludf.DUMMYFUNCTION("""COMPUTED_VALUE"""),"#VALUE!")</f>
        <v>#VALUE!</v>
      </c>
      <c r="BG1263" t="str">
        <f ca="1">IFERROR(__xludf.DUMMYFUNCTION("""COMPUTED_VALUE"""),"#VALUE!")</f>
        <v>#VALUE!</v>
      </c>
      <c r="BI1263" t="str">
        <f ca="1">IFERROR(__xludf.DUMMYFUNCTION("""COMPUTED_VALUE"""),"#VALUE!")</f>
        <v>#VALUE!</v>
      </c>
      <c r="BK1263" t="str">
        <f ca="1">IFERROR(__xludf.DUMMYFUNCTION("""COMPUTED_VALUE"""),"#VALUE!")</f>
        <v>#VALUE!</v>
      </c>
      <c r="BM1263" t="str">
        <f ca="1">IFERROR(__xludf.DUMMYFUNCTION("""COMPUTED_VALUE"""),"#VALUE!")</f>
        <v>#VALUE!</v>
      </c>
      <c r="CS1263" t="str">
        <f ca="1">IFERROR(__xludf.DUMMYFUNCTION("""COMPUTED_VALUE"""),"#VALUE!")</f>
        <v>#VALUE!</v>
      </c>
      <c r="CU1263" t="str">
        <f ca="1">IFERROR(__xludf.DUMMYFUNCTION("""COMPUTED_VALUE"""),"#VALUE!")</f>
        <v>#VALUE!</v>
      </c>
      <c r="CW1263" t="str">
        <f ca="1">IFERROR(__xludf.DUMMYFUNCTION("""COMPUTED_VALUE"""),"#VALUE!")</f>
        <v>#VALUE!</v>
      </c>
      <c r="CY1263" t="str">
        <f ca="1">IFERROR(__xludf.DUMMYFUNCTION("""COMPUTED_VALUE"""),"#VALUE!")</f>
        <v>#VALUE!</v>
      </c>
      <c r="DC1263" t="str">
        <f ca="1">IFERROR(__xludf.DUMMYFUNCTION("""COMPUTED_VALUE"""),"#VALUE!")</f>
        <v>#VALUE!</v>
      </c>
      <c r="DE1263" t="str">
        <f ca="1">IFERROR(__xludf.DUMMYFUNCTION("""COMPUTED_VALUE"""),"#VALUE!")</f>
        <v>#VALUE!</v>
      </c>
    </row>
    <row r="1264" spans="1:109" ht="13.2" x14ac:dyDescent="0.25">
      <c r="A1264" t="str">
        <f ca="1">IFERROR(__xludf.DUMMYFUNCTION("""COMPUTED_VALUE"""),"P1273")</f>
        <v>P1273</v>
      </c>
      <c r="BC1264" t="str">
        <f ca="1">IFERROR(__xludf.DUMMYFUNCTION("""COMPUTED_VALUE"""),"#VALUE!")</f>
        <v>#VALUE!</v>
      </c>
      <c r="BE1264" t="str">
        <f ca="1">IFERROR(__xludf.DUMMYFUNCTION("""COMPUTED_VALUE"""),"#VALUE!")</f>
        <v>#VALUE!</v>
      </c>
      <c r="BG1264" t="str">
        <f ca="1">IFERROR(__xludf.DUMMYFUNCTION("""COMPUTED_VALUE"""),"#VALUE!")</f>
        <v>#VALUE!</v>
      </c>
      <c r="BI1264" t="str">
        <f ca="1">IFERROR(__xludf.DUMMYFUNCTION("""COMPUTED_VALUE"""),"#VALUE!")</f>
        <v>#VALUE!</v>
      </c>
      <c r="BK1264" t="str">
        <f ca="1">IFERROR(__xludf.DUMMYFUNCTION("""COMPUTED_VALUE"""),"#VALUE!")</f>
        <v>#VALUE!</v>
      </c>
      <c r="BM1264" t="str">
        <f ca="1">IFERROR(__xludf.DUMMYFUNCTION("""COMPUTED_VALUE"""),"#VALUE!")</f>
        <v>#VALUE!</v>
      </c>
      <c r="CS1264" t="str">
        <f ca="1">IFERROR(__xludf.DUMMYFUNCTION("""COMPUTED_VALUE"""),"#VALUE!")</f>
        <v>#VALUE!</v>
      </c>
      <c r="CU1264" t="str">
        <f ca="1">IFERROR(__xludf.DUMMYFUNCTION("""COMPUTED_VALUE"""),"#VALUE!")</f>
        <v>#VALUE!</v>
      </c>
      <c r="CW1264" t="str">
        <f ca="1">IFERROR(__xludf.DUMMYFUNCTION("""COMPUTED_VALUE"""),"#VALUE!")</f>
        <v>#VALUE!</v>
      </c>
      <c r="CY1264" t="str">
        <f ca="1">IFERROR(__xludf.DUMMYFUNCTION("""COMPUTED_VALUE"""),"#VALUE!")</f>
        <v>#VALUE!</v>
      </c>
      <c r="DC1264" t="str">
        <f ca="1">IFERROR(__xludf.DUMMYFUNCTION("""COMPUTED_VALUE"""),"#VALUE!")</f>
        <v>#VALUE!</v>
      </c>
      <c r="DE1264" t="str">
        <f ca="1">IFERROR(__xludf.DUMMYFUNCTION("""COMPUTED_VALUE"""),"#VALUE!")</f>
        <v>#VALUE!</v>
      </c>
    </row>
    <row r="1265" spans="1:109" ht="13.2" x14ac:dyDescent="0.25">
      <c r="A1265" t="str">
        <f ca="1">IFERROR(__xludf.DUMMYFUNCTION("""COMPUTED_VALUE"""),"P1274")</f>
        <v>P1274</v>
      </c>
      <c r="BC1265" t="str">
        <f ca="1">IFERROR(__xludf.DUMMYFUNCTION("""COMPUTED_VALUE"""),"#VALUE!")</f>
        <v>#VALUE!</v>
      </c>
      <c r="BE1265" t="str">
        <f ca="1">IFERROR(__xludf.DUMMYFUNCTION("""COMPUTED_VALUE"""),"#VALUE!")</f>
        <v>#VALUE!</v>
      </c>
      <c r="BG1265" t="str">
        <f ca="1">IFERROR(__xludf.DUMMYFUNCTION("""COMPUTED_VALUE"""),"#VALUE!")</f>
        <v>#VALUE!</v>
      </c>
      <c r="BI1265" t="str">
        <f ca="1">IFERROR(__xludf.DUMMYFUNCTION("""COMPUTED_VALUE"""),"#VALUE!")</f>
        <v>#VALUE!</v>
      </c>
      <c r="BK1265" t="str">
        <f ca="1">IFERROR(__xludf.DUMMYFUNCTION("""COMPUTED_VALUE"""),"#VALUE!")</f>
        <v>#VALUE!</v>
      </c>
      <c r="BM1265" t="str">
        <f ca="1">IFERROR(__xludf.DUMMYFUNCTION("""COMPUTED_VALUE"""),"#VALUE!")</f>
        <v>#VALUE!</v>
      </c>
      <c r="CS1265" t="str">
        <f ca="1">IFERROR(__xludf.DUMMYFUNCTION("""COMPUTED_VALUE"""),"#VALUE!")</f>
        <v>#VALUE!</v>
      </c>
      <c r="CU1265" t="str">
        <f ca="1">IFERROR(__xludf.DUMMYFUNCTION("""COMPUTED_VALUE"""),"#VALUE!")</f>
        <v>#VALUE!</v>
      </c>
      <c r="CW1265" t="str">
        <f ca="1">IFERROR(__xludf.DUMMYFUNCTION("""COMPUTED_VALUE"""),"#VALUE!")</f>
        <v>#VALUE!</v>
      </c>
      <c r="CY1265" t="str">
        <f ca="1">IFERROR(__xludf.DUMMYFUNCTION("""COMPUTED_VALUE"""),"#VALUE!")</f>
        <v>#VALUE!</v>
      </c>
      <c r="DC1265" t="str">
        <f ca="1">IFERROR(__xludf.DUMMYFUNCTION("""COMPUTED_VALUE"""),"#VALUE!")</f>
        <v>#VALUE!</v>
      </c>
      <c r="DE1265" t="str">
        <f ca="1">IFERROR(__xludf.DUMMYFUNCTION("""COMPUTED_VALUE"""),"#VALUE!")</f>
        <v>#VALUE!</v>
      </c>
    </row>
    <row r="1266" spans="1:109" ht="13.2" x14ac:dyDescent="0.25">
      <c r="A1266" t="str">
        <f ca="1">IFERROR(__xludf.DUMMYFUNCTION("""COMPUTED_VALUE"""),"P1275")</f>
        <v>P1275</v>
      </c>
      <c r="BC1266" t="str">
        <f ca="1">IFERROR(__xludf.DUMMYFUNCTION("""COMPUTED_VALUE"""),"#VALUE!")</f>
        <v>#VALUE!</v>
      </c>
      <c r="BE1266" t="str">
        <f ca="1">IFERROR(__xludf.DUMMYFUNCTION("""COMPUTED_VALUE"""),"#VALUE!")</f>
        <v>#VALUE!</v>
      </c>
      <c r="BG1266" t="str">
        <f ca="1">IFERROR(__xludf.DUMMYFUNCTION("""COMPUTED_VALUE"""),"#VALUE!")</f>
        <v>#VALUE!</v>
      </c>
      <c r="BI1266" t="str">
        <f ca="1">IFERROR(__xludf.DUMMYFUNCTION("""COMPUTED_VALUE"""),"#VALUE!")</f>
        <v>#VALUE!</v>
      </c>
      <c r="BK1266" t="str">
        <f ca="1">IFERROR(__xludf.DUMMYFUNCTION("""COMPUTED_VALUE"""),"#VALUE!")</f>
        <v>#VALUE!</v>
      </c>
      <c r="BM1266" t="str">
        <f ca="1">IFERROR(__xludf.DUMMYFUNCTION("""COMPUTED_VALUE"""),"#VALUE!")</f>
        <v>#VALUE!</v>
      </c>
      <c r="CS1266" t="str">
        <f ca="1">IFERROR(__xludf.DUMMYFUNCTION("""COMPUTED_VALUE"""),"#VALUE!")</f>
        <v>#VALUE!</v>
      </c>
      <c r="CU1266" t="str">
        <f ca="1">IFERROR(__xludf.DUMMYFUNCTION("""COMPUTED_VALUE"""),"#VALUE!")</f>
        <v>#VALUE!</v>
      </c>
      <c r="CW1266" t="str">
        <f ca="1">IFERROR(__xludf.DUMMYFUNCTION("""COMPUTED_VALUE"""),"#VALUE!")</f>
        <v>#VALUE!</v>
      </c>
      <c r="CY1266" t="str">
        <f ca="1">IFERROR(__xludf.DUMMYFUNCTION("""COMPUTED_VALUE"""),"#VALUE!")</f>
        <v>#VALUE!</v>
      </c>
      <c r="DC1266" t="str">
        <f ca="1">IFERROR(__xludf.DUMMYFUNCTION("""COMPUTED_VALUE"""),"#VALUE!")</f>
        <v>#VALUE!</v>
      </c>
      <c r="DE1266" t="str">
        <f ca="1">IFERROR(__xludf.DUMMYFUNCTION("""COMPUTED_VALUE"""),"#VALUE!")</f>
        <v>#VALUE!</v>
      </c>
    </row>
    <row r="1267" spans="1:109" ht="13.2" x14ac:dyDescent="0.25">
      <c r="A1267" t="str">
        <f ca="1">IFERROR(__xludf.DUMMYFUNCTION("""COMPUTED_VALUE"""),"P1276")</f>
        <v>P1276</v>
      </c>
      <c r="BC1267" t="str">
        <f ca="1">IFERROR(__xludf.DUMMYFUNCTION("""COMPUTED_VALUE"""),"#VALUE!")</f>
        <v>#VALUE!</v>
      </c>
      <c r="BE1267" t="str">
        <f ca="1">IFERROR(__xludf.DUMMYFUNCTION("""COMPUTED_VALUE"""),"#VALUE!")</f>
        <v>#VALUE!</v>
      </c>
      <c r="BG1267" t="str">
        <f ca="1">IFERROR(__xludf.DUMMYFUNCTION("""COMPUTED_VALUE"""),"#VALUE!")</f>
        <v>#VALUE!</v>
      </c>
      <c r="BI1267" t="str">
        <f ca="1">IFERROR(__xludf.DUMMYFUNCTION("""COMPUTED_VALUE"""),"#VALUE!")</f>
        <v>#VALUE!</v>
      </c>
      <c r="BK1267" t="str">
        <f ca="1">IFERROR(__xludf.DUMMYFUNCTION("""COMPUTED_VALUE"""),"#VALUE!")</f>
        <v>#VALUE!</v>
      </c>
      <c r="BM1267" t="str">
        <f ca="1">IFERROR(__xludf.DUMMYFUNCTION("""COMPUTED_VALUE"""),"#VALUE!")</f>
        <v>#VALUE!</v>
      </c>
      <c r="CS1267" t="str">
        <f ca="1">IFERROR(__xludf.DUMMYFUNCTION("""COMPUTED_VALUE"""),"#VALUE!")</f>
        <v>#VALUE!</v>
      </c>
      <c r="CU1267" t="str">
        <f ca="1">IFERROR(__xludf.DUMMYFUNCTION("""COMPUTED_VALUE"""),"#VALUE!")</f>
        <v>#VALUE!</v>
      </c>
      <c r="CW1267" t="str">
        <f ca="1">IFERROR(__xludf.DUMMYFUNCTION("""COMPUTED_VALUE"""),"#VALUE!")</f>
        <v>#VALUE!</v>
      </c>
      <c r="CY1267" t="str">
        <f ca="1">IFERROR(__xludf.DUMMYFUNCTION("""COMPUTED_VALUE"""),"#VALUE!")</f>
        <v>#VALUE!</v>
      </c>
      <c r="DC1267" t="str">
        <f ca="1">IFERROR(__xludf.DUMMYFUNCTION("""COMPUTED_VALUE"""),"#VALUE!")</f>
        <v>#VALUE!</v>
      </c>
      <c r="DE1267" t="str">
        <f ca="1">IFERROR(__xludf.DUMMYFUNCTION("""COMPUTED_VALUE"""),"#VALUE!")</f>
        <v>#VALUE!</v>
      </c>
    </row>
    <row r="1268" spans="1:109" ht="13.2" x14ac:dyDescent="0.25">
      <c r="A1268" t="str">
        <f ca="1">IFERROR(__xludf.DUMMYFUNCTION("""COMPUTED_VALUE"""),"P1277")</f>
        <v>P1277</v>
      </c>
      <c r="BC1268" t="str">
        <f ca="1">IFERROR(__xludf.DUMMYFUNCTION("""COMPUTED_VALUE"""),"#VALUE!")</f>
        <v>#VALUE!</v>
      </c>
      <c r="BE1268" t="str">
        <f ca="1">IFERROR(__xludf.DUMMYFUNCTION("""COMPUTED_VALUE"""),"#VALUE!")</f>
        <v>#VALUE!</v>
      </c>
      <c r="BG1268" t="str">
        <f ca="1">IFERROR(__xludf.DUMMYFUNCTION("""COMPUTED_VALUE"""),"#VALUE!")</f>
        <v>#VALUE!</v>
      </c>
      <c r="BI1268" t="str">
        <f ca="1">IFERROR(__xludf.DUMMYFUNCTION("""COMPUTED_VALUE"""),"#VALUE!")</f>
        <v>#VALUE!</v>
      </c>
      <c r="BK1268" t="str">
        <f ca="1">IFERROR(__xludf.DUMMYFUNCTION("""COMPUTED_VALUE"""),"#VALUE!")</f>
        <v>#VALUE!</v>
      </c>
      <c r="BM1268" t="str">
        <f ca="1">IFERROR(__xludf.DUMMYFUNCTION("""COMPUTED_VALUE"""),"#VALUE!")</f>
        <v>#VALUE!</v>
      </c>
      <c r="CS1268" t="str">
        <f ca="1">IFERROR(__xludf.DUMMYFUNCTION("""COMPUTED_VALUE"""),"#VALUE!")</f>
        <v>#VALUE!</v>
      </c>
      <c r="CU1268" t="str">
        <f ca="1">IFERROR(__xludf.DUMMYFUNCTION("""COMPUTED_VALUE"""),"#VALUE!")</f>
        <v>#VALUE!</v>
      </c>
      <c r="CW1268" t="str">
        <f ca="1">IFERROR(__xludf.DUMMYFUNCTION("""COMPUTED_VALUE"""),"#VALUE!")</f>
        <v>#VALUE!</v>
      </c>
      <c r="CY1268" t="str">
        <f ca="1">IFERROR(__xludf.DUMMYFUNCTION("""COMPUTED_VALUE"""),"#VALUE!")</f>
        <v>#VALUE!</v>
      </c>
      <c r="DC1268" t="str">
        <f ca="1">IFERROR(__xludf.DUMMYFUNCTION("""COMPUTED_VALUE"""),"#VALUE!")</f>
        <v>#VALUE!</v>
      </c>
      <c r="DE1268" t="str">
        <f ca="1">IFERROR(__xludf.DUMMYFUNCTION("""COMPUTED_VALUE"""),"#VALUE!")</f>
        <v>#VALUE!</v>
      </c>
    </row>
    <row r="1269" spans="1:109" ht="13.2" x14ac:dyDescent="0.25">
      <c r="A1269" t="str">
        <f ca="1">IFERROR(__xludf.DUMMYFUNCTION("""COMPUTED_VALUE"""),"P1278")</f>
        <v>P1278</v>
      </c>
      <c r="BC1269" t="str">
        <f ca="1">IFERROR(__xludf.DUMMYFUNCTION("""COMPUTED_VALUE"""),"#VALUE!")</f>
        <v>#VALUE!</v>
      </c>
      <c r="BE1269" t="str">
        <f ca="1">IFERROR(__xludf.DUMMYFUNCTION("""COMPUTED_VALUE"""),"#VALUE!")</f>
        <v>#VALUE!</v>
      </c>
      <c r="BG1269" t="str">
        <f ca="1">IFERROR(__xludf.DUMMYFUNCTION("""COMPUTED_VALUE"""),"#VALUE!")</f>
        <v>#VALUE!</v>
      </c>
      <c r="BI1269" t="str">
        <f ca="1">IFERROR(__xludf.DUMMYFUNCTION("""COMPUTED_VALUE"""),"#VALUE!")</f>
        <v>#VALUE!</v>
      </c>
      <c r="BK1269" t="str">
        <f ca="1">IFERROR(__xludf.DUMMYFUNCTION("""COMPUTED_VALUE"""),"#VALUE!")</f>
        <v>#VALUE!</v>
      </c>
      <c r="BM1269" t="str">
        <f ca="1">IFERROR(__xludf.DUMMYFUNCTION("""COMPUTED_VALUE"""),"#VALUE!")</f>
        <v>#VALUE!</v>
      </c>
      <c r="CS1269" t="str">
        <f ca="1">IFERROR(__xludf.DUMMYFUNCTION("""COMPUTED_VALUE"""),"#VALUE!")</f>
        <v>#VALUE!</v>
      </c>
      <c r="CU1269" t="str">
        <f ca="1">IFERROR(__xludf.DUMMYFUNCTION("""COMPUTED_VALUE"""),"#VALUE!")</f>
        <v>#VALUE!</v>
      </c>
      <c r="CW1269" t="str">
        <f ca="1">IFERROR(__xludf.DUMMYFUNCTION("""COMPUTED_VALUE"""),"#VALUE!")</f>
        <v>#VALUE!</v>
      </c>
      <c r="CY1269" t="str">
        <f ca="1">IFERROR(__xludf.DUMMYFUNCTION("""COMPUTED_VALUE"""),"#VALUE!")</f>
        <v>#VALUE!</v>
      </c>
      <c r="DC1269" t="str">
        <f ca="1">IFERROR(__xludf.DUMMYFUNCTION("""COMPUTED_VALUE"""),"#VALUE!")</f>
        <v>#VALUE!</v>
      </c>
      <c r="DE1269" t="str">
        <f ca="1">IFERROR(__xludf.DUMMYFUNCTION("""COMPUTED_VALUE"""),"#VALUE!")</f>
        <v>#VALUE!</v>
      </c>
    </row>
    <row r="1270" spans="1:109" ht="13.2" x14ac:dyDescent="0.25">
      <c r="A1270" t="str">
        <f ca="1">IFERROR(__xludf.DUMMYFUNCTION("""COMPUTED_VALUE"""),"P1279")</f>
        <v>P1279</v>
      </c>
      <c r="BC1270" t="str">
        <f ca="1">IFERROR(__xludf.DUMMYFUNCTION("""COMPUTED_VALUE"""),"#VALUE!")</f>
        <v>#VALUE!</v>
      </c>
      <c r="BE1270" t="str">
        <f ca="1">IFERROR(__xludf.DUMMYFUNCTION("""COMPUTED_VALUE"""),"#VALUE!")</f>
        <v>#VALUE!</v>
      </c>
      <c r="BG1270" t="str">
        <f ca="1">IFERROR(__xludf.DUMMYFUNCTION("""COMPUTED_VALUE"""),"#VALUE!")</f>
        <v>#VALUE!</v>
      </c>
      <c r="BI1270" t="str">
        <f ca="1">IFERROR(__xludf.DUMMYFUNCTION("""COMPUTED_VALUE"""),"#VALUE!")</f>
        <v>#VALUE!</v>
      </c>
      <c r="BK1270" t="str">
        <f ca="1">IFERROR(__xludf.DUMMYFUNCTION("""COMPUTED_VALUE"""),"#VALUE!")</f>
        <v>#VALUE!</v>
      </c>
      <c r="BM1270" t="str">
        <f ca="1">IFERROR(__xludf.DUMMYFUNCTION("""COMPUTED_VALUE"""),"#VALUE!")</f>
        <v>#VALUE!</v>
      </c>
      <c r="CS1270" t="str">
        <f ca="1">IFERROR(__xludf.DUMMYFUNCTION("""COMPUTED_VALUE"""),"#VALUE!")</f>
        <v>#VALUE!</v>
      </c>
      <c r="CU1270" t="str">
        <f ca="1">IFERROR(__xludf.DUMMYFUNCTION("""COMPUTED_VALUE"""),"#VALUE!")</f>
        <v>#VALUE!</v>
      </c>
      <c r="CW1270" t="str">
        <f ca="1">IFERROR(__xludf.DUMMYFUNCTION("""COMPUTED_VALUE"""),"#VALUE!")</f>
        <v>#VALUE!</v>
      </c>
      <c r="CY1270" t="str">
        <f ca="1">IFERROR(__xludf.DUMMYFUNCTION("""COMPUTED_VALUE"""),"#VALUE!")</f>
        <v>#VALUE!</v>
      </c>
      <c r="DC1270" t="str">
        <f ca="1">IFERROR(__xludf.DUMMYFUNCTION("""COMPUTED_VALUE"""),"#VALUE!")</f>
        <v>#VALUE!</v>
      </c>
      <c r="DE1270" t="str">
        <f ca="1">IFERROR(__xludf.DUMMYFUNCTION("""COMPUTED_VALUE"""),"#VALUE!")</f>
        <v>#VALUE!</v>
      </c>
    </row>
    <row r="1271" spans="1:109" ht="13.2" x14ac:dyDescent="0.25">
      <c r="A1271" t="str">
        <f ca="1">IFERROR(__xludf.DUMMYFUNCTION("""COMPUTED_VALUE"""),"P1280")</f>
        <v>P1280</v>
      </c>
      <c r="BC1271" t="str">
        <f ca="1">IFERROR(__xludf.DUMMYFUNCTION("""COMPUTED_VALUE"""),"#VALUE!")</f>
        <v>#VALUE!</v>
      </c>
      <c r="BE1271" t="str">
        <f ca="1">IFERROR(__xludf.DUMMYFUNCTION("""COMPUTED_VALUE"""),"#VALUE!")</f>
        <v>#VALUE!</v>
      </c>
      <c r="BG1271" t="str">
        <f ca="1">IFERROR(__xludf.DUMMYFUNCTION("""COMPUTED_VALUE"""),"#VALUE!")</f>
        <v>#VALUE!</v>
      </c>
      <c r="BI1271" t="str">
        <f ca="1">IFERROR(__xludf.DUMMYFUNCTION("""COMPUTED_VALUE"""),"#VALUE!")</f>
        <v>#VALUE!</v>
      </c>
      <c r="BK1271" t="str">
        <f ca="1">IFERROR(__xludf.DUMMYFUNCTION("""COMPUTED_VALUE"""),"#VALUE!")</f>
        <v>#VALUE!</v>
      </c>
      <c r="BM1271" t="str">
        <f ca="1">IFERROR(__xludf.DUMMYFUNCTION("""COMPUTED_VALUE"""),"#VALUE!")</f>
        <v>#VALUE!</v>
      </c>
      <c r="CS1271" t="str">
        <f ca="1">IFERROR(__xludf.DUMMYFUNCTION("""COMPUTED_VALUE"""),"#VALUE!")</f>
        <v>#VALUE!</v>
      </c>
      <c r="CU1271" t="str">
        <f ca="1">IFERROR(__xludf.DUMMYFUNCTION("""COMPUTED_VALUE"""),"#VALUE!")</f>
        <v>#VALUE!</v>
      </c>
      <c r="CW1271" t="str">
        <f ca="1">IFERROR(__xludf.DUMMYFUNCTION("""COMPUTED_VALUE"""),"#VALUE!")</f>
        <v>#VALUE!</v>
      </c>
      <c r="CY1271" t="str">
        <f ca="1">IFERROR(__xludf.DUMMYFUNCTION("""COMPUTED_VALUE"""),"#VALUE!")</f>
        <v>#VALUE!</v>
      </c>
      <c r="DC1271" t="str">
        <f ca="1">IFERROR(__xludf.DUMMYFUNCTION("""COMPUTED_VALUE"""),"#VALUE!")</f>
        <v>#VALUE!</v>
      </c>
      <c r="DE1271" t="str">
        <f ca="1">IFERROR(__xludf.DUMMYFUNCTION("""COMPUTED_VALUE"""),"#VALUE!")</f>
        <v>#VALUE!</v>
      </c>
    </row>
    <row r="1272" spans="1:109" ht="13.2" x14ac:dyDescent="0.25">
      <c r="A1272" t="str">
        <f ca="1">IFERROR(__xludf.DUMMYFUNCTION("""COMPUTED_VALUE"""),"P1281")</f>
        <v>P1281</v>
      </c>
      <c r="BC1272" t="str">
        <f ca="1">IFERROR(__xludf.DUMMYFUNCTION("""COMPUTED_VALUE"""),"#VALUE!")</f>
        <v>#VALUE!</v>
      </c>
      <c r="BE1272" t="str">
        <f ca="1">IFERROR(__xludf.DUMMYFUNCTION("""COMPUTED_VALUE"""),"#VALUE!")</f>
        <v>#VALUE!</v>
      </c>
      <c r="BG1272" t="str">
        <f ca="1">IFERROR(__xludf.DUMMYFUNCTION("""COMPUTED_VALUE"""),"#VALUE!")</f>
        <v>#VALUE!</v>
      </c>
      <c r="BI1272" t="str">
        <f ca="1">IFERROR(__xludf.DUMMYFUNCTION("""COMPUTED_VALUE"""),"#VALUE!")</f>
        <v>#VALUE!</v>
      </c>
      <c r="BK1272" t="str">
        <f ca="1">IFERROR(__xludf.DUMMYFUNCTION("""COMPUTED_VALUE"""),"#VALUE!")</f>
        <v>#VALUE!</v>
      </c>
      <c r="BM1272" t="str">
        <f ca="1">IFERROR(__xludf.DUMMYFUNCTION("""COMPUTED_VALUE"""),"#VALUE!")</f>
        <v>#VALUE!</v>
      </c>
      <c r="CS1272" t="str">
        <f ca="1">IFERROR(__xludf.DUMMYFUNCTION("""COMPUTED_VALUE"""),"#VALUE!")</f>
        <v>#VALUE!</v>
      </c>
      <c r="CU1272" t="str">
        <f ca="1">IFERROR(__xludf.DUMMYFUNCTION("""COMPUTED_VALUE"""),"#VALUE!")</f>
        <v>#VALUE!</v>
      </c>
      <c r="CW1272" t="str">
        <f ca="1">IFERROR(__xludf.DUMMYFUNCTION("""COMPUTED_VALUE"""),"#VALUE!")</f>
        <v>#VALUE!</v>
      </c>
      <c r="CY1272" t="str">
        <f ca="1">IFERROR(__xludf.DUMMYFUNCTION("""COMPUTED_VALUE"""),"#VALUE!")</f>
        <v>#VALUE!</v>
      </c>
      <c r="DC1272" t="str">
        <f ca="1">IFERROR(__xludf.DUMMYFUNCTION("""COMPUTED_VALUE"""),"#VALUE!")</f>
        <v>#VALUE!</v>
      </c>
      <c r="DE1272" t="str">
        <f ca="1">IFERROR(__xludf.DUMMYFUNCTION("""COMPUTED_VALUE"""),"#VALUE!")</f>
        <v>#VALUE!</v>
      </c>
    </row>
    <row r="1273" spans="1:109" ht="13.2" x14ac:dyDescent="0.25">
      <c r="A1273" t="str">
        <f ca="1">IFERROR(__xludf.DUMMYFUNCTION("""COMPUTED_VALUE"""),"P1282")</f>
        <v>P1282</v>
      </c>
      <c r="BC1273" t="str">
        <f ca="1">IFERROR(__xludf.DUMMYFUNCTION("""COMPUTED_VALUE"""),"#VALUE!")</f>
        <v>#VALUE!</v>
      </c>
      <c r="BE1273" t="str">
        <f ca="1">IFERROR(__xludf.DUMMYFUNCTION("""COMPUTED_VALUE"""),"#VALUE!")</f>
        <v>#VALUE!</v>
      </c>
      <c r="BG1273" t="str">
        <f ca="1">IFERROR(__xludf.DUMMYFUNCTION("""COMPUTED_VALUE"""),"#VALUE!")</f>
        <v>#VALUE!</v>
      </c>
      <c r="BI1273" t="str">
        <f ca="1">IFERROR(__xludf.DUMMYFUNCTION("""COMPUTED_VALUE"""),"#VALUE!")</f>
        <v>#VALUE!</v>
      </c>
      <c r="BK1273" t="str">
        <f ca="1">IFERROR(__xludf.DUMMYFUNCTION("""COMPUTED_VALUE"""),"#VALUE!")</f>
        <v>#VALUE!</v>
      </c>
      <c r="BM1273" t="str">
        <f ca="1">IFERROR(__xludf.DUMMYFUNCTION("""COMPUTED_VALUE"""),"#VALUE!")</f>
        <v>#VALUE!</v>
      </c>
      <c r="CS1273" t="str">
        <f ca="1">IFERROR(__xludf.DUMMYFUNCTION("""COMPUTED_VALUE"""),"#VALUE!")</f>
        <v>#VALUE!</v>
      </c>
      <c r="CU1273" t="str">
        <f ca="1">IFERROR(__xludf.DUMMYFUNCTION("""COMPUTED_VALUE"""),"#VALUE!")</f>
        <v>#VALUE!</v>
      </c>
      <c r="CW1273" t="str">
        <f ca="1">IFERROR(__xludf.DUMMYFUNCTION("""COMPUTED_VALUE"""),"#VALUE!")</f>
        <v>#VALUE!</v>
      </c>
      <c r="CY1273" t="str">
        <f ca="1">IFERROR(__xludf.DUMMYFUNCTION("""COMPUTED_VALUE"""),"#VALUE!")</f>
        <v>#VALUE!</v>
      </c>
      <c r="DC1273" t="str">
        <f ca="1">IFERROR(__xludf.DUMMYFUNCTION("""COMPUTED_VALUE"""),"#VALUE!")</f>
        <v>#VALUE!</v>
      </c>
      <c r="DE1273" t="str">
        <f ca="1">IFERROR(__xludf.DUMMYFUNCTION("""COMPUTED_VALUE"""),"#VALUE!")</f>
        <v>#VALUE!</v>
      </c>
    </row>
    <row r="1274" spans="1:109" ht="13.2" x14ac:dyDescent="0.25">
      <c r="A1274" t="str">
        <f ca="1">IFERROR(__xludf.DUMMYFUNCTION("""COMPUTED_VALUE"""),"P1283")</f>
        <v>P1283</v>
      </c>
      <c r="BC1274" t="str">
        <f ca="1">IFERROR(__xludf.DUMMYFUNCTION("""COMPUTED_VALUE"""),"#VALUE!")</f>
        <v>#VALUE!</v>
      </c>
      <c r="BE1274" t="str">
        <f ca="1">IFERROR(__xludf.DUMMYFUNCTION("""COMPUTED_VALUE"""),"#VALUE!")</f>
        <v>#VALUE!</v>
      </c>
      <c r="BG1274" t="str">
        <f ca="1">IFERROR(__xludf.DUMMYFUNCTION("""COMPUTED_VALUE"""),"#VALUE!")</f>
        <v>#VALUE!</v>
      </c>
      <c r="BI1274" t="str">
        <f ca="1">IFERROR(__xludf.DUMMYFUNCTION("""COMPUTED_VALUE"""),"#VALUE!")</f>
        <v>#VALUE!</v>
      </c>
      <c r="BK1274" t="str">
        <f ca="1">IFERROR(__xludf.DUMMYFUNCTION("""COMPUTED_VALUE"""),"#VALUE!")</f>
        <v>#VALUE!</v>
      </c>
      <c r="BM1274" t="str">
        <f ca="1">IFERROR(__xludf.DUMMYFUNCTION("""COMPUTED_VALUE"""),"#VALUE!")</f>
        <v>#VALUE!</v>
      </c>
      <c r="CS1274" t="str">
        <f ca="1">IFERROR(__xludf.DUMMYFUNCTION("""COMPUTED_VALUE"""),"#VALUE!")</f>
        <v>#VALUE!</v>
      </c>
      <c r="CU1274" t="str">
        <f ca="1">IFERROR(__xludf.DUMMYFUNCTION("""COMPUTED_VALUE"""),"#VALUE!")</f>
        <v>#VALUE!</v>
      </c>
      <c r="CW1274" t="str">
        <f ca="1">IFERROR(__xludf.DUMMYFUNCTION("""COMPUTED_VALUE"""),"#VALUE!")</f>
        <v>#VALUE!</v>
      </c>
      <c r="CY1274" t="str">
        <f ca="1">IFERROR(__xludf.DUMMYFUNCTION("""COMPUTED_VALUE"""),"#VALUE!")</f>
        <v>#VALUE!</v>
      </c>
      <c r="DC1274" t="str">
        <f ca="1">IFERROR(__xludf.DUMMYFUNCTION("""COMPUTED_VALUE"""),"#VALUE!")</f>
        <v>#VALUE!</v>
      </c>
      <c r="DE1274" t="str">
        <f ca="1">IFERROR(__xludf.DUMMYFUNCTION("""COMPUTED_VALUE"""),"#VALUE!")</f>
        <v>#VALUE!</v>
      </c>
    </row>
    <row r="1275" spans="1:109" ht="13.2" x14ac:dyDescent="0.25">
      <c r="A1275" t="str">
        <f ca="1">IFERROR(__xludf.DUMMYFUNCTION("""COMPUTED_VALUE"""),"P1284")</f>
        <v>P1284</v>
      </c>
      <c r="BC1275" t="str">
        <f ca="1">IFERROR(__xludf.DUMMYFUNCTION("""COMPUTED_VALUE"""),"#VALUE!")</f>
        <v>#VALUE!</v>
      </c>
      <c r="BE1275" t="str">
        <f ca="1">IFERROR(__xludf.DUMMYFUNCTION("""COMPUTED_VALUE"""),"#VALUE!")</f>
        <v>#VALUE!</v>
      </c>
      <c r="BG1275" t="str">
        <f ca="1">IFERROR(__xludf.DUMMYFUNCTION("""COMPUTED_VALUE"""),"#VALUE!")</f>
        <v>#VALUE!</v>
      </c>
      <c r="BI1275" t="str">
        <f ca="1">IFERROR(__xludf.DUMMYFUNCTION("""COMPUTED_VALUE"""),"#VALUE!")</f>
        <v>#VALUE!</v>
      </c>
      <c r="BK1275" t="str">
        <f ca="1">IFERROR(__xludf.DUMMYFUNCTION("""COMPUTED_VALUE"""),"#VALUE!")</f>
        <v>#VALUE!</v>
      </c>
      <c r="BM1275" t="str">
        <f ca="1">IFERROR(__xludf.DUMMYFUNCTION("""COMPUTED_VALUE"""),"#VALUE!")</f>
        <v>#VALUE!</v>
      </c>
      <c r="CS1275" t="str">
        <f ca="1">IFERROR(__xludf.DUMMYFUNCTION("""COMPUTED_VALUE"""),"#VALUE!")</f>
        <v>#VALUE!</v>
      </c>
      <c r="CU1275" t="str">
        <f ca="1">IFERROR(__xludf.DUMMYFUNCTION("""COMPUTED_VALUE"""),"#VALUE!")</f>
        <v>#VALUE!</v>
      </c>
      <c r="CW1275" t="str">
        <f ca="1">IFERROR(__xludf.DUMMYFUNCTION("""COMPUTED_VALUE"""),"#VALUE!")</f>
        <v>#VALUE!</v>
      </c>
      <c r="CY1275" t="str">
        <f ca="1">IFERROR(__xludf.DUMMYFUNCTION("""COMPUTED_VALUE"""),"#VALUE!")</f>
        <v>#VALUE!</v>
      </c>
      <c r="DC1275" t="str">
        <f ca="1">IFERROR(__xludf.DUMMYFUNCTION("""COMPUTED_VALUE"""),"#VALUE!")</f>
        <v>#VALUE!</v>
      </c>
      <c r="DE1275" t="str">
        <f ca="1">IFERROR(__xludf.DUMMYFUNCTION("""COMPUTED_VALUE"""),"#VALUE!")</f>
        <v>#VALUE!</v>
      </c>
    </row>
    <row r="1276" spans="1:109" ht="13.2" x14ac:dyDescent="0.25">
      <c r="A1276" t="str">
        <f ca="1">IFERROR(__xludf.DUMMYFUNCTION("""COMPUTED_VALUE"""),"P1285")</f>
        <v>P1285</v>
      </c>
      <c r="BC1276" t="str">
        <f ca="1">IFERROR(__xludf.DUMMYFUNCTION("""COMPUTED_VALUE"""),"#VALUE!")</f>
        <v>#VALUE!</v>
      </c>
      <c r="BE1276" t="str">
        <f ca="1">IFERROR(__xludf.DUMMYFUNCTION("""COMPUTED_VALUE"""),"#VALUE!")</f>
        <v>#VALUE!</v>
      </c>
      <c r="BG1276" t="str">
        <f ca="1">IFERROR(__xludf.DUMMYFUNCTION("""COMPUTED_VALUE"""),"#VALUE!")</f>
        <v>#VALUE!</v>
      </c>
      <c r="BI1276" t="str">
        <f ca="1">IFERROR(__xludf.DUMMYFUNCTION("""COMPUTED_VALUE"""),"#VALUE!")</f>
        <v>#VALUE!</v>
      </c>
      <c r="BK1276" t="str">
        <f ca="1">IFERROR(__xludf.DUMMYFUNCTION("""COMPUTED_VALUE"""),"#VALUE!")</f>
        <v>#VALUE!</v>
      </c>
      <c r="BM1276" t="str">
        <f ca="1">IFERROR(__xludf.DUMMYFUNCTION("""COMPUTED_VALUE"""),"#VALUE!")</f>
        <v>#VALUE!</v>
      </c>
      <c r="CS1276" t="str">
        <f ca="1">IFERROR(__xludf.DUMMYFUNCTION("""COMPUTED_VALUE"""),"#VALUE!")</f>
        <v>#VALUE!</v>
      </c>
      <c r="CU1276" t="str">
        <f ca="1">IFERROR(__xludf.DUMMYFUNCTION("""COMPUTED_VALUE"""),"#VALUE!")</f>
        <v>#VALUE!</v>
      </c>
      <c r="CW1276" t="str">
        <f ca="1">IFERROR(__xludf.DUMMYFUNCTION("""COMPUTED_VALUE"""),"#VALUE!")</f>
        <v>#VALUE!</v>
      </c>
      <c r="CY1276" t="str">
        <f ca="1">IFERROR(__xludf.DUMMYFUNCTION("""COMPUTED_VALUE"""),"#VALUE!")</f>
        <v>#VALUE!</v>
      </c>
      <c r="DC1276" t="str">
        <f ca="1">IFERROR(__xludf.DUMMYFUNCTION("""COMPUTED_VALUE"""),"#VALUE!")</f>
        <v>#VALUE!</v>
      </c>
      <c r="DE1276" t="str">
        <f ca="1">IFERROR(__xludf.DUMMYFUNCTION("""COMPUTED_VALUE"""),"#VALUE!")</f>
        <v>#VALUE!</v>
      </c>
    </row>
    <row r="1277" spans="1:109" ht="13.2" x14ac:dyDescent="0.25">
      <c r="A1277" t="str">
        <f ca="1">IFERROR(__xludf.DUMMYFUNCTION("""COMPUTED_VALUE"""),"P1286")</f>
        <v>P1286</v>
      </c>
      <c r="BC1277" t="str">
        <f ca="1">IFERROR(__xludf.DUMMYFUNCTION("""COMPUTED_VALUE"""),"#VALUE!")</f>
        <v>#VALUE!</v>
      </c>
      <c r="BE1277" t="str">
        <f ca="1">IFERROR(__xludf.DUMMYFUNCTION("""COMPUTED_VALUE"""),"#VALUE!")</f>
        <v>#VALUE!</v>
      </c>
      <c r="BG1277" t="str">
        <f ca="1">IFERROR(__xludf.DUMMYFUNCTION("""COMPUTED_VALUE"""),"#VALUE!")</f>
        <v>#VALUE!</v>
      </c>
      <c r="BI1277" t="str">
        <f ca="1">IFERROR(__xludf.DUMMYFUNCTION("""COMPUTED_VALUE"""),"#VALUE!")</f>
        <v>#VALUE!</v>
      </c>
      <c r="BK1277" t="str">
        <f ca="1">IFERROR(__xludf.DUMMYFUNCTION("""COMPUTED_VALUE"""),"#VALUE!")</f>
        <v>#VALUE!</v>
      </c>
      <c r="BM1277" t="str">
        <f ca="1">IFERROR(__xludf.DUMMYFUNCTION("""COMPUTED_VALUE"""),"#VALUE!")</f>
        <v>#VALUE!</v>
      </c>
      <c r="CS1277" t="str">
        <f ca="1">IFERROR(__xludf.DUMMYFUNCTION("""COMPUTED_VALUE"""),"#VALUE!")</f>
        <v>#VALUE!</v>
      </c>
      <c r="CU1277" t="str">
        <f ca="1">IFERROR(__xludf.DUMMYFUNCTION("""COMPUTED_VALUE"""),"#VALUE!")</f>
        <v>#VALUE!</v>
      </c>
      <c r="CW1277" t="str">
        <f ca="1">IFERROR(__xludf.DUMMYFUNCTION("""COMPUTED_VALUE"""),"#VALUE!")</f>
        <v>#VALUE!</v>
      </c>
      <c r="CY1277" t="str">
        <f ca="1">IFERROR(__xludf.DUMMYFUNCTION("""COMPUTED_VALUE"""),"#VALUE!")</f>
        <v>#VALUE!</v>
      </c>
      <c r="DC1277" t="str">
        <f ca="1">IFERROR(__xludf.DUMMYFUNCTION("""COMPUTED_VALUE"""),"#VALUE!")</f>
        <v>#VALUE!</v>
      </c>
      <c r="DE1277" t="str">
        <f ca="1">IFERROR(__xludf.DUMMYFUNCTION("""COMPUTED_VALUE"""),"#VALUE!")</f>
        <v>#VALUE!</v>
      </c>
    </row>
    <row r="1278" spans="1:109" ht="13.2" x14ac:dyDescent="0.25">
      <c r="A1278" t="str">
        <f ca="1">IFERROR(__xludf.DUMMYFUNCTION("""COMPUTED_VALUE"""),"P1287")</f>
        <v>P1287</v>
      </c>
      <c r="BC1278" t="str">
        <f ca="1">IFERROR(__xludf.DUMMYFUNCTION("""COMPUTED_VALUE"""),"#VALUE!")</f>
        <v>#VALUE!</v>
      </c>
      <c r="BE1278" t="str">
        <f ca="1">IFERROR(__xludf.DUMMYFUNCTION("""COMPUTED_VALUE"""),"#VALUE!")</f>
        <v>#VALUE!</v>
      </c>
      <c r="BG1278" t="str">
        <f ca="1">IFERROR(__xludf.DUMMYFUNCTION("""COMPUTED_VALUE"""),"#VALUE!")</f>
        <v>#VALUE!</v>
      </c>
      <c r="BI1278" t="str">
        <f ca="1">IFERROR(__xludf.DUMMYFUNCTION("""COMPUTED_VALUE"""),"#VALUE!")</f>
        <v>#VALUE!</v>
      </c>
      <c r="BK1278" t="str">
        <f ca="1">IFERROR(__xludf.DUMMYFUNCTION("""COMPUTED_VALUE"""),"#VALUE!")</f>
        <v>#VALUE!</v>
      </c>
      <c r="BM1278" t="str">
        <f ca="1">IFERROR(__xludf.DUMMYFUNCTION("""COMPUTED_VALUE"""),"#VALUE!")</f>
        <v>#VALUE!</v>
      </c>
      <c r="CS1278" t="str">
        <f ca="1">IFERROR(__xludf.DUMMYFUNCTION("""COMPUTED_VALUE"""),"#VALUE!")</f>
        <v>#VALUE!</v>
      </c>
      <c r="CU1278" t="str">
        <f ca="1">IFERROR(__xludf.DUMMYFUNCTION("""COMPUTED_VALUE"""),"#VALUE!")</f>
        <v>#VALUE!</v>
      </c>
      <c r="CW1278" t="str">
        <f ca="1">IFERROR(__xludf.DUMMYFUNCTION("""COMPUTED_VALUE"""),"#VALUE!")</f>
        <v>#VALUE!</v>
      </c>
      <c r="CY1278" t="str">
        <f ca="1">IFERROR(__xludf.DUMMYFUNCTION("""COMPUTED_VALUE"""),"#VALUE!")</f>
        <v>#VALUE!</v>
      </c>
      <c r="DC1278" t="str">
        <f ca="1">IFERROR(__xludf.DUMMYFUNCTION("""COMPUTED_VALUE"""),"#VALUE!")</f>
        <v>#VALUE!</v>
      </c>
      <c r="DE1278" t="str">
        <f ca="1">IFERROR(__xludf.DUMMYFUNCTION("""COMPUTED_VALUE"""),"#VALUE!")</f>
        <v>#VALUE!</v>
      </c>
    </row>
    <row r="1279" spans="1:109" ht="13.2" x14ac:dyDescent="0.25">
      <c r="A1279" t="str">
        <f ca="1">IFERROR(__xludf.DUMMYFUNCTION("""COMPUTED_VALUE"""),"P1288")</f>
        <v>P1288</v>
      </c>
      <c r="BC1279" t="str">
        <f ca="1">IFERROR(__xludf.DUMMYFUNCTION("""COMPUTED_VALUE"""),"#VALUE!")</f>
        <v>#VALUE!</v>
      </c>
      <c r="BE1279" t="str">
        <f ca="1">IFERROR(__xludf.DUMMYFUNCTION("""COMPUTED_VALUE"""),"#VALUE!")</f>
        <v>#VALUE!</v>
      </c>
      <c r="BG1279" t="str">
        <f ca="1">IFERROR(__xludf.DUMMYFUNCTION("""COMPUTED_VALUE"""),"#VALUE!")</f>
        <v>#VALUE!</v>
      </c>
      <c r="BI1279" t="str">
        <f ca="1">IFERROR(__xludf.DUMMYFUNCTION("""COMPUTED_VALUE"""),"#VALUE!")</f>
        <v>#VALUE!</v>
      </c>
      <c r="BK1279" t="str">
        <f ca="1">IFERROR(__xludf.DUMMYFUNCTION("""COMPUTED_VALUE"""),"#VALUE!")</f>
        <v>#VALUE!</v>
      </c>
      <c r="BM1279" t="str">
        <f ca="1">IFERROR(__xludf.DUMMYFUNCTION("""COMPUTED_VALUE"""),"#VALUE!")</f>
        <v>#VALUE!</v>
      </c>
      <c r="CS1279" t="str">
        <f ca="1">IFERROR(__xludf.DUMMYFUNCTION("""COMPUTED_VALUE"""),"#VALUE!")</f>
        <v>#VALUE!</v>
      </c>
      <c r="CU1279" t="str">
        <f ca="1">IFERROR(__xludf.DUMMYFUNCTION("""COMPUTED_VALUE"""),"#VALUE!")</f>
        <v>#VALUE!</v>
      </c>
      <c r="CW1279" t="str">
        <f ca="1">IFERROR(__xludf.DUMMYFUNCTION("""COMPUTED_VALUE"""),"#VALUE!")</f>
        <v>#VALUE!</v>
      </c>
      <c r="CY1279" t="str">
        <f ca="1">IFERROR(__xludf.DUMMYFUNCTION("""COMPUTED_VALUE"""),"#VALUE!")</f>
        <v>#VALUE!</v>
      </c>
      <c r="DC1279" t="str">
        <f ca="1">IFERROR(__xludf.DUMMYFUNCTION("""COMPUTED_VALUE"""),"#VALUE!")</f>
        <v>#VALUE!</v>
      </c>
      <c r="DE1279" t="str">
        <f ca="1">IFERROR(__xludf.DUMMYFUNCTION("""COMPUTED_VALUE"""),"#VALUE!")</f>
        <v>#VALUE!</v>
      </c>
    </row>
    <row r="1280" spans="1:109" ht="13.2" x14ac:dyDescent="0.25">
      <c r="A1280" t="str">
        <f ca="1">IFERROR(__xludf.DUMMYFUNCTION("""COMPUTED_VALUE"""),"P1289")</f>
        <v>P1289</v>
      </c>
      <c r="BC1280" t="str">
        <f ca="1">IFERROR(__xludf.DUMMYFUNCTION("""COMPUTED_VALUE"""),"#VALUE!")</f>
        <v>#VALUE!</v>
      </c>
      <c r="BE1280" t="str">
        <f ca="1">IFERROR(__xludf.DUMMYFUNCTION("""COMPUTED_VALUE"""),"#VALUE!")</f>
        <v>#VALUE!</v>
      </c>
      <c r="BG1280" t="str">
        <f ca="1">IFERROR(__xludf.DUMMYFUNCTION("""COMPUTED_VALUE"""),"#VALUE!")</f>
        <v>#VALUE!</v>
      </c>
      <c r="BI1280" t="str">
        <f ca="1">IFERROR(__xludf.DUMMYFUNCTION("""COMPUTED_VALUE"""),"#VALUE!")</f>
        <v>#VALUE!</v>
      </c>
      <c r="BK1280" t="str">
        <f ca="1">IFERROR(__xludf.DUMMYFUNCTION("""COMPUTED_VALUE"""),"#VALUE!")</f>
        <v>#VALUE!</v>
      </c>
      <c r="BM1280" t="str">
        <f ca="1">IFERROR(__xludf.DUMMYFUNCTION("""COMPUTED_VALUE"""),"#VALUE!")</f>
        <v>#VALUE!</v>
      </c>
      <c r="CS1280" t="str">
        <f ca="1">IFERROR(__xludf.DUMMYFUNCTION("""COMPUTED_VALUE"""),"#VALUE!")</f>
        <v>#VALUE!</v>
      </c>
      <c r="CU1280" t="str">
        <f ca="1">IFERROR(__xludf.DUMMYFUNCTION("""COMPUTED_VALUE"""),"#VALUE!")</f>
        <v>#VALUE!</v>
      </c>
      <c r="CW1280" t="str">
        <f ca="1">IFERROR(__xludf.DUMMYFUNCTION("""COMPUTED_VALUE"""),"#VALUE!")</f>
        <v>#VALUE!</v>
      </c>
      <c r="CY1280" t="str">
        <f ca="1">IFERROR(__xludf.DUMMYFUNCTION("""COMPUTED_VALUE"""),"#VALUE!")</f>
        <v>#VALUE!</v>
      </c>
      <c r="DC1280" t="str">
        <f ca="1">IFERROR(__xludf.DUMMYFUNCTION("""COMPUTED_VALUE"""),"#VALUE!")</f>
        <v>#VALUE!</v>
      </c>
      <c r="DE1280" t="str">
        <f ca="1">IFERROR(__xludf.DUMMYFUNCTION("""COMPUTED_VALUE"""),"#VALUE!")</f>
        <v>#VALUE!</v>
      </c>
    </row>
    <row r="1281" spans="1:109" ht="13.2" x14ac:dyDescent="0.25">
      <c r="A1281" t="str">
        <f ca="1">IFERROR(__xludf.DUMMYFUNCTION("""COMPUTED_VALUE"""),"P1290")</f>
        <v>P1290</v>
      </c>
      <c r="BC1281" t="str">
        <f ca="1">IFERROR(__xludf.DUMMYFUNCTION("""COMPUTED_VALUE"""),"#VALUE!")</f>
        <v>#VALUE!</v>
      </c>
      <c r="BE1281" t="str">
        <f ca="1">IFERROR(__xludf.DUMMYFUNCTION("""COMPUTED_VALUE"""),"#VALUE!")</f>
        <v>#VALUE!</v>
      </c>
      <c r="BG1281" t="str">
        <f ca="1">IFERROR(__xludf.DUMMYFUNCTION("""COMPUTED_VALUE"""),"#VALUE!")</f>
        <v>#VALUE!</v>
      </c>
      <c r="BI1281" t="str">
        <f ca="1">IFERROR(__xludf.DUMMYFUNCTION("""COMPUTED_VALUE"""),"#VALUE!")</f>
        <v>#VALUE!</v>
      </c>
      <c r="BK1281" t="str">
        <f ca="1">IFERROR(__xludf.DUMMYFUNCTION("""COMPUTED_VALUE"""),"#VALUE!")</f>
        <v>#VALUE!</v>
      </c>
      <c r="BM1281" t="str">
        <f ca="1">IFERROR(__xludf.DUMMYFUNCTION("""COMPUTED_VALUE"""),"#VALUE!")</f>
        <v>#VALUE!</v>
      </c>
      <c r="CS1281" t="str">
        <f ca="1">IFERROR(__xludf.DUMMYFUNCTION("""COMPUTED_VALUE"""),"#VALUE!")</f>
        <v>#VALUE!</v>
      </c>
      <c r="CU1281" t="str">
        <f ca="1">IFERROR(__xludf.DUMMYFUNCTION("""COMPUTED_VALUE"""),"#VALUE!")</f>
        <v>#VALUE!</v>
      </c>
      <c r="CW1281" t="str">
        <f ca="1">IFERROR(__xludf.DUMMYFUNCTION("""COMPUTED_VALUE"""),"#VALUE!")</f>
        <v>#VALUE!</v>
      </c>
      <c r="CY1281" t="str">
        <f ca="1">IFERROR(__xludf.DUMMYFUNCTION("""COMPUTED_VALUE"""),"#VALUE!")</f>
        <v>#VALUE!</v>
      </c>
      <c r="DC1281" t="str">
        <f ca="1">IFERROR(__xludf.DUMMYFUNCTION("""COMPUTED_VALUE"""),"#VALUE!")</f>
        <v>#VALUE!</v>
      </c>
      <c r="DE1281" t="str">
        <f ca="1">IFERROR(__xludf.DUMMYFUNCTION("""COMPUTED_VALUE"""),"#VALUE!")</f>
        <v>#VALUE!</v>
      </c>
    </row>
    <row r="1282" spans="1:109" ht="13.2" x14ac:dyDescent="0.25">
      <c r="A1282" t="str">
        <f ca="1">IFERROR(__xludf.DUMMYFUNCTION("""COMPUTED_VALUE"""),"P1291")</f>
        <v>P1291</v>
      </c>
      <c r="BC1282" t="str">
        <f ca="1">IFERROR(__xludf.DUMMYFUNCTION("""COMPUTED_VALUE"""),"#VALUE!")</f>
        <v>#VALUE!</v>
      </c>
      <c r="BE1282" t="str">
        <f ca="1">IFERROR(__xludf.DUMMYFUNCTION("""COMPUTED_VALUE"""),"#VALUE!")</f>
        <v>#VALUE!</v>
      </c>
      <c r="BG1282" t="str">
        <f ca="1">IFERROR(__xludf.DUMMYFUNCTION("""COMPUTED_VALUE"""),"#VALUE!")</f>
        <v>#VALUE!</v>
      </c>
      <c r="BI1282" t="str">
        <f ca="1">IFERROR(__xludf.DUMMYFUNCTION("""COMPUTED_VALUE"""),"#VALUE!")</f>
        <v>#VALUE!</v>
      </c>
      <c r="BK1282" t="str">
        <f ca="1">IFERROR(__xludf.DUMMYFUNCTION("""COMPUTED_VALUE"""),"#VALUE!")</f>
        <v>#VALUE!</v>
      </c>
      <c r="BM1282" t="str">
        <f ca="1">IFERROR(__xludf.DUMMYFUNCTION("""COMPUTED_VALUE"""),"#VALUE!")</f>
        <v>#VALUE!</v>
      </c>
      <c r="CS1282" t="str">
        <f ca="1">IFERROR(__xludf.DUMMYFUNCTION("""COMPUTED_VALUE"""),"#VALUE!")</f>
        <v>#VALUE!</v>
      </c>
      <c r="CU1282" t="str">
        <f ca="1">IFERROR(__xludf.DUMMYFUNCTION("""COMPUTED_VALUE"""),"#VALUE!")</f>
        <v>#VALUE!</v>
      </c>
      <c r="CW1282" t="str">
        <f ca="1">IFERROR(__xludf.DUMMYFUNCTION("""COMPUTED_VALUE"""),"#VALUE!")</f>
        <v>#VALUE!</v>
      </c>
      <c r="CY1282" t="str">
        <f ca="1">IFERROR(__xludf.DUMMYFUNCTION("""COMPUTED_VALUE"""),"#VALUE!")</f>
        <v>#VALUE!</v>
      </c>
      <c r="DC1282" t="str">
        <f ca="1">IFERROR(__xludf.DUMMYFUNCTION("""COMPUTED_VALUE"""),"#VALUE!")</f>
        <v>#VALUE!</v>
      </c>
      <c r="DE1282" t="str">
        <f ca="1">IFERROR(__xludf.DUMMYFUNCTION("""COMPUTED_VALUE"""),"#VALUE!")</f>
        <v>#VALUE!</v>
      </c>
    </row>
    <row r="1283" spans="1:109" ht="13.2" x14ac:dyDescent="0.25">
      <c r="A1283" t="str">
        <f ca="1">IFERROR(__xludf.DUMMYFUNCTION("""COMPUTED_VALUE"""),"P1292")</f>
        <v>P1292</v>
      </c>
      <c r="BC1283" t="str">
        <f ca="1">IFERROR(__xludf.DUMMYFUNCTION("""COMPUTED_VALUE"""),"#VALUE!")</f>
        <v>#VALUE!</v>
      </c>
      <c r="BE1283" t="str">
        <f ca="1">IFERROR(__xludf.DUMMYFUNCTION("""COMPUTED_VALUE"""),"#VALUE!")</f>
        <v>#VALUE!</v>
      </c>
      <c r="BG1283" t="str">
        <f ca="1">IFERROR(__xludf.DUMMYFUNCTION("""COMPUTED_VALUE"""),"#VALUE!")</f>
        <v>#VALUE!</v>
      </c>
      <c r="BI1283" t="str">
        <f ca="1">IFERROR(__xludf.DUMMYFUNCTION("""COMPUTED_VALUE"""),"#VALUE!")</f>
        <v>#VALUE!</v>
      </c>
      <c r="BK1283" t="str">
        <f ca="1">IFERROR(__xludf.DUMMYFUNCTION("""COMPUTED_VALUE"""),"#VALUE!")</f>
        <v>#VALUE!</v>
      </c>
      <c r="BM1283" t="str">
        <f ca="1">IFERROR(__xludf.DUMMYFUNCTION("""COMPUTED_VALUE"""),"#VALUE!")</f>
        <v>#VALUE!</v>
      </c>
      <c r="CS1283" t="str">
        <f ca="1">IFERROR(__xludf.DUMMYFUNCTION("""COMPUTED_VALUE"""),"#VALUE!")</f>
        <v>#VALUE!</v>
      </c>
      <c r="CU1283" t="str">
        <f ca="1">IFERROR(__xludf.DUMMYFUNCTION("""COMPUTED_VALUE"""),"#VALUE!")</f>
        <v>#VALUE!</v>
      </c>
      <c r="CW1283" t="str">
        <f ca="1">IFERROR(__xludf.DUMMYFUNCTION("""COMPUTED_VALUE"""),"#VALUE!")</f>
        <v>#VALUE!</v>
      </c>
      <c r="CY1283" t="str">
        <f ca="1">IFERROR(__xludf.DUMMYFUNCTION("""COMPUTED_VALUE"""),"#VALUE!")</f>
        <v>#VALUE!</v>
      </c>
      <c r="DC1283" t="str">
        <f ca="1">IFERROR(__xludf.DUMMYFUNCTION("""COMPUTED_VALUE"""),"#VALUE!")</f>
        <v>#VALUE!</v>
      </c>
      <c r="DE1283" t="str">
        <f ca="1">IFERROR(__xludf.DUMMYFUNCTION("""COMPUTED_VALUE"""),"#VALUE!")</f>
        <v>#VALUE!</v>
      </c>
    </row>
    <row r="1284" spans="1:109" ht="13.2" x14ac:dyDescent="0.25">
      <c r="A1284" t="str">
        <f ca="1">IFERROR(__xludf.DUMMYFUNCTION("""COMPUTED_VALUE"""),"P1293")</f>
        <v>P1293</v>
      </c>
      <c r="BC1284" t="str">
        <f ca="1">IFERROR(__xludf.DUMMYFUNCTION("""COMPUTED_VALUE"""),"#VALUE!")</f>
        <v>#VALUE!</v>
      </c>
      <c r="BE1284" t="str">
        <f ca="1">IFERROR(__xludf.DUMMYFUNCTION("""COMPUTED_VALUE"""),"#VALUE!")</f>
        <v>#VALUE!</v>
      </c>
      <c r="BG1284" t="str">
        <f ca="1">IFERROR(__xludf.DUMMYFUNCTION("""COMPUTED_VALUE"""),"#VALUE!")</f>
        <v>#VALUE!</v>
      </c>
      <c r="BI1284" t="str">
        <f ca="1">IFERROR(__xludf.DUMMYFUNCTION("""COMPUTED_VALUE"""),"#VALUE!")</f>
        <v>#VALUE!</v>
      </c>
      <c r="BK1284" t="str">
        <f ca="1">IFERROR(__xludf.DUMMYFUNCTION("""COMPUTED_VALUE"""),"#VALUE!")</f>
        <v>#VALUE!</v>
      </c>
      <c r="BM1284" t="str">
        <f ca="1">IFERROR(__xludf.DUMMYFUNCTION("""COMPUTED_VALUE"""),"#VALUE!")</f>
        <v>#VALUE!</v>
      </c>
      <c r="CS1284" t="str">
        <f ca="1">IFERROR(__xludf.DUMMYFUNCTION("""COMPUTED_VALUE"""),"#VALUE!")</f>
        <v>#VALUE!</v>
      </c>
      <c r="CU1284" t="str">
        <f ca="1">IFERROR(__xludf.DUMMYFUNCTION("""COMPUTED_VALUE"""),"#VALUE!")</f>
        <v>#VALUE!</v>
      </c>
      <c r="CW1284" t="str">
        <f ca="1">IFERROR(__xludf.DUMMYFUNCTION("""COMPUTED_VALUE"""),"#VALUE!")</f>
        <v>#VALUE!</v>
      </c>
      <c r="CY1284" t="str">
        <f ca="1">IFERROR(__xludf.DUMMYFUNCTION("""COMPUTED_VALUE"""),"#VALUE!")</f>
        <v>#VALUE!</v>
      </c>
      <c r="DC1284" t="str">
        <f ca="1">IFERROR(__xludf.DUMMYFUNCTION("""COMPUTED_VALUE"""),"#VALUE!")</f>
        <v>#VALUE!</v>
      </c>
      <c r="DE1284" t="str">
        <f ca="1">IFERROR(__xludf.DUMMYFUNCTION("""COMPUTED_VALUE"""),"#VALUE!")</f>
        <v>#VALUE!</v>
      </c>
    </row>
    <row r="1285" spans="1:109" ht="13.2" x14ac:dyDescent="0.25">
      <c r="A1285" t="str">
        <f ca="1">IFERROR(__xludf.DUMMYFUNCTION("""COMPUTED_VALUE"""),"P1294")</f>
        <v>P1294</v>
      </c>
      <c r="BC1285" t="str">
        <f ca="1">IFERROR(__xludf.DUMMYFUNCTION("""COMPUTED_VALUE"""),"#VALUE!")</f>
        <v>#VALUE!</v>
      </c>
      <c r="BE1285" t="str">
        <f ca="1">IFERROR(__xludf.DUMMYFUNCTION("""COMPUTED_VALUE"""),"#VALUE!")</f>
        <v>#VALUE!</v>
      </c>
      <c r="BG1285" t="str">
        <f ca="1">IFERROR(__xludf.DUMMYFUNCTION("""COMPUTED_VALUE"""),"#VALUE!")</f>
        <v>#VALUE!</v>
      </c>
      <c r="BI1285" t="str">
        <f ca="1">IFERROR(__xludf.DUMMYFUNCTION("""COMPUTED_VALUE"""),"#VALUE!")</f>
        <v>#VALUE!</v>
      </c>
      <c r="BK1285" t="str">
        <f ca="1">IFERROR(__xludf.DUMMYFUNCTION("""COMPUTED_VALUE"""),"#VALUE!")</f>
        <v>#VALUE!</v>
      </c>
      <c r="BM1285" t="str">
        <f ca="1">IFERROR(__xludf.DUMMYFUNCTION("""COMPUTED_VALUE"""),"#VALUE!")</f>
        <v>#VALUE!</v>
      </c>
      <c r="CS1285" t="str">
        <f ca="1">IFERROR(__xludf.DUMMYFUNCTION("""COMPUTED_VALUE"""),"#VALUE!")</f>
        <v>#VALUE!</v>
      </c>
      <c r="CU1285" t="str">
        <f ca="1">IFERROR(__xludf.DUMMYFUNCTION("""COMPUTED_VALUE"""),"#VALUE!")</f>
        <v>#VALUE!</v>
      </c>
      <c r="CW1285" t="str">
        <f ca="1">IFERROR(__xludf.DUMMYFUNCTION("""COMPUTED_VALUE"""),"#VALUE!")</f>
        <v>#VALUE!</v>
      </c>
      <c r="CY1285" t="str">
        <f ca="1">IFERROR(__xludf.DUMMYFUNCTION("""COMPUTED_VALUE"""),"#VALUE!")</f>
        <v>#VALUE!</v>
      </c>
      <c r="DC1285" t="str">
        <f ca="1">IFERROR(__xludf.DUMMYFUNCTION("""COMPUTED_VALUE"""),"#VALUE!")</f>
        <v>#VALUE!</v>
      </c>
      <c r="DE1285" t="str">
        <f ca="1">IFERROR(__xludf.DUMMYFUNCTION("""COMPUTED_VALUE"""),"#VALUE!")</f>
        <v>#VALUE!</v>
      </c>
    </row>
    <row r="1286" spans="1:109" ht="13.2" x14ac:dyDescent="0.25">
      <c r="A1286" t="str">
        <f ca="1">IFERROR(__xludf.DUMMYFUNCTION("""COMPUTED_VALUE"""),"P1295")</f>
        <v>P1295</v>
      </c>
      <c r="BC1286" t="str">
        <f ca="1">IFERROR(__xludf.DUMMYFUNCTION("""COMPUTED_VALUE"""),"#VALUE!")</f>
        <v>#VALUE!</v>
      </c>
      <c r="BE1286" t="str">
        <f ca="1">IFERROR(__xludf.DUMMYFUNCTION("""COMPUTED_VALUE"""),"#VALUE!")</f>
        <v>#VALUE!</v>
      </c>
      <c r="BG1286" t="str">
        <f ca="1">IFERROR(__xludf.DUMMYFUNCTION("""COMPUTED_VALUE"""),"#VALUE!")</f>
        <v>#VALUE!</v>
      </c>
      <c r="BI1286" t="str">
        <f ca="1">IFERROR(__xludf.DUMMYFUNCTION("""COMPUTED_VALUE"""),"#VALUE!")</f>
        <v>#VALUE!</v>
      </c>
      <c r="BK1286" t="str">
        <f ca="1">IFERROR(__xludf.DUMMYFUNCTION("""COMPUTED_VALUE"""),"#VALUE!")</f>
        <v>#VALUE!</v>
      </c>
      <c r="BM1286" t="str">
        <f ca="1">IFERROR(__xludf.DUMMYFUNCTION("""COMPUTED_VALUE"""),"#VALUE!")</f>
        <v>#VALUE!</v>
      </c>
      <c r="CS1286" t="str">
        <f ca="1">IFERROR(__xludf.DUMMYFUNCTION("""COMPUTED_VALUE"""),"#VALUE!")</f>
        <v>#VALUE!</v>
      </c>
      <c r="CU1286" t="str">
        <f ca="1">IFERROR(__xludf.DUMMYFUNCTION("""COMPUTED_VALUE"""),"#VALUE!")</f>
        <v>#VALUE!</v>
      </c>
      <c r="CW1286" t="str">
        <f ca="1">IFERROR(__xludf.DUMMYFUNCTION("""COMPUTED_VALUE"""),"#VALUE!")</f>
        <v>#VALUE!</v>
      </c>
      <c r="CY1286" t="str">
        <f ca="1">IFERROR(__xludf.DUMMYFUNCTION("""COMPUTED_VALUE"""),"#VALUE!")</f>
        <v>#VALUE!</v>
      </c>
      <c r="DC1286" t="str">
        <f ca="1">IFERROR(__xludf.DUMMYFUNCTION("""COMPUTED_VALUE"""),"#VALUE!")</f>
        <v>#VALUE!</v>
      </c>
      <c r="DE1286" t="str">
        <f ca="1">IFERROR(__xludf.DUMMYFUNCTION("""COMPUTED_VALUE"""),"#VALUE!")</f>
        <v>#VALUE!</v>
      </c>
    </row>
    <row r="1287" spans="1:109" ht="13.2" x14ac:dyDescent="0.25">
      <c r="A1287" t="str">
        <f ca="1">IFERROR(__xludf.DUMMYFUNCTION("""COMPUTED_VALUE"""),"P1296")</f>
        <v>P1296</v>
      </c>
      <c r="BC1287" t="str">
        <f ca="1">IFERROR(__xludf.DUMMYFUNCTION("""COMPUTED_VALUE"""),"#VALUE!")</f>
        <v>#VALUE!</v>
      </c>
      <c r="BE1287" t="str">
        <f ca="1">IFERROR(__xludf.DUMMYFUNCTION("""COMPUTED_VALUE"""),"#VALUE!")</f>
        <v>#VALUE!</v>
      </c>
      <c r="BG1287" t="str">
        <f ca="1">IFERROR(__xludf.DUMMYFUNCTION("""COMPUTED_VALUE"""),"#VALUE!")</f>
        <v>#VALUE!</v>
      </c>
      <c r="BI1287" t="str">
        <f ca="1">IFERROR(__xludf.DUMMYFUNCTION("""COMPUTED_VALUE"""),"#VALUE!")</f>
        <v>#VALUE!</v>
      </c>
      <c r="BK1287" t="str">
        <f ca="1">IFERROR(__xludf.DUMMYFUNCTION("""COMPUTED_VALUE"""),"#VALUE!")</f>
        <v>#VALUE!</v>
      </c>
      <c r="BM1287" t="str">
        <f ca="1">IFERROR(__xludf.DUMMYFUNCTION("""COMPUTED_VALUE"""),"#VALUE!")</f>
        <v>#VALUE!</v>
      </c>
      <c r="CS1287" t="str">
        <f ca="1">IFERROR(__xludf.DUMMYFUNCTION("""COMPUTED_VALUE"""),"#VALUE!")</f>
        <v>#VALUE!</v>
      </c>
      <c r="CU1287" t="str">
        <f ca="1">IFERROR(__xludf.DUMMYFUNCTION("""COMPUTED_VALUE"""),"#VALUE!")</f>
        <v>#VALUE!</v>
      </c>
      <c r="CW1287" t="str">
        <f ca="1">IFERROR(__xludf.DUMMYFUNCTION("""COMPUTED_VALUE"""),"#VALUE!")</f>
        <v>#VALUE!</v>
      </c>
      <c r="CY1287" t="str">
        <f ca="1">IFERROR(__xludf.DUMMYFUNCTION("""COMPUTED_VALUE"""),"#VALUE!")</f>
        <v>#VALUE!</v>
      </c>
      <c r="DC1287" t="str">
        <f ca="1">IFERROR(__xludf.DUMMYFUNCTION("""COMPUTED_VALUE"""),"#VALUE!")</f>
        <v>#VALUE!</v>
      </c>
      <c r="DE1287" t="str">
        <f ca="1">IFERROR(__xludf.DUMMYFUNCTION("""COMPUTED_VALUE"""),"#VALUE!")</f>
        <v>#VALUE!</v>
      </c>
    </row>
    <row r="1288" spans="1:109" ht="13.2" x14ac:dyDescent="0.25">
      <c r="A1288" t="str">
        <f ca="1">IFERROR(__xludf.DUMMYFUNCTION("""COMPUTED_VALUE"""),"P1297")</f>
        <v>P1297</v>
      </c>
      <c r="BC1288" t="str">
        <f ca="1">IFERROR(__xludf.DUMMYFUNCTION("""COMPUTED_VALUE"""),"#VALUE!")</f>
        <v>#VALUE!</v>
      </c>
      <c r="BE1288" t="str">
        <f ca="1">IFERROR(__xludf.DUMMYFUNCTION("""COMPUTED_VALUE"""),"#VALUE!")</f>
        <v>#VALUE!</v>
      </c>
      <c r="BG1288" t="str">
        <f ca="1">IFERROR(__xludf.DUMMYFUNCTION("""COMPUTED_VALUE"""),"#VALUE!")</f>
        <v>#VALUE!</v>
      </c>
      <c r="BI1288" t="str">
        <f ca="1">IFERROR(__xludf.DUMMYFUNCTION("""COMPUTED_VALUE"""),"#VALUE!")</f>
        <v>#VALUE!</v>
      </c>
      <c r="BK1288" t="str">
        <f ca="1">IFERROR(__xludf.DUMMYFUNCTION("""COMPUTED_VALUE"""),"#VALUE!")</f>
        <v>#VALUE!</v>
      </c>
      <c r="BM1288" t="str">
        <f ca="1">IFERROR(__xludf.DUMMYFUNCTION("""COMPUTED_VALUE"""),"#VALUE!")</f>
        <v>#VALUE!</v>
      </c>
      <c r="CS1288" t="str">
        <f ca="1">IFERROR(__xludf.DUMMYFUNCTION("""COMPUTED_VALUE"""),"#VALUE!")</f>
        <v>#VALUE!</v>
      </c>
      <c r="CU1288" t="str">
        <f ca="1">IFERROR(__xludf.DUMMYFUNCTION("""COMPUTED_VALUE"""),"#VALUE!")</f>
        <v>#VALUE!</v>
      </c>
      <c r="CW1288" t="str">
        <f ca="1">IFERROR(__xludf.DUMMYFUNCTION("""COMPUTED_VALUE"""),"#VALUE!")</f>
        <v>#VALUE!</v>
      </c>
      <c r="CY1288" t="str">
        <f ca="1">IFERROR(__xludf.DUMMYFUNCTION("""COMPUTED_VALUE"""),"#VALUE!")</f>
        <v>#VALUE!</v>
      </c>
      <c r="DC1288" t="str">
        <f ca="1">IFERROR(__xludf.DUMMYFUNCTION("""COMPUTED_VALUE"""),"#VALUE!")</f>
        <v>#VALUE!</v>
      </c>
      <c r="DE1288" t="str">
        <f ca="1">IFERROR(__xludf.DUMMYFUNCTION("""COMPUTED_VALUE"""),"#VALUE!")</f>
        <v>#VALUE!</v>
      </c>
    </row>
    <row r="1289" spans="1:109" ht="13.2" x14ac:dyDescent="0.25">
      <c r="A1289" t="str">
        <f ca="1">IFERROR(__xludf.DUMMYFUNCTION("""COMPUTED_VALUE"""),"P1298")</f>
        <v>P1298</v>
      </c>
      <c r="BC1289" t="str">
        <f ca="1">IFERROR(__xludf.DUMMYFUNCTION("""COMPUTED_VALUE"""),"#VALUE!")</f>
        <v>#VALUE!</v>
      </c>
      <c r="BE1289" t="str">
        <f ca="1">IFERROR(__xludf.DUMMYFUNCTION("""COMPUTED_VALUE"""),"#VALUE!")</f>
        <v>#VALUE!</v>
      </c>
      <c r="BG1289" t="str">
        <f ca="1">IFERROR(__xludf.DUMMYFUNCTION("""COMPUTED_VALUE"""),"#VALUE!")</f>
        <v>#VALUE!</v>
      </c>
      <c r="BI1289" t="str">
        <f ca="1">IFERROR(__xludf.DUMMYFUNCTION("""COMPUTED_VALUE"""),"#VALUE!")</f>
        <v>#VALUE!</v>
      </c>
      <c r="BK1289" t="str">
        <f ca="1">IFERROR(__xludf.DUMMYFUNCTION("""COMPUTED_VALUE"""),"#VALUE!")</f>
        <v>#VALUE!</v>
      </c>
      <c r="BM1289" t="str">
        <f ca="1">IFERROR(__xludf.DUMMYFUNCTION("""COMPUTED_VALUE"""),"#VALUE!")</f>
        <v>#VALUE!</v>
      </c>
      <c r="CS1289" t="str">
        <f ca="1">IFERROR(__xludf.DUMMYFUNCTION("""COMPUTED_VALUE"""),"#VALUE!")</f>
        <v>#VALUE!</v>
      </c>
      <c r="CU1289" t="str">
        <f ca="1">IFERROR(__xludf.DUMMYFUNCTION("""COMPUTED_VALUE"""),"#VALUE!")</f>
        <v>#VALUE!</v>
      </c>
      <c r="CW1289" t="str">
        <f ca="1">IFERROR(__xludf.DUMMYFUNCTION("""COMPUTED_VALUE"""),"#VALUE!")</f>
        <v>#VALUE!</v>
      </c>
      <c r="CY1289" t="str">
        <f ca="1">IFERROR(__xludf.DUMMYFUNCTION("""COMPUTED_VALUE"""),"#VALUE!")</f>
        <v>#VALUE!</v>
      </c>
      <c r="DC1289" t="str">
        <f ca="1">IFERROR(__xludf.DUMMYFUNCTION("""COMPUTED_VALUE"""),"#VALUE!")</f>
        <v>#VALUE!</v>
      </c>
      <c r="DE1289" t="str">
        <f ca="1">IFERROR(__xludf.DUMMYFUNCTION("""COMPUTED_VALUE"""),"#VALUE!")</f>
        <v>#VALUE!</v>
      </c>
    </row>
    <row r="1290" spans="1:109" ht="13.2" x14ac:dyDescent="0.25">
      <c r="A1290" t="str">
        <f ca="1">IFERROR(__xludf.DUMMYFUNCTION("""COMPUTED_VALUE"""),"P1299")</f>
        <v>P1299</v>
      </c>
      <c r="BC1290" t="str">
        <f ca="1">IFERROR(__xludf.DUMMYFUNCTION("""COMPUTED_VALUE"""),"#VALUE!")</f>
        <v>#VALUE!</v>
      </c>
      <c r="BE1290" t="str">
        <f ca="1">IFERROR(__xludf.DUMMYFUNCTION("""COMPUTED_VALUE"""),"#VALUE!")</f>
        <v>#VALUE!</v>
      </c>
      <c r="BG1290" t="str">
        <f ca="1">IFERROR(__xludf.DUMMYFUNCTION("""COMPUTED_VALUE"""),"#VALUE!")</f>
        <v>#VALUE!</v>
      </c>
      <c r="BI1290" t="str">
        <f ca="1">IFERROR(__xludf.DUMMYFUNCTION("""COMPUTED_VALUE"""),"#VALUE!")</f>
        <v>#VALUE!</v>
      </c>
      <c r="BK1290" t="str">
        <f ca="1">IFERROR(__xludf.DUMMYFUNCTION("""COMPUTED_VALUE"""),"#VALUE!")</f>
        <v>#VALUE!</v>
      </c>
      <c r="BM1290" t="str">
        <f ca="1">IFERROR(__xludf.DUMMYFUNCTION("""COMPUTED_VALUE"""),"#VALUE!")</f>
        <v>#VALUE!</v>
      </c>
      <c r="CS1290" t="str">
        <f ca="1">IFERROR(__xludf.DUMMYFUNCTION("""COMPUTED_VALUE"""),"#VALUE!")</f>
        <v>#VALUE!</v>
      </c>
      <c r="CU1290" t="str">
        <f ca="1">IFERROR(__xludf.DUMMYFUNCTION("""COMPUTED_VALUE"""),"#VALUE!")</f>
        <v>#VALUE!</v>
      </c>
      <c r="CW1290" t="str">
        <f ca="1">IFERROR(__xludf.DUMMYFUNCTION("""COMPUTED_VALUE"""),"#VALUE!")</f>
        <v>#VALUE!</v>
      </c>
      <c r="CY1290" t="str">
        <f ca="1">IFERROR(__xludf.DUMMYFUNCTION("""COMPUTED_VALUE"""),"#VALUE!")</f>
        <v>#VALUE!</v>
      </c>
      <c r="DC1290" t="str">
        <f ca="1">IFERROR(__xludf.DUMMYFUNCTION("""COMPUTED_VALUE"""),"#VALUE!")</f>
        <v>#VALUE!</v>
      </c>
      <c r="DE1290" t="str">
        <f ca="1">IFERROR(__xludf.DUMMYFUNCTION("""COMPUTED_VALUE"""),"#VALUE!")</f>
        <v>#VALUE!</v>
      </c>
    </row>
    <row r="1291" spans="1:109" ht="13.2" x14ac:dyDescent="0.25">
      <c r="A1291" t="str">
        <f ca="1">IFERROR(__xludf.DUMMYFUNCTION("""COMPUTED_VALUE"""),"P1300")</f>
        <v>P1300</v>
      </c>
      <c r="BC1291" t="str">
        <f ca="1">IFERROR(__xludf.DUMMYFUNCTION("""COMPUTED_VALUE"""),"#VALUE!")</f>
        <v>#VALUE!</v>
      </c>
      <c r="BE1291" t="str">
        <f ca="1">IFERROR(__xludf.DUMMYFUNCTION("""COMPUTED_VALUE"""),"#VALUE!")</f>
        <v>#VALUE!</v>
      </c>
      <c r="BG1291" t="str">
        <f ca="1">IFERROR(__xludf.DUMMYFUNCTION("""COMPUTED_VALUE"""),"#VALUE!")</f>
        <v>#VALUE!</v>
      </c>
      <c r="BI1291" t="str">
        <f ca="1">IFERROR(__xludf.DUMMYFUNCTION("""COMPUTED_VALUE"""),"#VALUE!")</f>
        <v>#VALUE!</v>
      </c>
      <c r="BK1291" t="str">
        <f ca="1">IFERROR(__xludf.DUMMYFUNCTION("""COMPUTED_VALUE"""),"#VALUE!")</f>
        <v>#VALUE!</v>
      </c>
      <c r="BM1291" t="str">
        <f ca="1">IFERROR(__xludf.DUMMYFUNCTION("""COMPUTED_VALUE"""),"#VALUE!")</f>
        <v>#VALUE!</v>
      </c>
      <c r="CS1291" t="str">
        <f ca="1">IFERROR(__xludf.DUMMYFUNCTION("""COMPUTED_VALUE"""),"#VALUE!")</f>
        <v>#VALUE!</v>
      </c>
      <c r="CU1291" t="str">
        <f ca="1">IFERROR(__xludf.DUMMYFUNCTION("""COMPUTED_VALUE"""),"#VALUE!")</f>
        <v>#VALUE!</v>
      </c>
      <c r="CW1291" t="str">
        <f ca="1">IFERROR(__xludf.DUMMYFUNCTION("""COMPUTED_VALUE"""),"#VALUE!")</f>
        <v>#VALUE!</v>
      </c>
      <c r="CY1291" t="str">
        <f ca="1">IFERROR(__xludf.DUMMYFUNCTION("""COMPUTED_VALUE"""),"#VALUE!")</f>
        <v>#VALUE!</v>
      </c>
      <c r="DC1291" t="str">
        <f ca="1">IFERROR(__xludf.DUMMYFUNCTION("""COMPUTED_VALUE"""),"#VALUE!")</f>
        <v>#VALUE!</v>
      </c>
      <c r="DE1291" t="str">
        <f ca="1">IFERROR(__xludf.DUMMYFUNCTION("""COMPUTED_VALUE"""),"#VALUE!")</f>
        <v>#VALUE!</v>
      </c>
    </row>
    <row r="1292" spans="1:109" ht="13.2" x14ac:dyDescent="0.25">
      <c r="A1292" t="str">
        <f ca="1">IFERROR(__xludf.DUMMYFUNCTION("""COMPUTED_VALUE"""),"P1301")</f>
        <v>P1301</v>
      </c>
      <c r="BC1292" t="str">
        <f ca="1">IFERROR(__xludf.DUMMYFUNCTION("""COMPUTED_VALUE"""),"#VALUE!")</f>
        <v>#VALUE!</v>
      </c>
      <c r="BE1292" t="str">
        <f ca="1">IFERROR(__xludf.DUMMYFUNCTION("""COMPUTED_VALUE"""),"#VALUE!")</f>
        <v>#VALUE!</v>
      </c>
      <c r="BG1292" t="str">
        <f ca="1">IFERROR(__xludf.DUMMYFUNCTION("""COMPUTED_VALUE"""),"#VALUE!")</f>
        <v>#VALUE!</v>
      </c>
      <c r="BI1292" t="str">
        <f ca="1">IFERROR(__xludf.DUMMYFUNCTION("""COMPUTED_VALUE"""),"#VALUE!")</f>
        <v>#VALUE!</v>
      </c>
      <c r="BK1292" t="str">
        <f ca="1">IFERROR(__xludf.DUMMYFUNCTION("""COMPUTED_VALUE"""),"#VALUE!")</f>
        <v>#VALUE!</v>
      </c>
      <c r="BM1292" t="str">
        <f ca="1">IFERROR(__xludf.DUMMYFUNCTION("""COMPUTED_VALUE"""),"#VALUE!")</f>
        <v>#VALUE!</v>
      </c>
      <c r="CS1292" t="str">
        <f ca="1">IFERROR(__xludf.DUMMYFUNCTION("""COMPUTED_VALUE"""),"#VALUE!")</f>
        <v>#VALUE!</v>
      </c>
      <c r="CU1292" t="str">
        <f ca="1">IFERROR(__xludf.DUMMYFUNCTION("""COMPUTED_VALUE"""),"#VALUE!")</f>
        <v>#VALUE!</v>
      </c>
      <c r="CW1292" t="str">
        <f ca="1">IFERROR(__xludf.DUMMYFUNCTION("""COMPUTED_VALUE"""),"#VALUE!")</f>
        <v>#VALUE!</v>
      </c>
      <c r="CY1292" t="str">
        <f ca="1">IFERROR(__xludf.DUMMYFUNCTION("""COMPUTED_VALUE"""),"#VALUE!")</f>
        <v>#VALUE!</v>
      </c>
      <c r="DC1292" t="str">
        <f ca="1">IFERROR(__xludf.DUMMYFUNCTION("""COMPUTED_VALUE"""),"#VALUE!")</f>
        <v>#VALUE!</v>
      </c>
      <c r="DE1292" t="str">
        <f ca="1">IFERROR(__xludf.DUMMYFUNCTION("""COMPUTED_VALUE"""),"#VALUE!")</f>
        <v>#VALUE!</v>
      </c>
    </row>
    <row r="1293" spans="1:109" ht="13.2" x14ac:dyDescent="0.25">
      <c r="A1293" t="str">
        <f ca="1">IFERROR(__xludf.DUMMYFUNCTION("""COMPUTED_VALUE"""),"P1302")</f>
        <v>P1302</v>
      </c>
      <c r="BC1293" t="str">
        <f ca="1">IFERROR(__xludf.DUMMYFUNCTION("""COMPUTED_VALUE"""),"#VALUE!")</f>
        <v>#VALUE!</v>
      </c>
      <c r="BE1293" t="str">
        <f ca="1">IFERROR(__xludf.DUMMYFUNCTION("""COMPUTED_VALUE"""),"#VALUE!")</f>
        <v>#VALUE!</v>
      </c>
      <c r="BG1293" t="str">
        <f ca="1">IFERROR(__xludf.DUMMYFUNCTION("""COMPUTED_VALUE"""),"#VALUE!")</f>
        <v>#VALUE!</v>
      </c>
      <c r="BI1293" t="str">
        <f ca="1">IFERROR(__xludf.DUMMYFUNCTION("""COMPUTED_VALUE"""),"#VALUE!")</f>
        <v>#VALUE!</v>
      </c>
      <c r="BK1293" t="str">
        <f ca="1">IFERROR(__xludf.DUMMYFUNCTION("""COMPUTED_VALUE"""),"#VALUE!")</f>
        <v>#VALUE!</v>
      </c>
      <c r="BM1293" t="str">
        <f ca="1">IFERROR(__xludf.DUMMYFUNCTION("""COMPUTED_VALUE"""),"#VALUE!")</f>
        <v>#VALUE!</v>
      </c>
      <c r="CS1293" t="str">
        <f ca="1">IFERROR(__xludf.DUMMYFUNCTION("""COMPUTED_VALUE"""),"#VALUE!")</f>
        <v>#VALUE!</v>
      </c>
      <c r="CU1293" t="str">
        <f ca="1">IFERROR(__xludf.DUMMYFUNCTION("""COMPUTED_VALUE"""),"#VALUE!")</f>
        <v>#VALUE!</v>
      </c>
      <c r="CW1293" t="str">
        <f ca="1">IFERROR(__xludf.DUMMYFUNCTION("""COMPUTED_VALUE"""),"#VALUE!")</f>
        <v>#VALUE!</v>
      </c>
      <c r="CY1293" t="str">
        <f ca="1">IFERROR(__xludf.DUMMYFUNCTION("""COMPUTED_VALUE"""),"#VALUE!")</f>
        <v>#VALUE!</v>
      </c>
      <c r="DC1293" t="str">
        <f ca="1">IFERROR(__xludf.DUMMYFUNCTION("""COMPUTED_VALUE"""),"#VALUE!")</f>
        <v>#VALUE!</v>
      </c>
      <c r="DE1293" t="str">
        <f ca="1">IFERROR(__xludf.DUMMYFUNCTION("""COMPUTED_VALUE"""),"#VALUE!")</f>
        <v>#VALUE!</v>
      </c>
    </row>
    <row r="1294" spans="1:109" ht="13.2" x14ac:dyDescent="0.25">
      <c r="A1294" t="str">
        <f ca="1">IFERROR(__xludf.DUMMYFUNCTION("""COMPUTED_VALUE"""),"P1303")</f>
        <v>P1303</v>
      </c>
      <c r="BC1294" t="str">
        <f ca="1">IFERROR(__xludf.DUMMYFUNCTION("""COMPUTED_VALUE"""),"#VALUE!")</f>
        <v>#VALUE!</v>
      </c>
      <c r="BE1294" t="str">
        <f ca="1">IFERROR(__xludf.DUMMYFUNCTION("""COMPUTED_VALUE"""),"#VALUE!")</f>
        <v>#VALUE!</v>
      </c>
      <c r="BG1294" t="str">
        <f ca="1">IFERROR(__xludf.DUMMYFUNCTION("""COMPUTED_VALUE"""),"#VALUE!")</f>
        <v>#VALUE!</v>
      </c>
      <c r="BI1294" t="str">
        <f ca="1">IFERROR(__xludf.DUMMYFUNCTION("""COMPUTED_VALUE"""),"#VALUE!")</f>
        <v>#VALUE!</v>
      </c>
      <c r="BK1294" t="str">
        <f ca="1">IFERROR(__xludf.DUMMYFUNCTION("""COMPUTED_VALUE"""),"#VALUE!")</f>
        <v>#VALUE!</v>
      </c>
      <c r="BM1294" t="str">
        <f ca="1">IFERROR(__xludf.DUMMYFUNCTION("""COMPUTED_VALUE"""),"#VALUE!")</f>
        <v>#VALUE!</v>
      </c>
      <c r="CS1294" t="str">
        <f ca="1">IFERROR(__xludf.DUMMYFUNCTION("""COMPUTED_VALUE"""),"#VALUE!")</f>
        <v>#VALUE!</v>
      </c>
      <c r="CU1294" t="str">
        <f ca="1">IFERROR(__xludf.DUMMYFUNCTION("""COMPUTED_VALUE"""),"#VALUE!")</f>
        <v>#VALUE!</v>
      </c>
      <c r="CW1294" t="str">
        <f ca="1">IFERROR(__xludf.DUMMYFUNCTION("""COMPUTED_VALUE"""),"#VALUE!")</f>
        <v>#VALUE!</v>
      </c>
      <c r="CY1294" t="str">
        <f ca="1">IFERROR(__xludf.DUMMYFUNCTION("""COMPUTED_VALUE"""),"#VALUE!")</f>
        <v>#VALUE!</v>
      </c>
      <c r="DC1294" t="str">
        <f ca="1">IFERROR(__xludf.DUMMYFUNCTION("""COMPUTED_VALUE"""),"#VALUE!")</f>
        <v>#VALUE!</v>
      </c>
      <c r="DE1294" t="str">
        <f ca="1">IFERROR(__xludf.DUMMYFUNCTION("""COMPUTED_VALUE"""),"#VALUE!")</f>
        <v>#VALUE!</v>
      </c>
    </row>
    <row r="1295" spans="1:109" ht="13.2" x14ac:dyDescent="0.25">
      <c r="A1295" t="str">
        <f ca="1">IFERROR(__xludf.DUMMYFUNCTION("""COMPUTED_VALUE"""),"P1304")</f>
        <v>P1304</v>
      </c>
      <c r="BC1295" t="str">
        <f ca="1">IFERROR(__xludf.DUMMYFUNCTION("""COMPUTED_VALUE"""),"#VALUE!")</f>
        <v>#VALUE!</v>
      </c>
      <c r="BE1295" t="str">
        <f ca="1">IFERROR(__xludf.DUMMYFUNCTION("""COMPUTED_VALUE"""),"#VALUE!")</f>
        <v>#VALUE!</v>
      </c>
      <c r="BG1295" t="str">
        <f ca="1">IFERROR(__xludf.DUMMYFUNCTION("""COMPUTED_VALUE"""),"#VALUE!")</f>
        <v>#VALUE!</v>
      </c>
      <c r="BI1295" t="str">
        <f ca="1">IFERROR(__xludf.DUMMYFUNCTION("""COMPUTED_VALUE"""),"#VALUE!")</f>
        <v>#VALUE!</v>
      </c>
      <c r="BK1295" t="str">
        <f ca="1">IFERROR(__xludf.DUMMYFUNCTION("""COMPUTED_VALUE"""),"#VALUE!")</f>
        <v>#VALUE!</v>
      </c>
      <c r="BM1295" t="str">
        <f ca="1">IFERROR(__xludf.DUMMYFUNCTION("""COMPUTED_VALUE"""),"#VALUE!")</f>
        <v>#VALUE!</v>
      </c>
      <c r="CS1295" t="str">
        <f ca="1">IFERROR(__xludf.DUMMYFUNCTION("""COMPUTED_VALUE"""),"#VALUE!")</f>
        <v>#VALUE!</v>
      </c>
      <c r="CU1295" t="str">
        <f ca="1">IFERROR(__xludf.DUMMYFUNCTION("""COMPUTED_VALUE"""),"#VALUE!")</f>
        <v>#VALUE!</v>
      </c>
      <c r="CW1295" t="str">
        <f ca="1">IFERROR(__xludf.DUMMYFUNCTION("""COMPUTED_VALUE"""),"#VALUE!")</f>
        <v>#VALUE!</v>
      </c>
      <c r="CY1295" t="str">
        <f ca="1">IFERROR(__xludf.DUMMYFUNCTION("""COMPUTED_VALUE"""),"#VALUE!")</f>
        <v>#VALUE!</v>
      </c>
      <c r="DC1295" t="str">
        <f ca="1">IFERROR(__xludf.DUMMYFUNCTION("""COMPUTED_VALUE"""),"#VALUE!")</f>
        <v>#VALUE!</v>
      </c>
      <c r="DE1295" t="str">
        <f ca="1">IFERROR(__xludf.DUMMYFUNCTION("""COMPUTED_VALUE"""),"#VALUE!")</f>
        <v>#VALUE!</v>
      </c>
    </row>
    <row r="1296" spans="1:109" ht="13.2" x14ac:dyDescent="0.25">
      <c r="A1296" t="str">
        <f ca="1">IFERROR(__xludf.DUMMYFUNCTION("""COMPUTED_VALUE"""),"P1305")</f>
        <v>P1305</v>
      </c>
      <c r="BC1296" t="str">
        <f ca="1">IFERROR(__xludf.DUMMYFUNCTION("""COMPUTED_VALUE"""),"#VALUE!")</f>
        <v>#VALUE!</v>
      </c>
      <c r="BE1296" t="str">
        <f ca="1">IFERROR(__xludf.DUMMYFUNCTION("""COMPUTED_VALUE"""),"#VALUE!")</f>
        <v>#VALUE!</v>
      </c>
      <c r="BG1296" t="str">
        <f ca="1">IFERROR(__xludf.DUMMYFUNCTION("""COMPUTED_VALUE"""),"#VALUE!")</f>
        <v>#VALUE!</v>
      </c>
      <c r="BI1296" t="str">
        <f ca="1">IFERROR(__xludf.DUMMYFUNCTION("""COMPUTED_VALUE"""),"#VALUE!")</f>
        <v>#VALUE!</v>
      </c>
      <c r="BK1296" t="str">
        <f ca="1">IFERROR(__xludf.DUMMYFUNCTION("""COMPUTED_VALUE"""),"#VALUE!")</f>
        <v>#VALUE!</v>
      </c>
      <c r="BM1296" t="str">
        <f ca="1">IFERROR(__xludf.DUMMYFUNCTION("""COMPUTED_VALUE"""),"#VALUE!")</f>
        <v>#VALUE!</v>
      </c>
      <c r="CS1296" t="str">
        <f ca="1">IFERROR(__xludf.DUMMYFUNCTION("""COMPUTED_VALUE"""),"#VALUE!")</f>
        <v>#VALUE!</v>
      </c>
      <c r="CU1296" t="str">
        <f ca="1">IFERROR(__xludf.DUMMYFUNCTION("""COMPUTED_VALUE"""),"#VALUE!")</f>
        <v>#VALUE!</v>
      </c>
      <c r="CW1296" t="str">
        <f ca="1">IFERROR(__xludf.DUMMYFUNCTION("""COMPUTED_VALUE"""),"#VALUE!")</f>
        <v>#VALUE!</v>
      </c>
      <c r="CY1296" t="str">
        <f ca="1">IFERROR(__xludf.DUMMYFUNCTION("""COMPUTED_VALUE"""),"#VALUE!")</f>
        <v>#VALUE!</v>
      </c>
      <c r="DC1296" t="str">
        <f ca="1">IFERROR(__xludf.DUMMYFUNCTION("""COMPUTED_VALUE"""),"#VALUE!")</f>
        <v>#VALUE!</v>
      </c>
      <c r="DE1296" t="str">
        <f ca="1">IFERROR(__xludf.DUMMYFUNCTION("""COMPUTED_VALUE"""),"#VALUE!")</f>
        <v>#VALUE!</v>
      </c>
    </row>
    <row r="1297" spans="1:109" ht="13.2" x14ac:dyDescent="0.25">
      <c r="A1297" t="str">
        <f ca="1">IFERROR(__xludf.DUMMYFUNCTION("""COMPUTED_VALUE"""),"P1306")</f>
        <v>P1306</v>
      </c>
      <c r="BC1297" t="str">
        <f ca="1">IFERROR(__xludf.DUMMYFUNCTION("""COMPUTED_VALUE"""),"#VALUE!")</f>
        <v>#VALUE!</v>
      </c>
      <c r="BE1297" t="str">
        <f ca="1">IFERROR(__xludf.DUMMYFUNCTION("""COMPUTED_VALUE"""),"#VALUE!")</f>
        <v>#VALUE!</v>
      </c>
      <c r="BG1297" t="str">
        <f ca="1">IFERROR(__xludf.DUMMYFUNCTION("""COMPUTED_VALUE"""),"#VALUE!")</f>
        <v>#VALUE!</v>
      </c>
      <c r="BI1297" t="str">
        <f ca="1">IFERROR(__xludf.DUMMYFUNCTION("""COMPUTED_VALUE"""),"#VALUE!")</f>
        <v>#VALUE!</v>
      </c>
      <c r="BK1297" t="str">
        <f ca="1">IFERROR(__xludf.DUMMYFUNCTION("""COMPUTED_VALUE"""),"#VALUE!")</f>
        <v>#VALUE!</v>
      </c>
      <c r="BM1297" t="str">
        <f ca="1">IFERROR(__xludf.DUMMYFUNCTION("""COMPUTED_VALUE"""),"#VALUE!")</f>
        <v>#VALUE!</v>
      </c>
      <c r="CS1297" t="str">
        <f ca="1">IFERROR(__xludf.DUMMYFUNCTION("""COMPUTED_VALUE"""),"#VALUE!")</f>
        <v>#VALUE!</v>
      </c>
      <c r="CU1297" t="str">
        <f ca="1">IFERROR(__xludf.DUMMYFUNCTION("""COMPUTED_VALUE"""),"#VALUE!")</f>
        <v>#VALUE!</v>
      </c>
      <c r="CW1297" t="str">
        <f ca="1">IFERROR(__xludf.DUMMYFUNCTION("""COMPUTED_VALUE"""),"#VALUE!")</f>
        <v>#VALUE!</v>
      </c>
      <c r="CY1297" t="str">
        <f ca="1">IFERROR(__xludf.DUMMYFUNCTION("""COMPUTED_VALUE"""),"#VALUE!")</f>
        <v>#VALUE!</v>
      </c>
      <c r="DC1297" t="str">
        <f ca="1">IFERROR(__xludf.DUMMYFUNCTION("""COMPUTED_VALUE"""),"#VALUE!")</f>
        <v>#VALUE!</v>
      </c>
      <c r="DE1297" t="str">
        <f ca="1">IFERROR(__xludf.DUMMYFUNCTION("""COMPUTED_VALUE"""),"#VALUE!")</f>
        <v>#VALUE!</v>
      </c>
    </row>
    <row r="1298" spans="1:109" ht="13.2" x14ac:dyDescent="0.25">
      <c r="A1298" t="str">
        <f ca="1">IFERROR(__xludf.DUMMYFUNCTION("""COMPUTED_VALUE"""),"P1307")</f>
        <v>P1307</v>
      </c>
      <c r="BC1298" t="str">
        <f ca="1">IFERROR(__xludf.DUMMYFUNCTION("""COMPUTED_VALUE"""),"#VALUE!")</f>
        <v>#VALUE!</v>
      </c>
      <c r="BE1298" t="str">
        <f ca="1">IFERROR(__xludf.DUMMYFUNCTION("""COMPUTED_VALUE"""),"#VALUE!")</f>
        <v>#VALUE!</v>
      </c>
      <c r="BG1298" t="str">
        <f ca="1">IFERROR(__xludf.DUMMYFUNCTION("""COMPUTED_VALUE"""),"#VALUE!")</f>
        <v>#VALUE!</v>
      </c>
      <c r="BI1298" t="str">
        <f ca="1">IFERROR(__xludf.DUMMYFUNCTION("""COMPUTED_VALUE"""),"#VALUE!")</f>
        <v>#VALUE!</v>
      </c>
      <c r="BK1298" t="str">
        <f ca="1">IFERROR(__xludf.DUMMYFUNCTION("""COMPUTED_VALUE"""),"#VALUE!")</f>
        <v>#VALUE!</v>
      </c>
      <c r="BM1298" t="str">
        <f ca="1">IFERROR(__xludf.DUMMYFUNCTION("""COMPUTED_VALUE"""),"#VALUE!")</f>
        <v>#VALUE!</v>
      </c>
      <c r="CS1298" t="str">
        <f ca="1">IFERROR(__xludf.DUMMYFUNCTION("""COMPUTED_VALUE"""),"#VALUE!")</f>
        <v>#VALUE!</v>
      </c>
      <c r="CU1298" t="str">
        <f ca="1">IFERROR(__xludf.DUMMYFUNCTION("""COMPUTED_VALUE"""),"#VALUE!")</f>
        <v>#VALUE!</v>
      </c>
      <c r="CW1298" t="str">
        <f ca="1">IFERROR(__xludf.DUMMYFUNCTION("""COMPUTED_VALUE"""),"#VALUE!")</f>
        <v>#VALUE!</v>
      </c>
      <c r="CY1298" t="str">
        <f ca="1">IFERROR(__xludf.DUMMYFUNCTION("""COMPUTED_VALUE"""),"#VALUE!")</f>
        <v>#VALUE!</v>
      </c>
      <c r="DC1298" t="str">
        <f ca="1">IFERROR(__xludf.DUMMYFUNCTION("""COMPUTED_VALUE"""),"#VALUE!")</f>
        <v>#VALUE!</v>
      </c>
      <c r="DE1298" t="str">
        <f ca="1">IFERROR(__xludf.DUMMYFUNCTION("""COMPUTED_VALUE"""),"#VALUE!")</f>
        <v>#VALUE!</v>
      </c>
    </row>
    <row r="1299" spans="1:109" ht="13.2" x14ac:dyDescent="0.25">
      <c r="A1299" t="str">
        <f ca="1">IFERROR(__xludf.DUMMYFUNCTION("""COMPUTED_VALUE"""),"P1308")</f>
        <v>P1308</v>
      </c>
      <c r="BC1299" t="str">
        <f ca="1">IFERROR(__xludf.DUMMYFUNCTION("""COMPUTED_VALUE"""),"#VALUE!")</f>
        <v>#VALUE!</v>
      </c>
      <c r="BE1299" t="str">
        <f ca="1">IFERROR(__xludf.DUMMYFUNCTION("""COMPUTED_VALUE"""),"#VALUE!")</f>
        <v>#VALUE!</v>
      </c>
      <c r="BG1299" t="str">
        <f ca="1">IFERROR(__xludf.DUMMYFUNCTION("""COMPUTED_VALUE"""),"#VALUE!")</f>
        <v>#VALUE!</v>
      </c>
      <c r="BI1299" t="str">
        <f ca="1">IFERROR(__xludf.DUMMYFUNCTION("""COMPUTED_VALUE"""),"#VALUE!")</f>
        <v>#VALUE!</v>
      </c>
      <c r="BK1299" t="str">
        <f ca="1">IFERROR(__xludf.DUMMYFUNCTION("""COMPUTED_VALUE"""),"#VALUE!")</f>
        <v>#VALUE!</v>
      </c>
      <c r="BM1299" t="str">
        <f ca="1">IFERROR(__xludf.DUMMYFUNCTION("""COMPUTED_VALUE"""),"#VALUE!")</f>
        <v>#VALUE!</v>
      </c>
      <c r="CS1299" t="str">
        <f ca="1">IFERROR(__xludf.DUMMYFUNCTION("""COMPUTED_VALUE"""),"#VALUE!")</f>
        <v>#VALUE!</v>
      </c>
      <c r="CU1299" t="str">
        <f ca="1">IFERROR(__xludf.DUMMYFUNCTION("""COMPUTED_VALUE"""),"#VALUE!")</f>
        <v>#VALUE!</v>
      </c>
      <c r="CW1299" t="str">
        <f ca="1">IFERROR(__xludf.DUMMYFUNCTION("""COMPUTED_VALUE"""),"#VALUE!")</f>
        <v>#VALUE!</v>
      </c>
      <c r="CY1299" t="str">
        <f ca="1">IFERROR(__xludf.DUMMYFUNCTION("""COMPUTED_VALUE"""),"#VALUE!")</f>
        <v>#VALUE!</v>
      </c>
      <c r="DC1299" t="str">
        <f ca="1">IFERROR(__xludf.DUMMYFUNCTION("""COMPUTED_VALUE"""),"#VALUE!")</f>
        <v>#VALUE!</v>
      </c>
      <c r="DE1299" t="str">
        <f ca="1">IFERROR(__xludf.DUMMYFUNCTION("""COMPUTED_VALUE"""),"#VALUE!")</f>
        <v>#VALUE!</v>
      </c>
    </row>
    <row r="1300" spans="1:109" ht="13.2" x14ac:dyDescent="0.25">
      <c r="A1300" t="str">
        <f ca="1">IFERROR(__xludf.DUMMYFUNCTION("""COMPUTED_VALUE"""),"P1309")</f>
        <v>P1309</v>
      </c>
      <c r="BC1300" t="str">
        <f ca="1">IFERROR(__xludf.DUMMYFUNCTION("""COMPUTED_VALUE"""),"#VALUE!")</f>
        <v>#VALUE!</v>
      </c>
      <c r="BE1300" t="str">
        <f ca="1">IFERROR(__xludf.DUMMYFUNCTION("""COMPUTED_VALUE"""),"#VALUE!")</f>
        <v>#VALUE!</v>
      </c>
      <c r="BG1300" t="str">
        <f ca="1">IFERROR(__xludf.DUMMYFUNCTION("""COMPUTED_VALUE"""),"#VALUE!")</f>
        <v>#VALUE!</v>
      </c>
      <c r="BI1300" t="str">
        <f ca="1">IFERROR(__xludf.DUMMYFUNCTION("""COMPUTED_VALUE"""),"#VALUE!")</f>
        <v>#VALUE!</v>
      </c>
      <c r="BK1300" t="str">
        <f ca="1">IFERROR(__xludf.DUMMYFUNCTION("""COMPUTED_VALUE"""),"#VALUE!")</f>
        <v>#VALUE!</v>
      </c>
      <c r="BM1300" t="str">
        <f ca="1">IFERROR(__xludf.DUMMYFUNCTION("""COMPUTED_VALUE"""),"#VALUE!")</f>
        <v>#VALUE!</v>
      </c>
      <c r="CS1300" t="str">
        <f ca="1">IFERROR(__xludf.DUMMYFUNCTION("""COMPUTED_VALUE"""),"#VALUE!")</f>
        <v>#VALUE!</v>
      </c>
      <c r="CU1300" t="str">
        <f ca="1">IFERROR(__xludf.DUMMYFUNCTION("""COMPUTED_VALUE"""),"#VALUE!")</f>
        <v>#VALUE!</v>
      </c>
      <c r="CW1300" t="str">
        <f ca="1">IFERROR(__xludf.DUMMYFUNCTION("""COMPUTED_VALUE"""),"#VALUE!")</f>
        <v>#VALUE!</v>
      </c>
      <c r="CY1300" t="str">
        <f ca="1">IFERROR(__xludf.DUMMYFUNCTION("""COMPUTED_VALUE"""),"#VALUE!")</f>
        <v>#VALUE!</v>
      </c>
      <c r="DC1300" t="str">
        <f ca="1">IFERROR(__xludf.DUMMYFUNCTION("""COMPUTED_VALUE"""),"#VALUE!")</f>
        <v>#VALUE!</v>
      </c>
      <c r="DE1300" t="str">
        <f ca="1">IFERROR(__xludf.DUMMYFUNCTION("""COMPUTED_VALUE"""),"#VALUE!")</f>
        <v>#VALUE!</v>
      </c>
    </row>
    <row r="1301" spans="1:109" ht="13.2" x14ac:dyDescent="0.25">
      <c r="A1301" t="str">
        <f ca="1">IFERROR(__xludf.DUMMYFUNCTION("""COMPUTED_VALUE"""),"P1310")</f>
        <v>P1310</v>
      </c>
      <c r="BC1301" t="str">
        <f ca="1">IFERROR(__xludf.DUMMYFUNCTION("""COMPUTED_VALUE"""),"#VALUE!")</f>
        <v>#VALUE!</v>
      </c>
      <c r="BE1301" t="str">
        <f ca="1">IFERROR(__xludf.DUMMYFUNCTION("""COMPUTED_VALUE"""),"#VALUE!")</f>
        <v>#VALUE!</v>
      </c>
      <c r="BG1301" t="str">
        <f ca="1">IFERROR(__xludf.DUMMYFUNCTION("""COMPUTED_VALUE"""),"#VALUE!")</f>
        <v>#VALUE!</v>
      </c>
      <c r="BI1301" t="str">
        <f ca="1">IFERROR(__xludf.DUMMYFUNCTION("""COMPUTED_VALUE"""),"#VALUE!")</f>
        <v>#VALUE!</v>
      </c>
      <c r="BK1301" t="str">
        <f ca="1">IFERROR(__xludf.DUMMYFUNCTION("""COMPUTED_VALUE"""),"#VALUE!")</f>
        <v>#VALUE!</v>
      </c>
      <c r="BM1301" t="str">
        <f ca="1">IFERROR(__xludf.DUMMYFUNCTION("""COMPUTED_VALUE"""),"#VALUE!")</f>
        <v>#VALUE!</v>
      </c>
      <c r="CS1301" t="str">
        <f ca="1">IFERROR(__xludf.DUMMYFUNCTION("""COMPUTED_VALUE"""),"#VALUE!")</f>
        <v>#VALUE!</v>
      </c>
      <c r="CU1301" t="str">
        <f ca="1">IFERROR(__xludf.DUMMYFUNCTION("""COMPUTED_VALUE"""),"#VALUE!")</f>
        <v>#VALUE!</v>
      </c>
      <c r="CW1301" t="str">
        <f ca="1">IFERROR(__xludf.DUMMYFUNCTION("""COMPUTED_VALUE"""),"#VALUE!")</f>
        <v>#VALUE!</v>
      </c>
      <c r="CY1301" t="str">
        <f ca="1">IFERROR(__xludf.DUMMYFUNCTION("""COMPUTED_VALUE"""),"#VALUE!")</f>
        <v>#VALUE!</v>
      </c>
      <c r="DC1301" t="str">
        <f ca="1">IFERROR(__xludf.DUMMYFUNCTION("""COMPUTED_VALUE"""),"#VALUE!")</f>
        <v>#VALUE!</v>
      </c>
      <c r="DE1301" t="str">
        <f ca="1">IFERROR(__xludf.DUMMYFUNCTION("""COMPUTED_VALUE"""),"#VALUE!")</f>
        <v>#VALUE!</v>
      </c>
    </row>
    <row r="1302" spans="1:109" ht="13.2" x14ac:dyDescent="0.25">
      <c r="A1302" t="str">
        <f ca="1">IFERROR(__xludf.DUMMYFUNCTION("""COMPUTED_VALUE"""),"P1311")</f>
        <v>P1311</v>
      </c>
      <c r="BC1302" t="str">
        <f ca="1">IFERROR(__xludf.DUMMYFUNCTION("""COMPUTED_VALUE"""),"#VALUE!")</f>
        <v>#VALUE!</v>
      </c>
      <c r="BE1302" t="str">
        <f ca="1">IFERROR(__xludf.DUMMYFUNCTION("""COMPUTED_VALUE"""),"#VALUE!")</f>
        <v>#VALUE!</v>
      </c>
      <c r="BG1302" t="str">
        <f ca="1">IFERROR(__xludf.DUMMYFUNCTION("""COMPUTED_VALUE"""),"#VALUE!")</f>
        <v>#VALUE!</v>
      </c>
      <c r="BI1302" t="str">
        <f ca="1">IFERROR(__xludf.DUMMYFUNCTION("""COMPUTED_VALUE"""),"#VALUE!")</f>
        <v>#VALUE!</v>
      </c>
      <c r="BK1302" t="str">
        <f ca="1">IFERROR(__xludf.DUMMYFUNCTION("""COMPUTED_VALUE"""),"#VALUE!")</f>
        <v>#VALUE!</v>
      </c>
      <c r="BM1302" t="str">
        <f ca="1">IFERROR(__xludf.DUMMYFUNCTION("""COMPUTED_VALUE"""),"#VALUE!")</f>
        <v>#VALUE!</v>
      </c>
      <c r="CS1302" t="str">
        <f ca="1">IFERROR(__xludf.DUMMYFUNCTION("""COMPUTED_VALUE"""),"#VALUE!")</f>
        <v>#VALUE!</v>
      </c>
      <c r="CU1302" t="str">
        <f ca="1">IFERROR(__xludf.DUMMYFUNCTION("""COMPUTED_VALUE"""),"#VALUE!")</f>
        <v>#VALUE!</v>
      </c>
      <c r="CW1302" t="str">
        <f ca="1">IFERROR(__xludf.DUMMYFUNCTION("""COMPUTED_VALUE"""),"#VALUE!")</f>
        <v>#VALUE!</v>
      </c>
      <c r="CY1302" t="str">
        <f ca="1">IFERROR(__xludf.DUMMYFUNCTION("""COMPUTED_VALUE"""),"#VALUE!")</f>
        <v>#VALUE!</v>
      </c>
      <c r="DC1302" t="str">
        <f ca="1">IFERROR(__xludf.DUMMYFUNCTION("""COMPUTED_VALUE"""),"#VALUE!")</f>
        <v>#VALUE!</v>
      </c>
      <c r="DE1302" t="str">
        <f ca="1">IFERROR(__xludf.DUMMYFUNCTION("""COMPUTED_VALUE"""),"#VALUE!")</f>
        <v>#VALUE!</v>
      </c>
    </row>
    <row r="1303" spans="1:109" ht="13.2" x14ac:dyDescent="0.25">
      <c r="A1303" t="str">
        <f ca="1">IFERROR(__xludf.DUMMYFUNCTION("""COMPUTED_VALUE"""),"P1312")</f>
        <v>P1312</v>
      </c>
      <c r="BC1303" t="str">
        <f ca="1">IFERROR(__xludf.DUMMYFUNCTION("""COMPUTED_VALUE"""),"#VALUE!")</f>
        <v>#VALUE!</v>
      </c>
      <c r="BE1303" t="str">
        <f ca="1">IFERROR(__xludf.DUMMYFUNCTION("""COMPUTED_VALUE"""),"#VALUE!")</f>
        <v>#VALUE!</v>
      </c>
      <c r="BG1303" t="str">
        <f ca="1">IFERROR(__xludf.DUMMYFUNCTION("""COMPUTED_VALUE"""),"#VALUE!")</f>
        <v>#VALUE!</v>
      </c>
      <c r="BI1303" t="str">
        <f ca="1">IFERROR(__xludf.DUMMYFUNCTION("""COMPUTED_VALUE"""),"#VALUE!")</f>
        <v>#VALUE!</v>
      </c>
      <c r="BK1303" t="str">
        <f ca="1">IFERROR(__xludf.DUMMYFUNCTION("""COMPUTED_VALUE"""),"#VALUE!")</f>
        <v>#VALUE!</v>
      </c>
      <c r="BM1303" t="str">
        <f ca="1">IFERROR(__xludf.DUMMYFUNCTION("""COMPUTED_VALUE"""),"#VALUE!")</f>
        <v>#VALUE!</v>
      </c>
      <c r="CS1303" t="str">
        <f ca="1">IFERROR(__xludf.DUMMYFUNCTION("""COMPUTED_VALUE"""),"#VALUE!")</f>
        <v>#VALUE!</v>
      </c>
      <c r="CU1303" t="str">
        <f ca="1">IFERROR(__xludf.DUMMYFUNCTION("""COMPUTED_VALUE"""),"#VALUE!")</f>
        <v>#VALUE!</v>
      </c>
      <c r="CW1303" t="str">
        <f ca="1">IFERROR(__xludf.DUMMYFUNCTION("""COMPUTED_VALUE"""),"#VALUE!")</f>
        <v>#VALUE!</v>
      </c>
      <c r="CY1303" t="str">
        <f ca="1">IFERROR(__xludf.DUMMYFUNCTION("""COMPUTED_VALUE"""),"#VALUE!")</f>
        <v>#VALUE!</v>
      </c>
      <c r="DC1303" t="str">
        <f ca="1">IFERROR(__xludf.DUMMYFUNCTION("""COMPUTED_VALUE"""),"#VALUE!")</f>
        <v>#VALUE!</v>
      </c>
      <c r="DE1303" t="str">
        <f ca="1">IFERROR(__xludf.DUMMYFUNCTION("""COMPUTED_VALUE"""),"#VALUE!")</f>
        <v>#VALUE!</v>
      </c>
    </row>
    <row r="1304" spans="1:109" ht="13.2" x14ac:dyDescent="0.25">
      <c r="A1304" t="str">
        <f ca="1">IFERROR(__xludf.DUMMYFUNCTION("""COMPUTED_VALUE"""),"P1313")</f>
        <v>P1313</v>
      </c>
      <c r="BC1304" t="str">
        <f ca="1">IFERROR(__xludf.DUMMYFUNCTION("""COMPUTED_VALUE"""),"#VALUE!")</f>
        <v>#VALUE!</v>
      </c>
      <c r="BE1304" t="str">
        <f ca="1">IFERROR(__xludf.DUMMYFUNCTION("""COMPUTED_VALUE"""),"#VALUE!")</f>
        <v>#VALUE!</v>
      </c>
      <c r="BG1304" t="str">
        <f ca="1">IFERROR(__xludf.DUMMYFUNCTION("""COMPUTED_VALUE"""),"#VALUE!")</f>
        <v>#VALUE!</v>
      </c>
      <c r="BI1304" t="str">
        <f ca="1">IFERROR(__xludf.DUMMYFUNCTION("""COMPUTED_VALUE"""),"#VALUE!")</f>
        <v>#VALUE!</v>
      </c>
      <c r="BK1304" t="str">
        <f ca="1">IFERROR(__xludf.DUMMYFUNCTION("""COMPUTED_VALUE"""),"#VALUE!")</f>
        <v>#VALUE!</v>
      </c>
      <c r="BM1304" t="str">
        <f ca="1">IFERROR(__xludf.DUMMYFUNCTION("""COMPUTED_VALUE"""),"#VALUE!")</f>
        <v>#VALUE!</v>
      </c>
      <c r="CS1304" t="str">
        <f ca="1">IFERROR(__xludf.DUMMYFUNCTION("""COMPUTED_VALUE"""),"#VALUE!")</f>
        <v>#VALUE!</v>
      </c>
      <c r="CU1304" t="str">
        <f ca="1">IFERROR(__xludf.DUMMYFUNCTION("""COMPUTED_VALUE"""),"#VALUE!")</f>
        <v>#VALUE!</v>
      </c>
      <c r="CW1304" t="str">
        <f ca="1">IFERROR(__xludf.DUMMYFUNCTION("""COMPUTED_VALUE"""),"#VALUE!")</f>
        <v>#VALUE!</v>
      </c>
      <c r="CY1304" t="str">
        <f ca="1">IFERROR(__xludf.DUMMYFUNCTION("""COMPUTED_VALUE"""),"#VALUE!")</f>
        <v>#VALUE!</v>
      </c>
      <c r="DC1304" t="str">
        <f ca="1">IFERROR(__xludf.DUMMYFUNCTION("""COMPUTED_VALUE"""),"#VALUE!")</f>
        <v>#VALUE!</v>
      </c>
      <c r="DE1304" t="str">
        <f ca="1">IFERROR(__xludf.DUMMYFUNCTION("""COMPUTED_VALUE"""),"#VALUE!")</f>
        <v>#VALUE!</v>
      </c>
    </row>
    <row r="1305" spans="1:109" ht="13.2" x14ac:dyDescent="0.25">
      <c r="A1305" t="str">
        <f ca="1">IFERROR(__xludf.DUMMYFUNCTION("""COMPUTED_VALUE"""),"P1314")</f>
        <v>P1314</v>
      </c>
      <c r="BC1305" t="str">
        <f ca="1">IFERROR(__xludf.DUMMYFUNCTION("""COMPUTED_VALUE"""),"#VALUE!")</f>
        <v>#VALUE!</v>
      </c>
      <c r="BE1305" t="str">
        <f ca="1">IFERROR(__xludf.DUMMYFUNCTION("""COMPUTED_VALUE"""),"#VALUE!")</f>
        <v>#VALUE!</v>
      </c>
      <c r="BG1305" t="str">
        <f ca="1">IFERROR(__xludf.DUMMYFUNCTION("""COMPUTED_VALUE"""),"#VALUE!")</f>
        <v>#VALUE!</v>
      </c>
      <c r="BI1305" t="str">
        <f ca="1">IFERROR(__xludf.DUMMYFUNCTION("""COMPUTED_VALUE"""),"#VALUE!")</f>
        <v>#VALUE!</v>
      </c>
      <c r="BK1305" t="str">
        <f ca="1">IFERROR(__xludf.DUMMYFUNCTION("""COMPUTED_VALUE"""),"#VALUE!")</f>
        <v>#VALUE!</v>
      </c>
      <c r="BM1305" t="str">
        <f ca="1">IFERROR(__xludf.DUMMYFUNCTION("""COMPUTED_VALUE"""),"#VALUE!")</f>
        <v>#VALUE!</v>
      </c>
      <c r="CS1305" t="str">
        <f ca="1">IFERROR(__xludf.DUMMYFUNCTION("""COMPUTED_VALUE"""),"#VALUE!")</f>
        <v>#VALUE!</v>
      </c>
      <c r="CU1305" t="str">
        <f ca="1">IFERROR(__xludf.DUMMYFUNCTION("""COMPUTED_VALUE"""),"#VALUE!")</f>
        <v>#VALUE!</v>
      </c>
      <c r="CW1305" t="str">
        <f ca="1">IFERROR(__xludf.DUMMYFUNCTION("""COMPUTED_VALUE"""),"#VALUE!")</f>
        <v>#VALUE!</v>
      </c>
      <c r="CY1305" t="str">
        <f ca="1">IFERROR(__xludf.DUMMYFUNCTION("""COMPUTED_VALUE"""),"#VALUE!")</f>
        <v>#VALUE!</v>
      </c>
      <c r="DC1305" t="str">
        <f ca="1">IFERROR(__xludf.DUMMYFUNCTION("""COMPUTED_VALUE"""),"#VALUE!")</f>
        <v>#VALUE!</v>
      </c>
      <c r="DE1305" t="str">
        <f ca="1">IFERROR(__xludf.DUMMYFUNCTION("""COMPUTED_VALUE"""),"#VALUE!")</f>
        <v>#VALUE!</v>
      </c>
    </row>
    <row r="1306" spans="1:109" ht="13.2" x14ac:dyDescent="0.25">
      <c r="A1306" t="str">
        <f ca="1">IFERROR(__xludf.DUMMYFUNCTION("""COMPUTED_VALUE"""),"P1315")</f>
        <v>P1315</v>
      </c>
      <c r="BC1306" t="str">
        <f ca="1">IFERROR(__xludf.DUMMYFUNCTION("""COMPUTED_VALUE"""),"#VALUE!")</f>
        <v>#VALUE!</v>
      </c>
      <c r="BE1306" t="str">
        <f ca="1">IFERROR(__xludf.DUMMYFUNCTION("""COMPUTED_VALUE"""),"#VALUE!")</f>
        <v>#VALUE!</v>
      </c>
      <c r="BG1306" t="str">
        <f ca="1">IFERROR(__xludf.DUMMYFUNCTION("""COMPUTED_VALUE"""),"#VALUE!")</f>
        <v>#VALUE!</v>
      </c>
      <c r="BI1306" t="str">
        <f ca="1">IFERROR(__xludf.DUMMYFUNCTION("""COMPUTED_VALUE"""),"#VALUE!")</f>
        <v>#VALUE!</v>
      </c>
      <c r="BK1306" t="str">
        <f ca="1">IFERROR(__xludf.DUMMYFUNCTION("""COMPUTED_VALUE"""),"#VALUE!")</f>
        <v>#VALUE!</v>
      </c>
      <c r="BM1306" t="str">
        <f ca="1">IFERROR(__xludf.DUMMYFUNCTION("""COMPUTED_VALUE"""),"#VALUE!")</f>
        <v>#VALUE!</v>
      </c>
      <c r="CS1306" t="str">
        <f ca="1">IFERROR(__xludf.DUMMYFUNCTION("""COMPUTED_VALUE"""),"#VALUE!")</f>
        <v>#VALUE!</v>
      </c>
      <c r="CU1306" t="str">
        <f ca="1">IFERROR(__xludf.DUMMYFUNCTION("""COMPUTED_VALUE"""),"#VALUE!")</f>
        <v>#VALUE!</v>
      </c>
      <c r="CW1306" t="str">
        <f ca="1">IFERROR(__xludf.DUMMYFUNCTION("""COMPUTED_VALUE"""),"#VALUE!")</f>
        <v>#VALUE!</v>
      </c>
      <c r="CY1306" t="str">
        <f ca="1">IFERROR(__xludf.DUMMYFUNCTION("""COMPUTED_VALUE"""),"#VALUE!")</f>
        <v>#VALUE!</v>
      </c>
      <c r="DC1306" t="str">
        <f ca="1">IFERROR(__xludf.DUMMYFUNCTION("""COMPUTED_VALUE"""),"#VALUE!")</f>
        <v>#VALUE!</v>
      </c>
      <c r="DE1306" t="str">
        <f ca="1">IFERROR(__xludf.DUMMYFUNCTION("""COMPUTED_VALUE"""),"#VALUE!")</f>
        <v>#VALUE!</v>
      </c>
    </row>
    <row r="1307" spans="1:109" ht="13.2" x14ac:dyDescent="0.25">
      <c r="A1307" t="str">
        <f ca="1">IFERROR(__xludf.DUMMYFUNCTION("""COMPUTED_VALUE"""),"P1316")</f>
        <v>P1316</v>
      </c>
      <c r="BC1307" t="str">
        <f ca="1">IFERROR(__xludf.DUMMYFUNCTION("""COMPUTED_VALUE"""),"#VALUE!")</f>
        <v>#VALUE!</v>
      </c>
      <c r="BE1307" t="str">
        <f ca="1">IFERROR(__xludf.DUMMYFUNCTION("""COMPUTED_VALUE"""),"#VALUE!")</f>
        <v>#VALUE!</v>
      </c>
      <c r="BG1307" t="str">
        <f ca="1">IFERROR(__xludf.DUMMYFUNCTION("""COMPUTED_VALUE"""),"#VALUE!")</f>
        <v>#VALUE!</v>
      </c>
      <c r="BI1307" t="str">
        <f ca="1">IFERROR(__xludf.DUMMYFUNCTION("""COMPUTED_VALUE"""),"#VALUE!")</f>
        <v>#VALUE!</v>
      </c>
      <c r="BK1307" t="str">
        <f ca="1">IFERROR(__xludf.DUMMYFUNCTION("""COMPUTED_VALUE"""),"#VALUE!")</f>
        <v>#VALUE!</v>
      </c>
      <c r="BM1307" t="str">
        <f ca="1">IFERROR(__xludf.DUMMYFUNCTION("""COMPUTED_VALUE"""),"#VALUE!")</f>
        <v>#VALUE!</v>
      </c>
      <c r="CS1307" t="str">
        <f ca="1">IFERROR(__xludf.DUMMYFUNCTION("""COMPUTED_VALUE"""),"#VALUE!")</f>
        <v>#VALUE!</v>
      </c>
      <c r="CU1307" t="str">
        <f ca="1">IFERROR(__xludf.DUMMYFUNCTION("""COMPUTED_VALUE"""),"#VALUE!")</f>
        <v>#VALUE!</v>
      </c>
      <c r="CW1307" t="str">
        <f ca="1">IFERROR(__xludf.DUMMYFUNCTION("""COMPUTED_VALUE"""),"#VALUE!")</f>
        <v>#VALUE!</v>
      </c>
      <c r="CY1307" t="str">
        <f ca="1">IFERROR(__xludf.DUMMYFUNCTION("""COMPUTED_VALUE"""),"#VALUE!")</f>
        <v>#VALUE!</v>
      </c>
      <c r="DC1307" t="str">
        <f ca="1">IFERROR(__xludf.DUMMYFUNCTION("""COMPUTED_VALUE"""),"#VALUE!")</f>
        <v>#VALUE!</v>
      </c>
      <c r="DE1307" t="str">
        <f ca="1">IFERROR(__xludf.DUMMYFUNCTION("""COMPUTED_VALUE"""),"#VALUE!")</f>
        <v>#VALUE!</v>
      </c>
    </row>
    <row r="1308" spans="1:109" ht="13.2" x14ac:dyDescent="0.25">
      <c r="A1308" t="str">
        <f ca="1">IFERROR(__xludf.DUMMYFUNCTION("""COMPUTED_VALUE"""),"P1317")</f>
        <v>P1317</v>
      </c>
      <c r="BC1308" t="str">
        <f ca="1">IFERROR(__xludf.DUMMYFUNCTION("""COMPUTED_VALUE"""),"#VALUE!")</f>
        <v>#VALUE!</v>
      </c>
      <c r="BE1308" t="str">
        <f ca="1">IFERROR(__xludf.DUMMYFUNCTION("""COMPUTED_VALUE"""),"#VALUE!")</f>
        <v>#VALUE!</v>
      </c>
      <c r="BG1308" t="str">
        <f ca="1">IFERROR(__xludf.DUMMYFUNCTION("""COMPUTED_VALUE"""),"#VALUE!")</f>
        <v>#VALUE!</v>
      </c>
      <c r="BI1308" t="str">
        <f ca="1">IFERROR(__xludf.DUMMYFUNCTION("""COMPUTED_VALUE"""),"#VALUE!")</f>
        <v>#VALUE!</v>
      </c>
      <c r="BK1308" t="str">
        <f ca="1">IFERROR(__xludf.DUMMYFUNCTION("""COMPUTED_VALUE"""),"#VALUE!")</f>
        <v>#VALUE!</v>
      </c>
      <c r="BM1308" t="str">
        <f ca="1">IFERROR(__xludf.DUMMYFUNCTION("""COMPUTED_VALUE"""),"#VALUE!")</f>
        <v>#VALUE!</v>
      </c>
      <c r="CS1308" t="str">
        <f ca="1">IFERROR(__xludf.DUMMYFUNCTION("""COMPUTED_VALUE"""),"#VALUE!")</f>
        <v>#VALUE!</v>
      </c>
      <c r="CU1308" t="str">
        <f ca="1">IFERROR(__xludf.DUMMYFUNCTION("""COMPUTED_VALUE"""),"#VALUE!")</f>
        <v>#VALUE!</v>
      </c>
      <c r="CW1308" t="str">
        <f ca="1">IFERROR(__xludf.DUMMYFUNCTION("""COMPUTED_VALUE"""),"#VALUE!")</f>
        <v>#VALUE!</v>
      </c>
      <c r="CY1308" t="str">
        <f ca="1">IFERROR(__xludf.DUMMYFUNCTION("""COMPUTED_VALUE"""),"#VALUE!")</f>
        <v>#VALUE!</v>
      </c>
      <c r="DC1308" t="str">
        <f ca="1">IFERROR(__xludf.DUMMYFUNCTION("""COMPUTED_VALUE"""),"#VALUE!")</f>
        <v>#VALUE!</v>
      </c>
      <c r="DE1308" t="str">
        <f ca="1">IFERROR(__xludf.DUMMYFUNCTION("""COMPUTED_VALUE"""),"#VALUE!")</f>
        <v>#VALUE!</v>
      </c>
    </row>
    <row r="1309" spans="1:109" ht="13.2" x14ac:dyDescent="0.25">
      <c r="A1309" t="str">
        <f ca="1">IFERROR(__xludf.DUMMYFUNCTION("""COMPUTED_VALUE"""),"P1318")</f>
        <v>P1318</v>
      </c>
      <c r="BC1309" t="str">
        <f ca="1">IFERROR(__xludf.DUMMYFUNCTION("""COMPUTED_VALUE"""),"#VALUE!")</f>
        <v>#VALUE!</v>
      </c>
      <c r="BE1309" t="str">
        <f ca="1">IFERROR(__xludf.DUMMYFUNCTION("""COMPUTED_VALUE"""),"#VALUE!")</f>
        <v>#VALUE!</v>
      </c>
      <c r="BG1309" t="str">
        <f ca="1">IFERROR(__xludf.DUMMYFUNCTION("""COMPUTED_VALUE"""),"#VALUE!")</f>
        <v>#VALUE!</v>
      </c>
      <c r="BI1309" t="str">
        <f ca="1">IFERROR(__xludf.DUMMYFUNCTION("""COMPUTED_VALUE"""),"#VALUE!")</f>
        <v>#VALUE!</v>
      </c>
      <c r="BK1309" t="str">
        <f ca="1">IFERROR(__xludf.DUMMYFUNCTION("""COMPUTED_VALUE"""),"#VALUE!")</f>
        <v>#VALUE!</v>
      </c>
      <c r="BM1309" t="str">
        <f ca="1">IFERROR(__xludf.DUMMYFUNCTION("""COMPUTED_VALUE"""),"#VALUE!")</f>
        <v>#VALUE!</v>
      </c>
      <c r="CS1309" t="str">
        <f ca="1">IFERROR(__xludf.DUMMYFUNCTION("""COMPUTED_VALUE"""),"#VALUE!")</f>
        <v>#VALUE!</v>
      </c>
      <c r="CU1309" t="str">
        <f ca="1">IFERROR(__xludf.DUMMYFUNCTION("""COMPUTED_VALUE"""),"#VALUE!")</f>
        <v>#VALUE!</v>
      </c>
      <c r="CW1309" t="str">
        <f ca="1">IFERROR(__xludf.DUMMYFUNCTION("""COMPUTED_VALUE"""),"#VALUE!")</f>
        <v>#VALUE!</v>
      </c>
      <c r="CY1309" t="str">
        <f ca="1">IFERROR(__xludf.DUMMYFUNCTION("""COMPUTED_VALUE"""),"#VALUE!")</f>
        <v>#VALUE!</v>
      </c>
      <c r="DC1309" t="str">
        <f ca="1">IFERROR(__xludf.DUMMYFUNCTION("""COMPUTED_VALUE"""),"#VALUE!")</f>
        <v>#VALUE!</v>
      </c>
      <c r="DE1309" t="str">
        <f ca="1">IFERROR(__xludf.DUMMYFUNCTION("""COMPUTED_VALUE"""),"#VALUE!")</f>
        <v>#VALUE!</v>
      </c>
    </row>
    <row r="1310" spans="1:109" ht="13.2" x14ac:dyDescent="0.25">
      <c r="A1310" t="str">
        <f ca="1">IFERROR(__xludf.DUMMYFUNCTION("""COMPUTED_VALUE"""),"P1319")</f>
        <v>P1319</v>
      </c>
      <c r="BC1310" t="str">
        <f ca="1">IFERROR(__xludf.DUMMYFUNCTION("""COMPUTED_VALUE"""),"#VALUE!")</f>
        <v>#VALUE!</v>
      </c>
      <c r="BE1310" t="str">
        <f ca="1">IFERROR(__xludf.DUMMYFUNCTION("""COMPUTED_VALUE"""),"#VALUE!")</f>
        <v>#VALUE!</v>
      </c>
      <c r="BG1310" t="str">
        <f ca="1">IFERROR(__xludf.DUMMYFUNCTION("""COMPUTED_VALUE"""),"#VALUE!")</f>
        <v>#VALUE!</v>
      </c>
      <c r="BI1310" t="str">
        <f ca="1">IFERROR(__xludf.DUMMYFUNCTION("""COMPUTED_VALUE"""),"#VALUE!")</f>
        <v>#VALUE!</v>
      </c>
      <c r="BK1310" t="str">
        <f ca="1">IFERROR(__xludf.DUMMYFUNCTION("""COMPUTED_VALUE"""),"#VALUE!")</f>
        <v>#VALUE!</v>
      </c>
      <c r="BM1310" t="str">
        <f ca="1">IFERROR(__xludf.DUMMYFUNCTION("""COMPUTED_VALUE"""),"#VALUE!")</f>
        <v>#VALUE!</v>
      </c>
      <c r="CS1310" t="str">
        <f ca="1">IFERROR(__xludf.DUMMYFUNCTION("""COMPUTED_VALUE"""),"#VALUE!")</f>
        <v>#VALUE!</v>
      </c>
      <c r="CU1310" t="str">
        <f ca="1">IFERROR(__xludf.DUMMYFUNCTION("""COMPUTED_VALUE"""),"#VALUE!")</f>
        <v>#VALUE!</v>
      </c>
      <c r="CW1310" t="str">
        <f ca="1">IFERROR(__xludf.DUMMYFUNCTION("""COMPUTED_VALUE"""),"#VALUE!")</f>
        <v>#VALUE!</v>
      </c>
      <c r="CY1310" t="str">
        <f ca="1">IFERROR(__xludf.DUMMYFUNCTION("""COMPUTED_VALUE"""),"#VALUE!")</f>
        <v>#VALUE!</v>
      </c>
      <c r="DC1310" t="str">
        <f ca="1">IFERROR(__xludf.DUMMYFUNCTION("""COMPUTED_VALUE"""),"#VALUE!")</f>
        <v>#VALUE!</v>
      </c>
      <c r="DE1310" t="str">
        <f ca="1">IFERROR(__xludf.DUMMYFUNCTION("""COMPUTED_VALUE"""),"#VALUE!")</f>
        <v>#VALUE!</v>
      </c>
    </row>
    <row r="1311" spans="1:109" ht="13.2" x14ac:dyDescent="0.25">
      <c r="A1311" t="str">
        <f ca="1">IFERROR(__xludf.DUMMYFUNCTION("""COMPUTED_VALUE"""),"P1320")</f>
        <v>P1320</v>
      </c>
      <c r="BC1311" t="str">
        <f ca="1">IFERROR(__xludf.DUMMYFUNCTION("""COMPUTED_VALUE"""),"#VALUE!")</f>
        <v>#VALUE!</v>
      </c>
      <c r="BE1311" t="str">
        <f ca="1">IFERROR(__xludf.DUMMYFUNCTION("""COMPUTED_VALUE"""),"#VALUE!")</f>
        <v>#VALUE!</v>
      </c>
      <c r="BG1311" t="str">
        <f ca="1">IFERROR(__xludf.DUMMYFUNCTION("""COMPUTED_VALUE"""),"#VALUE!")</f>
        <v>#VALUE!</v>
      </c>
      <c r="BI1311" t="str">
        <f ca="1">IFERROR(__xludf.DUMMYFUNCTION("""COMPUTED_VALUE"""),"#VALUE!")</f>
        <v>#VALUE!</v>
      </c>
      <c r="BK1311" t="str">
        <f ca="1">IFERROR(__xludf.DUMMYFUNCTION("""COMPUTED_VALUE"""),"#VALUE!")</f>
        <v>#VALUE!</v>
      </c>
      <c r="BM1311" t="str">
        <f ca="1">IFERROR(__xludf.DUMMYFUNCTION("""COMPUTED_VALUE"""),"#VALUE!")</f>
        <v>#VALUE!</v>
      </c>
      <c r="CS1311" t="str">
        <f ca="1">IFERROR(__xludf.DUMMYFUNCTION("""COMPUTED_VALUE"""),"#VALUE!")</f>
        <v>#VALUE!</v>
      </c>
      <c r="CU1311" t="str">
        <f ca="1">IFERROR(__xludf.DUMMYFUNCTION("""COMPUTED_VALUE"""),"#VALUE!")</f>
        <v>#VALUE!</v>
      </c>
      <c r="CW1311" t="str">
        <f ca="1">IFERROR(__xludf.DUMMYFUNCTION("""COMPUTED_VALUE"""),"#VALUE!")</f>
        <v>#VALUE!</v>
      </c>
      <c r="CY1311" t="str">
        <f ca="1">IFERROR(__xludf.DUMMYFUNCTION("""COMPUTED_VALUE"""),"#VALUE!")</f>
        <v>#VALUE!</v>
      </c>
      <c r="DC1311" t="str">
        <f ca="1">IFERROR(__xludf.DUMMYFUNCTION("""COMPUTED_VALUE"""),"#VALUE!")</f>
        <v>#VALUE!</v>
      </c>
      <c r="DE1311" t="str">
        <f ca="1">IFERROR(__xludf.DUMMYFUNCTION("""COMPUTED_VALUE"""),"#VALUE!")</f>
        <v>#VALUE!</v>
      </c>
    </row>
    <row r="1312" spans="1:109" ht="13.2" x14ac:dyDescent="0.25">
      <c r="A1312" t="str">
        <f ca="1">IFERROR(__xludf.DUMMYFUNCTION("""COMPUTED_VALUE"""),"P1321")</f>
        <v>P1321</v>
      </c>
      <c r="BC1312" t="str">
        <f ca="1">IFERROR(__xludf.DUMMYFUNCTION("""COMPUTED_VALUE"""),"#VALUE!")</f>
        <v>#VALUE!</v>
      </c>
      <c r="BE1312" t="str">
        <f ca="1">IFERROR(__xludf.DUMMYFUNCTION("""COMPUTED_VALUE"""),"#VALUE!")</f>
        <v>#VALUE!</v>
      </c>
      <c r="BG1312" t="str">
        <f ca="1">IFERROR(__xludf.DUMMYFUNCTION("""COMPUTED_VALUE"""),"#VALUE!")</f>
        <v>#VALUE!</v>
      </c>
      <c r="BI1312" t="str">
        <f ca="1">IFERROR(__xludf.DUMMYFUNCTION("""COMPUTED_VALUE"""),"#VALUE!")</f>
        <v>#VALUE!</v>
      </c>
      <c r="BK1312" t="str">
        <f ca="1">IFERROR(__xludf.DUMMYFUNCTION("""COMPUTED_VALUE"""),"#VALUE!")</f>
        <v>#VALUE!</v>
      </c>
      <c r="BM1312" t="str">
        <f ca="1">IFERROR(__xludf.DUMMYFUNCTION("""COMPUTED_VALUE"""),"#VALUE!")</f>
        <v>#VALUE!</v>
      </c>
      <c r="CS1312" t="str">
        <f ca="1">IFERROR(__xludf.DUMMYFUNCTION("""COMPUTED_VALUE"""),"#VALUE!")</f>
        <v>#VALUE!</v>
      </c>
      <c r="CU1312" t="str">
        <f ca="1">IFERROR(__xludf.DUMMYFUNCTION("""COMPUTED_VALUE"""),"#VALUE!")</f>
        <v>#VALUE!</v>
      </c>
      <c r="CW1312" t="str">
        <f ca="1">IFERROR(__xludf.DUMMYFUNCTION("""COMPUTED_VALUE"""),"#VALUE!")</f>
        <v>#VALUE!</v>
      </c>
      <c r="CY1312" t="str">
        <f ca="1">IFERROR(__xludf.DUMMYFUNCTION("""COMPUTED_VALUE"""),"#VALUE!")</f>
        <v>#VALUE!</v>
      </c>
      <c r="DC1312" t="str">
        <f ca="1">IFERROR(__xludf.DUMMYFUNCTION("""COMPUTED_VALUE"""),"#VALUE!")</f>
        <v>#VALUE!</v>
      </c>
      <c r="DE1312" t="str">
        <f ca="1">IFERROR(__xludf.DUMMYFUNCTION("""COMPUTED_VALUE"""),"#VALUE!")</f>
        <v>#VALUE!</v>
      </c>
    </row>
    <row r="1313" spans="1:109" ht="13.2" x14ac:dyDescent="0.25">
      <c r="A1313" t="str">
        <f ca="1">IFERROR(__xludf.DUMMYFUNCTION("""COMPUTED_VALUE"""),"P1322")</f>
        <v>P1322</v>
      </c>
      <c r="BC1313" t="str">
        <f ca="1">IFERROR(__xludf.DUMMYFUNCTION("""COMPUTED_VALUE"""),"#VALUE!")</f>
        <v>#VALUE!</v>
      </c>
      <c r="BE1313" t="str">
        <f ca="1">IFERROR(__xludf.DUMMYFUNCTION("""COMPUTED_VALUE"""),"#VALUE!")</f>
        <v>#VALUE!</v>
      </c>
      <c r="BG1313" t="str">
        <f ca="1">IFERROR(__xludf.DUMMYFUNCTION("""COMPUTED_VALUE"""),"#VALUE!")</f>
        <v>#VALUE!</v>
      </c>
      <c r="BI1313" t="str">
        <f ca="1">IFERROR(__xludf.DUMMYFUNCTION("""COMPUTED_VALUE"""),"#VALUE!")</f>
        <v>#VALUE!</v>
      </c>
      <c r="BK1313" t="str">
        <f ca="1">IFERROR(__xludf.DUMMYFUNCTION("""COMPUTED_VALUE"""),"#VALUE!")</f>
        <v>#VALUE!</v>
      </c>
      <c r="BM1313" t="str">
        <f ca="1">IFERROR(__xludf.DUMMYFUNCTION("""COMPUTED_VALUE"""),"#VALUE!")</f>
        <v>#VALUE!</v>
      </c>
      <c r="CS1313" t="str">
        <f ca="1">IFERROR(__xludf.DUMMYFUNCTION("""COMPUTED_VALUE"""),"#VALUE!")</f>
        <v>#VALUE!</v>
      </c>
      <c r="CU1313" t="str">
        <f ca="1">IFERROR(__xludf.DUMMYFUNCTION("""COMPUTED_VALUE"""),"#VALUE!")</f>
        <v>#VALUE!</v>
      </c>
      <c r="CW1313" t="str">
        <f ca="1">IFERROR(__xludf.DUMMYFUNCTION("""COMPUTED_VALUE"""),"#VALUE!")</f>
        <v>#VALUE!</v>
      </c>
      <c r="CY1313" t="str">
        <f ca="1">IFERROR(__xludf.DUMMYFUNCTION("""COMPUTED_VALUE"""),"#VALUE!")</f>
        <v>#VALUE!</v>
      </c>
      <c r="DC1313" t="str">
        <f ca="1">IFERROR(__xludf.DUMMYFUNCTION("""COMPUTED_VALUE"""),"#VALUE!")</f>
        <v>#VALUE!</v>
      </c>
      <c r="DE1313" t="str">
        <f ca="1">IFERROR(__xludf.DUMMYFUNCTION("""COMPUTED_VALUE"""),"#VALUE!")</f>
        <v>#VALUE!</v>
      </c>
    </row>
    <row r="1314" spans="1:109" ht="13.2" x14ac:dyDescent="0.25">
      <c r="A1314" t="str">
        <f ca="1">IFERROR(__xludf.DUMMYFUNCTION("""COMPUTED_VALUE"""),"P1323")</f>
        <v>P1323</v>
      </c>
      <c r="BC1314" t="str">
        <f ca="1">IFERROR(__xludf.DUMMYFUNCTION("""COMPUTED_VALUE"""),"#VALUE!")</f>
        <v>#VALUE!</v>
      </c>
      <c r="BE1314" t="str">
        <f ca="1">IFERROR(__xludf.DUMMYFUNCTION("""COMPUTED_VALUE"""),"#VALUE!")</f>
        <v>#VALUE!</v>
      </c>
      <c r="BG1314" t="str">
        <f ca="1">IFERROR(__xludf.DUMMYFUNCTION("""COMPUTED_VALUE"""),"#VALUE!")</f>
        <v>#VALUE!</v>
      </c>
      <c r="BI1314" t="str">
        <f ca="1">IFERROR(__xludf.DUMMYFUNCTION("""COMPUTED_VALUE"""),"#VALUE!")</f>
        <v>#VALUE!</v>
      </c>
      <c r="BK1314" t="str">
        <f ca="1">IFERROR(__xludf.DUMMYFUNCTION("""COMPUTED_VALUE"""),"#VALUE!")</f>
        <v>#VALUE!</v>
      </c>
      <c r="BM1314" t="str">
        <f ca="1">IFERROR(__xludf.DUMMYFUNCTION("""COMPUTED_VALUE"""),"#VALUE!")</f>
        <v>#VALUE!</v>
      </c>
      <c r="CS1314" t="str">
        <f ca="1">IFERROR(__xludf.DUMMYFUNCTION("""COMPUTED_VALUE"""),"#VALUE!")</f>
        <v>#VALUE!</v>
      </c>
      <c r="CU1314" t="str">
        <f ca="1">IFERROR(__xludf.DUMMYFUNCTION("""COMPUTED_VALUE"""),"#VALUE!")</f>
        <v>#VALUE!</v>
      </c>
      <c r="CW1314" t="str">
        <f ca="1">IFERROR(__xludf.DUMMYFUNCTION("""COMPUTED_VALUE"""),"#VALUE!")</f>
        <v>#VALUE!</v>
      </c>
      <c r="CY1314" t="str">
        <f ca="1">IFERROR(__xludf.DUMMYFUNCTION("""COMPUTED_VALUE"""),"#VALUE!")</f>
        <v>#VALUE!</v>
      </c>
      <c r="DC1314" t="str">
        <f ca="1">IFERROR(__xludf.DUMMYFUNCTION("""COMPUTED_VALUE"""),"#VALUE!")</f>
        <v>#VALUE!</v>
      </c>
      <c r="DE1314" t="str">
        <f ca="1">IFERROR(__xludf.DUMMYFUNCTION("""COMPUTED_VALUE"""),"#VALUE!")</f>
        <v>#VALUE!</v>
      </c>
    </row>
    <row r="1315" spans="1:109" ht="13.2" x14ac:dyDescent="0.25">
      <c r="A1315" t="str">
        <f ca="1">IFERROR(__xludf.DUMMYFUNCTION("""COMPUTED_VALUE"""),"P1324")</f>
        <v>P1324</v>
      </c>
      <c r="BC1315" t="str">
        <f ca="1">IFERROR(__xludf.DUMMYFUNCTION("""COMPUTED_VALUE"""),"#VALUE!")</f>
        <v>#VALUE!</v>
      </c>
      <c r="BE1315" t="str">
        <f ca="1">IFERROR(__xludf.DUMMYFUNCTION("""COMPUTED_VALUE"""),"#VALUE!")</f>
        <v>#VALUE!</v>
      </c>
      <c r="BG1315" t="str">
        <f ca="1">IFERROR(__xludf.DUMMYFUNCTION("""COMPUTED_VALUE"""),"#VALUE!")</f>
        <v>#VALUE!</v>
      </c>
      <c r="BI1315" t="str">
        <f ca="1">IFERROR(__xludf.DUMMYFUNCTION("""COMPUTED_VALUE"""),"#VALUE!")</f>
        <v>#VALUE!</v>
      </c>
      <c r="BK1315" t="str">
        <f ca="1">IFERROR(__xludf.DUMMYFUNCTION("""COMPUTED_VALUE"""),"#VALUE!")</f>
        <v>#VALUE!</v>
      </c>
      <c r="BM1315" t="str">
        <f ca="1">IFERROR(__xludf.DUMMYFUNCTION("""COMPUTED_VALUE"""),"#VALUE!")</f>
        <v>#VALUE!</v>
      </c>
      <c r="CS1315" t="str">
        <f ca="1">IFERROR(__xludf.DUMMYFUNCTION("""COMPUTED_VALUE"""),"#VALUE!")</f>
        <v>#VALUE!</v>
      </c>
      <c r="CU1315" t="str">
        <f ca="1">IFERROR(__xludf.DUMMYFUNCTION("""COMPUTED_VALUE"""),"#VALUE!")</f>
        <v>#VALUE!</v>
      </c>
      <c r="CW1315" t="str">
        <f ca="1">IFERROR(__xludf.DUMMYFUNCTION("""COMPUTED_VALUE"""),"#VALUE!")</f>
        <v>#VALUE!</v>
      </c>
      <c r="CY1315" t="str">
        <f ca="1">IFERROR(__xludf.DUMMYFUNCTION("""COMPUTED_VALUE"""),"#VALUE!")</f>
        <v>#VALUE!</v>
      </c>
      <c r="DC1315" t="str">
        <f ca="1">IFERROR(__xludf.DUMMYFUNCTION("""COMPUTED_VALUE"""),"#VALUE!")</f>
        <v>#VALUE!</v>
      </c>
      <c r="DE1315" t="str">
        <f ca="1">IFERROR(__xludf.DUMMYFUNCTION("""COMPUTED_VALUE"""),"#VALUE!")</f>
        <v>#VALUE!</v>
      </c>
    </row>
    <row r="1316" spans="1:109" ht="13.2" x14ac:dyDescent="0.25">
      <c r="A1316" t="str">
        <f ca="1">IFERROR(__xludf.DUMMYFUNCTION("""COMPUTED_VALUE"""),"P1325")</f>
        <v>P1325</v>
      </c>
      <c r="BC1316" t="str">
        <f ca="1">IFERROR(__xludf.DUMMYFUNCTION("""COMPUTED_VALUE"""),"#VALUE!")</f>
        <v>#VALUE!</v>
      </c>
      <c r="BE1316" t="str">
        <f ca="1">IFERROR(__xludf.DUMMYFUNCTION("""COMPUTED_VALUE"""),"#VALUE!")</f>
        <v>#VALUE!</v>
      </c>
      <c r="BG1316" t="str">
        <f ca="1">IFERROR(__xludf.DUMMYFUNCTION("""COMPUTED_VALUE"""),"#VALUE!")</f>
        <v>#VALUE!</v>
      </c>
      <c r="BI1316" t="str">
        <f ca="1">IFERROR(__xludf.DUMMYFUNCTION("""COMPUTED_VALUE"""),"#VALUE!")</f>
        <v>#VALUE!</v>
      </c>
      <c r="BK1316" t="str">
        <f ca="1">IFERROR(__xludf.DUMMYFUNCTION("""COMPUTED_VALUE"""),"#VALUE!")</f>
        <v>#VALUE!</v>
      </c>
      <c r="BM1316" t="str">
        <f ca="1">IFERROR(__xludf.DUMMYFUNCTION("""COMPUTED_VALUE"""),"#VALUE!")</f>
        <v>#VALUE!</v>
      </c>
      <c r="CS1316" t="str">
        <f ca="1">IFERROR(__xludf.DUMMYFUNCTION("""COMPUTED_VALUE"""),"#VALUE!")</f>
        <v>#VALUE!</v>
      </c>
      <c r="CU1316" t="str">
        <f ca="1">IFERROR(__xludf.DUMMYFUNCTION("""COMPUTED_VALUE"""),"#VALUE!")</f>
        <v>#VALUE!</v>
      </c>
      <c r="CW1316" t="str">
        <f ca="1">IFERROR(__xludf.DUMMYFUNCTION("""COMPUTED_VALUE"""),"#VALUE!")</f>
        <v>#VALUE!</v>
      </c>
      <c r="CY1316" t="str">
        <f ca="1">IFERROR(__xludf.DUMMYFUNCTION("""COMPUTED_VALUE"""),"#VALUE!")</f>
        <v>#VALUE!</v>
      </c>
      <c r="DC1316" t="str">
        <f ca="1">IFERROR(__xludf.DUMMYFUNCTION("""COMPUTED_VALUE"""),"#VALUE!")</f>
        <v>#VALUE!</v>
      </c>
      <c r="DE1316" t="str">
        <f ca="1">IFERROR(__xludf.DUMMYFUNCTION("""COMPUTED_VALUE"""),"#VALUE!")</f>
        <v>#VALUE!</v>
      </c>
    </row>
    <row r="1317" spans="1:109" ht="13.2" x14ac:dyDescent="0.25">
      <c r="A1317" t="str">
        <f ca="1">IFERROR(__xludf.DUMMYFUNCTION("""COMPUTED_VALUE"""),"P1326")</f>
        <v>P1326</v>
      </c>
      <c r="BC1317" t="str">
        <f ca="1">IFERROR(__xludf.DUMMYFUNCTION("""COMPUTED_VALUE"""),"#VALUE!")</f>
        <v>#VALUE!</v>
      </c>
      <c r="BE1317" t="str">
        <f ca="1">IFERROR(__xludf.DUMMYFUNCTION("""COMPUTED_VALUE"""),"#VALUE!")</f>
        <v>#VALUE!</v>
      </c>
      <c r="BG1317" t="str">
        <f ca="1">IFERROR(__xludf.DUMMYFUNCTION("""COMPUTED_VALUE"""),"#VALUE!")</f>
        <v>#VALUE!</v>
      </c>
      <c r="BI1317" t="str">
        <f ca="1">IFERROR(__xludf.DUMMYFUNCTION("""COMPUTED_VALUE"""),"#VALUE!")</f>
        <v>#VALUE!</v>
      </c>
      <c r="BK1317" t="str">
        <f ca="1">IFERROR(__xludf.DUMMYFUNCTION("""COMPUTED_VALUE"""),"#VALUE!")</f>
        <v>#VALUE!</v>
      </c>
      <c r="BM1317" t="str">
        <f ca="1">IFERROR(__xludf.DUMMYFUNCTION("""COMPUTED_VALUE"""),"#VALUE!")</f>
        <v>#VALUE!</v>
      </c>
      <c r="CS1317" t="str">
        <f ca="1">IFERROR(__xludf.DUMMYFUNCTION("""COMPUTED_VALUE"""),"#VALUE!")</f>
        <v>#VALUE!</v>
      </c>
      <c r="CU1317" t="str">
        <f ca="1">IFERROR(__xludf.DUMMYFUNCTION("""COMPUTED_VALUE"""),"#VALUE!")</f>
        <v>#VALUE!</v>
      </c>
      <c r="CW1317" t="str">
        <f ca="1">IFERROR(__xludf.DUMMYFUNCTION("""COMPUTED_VALUE"""),"#VALUE!")</f>
        <v>#VALUE!</v>
      </c>
      <c r="CY1317" t="str">
        <f ca="1">IFERROR(__xludf.DUMMYFUNCTION("""COMPUTED_VALUE"""),"#VALUE!")</f>
        <v>#VALUE!</v>
      </c>
      <c r="DC1317" t="str">
        <f ca="1">IFERROR(__xludf.DUMMYFUNCTION("""COMPUTED_VALUE"""),"#VALUE!")</f>
        <v>#VALUE!</v>
      </c>
      <c r="DE1317" t="str">
        <f ca="1">IFERROR(__xludf.DUMMYFUNCTION("""COMPUTED_VALUE"""),"#VALUE!")</f>
        <v>#VALUE!</v>
      </c>
    </row>
    <row r="1318" spans="1:109" ht="13.2" x14ac:dyDescent="0.25">
      <c r="A1318" t="str">
        <f ca="1">IFERROR(__xludf.DUMMYFUNCTION("""COMPUTED_VALUE"""),"P1327")</f>
        <v>P1327</v>
      </c>
      <c r="BC1318" t="str">
        <f ca="1">IFERROR(__xludf.DUMMYFUNCTION("""COMPUTED_VALUE"""),"#VALUE!")</f>
        <v>#VALUE!</v>
      </c>
      <c r="BE1318" t="str">
        <f ca="1">IFERROR(__xludf.DUMMYFUNCTION("""COMPUTED_VALUE"""),"#VALUE!")</f>
        <v>#VALUE!</v>
      </c>
      <c r="BG1318" t="str">
        <f ca="1">IFERROR(__xludf.DUMMYFUNCTION("""COMPUTED_VALUE"""),"#VALUE!")</f>
        <v>#VALUE!</v>
      </c>
      <c r="BI1318" t="str">
        <f ca="1">IFERROR(__xludf.DUMMYFUNCTION("""COMPUTED_VALUE"""),"#VALUE!")</f>
        <v>#VALUE!</v>
      </c>
      <c r="BK1318" t="str">
        <f ca="1">IFERROR(__xludf.DUMMYFUNCTION("""COMPUTED_VALUE"""),"#VALUE!")</f>
        <v>#VALUE!</v>
      </c>
      <c r="BM1318" t="str">
        <f ca="1">IFERROR(__xludf.DUMMYFUNCTION("""COMPUTED_VALUE"""),"#VALUE!")</f>
        <v>#VALUE!</v>
      </c>
      <c r="CS1318" t="str">
        <f ca="1">IFERROR(__xludf.DUMMYFUNCTION("""COMPUTED_VALUE"""),"#VALUE!")</f>
        <v>#VALUE!</v>
      </c>
      <c r="CU1318" t="str">
        <f ca="1">IFERROR(__xludf.DUMMYFUNCTION("""COMPUTED_VALUE"""),"#VALUE!")</f>
        <v>#VALUE!</v>
      </c>
      <c r="CW1318" t="str">
        <f ca="1">IFERROR(__xludf.DUMMYFUNCTION("""COMPUTED_VALUE"""),"#VALUE!")</f>
        <v>#VALUE!</v>
      </c>
      <c r="CY1318" t="str">
        <f ca="1">IFERROR(__xludf.DUMMYFUNCTION("""COMPUTED_VALUE"""),"#VALUE!")</f>
        <v>#VALUE!</v>
      </c>
      <c r="DC1318" t="str">
        <f ca="1">IFERROR(__xludf.DUMMYFUNCTION("""COMPUTED_VALUE"""),"#VALUE!")</f>
        <v>#VALUE!</v>
      </c>
      <c r="DE1318" t="str">
        <f ca="1">IFERROR(__xludf.DUMMYFUNCTION("""COMPUTED_VALUE"""),"#VALUE!")</f>
        <v>#VALUE!</v>
      </c>
    </row>
    <row r="1319" spans="1:109" ht="13.2" x14ac:dyDescent="0.25">
      <c r="A1319" t="str">
        <f ca="1">IFERROR(__xludf.DUMMYFUNCTION("""COMPUTED_VALUE"""),"P1328")</f>
        <v>P1328</v>
      </c>
      <c r="BC1319" t="str">
        <f ca="1">IFERROR(__xludf.DUMMYFUNCTION("""COMPUTED_VALUE"""),"#VALUE!")</f>
        <v>#VALUE!</v>
      </c>
      <c r="BE1319" t="str">
        <f ca="1">IFERROR(__xludf.DUMMYFUNCTION("""COMPUTED_VALUE"""),"#VALUE!")</f>
        <v>#VALUE!</v>
      </c>
      <c r="BG1319" t="str">
        <f ca="1">IFERROR(__xludf.DUMMYFUNCTION("""COMPUTED_VALUE"""),"#VALUE!")</f>
        <v>#VALUE!</v>
      </c>
      <c r="BI1319" t="str">
        <f ca="1">IFERROR(__xludf.DUMMYFUNCTION("""COMPUTED_VALUE"""),"#VALUE!")</f>
        <v>#VALUE!</v>
      </c>
      <c r="BK1319" t="str">
        <f ca="1">IFERROR(__xludf.DUMMYFUNCTION("""COMPUTED_VALUE"""),"#VALUE!")</f>
        <v>#VALUE!</v>
      </c>
      <c r="BM1319" t="str">
        <f ca="1">IFERROR(__xludf.DUMMYFUNCTION("""COMPUTED_VALUE"""),"#VALUE!")</f>
        <v>#VALUE!</v>
      </c>
      <c r="CS1319" t="str">
        <f ca="1">IFERROR(__xludf.DUMMYFUNCTION("""COMPUTED_VALUE"""),"#VALUE!")</f>
        <v>#VALUE!</v>
      </c>
      <c r="CU1319" t="str">
        <f ca="1">IFERROR(__xludf.DUMMYFUNCTION("""COMPUTED_VALUE"""),"#VALUE!")</f>
        <v>#VALUE!</v>
      </c>
      <c r="CW1319" t="str">
        <f ca="1">IFERROR(__xludf.DUMMYFUNCTION("""COMPUTED_VALUE"""),"#VALUE!")</f>
        <v>#VALUE!</v>
      </c>
      <c r="CY1319" t="str">
        <f ca="1">IFERROR(__xludf.DUMMYFUNCTION("""COMPUTED_VALUE"""),"#VALUE!")</f>
        <v>#VALUE!</v>
      </c>
      <c r="DC1319" t="str">
        <f ca="1">IFERROR(__xludf.DUMMYFUNCTION("""COMPUTED_VALUE"""),"#VALUE!")</f>
        <v>#VALUE!</v>
      </c>
      <c r="DE1319" t="str">
        <f ca="1">IFERROR(__xludf.DUMMYFUNCTION("""COMPUTED_VALUE"""),"#VALUE!")</f>
        <v>#VALUE!</v>
      </c>
    </row>
    <row r="1320" spans="1:109" ht="13.2" x14ac:dyDescent="0.25">
      <c r="A1320" t="str">
        <f ca="1">IFERROR(__xludf.DUMMYFUNCTION("""COMPUTED_VALUE"""),"P1329")</f>
        <v>P1329</v>
      </c>
      <c r="BC1320" t="str">
        <f ca="1">IFERROR(__xludf.DUMMYFUNCTION("""COMPUTED_VALUE"""),"#VALUE!")</f>
        <v>#VALUE!</v>
      </c>
      <c r="BE1320" t="str">
        <f ca="1">IFERROR(__xludf.DUMMYFUNCTION("""COMPUTED_VALUE"""),"#VALUE!")</f>
        <v>#VALUE!</v>
      </c>
      <c r="BG1320" t="str">
        <f ca="1">IFERROR(__xludf.DUMMYFUNCTION("""COMPUTED_VALUE"""),"#VALUE!")</f>
        <v>#VALUE!</v>
      </c>
      <c r="BI1320" t="str">
        <f ca="1">IFERROR(__xludf.DUMMYFUNCTION("""COMPUTED_VALUE"""),"#VALUE!")</f>
        <v>#VALUE!</v>
      </c>
      <c r="BK1320" t="str">
        <f ca="1">IFERROR(__xludf.DUMMYFUNCTION("""COMPUTED_VALUE"""),"#VALUE!")</f>
        <v>#VALUE!</v>
      </c>
      <c r="BM1320" t="str">
        <f ca="1">IFERROR(__xludf.DUMMYFUNCTION("""COMPUTED_VALUE"""),"#VALUE!")</f>
        <v>#VALUE!</v>
      </c>
      <c r="CS1320" t="str">
        <f ca="1">IFERROR(__xludf.DUMMYFUNCTION("""COMPUTED_VALUE"""),"#VALUE!")</f>
        <v>#VALUE!</v>
      </c>
      <c r="CU1320" t="str">
        <f ca="1">IFERROR(__xludf.DUMMYFUNCTION("""COMPUTED_VALUE"""),"#VALUE!")</f>
        <v>#VALUE!</v>
      </c>
      <c r="CW1320" t="str">
        <f ca="1">IFERROR(__xludf.DUMMYFUNCTION("""COMPUTED_VALUE"""),"#VALUE!")</f>
        <v>#VALUE!</v>
      </c>
      <c r="CY1320" t="str">
        <f ca="1">IFERROR(__xludf.DUMMYFUNCTION("""COMPUTED_VALUE"""),"#VALUE!")</f>
        <v>#VALUE!</v>
      </c>
      <c r="DC1320" t="str">
        <f ca="1">IFERROR(__xludf.DUMMYFUNCTION("""COMPUTED_VALUE"""),"#VALUE!")</f>
        <v>#VALUE!</v>
      </c>
      <c r="DE1320" t="str">
        <f ca="1">IFERROR(__xludf.DUMMYFUNCTION("""COMPUTED_VALUE"""),"#VALUE!")</f>
        <v>#VALUE!</v>
      </c>
    </row>
    <row r="1321" spans="1:109" ht="13.2" x14ac:dyDescent="0.25">
      <c r="A1321" t="str">
        <f ca="1">IFERROR(__xludf.DUMMYFUNCTION("""COMPUTED_VALUE"""),"P1330")</f>
        <v>P1330</v>
      </c>
      <c r="BC1321" t="str">
        <f ca="1">IFERROR(__xludf.DUMMYFUNCTION("""COMPUTED_VALUE"""),"#VALUE!")</f>
        <v>#VALUE!</v>
      </c>
      <c r="BE1321" t="str">
        <f ca="1">IFERROR(__xludf.DUMMYFUNCTION("""COMPUTED_VALUE"""),"#VALUE!")</f>
        <v>#VALUE!</v>
      </c>
      <c r="BG1321" t="str">
        <f ca="1">IFERROR(__xludf.DUMMYFUNCTION("""COMPUTED_VALUE"""),"#VALUE!")</f>
        <v>#VALUE!</v>
      </c>
      <c r="BI1321" t="str">
        <f ca="1">IFERROR(__xludf.DUMMYFUNCTION("""COMPUTED_VALUE"""),"#VALUE!")</f>
        <v>#VALUE!</v>
      </c>
      <c r="BK1321" t="str">
        <f ca="1">IFERROR(__xludf.DUMMYFUNCTION("""COMPUTED_VALUE"""),"#VALUE!")</f>
        <v>#VALUE!</v>
      </c>
      <c r="BM1321" t="str">
        <f ca="1">IFERROR(__xludf.DUMMYFUNCTION("""COMPUTED_VALUE"""),"#VALUE!")</f>
        <v>#VALUE!</v>
      </c>
      <c r="CS1321" t="str">
        <f ca="1">IFERROR(__xludf.DUMMYFUNCTION("""COMPUTED_VALUE"""),"#VALUE!")</f>
        <v>#VALUE!</v>
      </c>
      <c r="CU1321" t="str">
        <f ca="1">IFERROR(__xludf.DUMMYFUNCTION("""COMPUTED_VALUE"""),"#VALUE!")</f>
        <v>#VALUE!</v>
      </c>
      <c r="CW1321" t="str">
        <f ca="1">IFERROR(__xludf.DUMMYFUNCTION("""COMPUTED_VALUE"""),"#VALUE!")</f>
        <v>#VALUE!</v>
      </c>
      <c r="CY1321" t="str">
        <f ca="1">IFERROR(__xludf.DUMMYFUNCTION("""COMPUTED_VALUE"""),"#VALUE!")</f>
        <v>#VALUE!</v>
      </c>
      <c r="DC1321" t="str">
        <f ca="1">IFERROR(__xludf.DUMMYFUNCTION("""COMPUTED_VALUE"""),"#VALUE!")</f>
        <v>#VALUE!</v>
      </c>
      <c r="DE1321" t="str">
        <f ca="1">IFERROR(__xludf.DUMMYFUNCTION("""COMPUTED_VALUE"""),"#VALUE!")</f>
        <v>#VALUE!</v>
      </c>
    </row>
    <row r="1322" spans="1:109" ht="13.2" x14ac:dyDescent="0.25">
      <c r="A1322" t="str">
        <f ca="1">IFERROR(__xludf.DUMMYFUNCTION("""COMPUTED_VALUE"""),"P1331")</f>
        <v>P1331</v>
      </c>
      <c r="BC1322" t="str">
        <f ca="1">IFERROR(__xludf.DUMMYFUNCTION("""COMPUTED_VALUE"""),"#VALUE!")</f>
        <v>#VALUE!</v>
      </c>
      <c r="BE1322" t="str">
        <f ca="1">IFERROR(__xludf.DUMMYFUNCTION("""COMPUTED_VALUE"""),"#VALUE!")</f>
        <v>#VALUE!</v>
      </c>
      <c r="BG1322" t="str">
        <f ca="1">IFERROR(__xludf.DUMMYFUNCTION("""COMPUTED_VALUE"""),"#VALUE!")</f>
        <v>#VALUE!</v>
      </c>
      <c r="BI1322" t="str">
        <f ca="1">IFERROR(__xludf.DUMMYFUNCTION("""COMPUTED_VALUE"""),"#VALUE!")</f>
        <v>#VALUE!</v>
      </c>
      <c r="BK1322" t="str">
        <f ca="1">IFERROR(__xludf.DUMMYFUNCTION("""COMPUTED_VALUE"""),"#VALUE!")</f>
        <v>#VALUE!</v>
      </c>
      <c r="BM1322" t="str">
        <f ca="1">IFERROR(__xludf.DUMMYFUNCTION("""COMPUTED_VALUE"""),"#VALUE!")</f>
        <v>#VALUE!</v>
      </c>
      <c r="CS1322" t="str">
        <f ca="1">IFERROR(__xludf.DUMMYFUNCTION("""COMPUTED_VALUE"""),"#VALUE!")</f>
        <v>#VALUE!</v>
      </c>
      <c r="CU1322" t="str">
        <f ca="1">IFERROR(__xludf.DUMMYFUNCTION("""COMPUTED_VALUE"""),"#VALUE!")</f>
        <v>#VALUE!</v>
      </c>
      <c r="CW1322" t="str">
        <f ca="1">IFERROR(__xludf.DUMMYFUNCTION("""COMPUTED_VALUE"""),"#VALUE!")</f>
        <v>#VALUE!</v>
      </c>
      <c r="CY1322" t="str">
        <f ca="1">IFERROR(__xludf.DUMMYFUNCTION("""COMPUTED_VALUE"""),"#VALUE!")</f>
        <v>#VALUE!</v>
      </c>
      <c r="DC1322" t="str">
        <f ca="1">IFERROR(__xludf.DUMMYFUNCTION("""COMPUTED_VALUE"""),"#VALUE!")</f>
        <v>#VALUE!</v>
      </c>
      <c r="DE1322" t="str">
        <f ca="1">IFERROR(__xludf.DUMMYFUNCTION("""COMPUTED_VALUE"""),"#VALUE!")</f>
        <v>#VALUE!</v>
      </c>
    </row>
    <row r="1323" spans="1:109" ht="13.2" x14ac:dyDescent="0.25">
      <c r="A1323" t="str">
        <f ca="1">IFERROR(__xludf.DUMMYFUNCTION("""COMPUTED_VALUE"""),"P1332")</f>
        <v>P1332</v>
      </c>
      <c r="BC1323" t="str">
        <f ca="1">IFERROR(__xludf.DUMMYFUNCTION("""COMPUTED_VALUE"""),"#VALUE!")</f>
        <v>#VALUE!</v>
      </c>
      <c r="BE1323" t="str">
        <f ca="1">IFERROR(__xludf.DUMMYFUNCTION("""COMPUTED_VALUE"""),"#VALUE!")</f>
        <v>#VALUE!</v>
      </c>
      <c r="BG1323" t="str">
        <f ca="1">IFERROR(__xludf.DUMMYFUNCTION("""COMPUTED_VALUE"""),"#VALUE!")</f>
        <v>#VALUE!</v>
      </c>
      <c r="BI1323" t="str">
        <f ca="1">IFERROR(__xludf.DUMMYFUNCTION("""COMPUTED_VALUE"""),"#VALUE!")</f>
        <v>#VALUE!</v>
      </c>
      <c r="BK1323" t="str">
        <f ca="1">IFERROR(__xludf.DUMMYFUNCTION("""COMPUTED_VALUE"""),"#VALUE!")</f>
        <v>#VALUE!</v>
      </c>
      <c r="BM1323" t="str">
        <f ca="1">IFERROR(__xludf.DUMMYFUNCTION("""COMPUTED_VALUE"""),"#VALUE!")</f>
        <v>#VALUE!</v>
      </c>
      <c r="CS1323" t="str">
        <f ca="1">IFERROR(__xludf.DUMMYFUNCTION("""COMPUTED_VALUE"""),"#VALUE!")</f>
        <v>#VALUE!</v>
      </c>
      <c r="CU1323" t="str">
        <f ca="1">IFERROR(__xludf.DUMMYFUNCTION("""COMPUTED_VALUE"""),"#VALUE!")</f>
        <v>#VALUE!</v>
      </c>
      <c r="CW1323" t="str">
        <f ca="1">IFERROR(__xludf.DUMMYFUNCTION("""COMPUTED_VALUE"""),"#VALUE!")</f>
        <v>#VALUE!</v>
      </c>
      <c r="CY1323" t="str">
        <f ca="1">IFERROR(__xludf.DUMMYFUNCTION("""COMPUTED_VALUE"""),"#VALUE!")</f>
        <v>#VALUE!</v>
      </c>
      <c r="DC1323" t="str">
        <f ca="1">IFERROR(__xludf.DUMMYFUNCTION("""COMPUTED_VALUE"""),"#VALUE!")</f>
        <v>#VALUE!</v>
      </c>
      <c r="DE1323" t="str">
        <f ca="1">IFERROR(__xludf.DUMMYFUNCTION("""COMPUTED_VALUE"""),"#VALUE!")</f>
        <v>#VALUE!</v>
      </c>
    </row>
    <row r="1324" spans="1:109" ht="13.2" x14ac:dyDescent="0.25">
      <c r="A1324" t="str">
        <f ca="1">IFERROR(__xludf.DUMMYFUNCTION("""COMPUTED_VALUE"""),"P1333")</f>
        <v>P1333</v>
      </c>
      <c r="BC1324" t="str">
        <f ca="1">IFERROR(__xludf.DUMMYFUNCTION("""COMPUTED_VALUE"""),"#VALUE!")</f>
        <v>#VALUE!</v>
      </c>
      <c r="BE1324" t="str">
        <f ca="1">IFERROR(__xludf.DUMMYFUNCTION("""COMPUTED_VALUE"""),"#VALUE!")</f>
        <v>#VALUE!</v>
      </c>
      <c r="BG1324" t="str">
        <f ca="1">IFERROR(__xludf.DUMMYFUNCTION("""COMPUTED_VALUE"""),"#VALUE!")</f>
        <v>#VALUE!</v>
      </c>
      <c r="BI1324" t="str">
        <f ca="1">IFERROR(__xludf.DUMMYFUNCTION("""COMPUTED_VALUE"""),"#VALUE!")</f>
        <v>#VALUE!</v>
      </c>
      <c r="BK1324" t="str">
        <f ca="1">IFERROR(__xludf.DUMMYFUNCTION("""COMPUTED_VALUE"""),"#VALUE!")</f>
        <v>#VALUE!</v>
      </c>
      <c r="BM1324" t="str">
        <f ca="1">IFERROR(__xludf.DUMMYFUNCTION("""COMPUTED_VALUE"""),"#VALUE!")</f>
        <v>#VALUE!</v>
      </c>
      <c r="CS1324" t="str">
        <f ca="1">IFERROR(__xludf.DUMMYFUNCTION("""COMPUTED_VALUE"""),"#VALUE!")</f>
        <v>#VALUE!</v>
      </c>
      <c r="CU1324" t="str">
        <f ca="1">IFERROR(__xludf.DUMMYFUNCTION("""COMPUTED_VALUE"""),"#VALUE!")</f>
        <v>#VALUE!</v>
      </c>
      <c r="CW1324" t="str">
        <f ca="1">IFERROR(__xludf.DUMMYFUNCTION("""COMPUTED_VALUE"""),"#VALUE!")</f>
        <v>#VALUE!</v>
      </c>
      <c r="CY1324" t="str">
        <f ca="1">IFERROR(__xludf.DUMMYFUNCTION("""COMPUTED_VALUE"""),"#VALUE!")</f>
        <v>#VALUE!</v>
      </c>
      <c r="DC1324" t="str">
        <f ca="1">IFERROR(__xludf.DUMMYFUNCTION("""COMPUTED_VALUE"""),"#VALUE!")</f>
        <v>#VALUE!</v>
      </c>
      <c r="DE1324" t="str">
        <f ca="1">IFERROR(__xludf.DUMMYFUNCTION("""COMPUTED_VALUE"""),"#VALUE!")</f>
        <v>#VALUE!</v>
      </c>
    </row>
    <row r="1325" spans="1:109" ht="13.2" x14ac:dyDescent="0.25">
      <c r="A1325" t="str">
        <f ca="1">IFERROR(__xludf.DUMMYFUNCTION("""COMPUTED_VALUE"""),"P1334")</f>
        <v>P1334</v>
      </c>
      <c r="BC1325" t="str">
        <f ca="1">IFERROR(__xludf.DUMMYFUNCTION("""COMPUTED_VALUE"""),"#VALUE!")</f>
        <v>#VALUE!</v>
      </c>
      <c r="BE1325" t="str">
        <f ca="1">IFERROR(__xludf.DUMMYFUNCTION("""COMPUTED_VALUE"""),"#VALUE!")</f>
        <v>#VALUE!</v>
      </c>
      <c r="BG1325" t="str">
        <f ca="1">IFERROR(__xludf.DUMMYFUNCTION("""COMPUTED_VALUE"""),"#VALUE!")</f>
        <v>#VALUE!</v>
      </c>
      <c r="BI1325" t="str">
        <f ca="1">IFERROR(__xludf.DUMMYFUNCTION("""COMPUTED_VALUE"""),"#VALUE!")</f>
        <v>#VALUE!</v>
      </c>
      <c r="BK1325" t="str">
        <f ca="1">IFERROR(__xludf.DUMMYFUNCTION("""COMPUTED_VALUE"""),"#VALUE!")</f>
        <v>#VALUE!</v>
      </c>
      <c r="BM1325" t="str">
        <f ca="1">IFERROR(__xludf.DUMMYFUNCTION("""COMPUTED_VALUE"""),"#VALUE!")</f>
        <v>#VALUE!</v>
      </c>
      <c r="CS1325" t="str">
        <f ca="1">IFERROR(__xludf.DUMMYFUNCTION("""COMPUTED_VALUE"""),"#VALUE!")</f>
        <v>#VALUE!</v>
      </c>
      <c r="CU1325" t="str">
        <f ca="1">IFERROR(__xludf.DUMMYFUNCTION("""COMPUTED_VALUE"""),"#VALUE!")</f>
        <v>#VALUE!</v>
      </c>
      <c r="CW1325" t="str">
        <f ca="1">IFERROR(__xludf.DUMMYFUNCTION("""COMPUTED_VALUE"""),"#VALUE!")</f>
        <v>#VALUE!</v>
      </c>
      <c r="CY1325" t="str">
        <f ca="1">IFERROR(__xludf.DUMMYFUNCTION("""COMPUTED_VALUE"""),"#VALUE!")</f>
        <v>#VALUE!</v>
      </c>
      <c r="DC1325" t="str">
        <f ca="1">IFERROR(__xludf.DUMMYFUNCTION("""COMPUTED_VALUE"""),"#VALUE!")</f>
        <v>#VALUE!</v>
      </c>
      <c r="DE1325" t="str">
        <f ca="1">IFERROR(__xludf.DUMMYFUNCTION("""COMPUTED_VALUE"""),"#VALUE!")</f>
        <v>#VALUE!</v>
      </c>
    </row>
    <row r="1326" spans="1:109" ht="13.2" x14ac:dyDescent="0.25">
      <c r="A1326" t="str">
        <f ca="1">IFERROR(__xludf.DUMMYFUNCTION("""COMPUTED_VALUE"""),"P1335")</f>
        <v>P1335</v>
      </c>
      <c r="BC1326" t="str">
        <f ca="1">IFERROR(__xludf.DUMMYFUNCTION("""COMPUTED_VALUE"""),"#VALUE!")</f>
        <v>#VALUE!</v>
      </c>
      <c r="BE1326" t="str">
        <f ca="1">IFERROR(__xludf.DUMMYFUNCTION("""COMPUTED_VALUE"""),"#VALUE!")</f>
        <v>#VALUE!</v>
      </c>
      <c r="BG1326" t="str">
        <f ca="1">IFERROR(__xludf.DUMMYFUNCTION("""COMPUTED_VALUE"""),"#VALUE!")</f>
        <v>#VALUE!</v>
      </c>
      <c r="BI1326" t="str">
        <f ca="1">IFERROR(__xludf.DUMMYFUNCTION("""COMPUTED_VALUE"""),"#VALUE!")</f>
        <v>#VALUE!</v>
      </c>
      <c r="BK1326" t="str">
        <f ca="1">IFERROR(__xludf.DUMMYFUNCTION("""COMPUTED_VALUE"""),"#VALUE!")</f>
        <v>#VALUE!</v>
      </c>
      <c r="BM1326" t="str">
        <f ca="1">IFERROR(__xludf.DUMMYFUNCTION("""COMPUTED_VALUE"""),"#VALUE!")</f>
        <v>#VALUE!</v>
      </c>
      <c r="CS1326" t="str">
        <f ca="1">IFERROR(__xludf.DUMMYFUNCTION("""COMPUTED_VALUE"""),"#VALUE!")</f>
        <v>#VALUE!</v>
      </c>
      <c r="CU1326" t="str">
        <f ca="1">IFERROR(__xludf.DUMMYFUNCTION("""COMPUTED_VALUE"""),"#VALUE!")</f>
        <v>#VALUE!</v>
      </c>
      <c r="CW1326" t="str">
        <f ca="1">IFERROR(__xludf.DUMMYFUNCTION("""COMPUTED_VALUE"""),"#VALUE!")</f>
        <v>#VALUE!</v>
      </c>
      <c r="CY1326" t="str">
        <f ca="1">IFERROR(__xludf.DUMMYFUNCTION("""COMPUTED_VALUE"""),"#VALUE!")</f>
        <v>#VALUE!</v>
      </c>
      <c r="DC1326" t="str">
        <f ca="1">IFERROR(__xludf.DUMMYFUNCTION("""COMPUTED_VALUE"""),"#VALUE!")</f>
        <v>#VALUE!</v>
      </c>
      <c r="DE1326" t="str">
        <f ca="1">IFERROR(__xludf.DUMMYFUNCTION("""COMPUTED_VALUE"""),"#VALUE!")</f>
        <v>#VALUE!</v>
      </c>
    </row>
    <row r="1327" spans="1:109" ht="13.2" x14ac:dyDescent="0.25">
      <c r="A1327" t="str">
        <f ca="1">IFERROR(__xludf.DUMMYFUNCTION("""COMPUTED_VALUE"""),"P1336")</f>
        <v>P1336</v>
      </c>
      <c r="BC1327" t="str">
        <f ca="1">IFERROR(__xludf.DUMMYFUNCTION("""COMPUTED_VALUE"""),"#VALUE!")</f>
        <v>#VALUE!</v>
      </c>
      <c r="BE1327" t="str">
        <f ca="1">IFERROR(__xludf.DUMMYFUNCTION("""COMPUTED_VALUE"""),"#VALUE!")</f>
        <v>#VALUE!</v>
      </c>
      <c r="BG1327" t="str">
        <f ca="1">IFERROR(__xludf.DUMMYFUNCTION("""COMPUTED_VALUE"""),"#VALUE!")</f>
        <v>#VALUE!</v>
      </c>
      <c r="BI1327" t="str">
        <f ca="1">IFERROR(__xludf.DUMMYFUNCTION("""COMPUTED_VALUE"""),"#VALUE!")</f>
        <v>#VALUE!</v>
      </c>
      <c r="BK1327" t="str">
        <f ca="1">IFERROR(__xludf.DUMMYFUNCTION("""COMPUTED_VALUE"""),"#VALUE!")</f>
        <v>#VALUE!</v>
      </c>
      <c r="BM1327" t="str">
        <f ca="1">IFERROR(__xludf.DUMMYFUNCTION("""COMPUTED_VALUE"""),"#VALUE!")</f>
        <v>#VALUE!</v>
      </c>
      <c r="CS1327" t="str">
        <f ca="1">IFERROR(__xludf.DUMMYFUNCTION("""COMPUTED_VALUE"""),"#VALUE!")</f>
        <v>#VALUE!</v>
      </c>
      <c r="CU1327" t="str">
        <f ca="1">IFERROR(__xludf.DUMMYFUNCTION("""COMPUTED_VALUE"""),"#VALUE!")</f>
        <v>#VALUE!</v>
      </c>
      <c r="CW1327" t="str">
        <f ca="1">IFERROR(__xludf.DUMMYFUNCTION("""COMPUTED_VALUE"""),"#VALUE!")</f>
        <v>#VALUE!</v>
      </c>
      <c r="CY1327" t="str">
        <f ca="1">IFERROR(__xludf.DUMMYFUNCTION("""COMPUTED_VALUE"""),"#VALUE!")</f>
        <v>#VALUE!</v>
      </c>
      <c r="DC1327" t="str">
        <f ca="1">IFERROR(__xludf.DUMMYFUNCTION("""COMPUTED_VALUE"""),"#VALUE!")</f>
        <v>#VALUE!</v>
      </c>
      <c r="DE1327" t="str">
        <f ca="1">IFERROR(__xludf.DUMMYFUNCTION("""COMPUTED_VALUE"""),"#VALUE!")</f>
        <v>#VALUE!</v>
      </c>
    </row>
    <row r="1328" spans="1:109" ht="13.2" x14ac:dyDescent="0.25">
      <c r="A1328" t="str">
        <f ca="1">IFERROR(__xludf.DUMMYFUNCTION("""COMPUTED_VALUE"""),"P1337")</f>
        <v>P1337</v>
      </c>
      <c r="BC1328" t="str">
        <f ca="1">IFERROR(__xludf.DUMMYFUNCTION("""COMPUTED_VALUE"""),"#VALUE!")</f>
        <v>#VALUE!</v>
      </c>
      <c r="BE1328" t="str">
        <f ca="1">IFERROR(__xludf.DUMMYFUNCTION("""COMPUTED_VALUE"""),"#VALUE!")</f>
        <v>#VALUE!</v>
      </c>
      <c r="BG1328" t="str">
        <f ca="1">IFERROR(__xludf.DUMMYFUNCTION("""COMPUTED_VALUE"""),"#VALUE!")</f>
        <v>#VALUE!</v>
      </c>
      <c r="BI1328" t="str">
        <f ca="1">IFERROR(__xludf.DUMMYFUNCTION("""COMPUTED_VALUE"""),"#VALUE!")</f>
        <v>#VALUE!</v>
      </c>
      <c r="BK1328" t="str">
        <f ca="1">IFERROR(__xludf.DUMMYFUNCTION("""COMPUTED_VALUE"""),"#VALUE!")</f>
        <v>#VALUE!</v>
      </c>
      <c r="BM1328" t="str">
        <f ca="1">IFERROR(__xludf.DUMMYFUNCTION("""COMPUTED_VALUE"""),"#VALUE!")</f>
        <v>#VALUE!</v>
      </c>
      <c r="CS1328" t="str">
        <f ca="1">IFERROR(__xludf.DUMMYFUNCTION("""COMPUTED_VALUE"""),"#VALUE!")</f>
        <v>#VALUE!</v>
      </c>
      <c r="CU1328" t="str">
        <f ca="1">IFERROR(__xludf.DUMMYFUNCTION("""COMPUTED_VALUE"""),"#VALUE!")</f>
        <v>#VALUE!</v>
      </c>
      <c r="CW1328" t="str">
        <f ca="1">IFERROR(__xludf.DUMMYFUNCTION("""COMPUTED_VALUE"""),"#VALUE!")</f>
        <v>#VALUE!</v>
      </c>
      <c r="CY1328" t="str">
        <f ca="1">IFERROR(__xludf.DUMMYFUNCTION("""COMPUTED_VALUE"""),"#VALUE!")</f>
        <v>#VALUE!</v>
      </c>
      <c r="DC1328" t="str">
        <f ca="1">IFERROR(__xludf.DUMMYFUNCTION("""COMPUTED_VALUE"""),"#VALUE!")</f>
        <v>#VALUE!</v>
      </c>
      <c r="DE1328" t="str">
        <f ca="1">IFERROR(__xludf.DUMMYFUNCTION("""COMPUTED_VALUE"""),"#VALUE!")</f>
        <v>#VALUE!</v>
      </c>
    </row>
    <row r="1329" spans="1:109" ht="13.2" x14ac:dyDescent="0.25">
      <c r="A1329" t="str">
        <f ca="1">IFERROR(__xludf.DUMMYFUNCTION("""COMPUTED_VALUE"""),"P1338")</f>
        <v>P1338</v>
      </c>
      <c r="BC1329" t="str">
        <f ca="1">IFERROR(__xludf.DUMMYFUNCTION("""COMPUTED_VALUE"""),"#VALUE!")</f>
        <v>#VALUE!</v>
      </c>
      <c r="BE1329" t="str">
        <f ca="1">IFERROR(__xludf.DUMMYFUNCTION("""COMPUTED_VALUE"""),"#VALUE!")</f>
        <v>#VALUE!</v>
      </c>
      <c r="BG1329" t="str">
        <f ca="1">IFERROR(__xludf.DUMMYFUNCTION("""COMPUTED_VALUE"""),"#VALUE!")</f>
        <v>#VALUE!</v>
      </c>
      <c r="BI1329" t="str">
        <f ca="1">IFERROR(__xludf.DUMMYFUNCTION("""COMPUTED_VALUE"""),"#VALUE!")</f>
        <v>#VALUE!</v>
      </c>
      <c r="BK1329" t="str">
        <f ca="1">IFERROR(__xludf.DUMMYFUNCTION("""COMPUTED_VALUE"""),"#VALUE!")</f>
        <v>#VALUE!</v>
      </c>
      <c r="BM1329" t="str">
        <f ca="1">IFERROR(__xludf.DUMMYFUNCTION("""COMPUTED_VALUE"""),"#VALUE!")</f>
        <v>#VALUE!</v>
      </c>
      <c r="CS1329" t="str">
        <f ca="1">IFERROR(__xludf.DUMMYFUNCTION("""COMPUTED_VALUE"""),"#VALUE!")</f>
        <v>#VALUE!</v>
      </c>
      <c r="CU1329" t="str">
        <f ca="1">IFERROR(__xludf.DUMMYFUNCTION("""COMPUTED_VALUE"""),"#VALUE!")</f>
        <v>#VALUE!</v>
      </c>
      <c r="CW1329" t="str">
        <f ca="1">IFERROR(__xludf.DUMMYFUNCTION("""COMPUTED_VALUE"""),"#VALUE!")</f>
        <v>#VALUE!</v>
      </c>
      <c r="CY1329" t="str">
        <f ca="1">IFERROR(__xludf.DUMMYFUNCTION("""COMPUTED_VALUE"""),"#VALUE!")</f>
        <v>#VALUE!</v>
      </c>
      <c r="DC1329" t="str">
        <f ca="1">IFERROR(__xludf.DUMMYFUNCTION("""COMPUTED_VALUE"""),"#VALUE!")</f>
        <v>#VALUE!</v>
      </c>
      <c r="DE1329" t="str">
        <f ca="1">IFERROR(__xludf.DUMMYFUNCTION("""COMPUTED_VALUE"""),"#VALUE!")</f>
        <v>#VALUE!</v>
      </c>
    </row>
    <row r="1330" spans="1:109" ht="13.2" x14ac:dyDescent="0.25">
      <c r="A1330" t="str">
        <f ca="1">IFERROR(__xludf.DUMMYFUNCTION("""COMPUTED_VALUE"""),"P1339")</f>
        <v>P1339</v>
      </c>
      <c r="BC1330" t="str">
        <f ca="1">IFERROR(__xludf.DUMMYFUNCTION("""COMPUTED_VALUE"""),"#VALUE!")</f>
        <v>#VALUE!</v>
      </c>
      <c r="BE1330" t="str">
        <f ca="1">IFERROR(__xludf.DUMMYFUNCTION("""COMPUTED_VALUE"""),"#VALUE!")</f>
        <v>#VALUE!</v>
      </c>
      <c r="BG1330" t="str">
        <f ca="1">IFERROR(__xludf.DUMMYFUNCTION("""COMPUTED_VALUE"""),"#VALUE!")</f>
        <v>#VALUE!</v>
      </c>
      <c r="BI1330" t="str">
        <f ca="1">IFERROR(__xludf.DUMMYFUNCTION("""COMPUTED_VALUE"""),"#VALUE!")</f>
        <v>#VALUE!</v>
      </c>
      <c r="BK1330" t="str">
        <f ca="1">IFERROR(__xludf.DUMMYFUNCTION("""COMPUTED_VALUE"""),"#VALUE!")</f>
        <v>#VALUE!</v>
      </c>
      <c r="BM1330" t="str">
        <f ca="1">IFERROR(__xludf.DUMMYFUNCTION("""COMPUTED_VALUE"""),"#VALUE!")</f>
        <v>#VALUE!</v>
      </c>
      <c r="CS1330" t="str">
        <f ca="1">IFERROR(__xludf.DUMMYFUNCTION("""COMPUTED_VALUE"""),"#VALUE!")</f>
        <v>#VALUE!</v>
      </c>
      <c r="CU1330" t="str">
        <f ca="1">IFERROR(__xludf.DUMMYFUNCTION("""COMPUTED_VALUE"""),"#VALUE!")</f>
        <v>#VALUE!</v>
      </c>
      <c r="CW1330" t="str">
        <f ca="1">IFERROR(__xludf.DUMMYFUNCTION("""COMPUTED_VALUE"""),"#VALUE!")</f>
        <v>#VALUE!</v>
      </c>
      <c r="CY1330" t="str">
        <f ca="1">IFERROR(__xludf.DUMMYFUNCTION("""COMPUTED_VALUE"""),"#VALUE!")</f>
        <v>#VALUE!</v>
      </c>
      <c r="DC1330" t="str">
        <f ca="1">IFERROR(__xludf.DUMMYFUNCTION("""COMPUTED_VALUE"""),"#VALUE!")</f>
        <v>#VALUE!</v>
      </c>
      <c r="DE1330" t="str">
        <f ca="1">IFERROR(__xludf.DUMMYFUNCTION("""COMPUTED_VALUE"""),"#VALUE!")</f>
        <v>#VALUE!</v>
      </c>
    </row>
    <row r="1331" spans="1:109" ht="13.2" x14ac:dyDescent="0.25">
      <c r="A1331" t="str">
        <f ca="1">IFERROR(__xludf.DUMMYFUNCTION("""COMPUTED_VALUE"""),"P1340")</f>
        <v>P1340</v>
      </c>
      <c r="BC1331" t="str">
        <f ca="1">IFERROR(__xludf.DUMMYFUNCTION("""COMPUTED_VALUE"""),"#VALUE!")</f>
        <v>#VALUE!</v>
      </c>
      <c r="BE1331" t="str">
        <f ca="1">IFERROR(__xludf.DUMMYFUNCTION("""COMPUTED_VALUE"""),"#VALUE!")</f>
        <v>#VALUE!</v>
      </c>
      <c r="BG1331" t="str">
        <f ca="1">IFERROR(__xludf.DUMMYFUNCTION("""COMPUTED_VALUE"""),"#VALUE!")</f>
        <v>#VALUE!</v>
      </c>
      <c r="BI1331" t="str">
        <f ca="1">IFERROR(__xludf.DUMMYFUNCTION("""COMPUTED_VALUE"""),"#VALUE!")</f>
        <v>#VALUE!</v>
      </c>
      <c r="BK1331" t="str">
        <f ca="1">IFERROR(__xludf.DUMMYFUNCTION("""COMPUTED_VALUE"""),"#VALUE!")</f>
        <v>#VALUE!</v>
      </c>
      <c r="BM1331" t="str">
        <f ca="1">IFERROR(__xludf.DUMMYFUNCTION("""COMPUTED_VALUE"""),"#VALUE!")</f>
        <v>#VALUE!</v>
      </c>
      <c r="CS1331" t="str">
        <f ca="1">IFERROR(__xludf.DUMMYFUNCTION("""COMPUTED_VALUE"""),"#VALUE!")</f>
        <v>#VALUE!</v>
      </c>
      <c r="CU1331" t="str">
        <f ca="1">IFERROR(__xludf.DUMMYFUNCTION("""COMPUTED_VALUE"""),"#VALUE!")</f>
        <v>#VALUE!</v>
      </c>
      <c r="CW1331" t="str">
        <f ca="1">IFERROR(__xludf.DUMMYFUNCTION("""COMPUTED_VALUE"""),"#VALUE!")</f>
        <v>#VALUE!</v>
      </c>
      <c r="CY1331" t="str">
        <f ca="1">IFERROR(__xludf.DUMMYFUNCTION("""COMPUTED_VALUE"""),"#VALUE!")</f>
        <v>#VALUE!</v>
      </c>
      <c r="DC1331" t="str">
        <f ca="1">IFERROR(__xludf.DUMMYFUNCTION("""COMPUTED_VALUE"""),"#VALUE!")</f>
        <v>#VALUE!</v>
      </c>
      <c r="DE1331" t="str">
        <f ca="1">IFERROR(__xludf.DUMMYFUNCTION("""COMPUTED_VALUE"""),"#VALUE!")</f>
        <v>#VALUE!</v>
      </c>
    </row>
    <row r="1332" spans="1:109" ht="13.2" x14ac:dyDescent="0.25">
      <c r="A1332" t="str">
        <f ca="1">IFERROR(__xludf.DUMMYFUNCTION("""COMPUTED_VALUE"""),"P1341")</f>
        <v>P1341</v>
      </c>
      <c r="BC1332" t="str">
        <f ca="1">IFERROR(__xludf.DUMMYFUNCTION("""COMPUTED_VALUE"""),"#VALUE!")</f>
        <v>#VALUE!</v>
      </c>
      <c r="BE1332" t="str">
        <f ca="1">IFERROR(__xludf.DUMMYFUNCTION("""COMPUTED_VALUE"""),"#VALUE!")</f>
        <v>#VALUE!</v>
      </c>
      <c r="BG1332" t="str">
        <f ca="1">IFERROR(__xludf.DUMMYFUNCTION("""COMPUTED_VALUE"""),"#VALUE!")</f>
        <v>#VALUE!</v>
      </c>
      <c r="BI1332" t="str">
        <f ca="1">IFERROR(__xludf.DUMMYFUNCTION("""COMPUTED_VALUE"""),"#VALUE!")</f>
        <v>#VALUE!</v>
      </c>
      <c r="BK1332" t="str">
        <f ca="1">IFERROR(__xludf.DUMMYFUNCTION("""COMPUTED_VALUE"""),"#VALUE!")</f>
        <v>#VALUE!</v>
      </c>
      <c r="BM1332" t="str">
        <f ca="1">IFERROR(__xludf.DUMMYFUNCTION("""COMPUTED_VALUE"""),"#VALUE!")</f>
        <v>#VALUE!</v>
      </c>
      <c r="CS1332" t="str">
        <f ca="1">IFERROR(__xludf.DUMMYFUNCTION("""COMPUTED_VALUE"""),"#VALUE!")</f>
        <v>#VALUE!</v>
      </c>
      <c r="CU1332" t="str">
        <f ca="1">IFERROR(__xludf.DUMMYFUNCTION("""COMPUTED_VALUE"""),"#VALUE!")</f>
        <v>#VALUE!</v>
      </c>
      <c r="CW1332" t="str">
        <f ca="1">IFERROR(__xludf.DUMMYFUNCTION("""COMPUTED_VALUE"""),"#VALUE!")</f>
        <v>#VALUE!</v>
      </c>
      <c r="CY1332" t="str">
        <f ca="1">IFERROR(__xludf.DUMMYFUNCTION("""COMPUTED_VALUE"""),"#VALUE!")</f>
        <v>#VALUE!</v>
      </c>
      <c r="DC1332" t="str">
        <f ca="1">IFERROR(__xludf.DUMMYFUNCTION("""COMPUTED_VALUE"""),"#VALUE!")</f>
        <v>#VALUE!</v>
      </c>
      <c r="DE1332" t="str">
        <f ca="1">IFERROR(__xludf.DUMMYFUNCTION("""COMPUTED_VALUE"""),"#VALUE!")</f>
        <v>#VALUE!</v>
      </c>
    </row>
    <row r="1333" spans="1:109" ht="13.2" x14ac:dyDescent="0.25">
      <c r="A1333" t="str">
        <f ca="1">IFERROR(__xludf.DUMMYFUNCTION("""COMPUTED_VALUE"""),"P1342")</f>
        <v>P1342</v>
      </c>
      <c r="BC1333" t="str">
        <f ca="1">IFERROR(__xludf.DUMMYFUNCTION("""COMPUTED_VALUE"""),"#VALUE!")</f>
        <v>#VALUE!</v>
      </c>
      <c r="BE1333" t="str">
        <f ca="1">IFERROR(__xludf.DUMMYFUNCTION("""COMPUTED_VALUE"""),"#VALUE!")</f>
        <v>#VALUE!</v>
      </c>
      <c r="BG1333" t="str">
        <f ca="1">IFERROR(__xludf.DUMMYFUNCTION("""COMPUTED_VALUE"""),"#VALUE!")</f>
        <v>#VALUE!</v>
      </c>
      <c r="BI1333" t="str">
        <f ca="1">IFERROR(__xludf.DUMMYFUNCTION("""COMPUTED_VALUE"""),"#VALUE!")</f>
        <v>#VALUE!</v>
      </c>
      <c r="BK1333" t="str">
        <f ca="1">IFERROR(__xludf.DUMMYFUNCTION("""COMPUTED_VALUE"""),"#VALUE!")</f>
        <v>#VALUE!</v>
      </c>
      <c r="BM1333" t="str">
        <f ca="1">IFERROR(__xludf.DUMMYFUNCTION("""COMPUTED_VALUE"""),"#VALUE!")</f>
        <v>#VALUE!</v>
      </c>
      <c r="CS1333" t="str">
        <f ca="1">IFERROR(__xludf.DUMMYFUNCTION("""COMPUTED_VALUE"""),"#VALUE!")</f>
        <v>#VALUE!</v>
      </c>
      <c r="CU1333" t="str">
        <f ca="1">IFERROR(__xludf.DUMMYFUNCTION("""COMPUTED_VALUE"""),"#VALUE!")</f>
        <v>#VALUE!</v>
      </c>
      <c r="CW1333" t="str">
        <f ca="1">IFERROR(__xludf.DUMMYFUNCTION("""COMPUTED_VALUE"""),"#VALUE!")</f>
        <v>#VALUE!</v>
      </c>
      <c r="CY1333" t="str">
        <f ca="1">IFERROR(__xludf.DUMMYFUNCTION("""COMPUTED_VALUE"""),"#VALUE!")</f>
        <v>#VALUE!</v>
      </c>
      <c r="DC1333" t="str">
        <f ca="1">IFERROR(__xludf.DUMMYFUNCTION("""COMPUTED_VALUE"""),"#VALUE!")</f>
        <v>#VALUE!</v>
      </c>
      <c r="DE1333" t="str">
        <f ca="1">IFERROR(__xludf.DUMMYFUNCTION("""COMPUTED_VALUE"""),"#VALUE!")</f>
        <v>#VALUE!</v>
      </c>
    </row>
    <row r="1334" spans="1:109" ht="13.2" x14ac:dyDescent="0.25">
      <c r="A1334" t="str">
        <f ca="1">IFERROR(__xludf.DUMMYFUNCTION("""COMPUTED_VALUE"""),"P1343")</f>
        <v>P1343</v>
      </c>
      <c r="BC1334" t="str">
        <f ca="1">IFERROR(__xludf.DUMMYFUNCTION("""COMPUTED_VALUE"""),"#VALUE!")</f>
        <v>#VALUE!</v>
      </c>
      <c r="BE1334" t="str">
        <f ca="1">IFERROR(__xludf.DUMMYFUNCTION("""COMPUTED_VALUE"""),"#VALUE!")</f>
        <v>#VALUE!</v>
      </c>
      <c r="BG1334" t="str">
        <f ca="1">IFERROR(__xludf.DUMMYFUNCTION("""COMPUTED_VALUE"""),"#VALUE!")</f>
        <v>#VALUE!</v>
      </c>
      <c r="BI1334" t="str">
        <f ca="1">IFERROR(__xludf.DUMMYFUNCTION("""COMPUTED_VALUE"""),"#VALUE!")</f>
        <v>#VALUE!</v>
      </c>
      <c r="BK1334" t="str">
        <f ca="1">IFERROR(__xludf.DUMMYFUNCTION("""COMPUTED_VALUE"""),"#VALUE!")</f>
        <v>#VALUE!</v>
      </c>
      <c r="BM1334" t="str">
        <f ca="1">IFERROR(__xludf.DUMMYFUNCTION("""COMPUTED_VALUE"""),"#VALUE!")</f>
        <v>#VALUE!</v>
      </c>
      <c r="CS1334" t="str">
        <f ca="1">IFERROR(__xludf.DUMMYFUNCTION("""COMPUTED_VALUE"""),"#VALUE!")</f>
        <v>#VALUE!</v>
      </c>
      <c r="CU1334" t="str">
        <f ca="1">IFERROR(__xludf.DUMMYFUNCTION("""COMPUTED_VALUE"""),"#VALUE!")</f>
        <v>#VALUE!</v>
      </c>
      <c r="CW1334" t="str">
        <f ca="1">IFERROR(__xludf.DUMMYFUNCTION("""COMPUTED_VALUE"""),"#VALUE!")</f>
        <v>#VALUE!</v>
      </c>
      <c r="CY1334" t="str">
        <f ca="1">IFERROR(__xludf.DUMMYFUNCTION("""COMPUTED_VALUE"""),"#VALUE!")</f>
        <v>#VALUE!</v>
      </c>
      <c r="DC1334" t="str">
        <f ca="1">IFERROR(__xludf.DUMMYFUNCTION("""COMPUTED_VALUE"""),"#VALUE!")</f>
        <v>#VALUE!</v>
      </c>
      <c r="DE1334" t="str">
        <f ca="1">IFERROR(__xludf.DUMMYFUNCTION("""COMPUTED_VALUE"""),"#VALUE!")</f>
        <v>#VALUE!</v>
      </c>
    </row>
    <row r="1335" spans="1:109" ht="13.2" x14ac:dyDescent="0.25">
      <c r="A1335" t="str">
        <f ca="1">IFERROR(__xludf.DUMMYFUNCTION("""COMPUTED_VALUE"""),"P1344")</f>
        <v>P1344</v>
      </c>
      <c r="BC1335" t="str">
        <f ca="1">IFERROR(__xludf.DUMMYFUNCTION("""COMPUTED_VALUE"""),"#VALUE!")</f>
        <v>#VALUE!</v>
      </c>
      <c r="BE1335" t="str">
        <f ca="1">IFERROR(__xludf.DUMMYFUNCTION("""COMPUTED_VALUE"""),"#VALUE!")</f>
        <v>#VALUE!</v>
      </c>
      <c r="BG1335" t="str">
        <f ca="1">IFERROR(__xludf.DUMMYFUNCTION("""COMPUTED_VALUE"""),"#VALUE!")</f>
        <v>#VALUE!</v>
      </c>
      <c r="BI1335" t="str">
        <f ca="1">IFERROR(__xludf.DUMMYFUNCTION("""COMPUTED_VALUE"""),"#VALUE!")</f>
        <v>#VALUE!</v>
      </c>
      <c r="BK1335" t="str">
        <f ca="1">IFERROR(__xludf.DUMMYFUNCTION("""COMPUTED_VALUE"""),"#VALUE!")</f>
        <v>#VALUE!</v>
      </c>
      <c r="BM1335" t="str">
        <f ca="1">IFERROR(__xludf.DUMMYFUNCTION("""COMPUTED_VALUE"""),"#VALUE!")</f>
        <v>#VALUE!</v>
      </c>
      <c r="CS1335" t="str">
        <f ca="1">IFERROR(__xludf.DUMMYFUNCTION("""COMPUTED_VALUE"""),"#VALUE!")</f>
        <v>#VALUE!</v>
      </c>
      <c r="CU1335" t="str">
        <f ca="1">IFERROR(__xludf.DUMMYFUNCTION("""COMPUTED_VALUE"""),"#VALUE!")</f>
        <v>#VALUE!</v>
      </c>
      <c r="CW1335" t="str">
        <f ca="1">IFERROR(__xludf.DUMMYFUNCTION("""COMPUTED_VALUE"""),"#VALUE!")</f>
        <v>#VALUE!</v>
      </c>
      <c r="CY1335" t="str">
        <f ca="1">IFERROR(__xludf.DUMMYFUNCTION("""COMPUTED_VALUE"""),"#VALUE!")</f>
        <v>#VALUE!</v>
      </c>
      <c r="DC1335" t="str">
        <f ca="1">IFERROR(__xludf.DUMMYFUNCTION("""COMPUTED_VALUE"""),"#VALUE!")</f>
        <v>#VALUE!</v>
      </c>
      <c r="DE1335" t="str">
        <f ca="1">IFERROR(__xludf.DUMMYFUNCTION("""COMPUTED_VALUE"""),"#VALUE!")</f>
        <v>#VALUE!</v>
      </c>
    </row>
    <row r="1336" spans="1:109" ht="13.2" x14ac:dyDescent="0.25">
      <c r="A1336" t="str">
        <f ca="1">IFERROR(__xludf.DUMMYFUNCTION("""COMPUTED_VALUE"""),"P1345")</f>
        <v>P1345</v>
      </c>
      <c r="BC1336" t="str">
        <f ca="1">IFERROR(__xludf.DUMMYFUNCTION("""COMPUTED_VALUE"""),"#VALUE!")</f>
        <v>#VALUE!</v>
      </c>
      <c r="BE1336" t="str">
        <f ca="1">IFERROR(__xludf.DUMMYFUNCTION("""COMPUTED_VALUE"""),"#VALUE!")</f>
        <v>#VALUE!</v>
      </c>
      <c r="BG1336" t="str">
        <f ca="1">IFERROR(__xludf.DUMMYFUNCTION("""COMPUTED_VALUE"""),"#VALUE!")</f>
        <v>#VALUE!</v>
      </c>
      <c r="BI1336" t="str">
        <f ca="1">IFERROR(__xludf.DUMMYFUNCTION("""COMPUTED_VALUE"""),"#VALUE!")</f>
        <v>#VALUE!</v>
      </c>
      <c r="BK1336" t="str">
        <f ca="1">IFERROR(__xludf.DUMMYFUNCTION("""COMPUTED_VALUE"""),"#VALUE!")</f>
        <v>#VALUE!</v>
      </c>
      <c r="BM1336" t="str">
        <f ca="1">IFERROR(__xludf.DUMMYFUNCTION("""COMPUTED_VALUE"""),"#VALUE!")</f>
        <v>#VALUE!</v>
      </c>
      <c r="CS1336" t="str">
        <f ca="1">IFERROR(__xludf.DUMMYFUNCTION("""COMPUTED_VALUE"""),"#VALUE!")</f>
        <v>#VALUE!</v>
      </c>
      <c r="CU1336" t="str">
        <f ca="1">IFERROR(__xludf.DUMMYFUNCTION("""COMPUTED_VALUE"""),"#VALUE!")</f>
        <v>#VALUE!</v>
      </c>
      <c r="CW1336" t="str">
        <f ca="1">IFERROR(__xludf.DUMMYFUNCTION("""COMPUTED_VALUE"""),"#VALUE!")</f>
        <v>#VALUE!</v>
      </c>
      <c r="CY1336" t="str">
        <f ca="1">IFERROR(__xludf.DUMMYFUNCTION("""COMPUTED_VALUE"""),"#VALUE!")</f>
        <v>#VALUE!</v>
      </c>
      <c r="DC1336" t="str">
        <f ca="1">IFERROR(__xludf.DUMMYFUNCTION("""COMPUTED_VALUE"""),"#VALUE!")</f>
        <v>#VALUE!</v>
      </c>
      <c r="DE1336" t="str">
        <f ca="1">IFERROR(__xludf.DUMMYFUNCTION("""COMPUTED_VALUE"""),"#VALUE!")</f>
        <v>#VALUE!</v>
      </c>
    </row>
    <row r="1337" spans="1:109" ht="13.2" x14ac:dyDescent="0.25">
      <c r="A1337" t="str">
        <f ca="1">IFERROR(__xludf.DUMMYFUNCTION("""COMPUTED_VALUE"""),"P1346")</f>
        <v>P1346</v>
      </c>
      <c r="BC1337" t="str">
        <f ca="1">IFERROR(__xludf.DUMMYFUNCTION("""COMPUTED_VALUE"""),"#VALUE!")</f>
        <v>#VALUE!</v>
      </c>
      <c r="BE1337" t="str">
        <f ca="1">IFERROR(__xludf.DUMMYFUNCTION("""COMPUTED_VALUE"""),"#VALUE!")</f>
        <v>#VALUE!</v>
      </c>
      <c r="BG1337" t="str">
        <f ca="1">IFERROR(__xludf.DUMMYFUNCTION("""COMPUTED_VALUE"""),"#VALUE!")</f>
        <v>#VALUE!</v>
      </c>
      <c r="BI1337" t="str">
        <f ca="1">IFERROR(__xludf.DUMMYFUNCTION("""COMPUTED_VALUE"""),"#VALUE!")</f>
        <v>#VALUE!</v>
      </c>
      <c r="BK1337" t="str">
        <f ca="1">IFERROR(__xludf.DUMMYFUNCTION("""COMPUTED_VALUE"""),"#VALUE!")</f>
        <v>#VALUE!</v>
      </c>
      <c r="BM1337" t="str">
        <f ca="1">IFERROR(__xludf.DUMMYFUNCTION("""COMPUTED_VALUE"""),"#VALUE!")</f>
        <v>#VALUE!</v>
      </c>
      <c r="CS1337" t="str">
        <f ca="1">IFERROR(__xludf.DUMMYFUNCTION("""COMPUTED_VALUE"""),"#VALUE!")</f>
        <v>#VALUE!</v>
      </c>
      <c r="CU1337" t="str">
        <f ca="1">IFERROR(__xludf.DUMMYFUNCTION("""COMPUTED_VALUE"""),"#VALUE!")</f>
        <v>#VALUE!</v>
      </c>
      <c r="CW1337" t="str">
        <f ca="1">IFERROR(__xludf.DUMMYFUNCTION("""COMPUTED_VALUE"""),"#VALUE!")</f>
        <v>#VALUE!</v>
      </c>
      <c r="CY1337" t="str">
        <f ca="1">IFERROR(__xludf.DUMMYFUNCTION("""COMPUTED_VALUE"""),"#VALUE!")</f>
        <v>#VALUE!</v>
      </c>
      <c r="DC1337" t="str">
        <f ca="1">IFERROR(__xludf.DUMMYFUNCTION("""COMPUTED_VALUE"""),"#VALUE!")</f>
        <v>#VALUE!</v>
      </c>
      <c r="DE1337" t="str">
        <f ca="1">IFERROR(__xludf.DUMMYFUNCTION("""COMPUTED_VALUE"""),"#VALUE!")</f>
        <v>#VALUE!</v>
      </c>
    </row>
    <row r="1338" spans="1:109" ht="13.2" x14ac:dyDescent="0.25">
      <c r="A1338" t="str">
        <f ca="1">IFERROR(__xludf.DUMMYFUNCTION("""COMPUTED_VALUE"""),"P1347")</f>
        <v>P1347</v>
      </c>
      <c r="BC1338" t="str">
        <f ca="1">IFERROR(__xludf.DUMMYFUNCTION("""COMPUTED_VALUE"""),"#VALUE!")</f>
        <v>#VALUE!</v>
      </c>
      <c r="BE1338" t="str">
        <f ca="1">IFERROR(__xludf.DUMMYFUNCTION("""COMPUTED_VALUE"""),"#VALUE!")</f>
        <v>#VALUE!</v>
      </c>
      <c r="BG1338" t="str">
        <f ca="1">IFERROR(__xludf.DUMMYFUNCTION("""COMPUTED_VALUE"""),"#VALUE!")</f>
        <v>#VALUE!</v>
      </c>
      <c r="BI1338" t="str">
        <f ca="1">IFERROR(__xludf.DUMMYFUNCTION("""COMPUTED_VALUE"""),"#VALUE!")</f>
        <v>#VALUE!</v>
      </c>
      <c r="BK1338" t="str">
        <f ca="1">IFERROR(__xludf.DUMMYFUNCTION("""COMPUTED_VALUE"""),"#VALUE!")</f>
        <v>#VALUE!</v>
      </c>
      <c r="BM1338" t="str">
        <f ca="1">IFERROR(__xludf.DUMMYFUNCTION("""COMPUTED_VALUE"""),"#VALUE!")</f>
        <v>#VALUE!</v>
      </c>
      <c r="CS1338" t="str">
        <f ca="1">IFERROR(__xludf.DUMMYFUNCTION("""COMPUTED_VALUE"""),"#VALUE!")</f>
        <v>#VALUE!</v>
      </c>
      <c r="CU1338" t="str">
        <f ca="1">IFERROR(__xludf.DUMMYFUNCTION("""COMPUTED_VALUE"""),"#VALUE!")</f>
        <v>#VALUE!</v>
      </c>
      <c r="CW1338" t="str">
        <f ca="1">IFERROR(__xludf.DUMMYFUNCTION("""COMPUTED_VALUE"""),"#VALUE!")</f>
        <v>#VALUE!</v>
      </c>
      <c r="CY1338" t="str">
        <f ca="1">IFERROR(__xludf.DUMMYFUNCTION("""COMPUTED_VALUE"""),"#VALUE!")</f>
        <v>#VALUE!</v>
      </c>
      <c r="DC1338" t="str">
        <f ca="1">IFERROR(__xludf.DUMMYFUNCTION("""COMPUTED_VALUE"""),"#VALUE!")</f>
        <v>#VALUE!</v>
      </c>
      <c r="DE1338" t="str">
        <f ca="1">IFERROR(__xludf.DUMMYFUNCTION("""COMPUTED_VALUE"""),"#VALUE!")</f>
        <v>#VALUE!</v>
      </c>
    </row>
    <row r="1339" spans="1:109" ht="13.2" x14ac:dyDescent="0.25">
      <c r="A1339" t="str">
        <f ca="1">IFERROR(__xludf.DUMMYFUNCTION("""COMPUTED_VALUE"""),"P1348")</f>
        <v>P1348</v>
      </c>
      <c r="BC1339" t="str">
        <f ca="1">IFERROR(__xludf.DUMMYFUNCTION("""COMPUTED_VALUE"""),"#VALUE!")</f>
        <v>#VALUE!</v>
      </c>
      <c r="BE1339" t="str">
        <f ca="1">IFERROR(__xludf.DUMMYFUNCTION("""COMPUTED_VALUE"""),"#VALUE!")</f>
        <v>#VALUE!</v>
      </c>
      <c r="BG1339" t="str">
        <f ca="1">IFERROR(__xludf.DUMMYFUNCTION("""COMPUTED_VALUE"""),"#VALUE!")</f>
        <v>#VALUE!</v>
      </c>
      <c r="BI1339" t="str">
        <f ca="1">IFERROR(__xludf.DUMMYFUNCTION("""COMPUTED_VALUE"""),"#VALUE!")</f>
        <v>#VALUE!</v>
      </c>
      <c r="BK1339" t="str">
        <f ca="1">IFERROR(__xludf.DUMMYFUNCTION("""COMPUTED_VALUE"""),"#VALUE!")</f>
        <v>#VALUE!</v>
      </c>
      <c r="BM1339" t="str">
        <f ca="1">IFERROR(__xludf.DUMMYFUNCTION("""COMPUTED_VALUE"""),"#VALUE!")</f>
        <v>#VALUE!</v>
      </c>
      <c r="CS1339" t="str">
        <f ca="1">IFERROR(__xludf.DUMMYFUNCTION("""COMPUTED_VALUE"""),"#VALUE!")</f>
        <v>#VALUE!</v>
      </c>
      <c r="CU1339" t="str">
        <f ca="1">IFERROR(__xludf.DUMMYFUNCTION("""COMPUTED_VALUE"""),"#VALUE!")</f>
        <v>#VALUE!</v>
      </c>
      <c r="CW1339" t="str">
        <f ca="1">IFERROR(__xludf.DUMMYFUNCTION("""COMPUTED_VALUE"""),"#VALUE!")</f>
        <v>#VALUE!</v>
      </c>
      <c r="CY1339" t="str">
        <f ca="1">IFERROR(__xludf.DUMMYFUNCTION("""COMPUTED_VALUE"""),"#VALUE!")</f>
        <v>#VALUE!</v>
      </c>
      <c r="DC1339" t="str">
        <f ca="1">IFERROR(__xludf.DUMMYFUNCTION("""COMPUTED_VALUE"""),"#VALUE!")</f>
        <v>#VALUE!</v>
      </c>
      <c r="DE1339" t="str">
        <f ca="1">IFERROR(__xludf.DUMMYFUNCTION("""COMPUTED_VALUE"""),"#VALUE!")</f>
        <v>#VALUE!</v>
      </c>
    </row>
    <row r="1340" spans="1:109" ht="13.2" x14ac:dyDescent="0.25">
      <c r="A1340" t="str">
        <f ca="1">IFERROR(__xludf.DUMMYFUNCTION("""COMPUTED_VALUE"""),"P1349")</f>
        <v>P1349</v>
      </c>
      <c r="BC1340" t="str">
        <f ca="1">IFERROR(__xludf.DUMMYFUNCTION("""COMPUTED_VALUE"""),"#VALUE!")</f>
        <v>#VALUE!</v>
      </c>
      <c r="BE1340" t="str">
        <f ca="1">IFERROR(__xludf.DUMMYFUNCTION("""COMPUTED_VALUE"""),"#VALUE!")</f>
        <v>#VALUE!</v>
      </c>
      <c r="BG1340" t="str">
        <f ca="1">IFERROR(__xludf.DUMMYFUNCTION("""COMPUTED_VALUE"""),"#VALUE!")</f>
        <v>#VALUE!</v>
      </c>
      <c r="BI1340" t="str">
        <f ca="1">IFERROR(__xludf.DUMMYFUNCTION("""COMPUTED_VALUE"""),"#VALUE!")</f>
        <v>#VALUE!</v>
      </c>
      <c r="BK1340" t="str">
        <f ca="1">IFERROR(__xludf.DUMMYFUNCTION("""COMPUTED_VALUE"""),"#VALUE!")</f>
        <v>#VALUE!</v>
      </c>
      <c r="BM1340" t="str">
        <f ca="1">IFERROR(__xludf.DUMMYFUNCTION("""COMPUTED_VALUE"""),"#VALUE!")</f>
        <v>#VALUE!</v>
      </c>
      <c r="CS1340" t="str">
        <f ca="1">IFERROR(__xludf.DUMMYFUNCTION("""COMPUTED_VALUE"""),"#VALUE!")</f>
        <v>#VALUE!</v>
      </c>
      <c r="CU1340" t="str">
        <f ca="1">IFERROR(__xludf.DUMMYFUNCTION("""COMPUTED_VALUE"""),"#VALUE!")</f>
        <v>#VALUE!</v>
      </c>
      <c r="CW1340" t="str">
        <f ca="1">IFERROR(__xludf.DUMMYFUNCTION("""COMPUTED_VALUE"""),"#VALUE!")</f>
        <v>#VALUE!</v>
      </c>
      <c r="CY1340" t="str">
        <f ca="1">IFERROR(__xludf.DUMMYFUNCTION("""COMPUTED_VALUE"""),"#VALUE!")</f>
        <v>#VALUE!</v>
      </c>
      <c r="DC1340" t="str">
        <f ca="1">IFERROR(__xludf.DUMMYFUNCTION("""COMPUTED_VALUE"""),"#VALUE!")</f>
        <v>#VALUE!</v>
      </c>
      <c r="DE1340" t="str">
        <f ca="1">IFERROR(__xludf.DUMMYFUNCTION("""COMPUTED_VALUE"""),"#VALUE!")</f>
        <v>#VALUE!</v>
      </c>
    </row>
    <row r="1341" spans="1:109" ht="13.2" x14ac:dyDescent="0.25">
      <c r="A1341" t="str">
        <f ca="1">IFERROR(__xludf.DUMMYFUNCTION("""COMPUTED_VALUE"""),"P1350")</f>
        <v>P1350</v>
      </c>
      <c r="BC1341" t="str">
        <f ca="1">IFERROR(__xludf.DUMMYFUNCTION("""COMPUTED_VALUE"""),"#VALUE!")</f>
        <v>#VALUE!</v>
      </c>
      <c r="BE1341" t="str">
        <f ca="1">IFERROR(__xludf.DUMMYFUNCTION("""COMPUTED_VALUE"""),"#VALUE!")</f>
        <v>#VALUE!</v>
      </c>
      <c r="BG1341" t="str">
        <f ca="1">IFERROR(__xludf.DUMMYFUNCTION("""COMPUTED_VALUE"""),"#VALUE!")</f>
        <v>#VALUE!</v>
      </c>
      <c r="BI1341" t="str">
        <f ca="1">IFERROR(__xludf.DUMMYFUNCTION("""COMPUTED_VALUE"""),"#VALUE!")</f>
        <v>#VALUE!</v>
      </c>
      <c r="BK1341" t="str">
        <f ca="1">IFERROR(__xludf.DUMMYFUNCTION("""COMPUTED_VALUE"""),"#VALUE!")</f>
        <v>#VALUE!</v>
      </c>
      <c r="BM1341" t="str">
        <f ca="1">IFERROR(__xludf.DUMMYFUNCTION("""COMPUTED_VALUE"""),"#VALUE!")</f>
        <v>#VALUE!</v>
      </c>
      <c r="CS1341" t="str">
        <f ca="1">IFERROR(__xludf.DUMMYFUNCTION("""COMPUTED_VALUE"""),"#VALUE!")</f>
        <v>#VALUE!</v>
      </c>
      <c r="CU1341" t="str">
        <f ca="1">IFERROR(__xludf.DUMMYFUNCTION("""COMPUTED_VALUE"""),"#VALUE!")</f>
        <v>#VALUE!</v>
      </c>
      <c r="CW1341" t="str">
        <f ca="1">IFERROR(__xludf.DUMMYFUNCTION("""COMPUTED_VALUE"""),"#VALUE!")</f>
        <v>#VALUE!</v>
      </c>
      <c r="CY1341" t="str">
        <f ca="1">IFERROR(__xludf.DUMMYFUNCTION("""COMPUTED_VALUE"""),"#VALUE!")</f>
        <v>#VALUE!</v>
      </c>
      <c r="DC1341" t="str">
        <f ca="1">IFERROR(__xludf.DUMMYFUNCTION("""COMPUTED_VALUE"""),"#VALUE!")</f>
        <v>#VALUE!</v>
      </c>
      <c r="DE1341" t="str">
        <f ca="1">IFERROR(__xludf.DUMMYFUNCTION("""COMPUTED_VALUE"""),"#VALUE!")</f>
        <v>#VALUE!</v>
      </c>
    </row>
    <row r="1342" spans="1:109" ht="13.2" x14ac:dyDescent="0.25">
      <c r="A1342" t="str">
        <f ca="1">IFERROR(__xludf.DUMMYFUNCTION("""COMPUTED_VALUE"""),"P1351")</f>
        <v>P1351</v>
      </c>
      <c r="BC1342" t="str">
        <f ca="1">IFERROR(__xludf.DUMMYFUNCTION("""COMPUTED_VALUE"""),"#VALUE!")</f>
        <v>#VALUE!</v>
      </c>
      <c r="BE1342" t="str">
        <f ca="1">IFERROR(__xludf.DUMMYFUNCTION("""COMPUTED_VALUE"""),"#VALUE!")</f>
        <v>#VALUE!</v>
      </c>
      <c r="BG1342" t="str">
        <f ca="1">IFERROR(__xludf.DUMMYFUNCTION("""COMPUTED_VALUE"""),"#VALUE!")</f>
        <v>#VALUE!</v>
      </c>
      <c r="BI1342" t="str">
        <f ca="1">IFERROR(__xludf.DUMMYFUNCTION("""COMPUTED_VALUE"""),"#VALUE!")</f>
        <v>#VALUE!</v>
      </c>
      <c r="BK1342" t="str">
        <f ca="1">IFERROR(__xludf.DUMMYFUNCTION("""COMPUTED_VALUE"""),"#VALUE!")</f>
        <v>#VALUE!</v>
      </c>
      <c r="BM1342" t="str">
        <f ca="1">IFERROR(__xludf.DUMMYFUNCTION("""COMPUTED_VALUE"""),"#VALUE!")</f>
        <v>#VALUE!</v>
      </c>
      <c r="CS1342" t="str">
        <f ca="1">IFERROR(__xludf.DUMMYFUNCTION("""COMPUTED_VALUE"""),"#VALUE!")</f>
        <v>#VALUE!</v>
      </c>
      <c r="CU1342" t="str">
        <f ca="1">IFERROR(__xludf.DUMMYFUNCTION("""COMPUTED_VALUE"""),"#VALUE!")</f>
        <v>#VALUE!</v>
      </c>
      <c r="CW1342" t="str">
        <f ca="1">IFERROR(__xludf.DUMMYFUNCTION("""COMPUTED_VALUE"""),"#VALUE!")</f>
        <v>#VALUE!</v>
      </c>
      <c r="CY1342" t="str">
        <f ca="1">IFERROR(__xludf.DUMMYFUNCTION("""COMPUTED_VALUE"""),"#VALUE!")</f>
        <v>#VALUE!</v>
      </c>
      <c r="DC1342" t="str">
        <f ca="1">IFERROR(__xludf.DUMMYFUNCTION("""COMPUTED_VALUE"""),"#VALUE!")</f>
        <v>#VALUE!</v>
      </c>
      <c r="DE1342" t="str">
        <f ca="1">IFERROR(__xludf.DUMMYFUNCTION("""COMPUTED_VALUE"""),"#VALUE!")</f>
        <v>#VALUE!</v>
      </c>
    </row>
    <row r="1343" spans="1:109" ht="13.2" x14ac:dyDescent="0.25">
      <c r="A1343" t="str">
        <f ca="1">IFERROR(__xludf.DUMMYFUNCTION("""COMPUTED_VALUE"""),"P1352")</f>
        <v>P1352</v>
      </c>
      <c r="BC1343" t="str">
        <f ca="1">IFERROR(__xludf.DUMMYFUNCTION("""COMPUTED_VALUE"""),"#VALUE!")</f>
        <v>#VALUE!</v>
      </c>
      <c r="BE1343" t="str">
        <f ca="1">IFERROR(__xludf.DUMMYFUNCTION("""COMPUTED_VALUE"""),"#VALUE!")</f>
        <v>#VALUE!</v>
      </c>
      <c r="BG1343" t="str">
        <f ca="1">IFERROR(__xludf.DUMMYFUNCTION("""COMPUTED_VALUE"""),"#VALUE!")</f>
        <v>#VALUE!</v>
      </c>
      <c r="BI1343" t="str">
        <f ca="1">IFERROR(__xludf.DUMMYFUNCTION("""COMPUTED_VALUE"""),"#VALUE!")</f>
        <v>#VALUE!</v>
      </c>
      <c r="BK1343" t="str">
        <f ca="1">IFERROR(__xludf.DUMMYFUNCTION("""COMPUTED_VALUE"""),"#VALUE!")</f>
        <v>#VALUE!</v>
      </c>
      <c r="BM1343" t="str">
        <f ca="1">IFERROR(__xludf.DUMMYFUNCTION("""COMPUTED_VALUE"""),"#VALUE!")</f>
        <v>#VALUE!</v>
      </c>
      <c r="CS1343" t="str">
        <f ca="1">IFERROR(__xludf.DUMMYFUNCTION("""COMPUTED_VALUE"""),"#VALUE!")</f>
        <v>#VALUE!</v>
      </c>
      <c r="CU1343" t="str">
        <f ca="1">IFERROR(__xludf.DUMMYFUNCTION("""COMPUTED_VALUE"""),"#VALUE!")</f>
        <v>#VALUE!</v>
      </c>
      <c r="CW1343" t="str">
        <f ca="1">IFERROR(__xludf.DUMMYFUNCTION("""COMPUTED_VALUE"""),"#VALUE!")</f>
        <v>#VALUE!</v>
      </c>
      <c r="CY1343" t="str">
        <f ca="1">IFERROR(__xludf.DUMMYFUNCTION("""COMPUTED_VALUE"""),"#VALUE!")</f>
        <v>#VALUE!</v>
      </c>
      <c r="DC1343" t="str">
        <f ca="1">IFERROR(__xludf.DUMMYFUNCTION("""COMPUTED_VALUE"""),"#VALUE!")</f>
        <v>#VALUE!</v>
      </c>
      <c r="DE1343" t="str">
        <f ca="1">IFERROR(__xludf.DUMMYFUNCTION("""COMPUTED_VALUE"""),"#VALUE!")</f>
        <v>#VALUE!</v>
      </c>
    </row>
    <row r="1344" spans="1:109" ht="13.2" x14ac:dyDescent="0.25">
      <c r="A1344" t="str">
        <f ca="1">IFERROR(__xludf.DUMMYFUNCTION("""COMPUTED_VALUE"""),"P1353")</f>
        <v>P1353</v>
      </c>
      <c r="BC1344" t="str">
        <f ca="1">IFERROR(__xludf.DUMMYFUNCTION("""COMPUTED_VALUE"""),"#VALUE!")</f>
        <v>#VALUE!</v>
      </c>
      <c r="BE1344" t="str">
        <f ca="1">IFERROR(__xludf.DUMMYFUNCTION("""COMPUTED_VALUE"""),"#VALUE!")</f>
        <v>#VALUE!</v>
      </c>
      <c r="BG1344" t="str">
        <f ca="1">IFERROR(__xludf.DUMMYFUNCTION("""COMPUTED_VALUE"""),"#VALUE!")</f>
        <v>#VALUE!</v>
      </c>
      <c r="BI1344" t="str">
        <f ca="1">IFERROR(__xludf.DUMMYFUNCTION("""COMPUTED_VALUE"""),"#VALUE!")</f>
        <v>#VALUE!</v>
      </c>
      <c r="BK1344" t="str">
        <f ca="1">IFERROR(__xludf.DUMMYFUNCTION("""COMPUTED_VALUE"""),"#VALUE!")</f>
        <v>#VALUE!</v>
      </c>
      <c r="BM1344" t="str">
        <f ca="1">IFERROR(__xludf.DUMMYFUNCTION("""COMPUTED_VALUE"""),"#VALUE!")</f>
        <v>#VALUE!</v>
      </c>
      <c r="CS1344" t="str">
        <f ca="1">IFERROR(__xludf.DUMMYFUNCTION("""COMPUTED_VALUE"""),"#VALUE!")</f>
        <v>#VALUE!</v>
      </c>
      <c r="CU1344" t="str">
        <f ca="1">IFERROR(__xludf.DUMMYFUNCTION("""COMPUTED_VALUE"""),"#VALUE!")</f>
        <v>#VALUE!</v>
      </c>
      <c r="CW1344" t="str">
        <f ca="1">IFERROR(__xludf.DUMMYFUNCTION("""COMPUTED_VALUE"""),"#VALUE!")</f>
        <v>#VALUE!</v>
      </c>
      <c r="CY1344" t="str">
        <f ca="1">IFERROR(__xludf.DUMMYFUNCTION("""COMPUTED_VALUE"""),"#VALUE!")</f>
        <v>#VALUE!</v>
      </c>
      <c r="DC1344" t="str">
        <f ca="1">IFERROR(__xludf.DUMMYFUNCTION("""COMPUTED_VALUE"""),"#VALUE!")</f>
        <v>#VALUE!</v>
      </c>
      <c r="DE1344" t="str">
        <f ca="1">IFERROR(__xludf.DUMMYFUNCTION("""COMPUTED_VALUE"""),"#VALUE!")</f>
        <v>#VALUE!</v>
      </c>
    </row>
    <row r="1345" spans="1:109" ht="13.2" x14ac:dyDescent="0.25">
      <c r="A1345" t="str">
        <f ca="1">IFERROR(__xludf.DUMMYFUNCTION("""COMPUTED_VALUE"""),"P1354")</f>
        <v>P1354</v>
      </c>
      <c r="BC1345" t="str">
        <f ca="1">IFERROR(__xludf.DUMMYFUNCTION("""COMPUTED_VALUE"""),"#VALUE!")</f>
        <v>#VALUE!</v>
      </c>
      <c r="BE1345" t="str">
        <f ca="1">IFERROR(__xludf.DUMMYFUNCTION("""COMPUTED_VALUE"""),"#VALUE!")</f>
        <v>#VALUE!</v>
      </c>
      <c r="BG1345" t="str">
        <f ca="1">IFERROR(__xludf.DUMMYFUNCTION("""COMPUTED_VALUE"""),"#VALUE!")</f>
        <v>#VALUE!</v>
      </c>
      <c r="BI1345" t="str">
        <f ca="1">IFERROR(__xludf.DUMMYFUNCTION("""COMPUTED_VALUE"""),"#VALUE!")</f>
        <v>#VALUE!</v>
      </c>
      <c r="BK1345" t="str">
        <f ca="1">IFERROR(__xludf.DUMMYFUNCTION("""COMPUTED_VALUE"""),"#VALUE!")</f>
        <v>#VALUE!</v>
      </c>
      <c r="BM1345" t="str">
        <f ca="1">IFERROR(__xludf.DUMMYFUNCTION("""COMPUTED_VALUE"""),"#VALUE!")</f>
        <v>#VALUE!</v>
      </c>
      <c r="CS1345" t="str">
        <f ca="1">IFERROR(__xludf.DUMMYFUNCTION("""COMPUTED_VALUE"""),"#VALUE!")</f>
        <v>#VALUE!</v>
      </c>
      <c r="CU1345" t="str">
        <f ca="1">IFERROR(__xludf.DUMMYFUNCTION("""COMPUTED_VALUE"""),"#VALUE!")</f>
        <v>#VALUE!</v>
      </c>
      <c r="CW1345" t="str">
        <f ca="1">IFERROR(__xludf.DUMMYFUNCTION("""COMPUTED_VALUE"""),"#VALUE!")</f>
        <v>#VALUE!</v>
      </c>
      <c r="CY1345" t="str">
        <f ca="1">IFERROR(__xludf.DUMMYFUNCTION("""COMPUTED_VALUE"""),"#VALUE!")</f>
        <v>#VALUE!</v>
      </c>
      <c r="DC1345" t="str">
        <f ca="1">IFERROR(__xludf.DUMMYFUNCTION("""COMPUTED_VALUE"""),"#VALUE!")</f>
        <v>#VALUE!</v>
      </c>
      <c r="DE1345" t="str">
        <f ca="1">IFERROR(__xludf.DUMMYFUNCTION("""COMPUTED_VALUE"""),"#VALUE!")</f>
        <v>#VALUE!</v>
      </c>
    </row>
    <row r="1346" spans="1:109" ht="13.2" x14ac:dyDescent="0.25">
      <c r="A1346" t="str">
        <f ca="1">IFERROR(__xludf.DUMMYFUNCTION("""COMPUTED_VALUE"""),"P1355")</f>
        <v>P1355</v>
      </c>
      <c r="BC1346" t="str">
        <f ca="1">IFERROR(__xludf.DUMMYFUNCTION("""COMPUTED_VALUE"""),"#VALUE!")</f>
        <v>#VALUE!</v>
      </c>
      <c r="BE1346" t="str">
        <f ca="1">IFERROR(__xludf.DUMMYFUNCTION("""COMPUTED_VALUE"""),"#VALUE!")</f>
        <v>#VALUE!</v>
      </c>
      <c r="BG1346" t="str">
        <f ca="1">IFERROR(__xludf.DUMMYFUNCTION("""COMPUTED_VALUE"""),"#VALUE!")</f>
        <v>#VALUE!</v>
      </c>
      <c r="BI1346" t="str">
        <f ca="1">IFERROR(__xludf.DUMMYFUNCTION("""COMPUTED_VALUE"""),"#VALUE!")</f>
        <v>#VALUE!</v>
      </c>
      <c r="BK1346" t="str">
        <f ca="1">IFERROR(__xludf.DUMMYFUNCTION("""COMPUTED_VALUE"""),"#VALUE!")</f>
        <v>#VALUE!</v>
      </c>
      <c r="BM1346" t="str">
        <f ca="1">IFERROR(__xludf.DUMMYFUNCTION("""COMPUTED_VALUE"""),"#VALUE!")</f>
        <v>#VALUE!</v>
      </c>
      <c r="CS1346" t="str">
        <f ca="1">IFERROR(__xludf.DUMMYFUNCTION("""COMPUTED_VALUE"""),"#VALUE!")</f>
        <v>#VALUE!</v>
      </c>
      <c r="CU1346" t="str">
        <f ca="1">IFERROR(__xludf.DUMMYFUNCTION("""COMPUTED_VALUE"""),"#VALUE!")</f>
        <v>#VALUE!</v>
      </c>
      <c r="CW1346" t="str">
        <f ca="1">IFERROR(__xludf.DUMMYFUNCTION("""COMPUTED_VALUE"""),"#VALUE!")</f>
        <v>#VALUE!</v>
      </c>
      <c r="CY1346" t="str">
        <f ca="1">IFERROR(__xludf.DUMMYFUNCTION("""COMPUTED_VALUE"""),"#VALUE!")</f>
        <v>#VALUE!</v>
      </c>
      <c r="DC1346" t="str">
        <f ca="1">IFERROR(__xludf.DUMMYFUNCTION("""COMPUTED_VALUE"""),"#VALUE!")</f>
        <v>#VALUE!</v>
      </c>
      <c r="DE1346" t="str">
        <f ca="1">IFERROR(__xludf.DUMMYFUNCTION("""COMPUTED_VALUE"""),"#VALUE!")</f>
        <v>#VALUE!</v>
      </c>
    </row>
    <row r="1347" spans="1:109" ht="13.2" x14ac:dyDescent="0.25">
      <c r="A1347" t="str">
        <f ca="1">IFERROR(__xludf.DUMMYFUNCTION("""COMPUTED_VALUE"""),"P1356")</f>
        <v>P1356</v>
      </c>
      <c r="BC1347" t="str">
        <f ca="1">IFERROR(__xludf.DUMMYFUNCTION("""COMPUTED_VALUE"""),"#VALUE!")</f>
        <v>#VALUE!</v>
      </c>
      <c r="BE1347" t="str">
        <f ca="1">IFERROR(__xludf.DUMMYFUNCTION("""COMPUTED_VALUE"""),"#VALUE!")</f>
        <v>#VALUE!</v>
      </c>
      <c r="BG1347" t="str">
        <f ca="1">IFERROR(__xludf.DUMMYFUNCTION("""COMPUTED_VALUE"""),"#VALUE!")</f>
        <v>#VALUE!</v>
      </c>
      <c r="BI1347" t="str">
        <f ca="1">IFERROR(__xludf.DUMMYFUNCTION("""COMPUTED_VALUE"""),"#VALUE!")</f>
        <v>#VALUE!</v>
      </c>
      <c r="BK1347" t="str">
        <f ca="1">IFERROR(__xludf.DUMMYFUNCTION("""COMPUTED_VALUE"""),"#VALUE!")</f>
        <v>#VALUE!</v>
      </c>
      <c r="BM1347" t="str">
        <f ca="1">IFERROR(__xludf.DUMMYFUNCTION("""COMPUTED_VALUE"""),"#VALUE!")</f>
        <v>#VALUE!</v>
      </c>
      <c r="CS1347" t="str">
        <f ca="1">IFERROR(__xludf.DUMMYFUNCTION("""COMPUTED_VALUE"""),"#VALUE!")</f>
        <v>#VALUE!</v>
      </c>
      <c r="CU1347" t="str">
        <f ca="1">IFERROR(__xludf.DUMMYFUNCTION("""COMPUTED_VALUE"""),"#VALUE!")</f>
        <v>#VALUE!</v>
      </c>
      <c r="CW1347" t="str">
        <f ca="1">IFERROR(__xludf.DUMMYFUNCTION("""COMPUTED_VALUE"""),"#VALUE!")</f>
        <v>#VALUE!</v>
      </c>
      <c r="CY1347" t="str">
        <f ca="1">IFERROR(__xludf.DUMMYFUNCTION("""COMPUTED_VALUE"""),"#VALUE!")</f>
        <v>#VALUE!</v>
      </c>
      <c r="DC1347" t="str">
        <f ca="1">IFERROR(__xludf.DUMMYFUNCTION("""COMPUTED_VALUE"""),"#VALUE!")</f>
        <v>#VALUE!</v>
      </c>
      <c r="DE1347" t="str">
        <f ca="1">IFERROR(__xludf.DUMMYFUNCTION("""COMPUTED_VALUE"""),"#VALUE!")</f>
        <v>#VALUE!</v>
      </c>
    </row>
    <row r="1348" spans="1:109" ht="13.2" x14ac:dyDescent="0.25">
      <c r="A1348" t="str">
        <f ca="1">IFERROR(__xludf.DUMMYFUNCTION("""COMPUTED_VALUE"""),"P1357")</f>
        <v>P1357</v>
      </c>
      <c r="BC1348" t="str">
        <f ca="1">IFERROR(__xludf.DUMMYFUNCTION("""COMPUTED_VALUE"""),"#VALUE!")</f>
        <v>#VALUE!</v>
      </c>
      <c r="BE1348" t="str">
        <f ca="1">IFERROR(__xludf.DUMMYFUNCTION("""COMPUTED_VALUE"""),"#VALUE!")</f>
        <v>#VALUE!</v>
      </c>
      <c r="BG1348" t="str">
        <f ca="1">IFERROR(__xludf.DUMMYFUNCTION("""COMPUTED_VALUE"""),"#VALUE!")</f>
        <v>#VALUE!</v>
      </c>
      <c r="BI1348" t="str">
        <f ca="1">IFERROR(__xludf.DUMMYFUNCTION("""COMPUTED_VALUE"""),"#VALUE!")</f>
        <v>#VALUE!</v>
      </c>
      <c r="BK1348" t="str">
        <f ca="1">IFERROR(__xludf.DUMMYFUNCTION("""COMPUTED_VALUE"""),"#VALUE!")</f>
        <v>#VALUE!</v>
      </c>
      <c r="BM1348" t="str">
        <f ca="1">IFERROR(__xludf.DUMMYFUNCTION("""COMPUTED_VALUE"""),"#VALUE!")</f>
        <v>#VALUE!</v>
      </c>
      <c r="CS1348" t="str">
        <f ca="1">IFERROR(__xludf.DUMMYFUNCTION("""COMPUTED_VALUE"""),"#VALUE!")</f>
        <v>#VALUE!</v>
      </c>
      <c r="CU1348" t="str">
        <f ca="1">IFERROR(__xludf.DUMMYFUNCTION("""COMPUTED_VALUE"""),"#VALUE!")</f>
        <v>#VALUE!</v>
      </c>
      <c r="CW1348" t="str">
        <f ca="1">IFERROR(__xludf.DUMMYFUNCTION("""COMPUTED_VALUE"""),"#VALUE!")</f>
        <v>#VALUE!</v>
      </c>
      <c r="CY1348" t="str">
        <f ca="1">IFERROR(__xludf.DUMMYFUNCTION("""COMPUTED_VALUE"""),"#VALUE!")</f>
        <v>#VALUE!</v>
      </c>
      <c r="DC1348" t="str">
        <f ca="1">IFERROR(__xludf.DUMMYFUNCTION("""COMPUTED_VALUE"""),"#VALUE!")</f>
        <v>#VALUE!</v>
      </c>
      <c r="DE1348" t="str">
        <f ca="1">IFERROR(__xludf.DUMMYFUNCTION("""COMPUTED_VALUE"""),"#VALUE!")</f>
        <v>#VALUE!</v>
      </c>
    </row>
    <row r="1349" spans="1:109" ht="13.2" x14ac:dyDescent="0.25">
      <c r="A1349" t="str">
        <f ca="1">IFERROR(__xludf.DUMMYFUNCTION("""COMPUTED_VALUE"""),"P1358")</f>
        <v>P1358</v>
      </c>
      <c r="BC1349" t="str">
        <f ca="1">IFERROR(__xludf.DUMMYFUNCTION("""COMPUTED_VALUE"""),"#VALUE!")</f>
        <v>#VALUE!</v>
      </c>
      <c r="BE1349" t="str">
        <f ca="1">IFERROR(__xludf.DUMMYFUNCTION("""COMPUTED_VALUE"""),"#VALUE!")</f>
        <v>#VALUE!</v>
      </c>
      <c r="BG1349" t="str">
        <f ca="1">IFERROR(__xludf.DUMMYFUNCTION("""COMPUTED_VALUE"""),"#VALUE!")</f>
        <v>#VALUE!</v>
      </c>
      <c r="BI1349" t="str">
        <f ca="1">IFERROR(__xludf.DUMMYFUNCTION("""COMPUTED_VALUE"""),"#VALUE!")</f>
        <v>#VALUE!</v>
      </c>
      <c r="BK1349" t="str">
        <f ca="1">IFERROR(__xludf.DUMMYFUNCTION("""COMPUTED_VALUE"""),"#VALUE!")</f>
        <v>#VALUE!</v>
      </c>
      <c r="BM1349" t="str">
        <f ca="1">IFERROR(__xludf.DUMMYFUNCTION("""COMPUTED_VALUE"""),"#VALUE!")</f>
        <v>#VALUE!</v>
      </c>
      <c r="CS1349" t="str">
        <f ca="1">IFERROR(__xludf.DUMMYFUNCTION("""COMPUTED_VALUE"""),"#VALUE!")</f>
        <v>#VALUE!</v>
      </c>
      <c r="CU1349" t="str">
        <f ca="1">IFERROR(__xludf.DUMMYFUNCTION("""COMPUTED_VALUE"""),"#VALUE!")</f>
        <v>#VALUE!</v>
      </c>
      <c r="CW1349" t="str">
        <f ca="1">IFERROR(__xludf.DUMMYFUNCTION("""COMPUTED_VALUE"""),"#VALUE!")</f>
        <v>#VALUE!</v>
      </c>
      <c r="CY1349" t="str">
        <f ca="1">IFERROR(__xludf.DUMMYFUNCTION("""COMPUTED_VALUE"""),"#VALUE!")</f>
        <v>#VALUE!</v>
      </c>
      <c r="DC1349" t="str">
        <f ca="1">IFERROR(__xludf.DUMMYFUNCTION("""COMPUTED_VALUE"""),"#VALUE!")</f>
        <v>#VALUE!</v>
      </c>
      <c r="DE1349" t="str">
        <f ca="1">IFERROR(__xludf.DUMMYFUNCTION("""COMPUTED_VALUE"""),"#VALUE!")</f>
        <v>#VALUE!</v>
      </c>
    </row>
    <row r="1350" spans="1:109" ht="13.2" x14ac:dyDescent="0.25">
      <c r="A1350" t="str">
        <f ca="1">IFERROR(__xludf.DUMMYFUNCTION("""COMPUTED_VALUE"""),"P1359")</f>
        <v>P1359</v>
      </c>
      <c r="BC1350" t="str">
        <f ca="1">IFERROR(__xludf.DUMMYFUNCTION("""COMPUTED_VALUE"""),"#VALUE!")</f>
        <v>#VALUE!</v>
      </c>
      <c r="BE1350" t="str">
        <f ca="1">IFERROR(__xludf.DUMMYFUNCTION("""COMPUTED_VALUE"""),"#VALUE!")</f>
        <v>#VALUE!</v>
      </c>
      <c r="BG1350" t="str">
        <f ca="1">IFERROR(__xludf.DUMMYFUNCTION("""COMPUTED_VALUE"""),"#VALUE!")</f>
        <v>#VALUE!</v>
      </c>
      <c r="BI1350" t="str">
        <f ca="1">IFERROR(__xludf.DUMMYFUNCTION("""COMPUTED_VALUE"""),"#VALUE!")</f>
        <v>#VALUE!</v>
      </c>
      <c r="BK1350" t="str">
        <f ca="1">IFERROR(__xludf.DUMMYFUNCTION("""COMPUTED_VALUE"""),"#VALUE!")</f>
        <v>#VALUE!</v>
      </c>
      <c r="BM1350" t="str">
        <f ca="1">IFERROR(__xludf.DUMMYFUNCTION("""COMPUTED_VALUE"""),"#VALUE!")</f>
        <v>#VALUE!</v>
      </c>
      <c r="CS1350" t="str">
        <f ca="1">IFERROR(__xludf.DUMMYFUNCTION("""COMPUTED_VALUE"""),"#VALUE!")</f>
        <v>#VALUE!</v>
      </c>
      <c r="CU1350" t="str">
        <f ca="1">IFERROR(__xludf.DUMMYFUNCTION("""COMPUTED_VALUE"""),"#VALUE!")</f>
        <v>#VALUE!</v>
      </c>
      <c r="CW1350" t="str">
        <f ca="1">IFERROR(__xludf.DUMMYFUNCTION("""COMPUTED_VALUE"""),"#VALUE!")</f>
        <v>#VALUE!</v>
      </c>
      <c r="CY1350" t="str">
        <f ca="1">IFERROR(__xludf.DUMMYFUNCTION("""COMPUTED_VALUE"""),"#VALUE!")</f>
        <v>#VALUE!</v>
      </c>
      <c r="DC1350" t="str">
        <f ca="1">IFERROR(__xludf.DUMMYFUNCTION("""COMPUTED_VALUE"""),"#VALUE!")</f>
        <v>#VALUE!</v>
      </c>
      <c r="DE1350" t="str">
        <f ca="1">IFERROR(__xludf.DUMMYFUNCTION("""COMPUTED_VALUE"""),"#VALUE!")</f>
        <v>#VALUE!</v>
      </c>
    </row>
    <row r="1351" spans="1:109" ht="13.2" x14ac:dyDescent="0.25">
      <c r="A1351" t="str">
        <f ca="1">IFERROR(__xludf.DUMMYFUNCTION("""COMPUTED_VALUE"""),"P1360")</f>
        <v>P1360</v>
      </c>
      <c r="BC1351" t="str">
        <f ca="1">IFERROR(__xludf.DUMMYFUNCTION("""COMPUTED_VALUE"""),"#VALUE!")</f>
        <v>#VALUE!</v>
      </c>
      <c r="BE1351" t="str">
        <f ca="1">IFERROR(__xludf.DUMMYFUNCTION("""COMPUTED_VALUE"""),"#VALUE!")</f>
        <v>#VALUE!</v>
      </c>
      <c r="BG1351" t="str">
        <f ca="1">IFERROR(__xludf.DUMMYFUNCTION("""COMPUTED_VALUE"""),"#VALUE!")</f>
        <v>#VALUE!</v>
      </c>
      <c r="BI1351" t="str">
        <f ca="1">IFERROR(__xludf.DUMMYFUNCTION("""COMPUTED_VALUE"""),"#VALUE!")</f>
        <v>#VALUE!</v>
      </c>
      <c r="BK1351" t="str">
        <f ca="1">IFERROR(__xludf.DUMMYFUNCTION("""COMPUTED_VALUE"""),"#VALUE!")</f>
        <v>#VALUE!</v>
      </c>
      <c r="BM1351" t="str">
        <f ca="1">IFERROR(__xludf.DUMMYFUNCTION("""COMPUTED_VALUE"""),"#VALUE!")</f>
        <v>#VALUE!</v>
      </c>
      <c r="CS1351" t="str">
        <f ca="1">IFERROR(__xludf.DUMMYFUNCTION("""COMPUTED_VALUE"""),"#VALUE!")</f>
        <v>#VALUE!</v>
      </c>
      <c r="CU1351" t="str">
        <f ca="1">IFERROR(__xludf.DUMMYFUNCTION("""COMPUTED_VALUE"""),"#VALUE!")</f>
        <v>#VALUE!</v>
      </c>
      <c r="CW1351" t="str">
        <f ca="1">IFERROR(__xludf.DUMMYFUNCTION("""COMPUTED_VALUE"""),"#VALUE!")</f>
        <v>#VALUE!</v>
      </c>
      <c r="CY1351" t="str">
        <f ca="1">IFERROR(__xludf.DUMMYFUNCTION("""COMPUTED_VALUE"""),"#VALUE!")</f>
        <v>#VALUE!</v>
      </c>
      <c r="DC1351" t="str">
        <f ca="1">IFERROR(__xludf.DUMMYFUNCTION("""COMPUTED_VALUE"""),"#VALUE!")</f>
        <v>#VALUE!</v>
      </c>
      <c r="DE1351" t="str">
        <f ca="1">IFERROR(__xludf.DUMMYFUNCTION("""COMPUTED_VALUE"""),"#VALUE!")</f>
        <v>#VALUE!</v>
      </c>
    </row>
    <row r="1352" spans="1:109" ht="13.2" x14ac:dyDescent="0.25">
      <c r="A1352" t="str">
        <f ca="1">IFERROR(__xludf.DUMMYFUNCTION("""COMPUTED_VALUE"""),"P1361")</f>
        <v>P1361</v>
      </c>
      <c r="BC1352" t="str">
        <f ca="1">IFERROR(__xludf.DUMMYFUNCTION("""COMPUTED_VALUE"""),"#VALUE!")</f>
        <v>#VALUE!</v>
      </c>
      <c r="BE1352" t="str">
        <f ca="1">IFERROR(__xludf.DUMMYFUNCTION("""COMPUTED_VALUE"""),"#VALUE!")</f>
        <v>#VALUE!</v>
      </c>
      <c r="BG1352" t="str">
        <f ca="1">IFERROR(__xludf.DUMMYFUNCTION("""COMPUTED_VALUE"""),"#VALUE!")</f>
        <v>#VALUE!</v>
      </c>
      <c r="BI1352" t="str">
        <f ca="1">IFERROR(__xludf.DUMMYFUNCTION("""COMPUTED_VALUE"""),"#VALUE!")</f>
        <v>#VALUE!</v>
      </c>
      <c r="BK1352" t="str">
        <f ca="1">IFERROR(__xludf.DUMMYFUNCTION("""COMPUTED_VALUE"""),"#VALUE!")</f>
        <v>#VALUE!</v>
      </c>
      <c r="BM1352" t="str">
        <f ca="1">IFERROR(__xludf.DUMMYFUNCTION("""COMPUTED_VALUE"""),"#VALUE!")</f>
        <v>#VALUE!</v>
      </c>
      <c r="CS1352" t="str">
        <f ca="1">IFERROR(__xludf.DUMMYFUNCTION("""COMPUTED_VALUE"""),"#VALUE!")</f>
        <v>#VALUE!</v>
      </c>
      <c r="CU1352" t="str">
        <f ca="1">IFERROR(__xludf.DUMMYFUNCTION("""COMPUTED_VALUE"""),"#VALUE!")</f>
        <v>#VALUE!</v>
      </c>
      <c r="CW1352" t="str">
        <f ca="1">IFERROR(__xludf.DUMMYFUNCTION("""COMPUTED_VALUE"""),"#VALUE!")</f>
        <v>#VALUE!</v>
      </c>
      <c r="CY1352" t="str">
        <f ca="1">IFERROR(__xludf.DUMMYFUNCTION("""COMPUTED_VALUE"""),"#VALUE!")</f>
        <v>#VALUE!</v>
      </c>
      <c r="DC1352" t="str">
        <f ca="1">IFERROR(__xludf.DUMMYFUNCTION("""COMPUTED_VALUE"""),"#VALUE!")</f>
        <v>#VALUE!</v>
      </c>
      <c r="DE1352" t="str">
        <f ca="1">IFERROR(__xludf.DUMMYFUNCTION("""COMPUTED_VALUE"""),"#VALUE!")</f>
        <v>#VALUE!</v>
      </c>
    </row>
    <row r="1353" spans="1:109" ht="13.2" x14ac:dyDescent="0.25">
      <c r="A1353" t="str">
        <f ca="1">IFERROR(__xludf.DUMMYFUNCTION("""COMPUTED_VALUE"""),"P1362")</f>
        <v>P1362</v>
      </c>
      <c r="BC1353" t="str">
        <f ca="1">IFERROR(__xludf.DUMMYFUNCTION("""COMPUTED_VALUE"""),"#VALUE!")</f>
        <v>#VALUE!</v>
      </c>
      <c r="BE1353" t="str">
        <f ca="1">IFERROR(__xludf.DUMMYFUNCTION("""COMPUTED_VALUE"""),"#VALUE!")</f>
        <v>#VALUE!</v>
      </c>
      <c r="BG1353" t="str">
        <f ca="1">IFERROR(__xludf.DUMMYFUNCTION("""COMPUTED_VALUE"""),"#VALUE!")</f>
        <v>#VALUE!</v>
      </c>
      <c r="BI1353" t="str">
        <f ca="1">IFERROR(__xludf.DUMMYFUNCTION("""COMPUTED_VALUE"""),"#VALUE!")</f>
        <v>#VALUE!</v>
      </c>
      <c r="BK1353" t="str">
        <f ca="1">IFERROR(__xludf.DUMMYFUNCTION("""COMPUTED_VALUE"""),"#VALUE!")</f>
        <v>#VALUE!</v>
      </c>
      <c r="BM1353" t="str">
        <f ca="1">IFERROR(__xludf.DUMMYFUNCTION("""COMPUTED_VALUE"""),"#VALUE!")</f>
        <v>#VALUE!</v>
      </c>
      <c r="CS1353" t="str">
        <f ca="1">IFERROR(__xludf.DUMMYFUNCTION("""COMPUTED_VALUE"""),"#VALUE!")</f>
        <v>#VALUE!</v>
      </c>
      <c r="CU1353" t="str">
        <f ca="1">IFERROR(__xludf.DUMMYFUNCTION("""COMPUTED_VALUE"""),"#VALUE!")</f>
        <v>#VALUE!</v>
      </c>
      <c r="CW1353" t="str">
        <f ca="1">IFERROR(__xludf.DUMMYFUNCTION("""COMPUTED_VALUE"""),"#VALUE!")</f>
        <v>#VALUE!</v>
      </c>
      <c r="CY1353" t="str">
        <f ca="1">IFERROR(__xludf.DUMMYFUNCTION("""COMPUTED_VALUE"""),"#VALUE!")</f>
        <v>#VALUE!</v>
      </c>
      <c r="DC1353" t="str">
        <f ca="1">IFERROR(__xludf.DUMMYFUNCTION("""COMPUTED_VALUE"""),"#VALUE!")</f>
        <v>#VALUE!</v>
      </c>
      <c r="DE1353" t="str">
        <f ca="1">IFERROR(__xludf.DUMMYFUNCTION("""COMPUTED_VALUE"""),"#VALUE!")</f>
        <v>#VALUE!</v>
      </c>
    </row>
    <row r="1354" spans="1:109" ht="13.2" x14ac:dyDescent="0.25">
      <c r="A1354" t="str">
        <f ca="1">IFERROR(__xludf.DUMMYFUNCTION("""COMPUTED_VALUE"""),"P1363")</f>
        <v>P1363</v>
      </c>
      <c r="BC1354" t="str">
        <f ca="1">IFERROR(__xludf.DUMMYFUNCTION("""COMPUTED_VALUE"""),"#VALUE!")</f>
        <v>#VALUE!</v>
      </c>
      <c r="BE1354" t="str">
        <f ca="1">IFERROR(__xludf.DUMMYFUNCTION("""COMPUTED_VALUE"""),"#VALUE!")</f>
        <v>#VALUE!</v>
      </c>
      <c r="BG1354" t="str">
        <f ca="1">IFERROR(__xludf.DUMMYFUNCTION("""COMPUTED_VALUE"""),"#VALUE!")</f>
        <v>#VALUE!</v>
      </c>
      <c r="BI1354" t="str">
        <f ca="1">IFERROR(__xludf.DUMMYFUNCTION("""COMPUTED_VALUE"""),"#VALUE!")</f>
        <v>#VALUE!</v>
      </c>
      <c r="BK1354" t="str">
        <f ca="1">IFERROR(__xludf.DUMMYFUNCTION("""COMPUTED_VALUE"""),"#VALUE!")</f>
        <v>#VALUE!</v>
      </c>
      <c r="BM1354" t="str">
        <f ca="1">IFERROR(__xludf.DUMMYFUNCTION("""COMPUTED_VALUE"""),"#VALUE!")</f>
        <v>#VALUE!</v>
      </c>
      <c r="CS1354" t="str">
        <f ca="1">IFERROR(__xludf.DUMMYFUNCTION("""COMPUTED_VALUE"""),"#VALUE!")</f>
        <v>#VALUE!</v>
      </c>
      <c r="CU1354" t="str">
        <f ca="1">IFERROR(__xludf.DUMMYFUNCTION("""COMPUTED_VALUE"""),"#VALUE!")</f>
        <v>#VALUE!</v>
      </c>
      <c r="CW1354" t="str">
        <f ca="1">IFERROR(__xludf.DUMMYFUNCTION("""COMPUTED_VALUE"""),"#VALUE!")</f>
        <v>#VALUE!</v>
      </c>
      <c r="CY1354" t="str">
        <f ca="1">IFERROR(__xludf.DUMMYFUNCTION("""COMPUTED_VALUE"""),"#VALUE!")</f>
        <v>#VALUE!</v>
      </c>
      <c r="DC1354" t="str">
        <f ca="1">IFERROR(__xludf.DUMMYFUNCTION("""COMPUTED_VALUE"""),"#VALUE!")</f>
        <v>#VALUE!</v>
      </c>
      <c r="DE1354" t="str">
        <f ca="1">IFERROR(__xludf.DUMMYFUNCTION("""COMPUTED_VALUE"""),"#VALUE!")</f>
        <v>#VALUE!</v>
      </c>
    </row>
    <row r="1355" spans="1:109" ht="13.2" x14ac:dyDescent="0.25">
      <c r="A1355" t="str">
        <f ca="1">IFERROR(__xludf.DUMMYFUNCTION("""COMPUTED_VALUE"""),"P1364")</f>
        <v>P1364</v>
      </c>
      <c r="BC1355" t="str">
        <f ca="1">IFERROR(__xludf.DUMMYFUNCTION("""COMPUTED_VALUE"""),"#VALUE!")</f>
        <v>#VALUE!</v>
      </c>
      <c r="BE1355" t="str">
        <f ca="1">IFERROR(__xludf.DUMMYFUNCTION("""COMPUTED_VALUE"""),"#VALUE!")</f>
        <v>#VALUE!</v>
      </c>
      <c r="BG1355" t="str">
        <f ca="1">IFERROR(__xludf.DUMMYFUNCTION("""COMPUTED_VALUE"""),"#VALUE!")</f>
        <v>#VALUE!</v>
      </c>
      <c r="BI1355" t="str">
        <f ca="1">IFERROR(__xludf.DUMMYFUNCTION("""COMPUTED_VALUE"""),"#VALUE!")</f>
        <v>#VALUE!</v>
      </c>
      <c r="BK1355" t="str">
        <f ca="1">IFERROR(__xludf.DUMMYFUNCTION("""COMPUTED_VALUE"""),"#VALUE!")</f>
        <v>#VALUE!</v>
      </c>
      <c r="BM1355" t="str">
        <f ca="1">IFERROR(__xludf.DUMMYFUNCTION("""COMPUTED_VALUE"""),"#VALUE!")</f>
        <v>#VALUE!</v>
      </c>
      <c r="CS1355" t="str">
        <f ca="1">IFERROR(__xludf.DUMMYFUNCTION("""COMPUTED_VALUE"""),"#VALUE!")</f>
        <v>#VALUE!</v>
      </c>
      <c r="CU1355" t="str">
        <f ca="1">IFERROR(__xludf.DUMMYFUNCTION("""COMPUTED_VALUE"""),"#VALUE!")</f>
        <v>#VALUE!</v>
      </c>
      <c r="CW1355" t="str">
        <f ca="1">IFERROR(__xludf.DUMMYFUNCTION("""COMPUTED_VALUE"""),"#VALUE!")</f>
        <v>#VALUE!</v>
      </c>
      <c r="CY1355" t="str">
        <f ca="1">IFERROR(__xludf.DUMMYFUNCTION("""COMPUTED_VALUE"""),"#VALUE!")</f>
        <v>#VALUE!</v>
      </c>
      <c r="DC1355" t="str">
        <f ca="1">IFERROR(__xludf.DUMMYFUNCTION("""COMPUTED_VALUE"""),"#VALUE!")</f>
        <v>#VALUE!</v>
      </c>
      <c r="DE1355" t="str">
        <f ca="1">IFERROR(__xludf.DUMMYFUNCTION("""COMPUTED_VALUE"""),"#VALUE!")</f>
        <v>#VALUE!</v>
      </c>
    </row>
    <row r="1356" spans="1:109" ht="13.2" x14ac:dyDescent="0.25">
      <c r="A1356" t="str">
        <f ca="1">IFERROR(__xludf.DUMMYFUNCTION("""COMPUTED_VALUE"""),"P1365")</f>
        <v>P1365</v>
      </c>
      <c r="BC1356" t="str">
        <f ca="1">IFERROR(__xludf.DUMMYFUNCTION("""COMPUTED_VALUE"""),"#VALUE!")</f>
        <v>#VALUE!</v>
      </c>
      <c r="BE1356" t="str">
        <f ca="1">IFERROR(__xludf.DUMMYFUNCTION("""COMPUTED_VALUE"""),"#VALUE!")</f>
        <v>#VALUE!</v>
      </c>
      <c r="BG1356" t="str">
        <f ca="1">IFERROR(__xludf.DUMMYFUNCTION("""COMPUTED_VALUE"""),"#VALUE!")</f>
        <v>#VALUE!</v>
      </c>
      <c r="BI1356" t="str">
        <f ca="1">IFERROR(__xludf.DUMMYFUNCTION("""COMPUTED_VALUE"""),"#VALUE!")</f>
        <v>#VALUE!</v>
      </c>
      <c r="BK1356" t="str">
        <f ca="1">IFERROR(__xludf.DUMMYFUNCTION("""COMPUTED_VALUE"""),"#VALUE!")</f>
        <v>#VALUE!</v>
      </c>
      <c r="BM1356" t="str">
        <f ca="1">IFERROR(__xludf.DUMMYFUNCTION("""COMPUTED_VALUE"""),"#VALUE!")</f>
        <v>#VALUE!</v>
      </c>
      <c r="CS1356" t="str">
        <f ca="1">IFERROR(__xludf.DUMMYFUNCTION("""COMPUTED_VALUE"""),"#VALUE!")</f>
        <v>#VALUE!</v>
      </c>
      <c r="CU1356" t="str">
        <f ca="1">IFERROR(__xludf.DUMMYFUNCTION("""COMPUTED_VALUE"""),"#VALUE!")</f>
        <v>#VALUE!</v>
      </c>
      <c r="CW1356" t="str">
        <f ca="1">IFERROR(__xludf.DUMMYFUNCTION("""COMPUTED_VALUE"""),"#VALUE!")</f>
        <v>#VALUE!</v>
      </c>
      <c r="CY1356" t="str">
        <f ca="1">IFERROR(__xludf.DUMMYFUNCTION("""COMPUTED_VALUE"""),"#VALUE!")</f>
        <v>#VALUE!</v>
      </c>
      <c r="DC1356" t="str">
        <f ca="1">IFERROR(__xludf.DUMMYFUNCTION("""COMPUTED_VALUE"""),"#VALUE!")</f>
        <v>#VALUE!</v>
      </c>
      <c r="DE1356" t="str">
        <f ca="1">IFERROR(__xludf.DUMMYFUNCTION("""COMPUTED_VALUE"""),"#VALUE!")</f>
        <v>#VALUE!</v>
      </c>
    </row>
    <row r="1357" spans="1:109" ht="13.2" x14ac:dyDescent="0.25">
      <c r="A1357" t="str">
        <f ca="1">IFERROR(__xludf.DUMMYFUNCTION("""COMPUTED_VALUE"""),"P1366")</f>
        <v>P1366</v>
      </c>
      <c r="BC1357" t="str">
        <f ca="1">IFERROR(__xludf.DUMMYFUNCTION("""COMPUTED_VALUE"""),"#VALUE!")</f>
        <v>#VALUE!</v>
      </c>
      <c r="BE1357" t="str">
        <f ca="1">IFERROR(__xludf.DUMMYFUNCTION("""COMPUTED_VALUE"""),"#VALUE!")</f>
        <v>#VALUE!</v>
      </c>
      <c r="BG1357" t="str">
        <f ca="1">IFERROR(__xludf.DUMMYFUNCTION("""COMPUTED_VALUE"""),"#VALUE!")</f>
        <v>#VALUE!</v>
      </c>
      <c r="BI1357" t="str">
        <f ca="1">IFERROR(__xludf.DUMMYFUNCTION("""COMPUTED_VALUE"""),"#VALUE!")</f>
        <v>#VALUE!</v>
      </c>
      <c r="BK1357" t="str">
        <f ca="1">IFERROR(__xludf.DUMMYFUNCTION("""COMPUTED_VALUE"""),"#VALUE!")</f>
        <v>#VALUE!</v>
      </c>
      <c r="BM1357" t="str">
        <f ca="1">IFERROR(__xludf.DUMMYFUNCTION("""COMPUTED_VALUE"""),"#VALUE!")</f>
        <v>#VALUE!</v>
      </c>
      <c r="CS1357" t="str">
        <f ca="1">IFERROR(__xludf.DUMMYFUNCTION("""COMPUTED_VALUE"""),"#VALUE!")</f>
        <v>#VALUE!</v>
      </c>
      <c r="CU1357" t="str">
        <f ca="1">IFERROR(__xludf.DUMMYFUNCTION("""COMPUTED_VALUE"""),"#VALUE!")</f>
        <v>#VALUE!</v>
      </c>
      <c r="CW1357" t="str">
        <f ca="1">IFERROR(__xludf.DUMMYFUNCTION("""COMPUTED_VALUE"""),"#VALUE!")</f>
        <v>#VALUE!</v>
      </c>
      <c r="CY1357" t="str">
        <f ca="1">IFERROR(__xludf.DUMMYFUNCTION("""COMPUTED_VALUE"""),"#VALUE!")</f>
        <v>#VALUE!</v>
      </c>
      <c r="DC1357" t="str">
        <f ca="1">IFERROR(__xludf.DUMMYFUNCTION("""COMPUTED_VALUE"""),"#VALUE!")</f>
        <v>#VALUE!</v>
      </c>
      <c r="DE1357" t="str">
        <f ca="1">IFERROR(__xludf.DUMMYFUNCTION("""COMPUTED_VALUE"""),"#VALUE!")</f>
        <v>#VALUE!</v>
      </c>
    </row>
    <row r="1358" spans="1:109" ht="13.2" x14ac:dyDescent="0.25">
      <c r="A1358" t="str">
        <f ca="1">IFERROR(__xludf.DUMMYFUNCTION("""COMPUTED_VALUE"""),"P1367")</f>
        <v>P1367</v>
      </c>
      <c r="BC1358" t="str">
        <f ca="1">IFERROR(__xludf.DUMMYFUNCTION("""COMPUTED_VALUE"""),"#VALUE!")</f>
        <v>#VALUE!</v>
      </c>
      <c r="BE1358" t="str">
        <f ca="1">IFERROR(__xludf.DUMMYFUNCTION("""COMPUTED_VALUE"""),"#VALUE!")</f>
        <v>#VALUE!</v>
      </c>
      <c r="BG1358" t="str">
        <f ca="1">IFERROR(__xludf.DUMMYFUNCTION("""COMPUTED_VALUE"""),"#VALUE!")</f>
        <v>#VALUE!</v>
      </c>
      <c r="BI1358" t="str">
        <f ca="1">IFERROR(__xludf.DUMMYFUNCTION("""COMPUTED_VALUE"""),"#VALUE!")</f>
        <v>#VALUE!</v>
      </c>
      <c r="BK1358" t="str">
        <f ca="1">IFERROR(__xludf.DUMMYFUNCTION("""COMPUTED_VALUE"""),"#VALUE!")</f>
        <v>#VALUE!</v>
      </c>
      <c r="BM1358" t="str">
        <f ca="1">IFERROR(__xludf.DUMMYFUNCTION("""COMPUTED_VALUE"""),"#VALUE!")</f>
        <v>#VALUE!</v>
      </c>
      <c r="CS1358" t="str">
        <f ca="1">IFERROR(__xludf.DUMMYFUNCTION("""COMPUTED_VALUE"""),"#VALUE!")</f>
        <v>#VALUE!</v>
      </c>
      <c r="CU1358" t="str">
        <f ca="1">IFERROR(__xludf.DUMMYFUNCTION("""COMPUTED_VALUE"""),"#VALUE!")</f>
        <v>#VALUE!</v>
      </c>
      <c r="CW1358" t="str">
        <f ca="1">IFERROR(__xludf.DUMMYFUNCTION("""COMPUTED_VALUE"""),"#VALUE!")</f>
        <v>#VALUE!</v>
      </c>
      <c r="CY1358" t="str">
        <f ca="1">IFERROR(__xludf.DUMMYFUNCTION("""COMPUTED_VALUE"""),"#VALUE!")</f>
        <v>#VALUE!</v>
      </c>
      <c r="DC1358" t="str">
        <f ca="1">IFERROR(__xludf.DUMMYFUNCTION("""COMPUTED_VALUE"""),"#VALUE!")</f>
        <v>#VALUE!</v>
      </c>
      <c r="DE1358" t="str">
        <f ca="1">IFERROR(__xludf.DUMMYFUNCTION("""COMPUTED_VALUE"""),"#VALUE!")</f>
        <v>#VALUE!</v>
      </c>
    </row>
    <row r="1359" spans="1:109" ht="13.2" x14ac:dyDescent="0.25">
      <c r="A1359" t="str">
        <f ca="1">IFERROR(__xludf.DUMMYFUNCTION("""COMPUTED_VALUE"""),"P1368")</f>
        <v>P1368</v>
      </c>
      <c r="BC1359" t="str">
        <f ca="1">IFERROR(__xludf.DUMMYFUNCTION("""COMPUTED_VALUE"""),"#VALUE!")</f>
        <v>#VALUE!</v>
      </c>
      <c r="BE1359" t="str">
        <f ca="1">IFERROR(__xludf.DUMMYFUNCTION("""COMPUTED_VALUE"""),"#VALUE!")</f>
        <v>#VALUE!</v>
      </c>
      <c r="BG1359" t="str">
        <f ca="1">IFERROR(__xludf.DUMMYFUNCTION("""COMPUTED_VALUE"""),"#VALUE!")</f>
        <v>#VALUE!</v>
      </c>
      <c r="BI1359" t="str">
        <f ca="1">IFERROR(__xludf.DUMMYFUNCTION("""COMPUTED_VALUE"""),"#VALUE!")</f>
        <v>#VALUE!</v>
      </c>
      <c r="BK1359" t="str">
        <f ca="1">IFERROR(__xludf.DUMMYFUNCTION("""COMPUTED_VALUE"""),"#VALUE!")</f>
        <v>#VALUE!</v>
      </c>
      <c r="BM1359" t="str">
        <f ca="1">IFERROR(__xludf.DUMMYFUNCTION("""COMPUTED_VALUE"""),"#VALUE!")</f>
        <v>#VALUE!</v>
      </c>
      <c r="CS1359" t="str">
        <f ca="1">IFERROR(__xludf.DUMMYFUNCTION("""COMPUTED_VALUE"""),"#VALUE!")</f>
        <v>#VALUE!</v>
      </c>
      <c r="CU1359" t="str">
        <f ca="1">IFERROR(__xludf.DUMMYFUNCTION("""COMPUTED_VALUE"""),"#VALUE!")</f>
        <v>#VALUE!</v>
      </c>
      <c r="CW1359" t="str">
        <f ca="1">IFERROR(__xludf.DUMMYFUNCTION("""COMPUTED_VALUE"""),"#VALUE!")</f>
        <v>#VALUE!</v>
      </c>
      <c r="CY1359" t="str">
        <f ca="1">IFERROR(__xludf.DUMMYFUNCTION("""COMPUTED_VALUE"""),"#VALUE!")</f>
        <v>#VALUE!</v>
      </c>
      <c r="DC1359" t="str">
        <f ca="1">IFERROR(__xludf.DUMMYFUNCTION("""COMPUTED_VALUE"""),"#VALUE!")</f>
        <v>#VALUE!</v>
      </c>
      <c r="DE1359" t="str">
        <f ca="1">IFERROR(__xludf.DUMMYFUNCTION("""COMPUTED_VALUE"""),"#VALUE!")</f>
        <v>#VALUE!</v>
      </c>
    </row>
    <row r="1360" spans="1:109" ht="13.2" x14ac:dyDescent="0.25">
      <c r="A1360" t="str">
        <f ca="1">IFERROR(__xludf.DUMMYFUNCTION("""COMPUTED_VALUE"""),"P1369")</f>
        <v>P1369</v>
      </c>
      <c r="BC1360" t="str">
        <f ca="1">IFERROR(__xludf.DUMMYFUNCTION("""COMPUTED_VALUE"""),"#VALUE!")</f>
        <v>#VALUE!</v>
      </c>
      <c r="BE1360" t="str">
        <f ca="1">IFERROR(__xludf.DUMMYFUNCTION("""COMPUTED_VALUE"""),"#VALUE!")</f>
        <v>#VALUE!</v>
      </c>
      <c r="BG1360" t="str">
        <f ca="1">IFERROR(__xludf.DUMMYFUNCTION("""COMPUTED_VALUE"""),"#VALUE!")</f>
        <v>#VALUE!</v>
      </c>
      <c r="BI1360" t="str">
        <f ca="1">IFERROR(__xludf.DUMMYFUNCTION("""COMPUTED_VALUE"""),"#VALUE!")</f>
        <v>#VALUE!</v>
      </c>
      <c r="BK1360" t="str">
        <f ca="1">IFERROR(__xludf.DUMMYFUNCTION("""COMPUTED_VALUE"""),"#VALUE!")</f>
        <v>#VALUE!</v>
      </c>
      <c r="BM1360" t="str">
        <f ca="1">IFERROR(__xludf.DUMMYFUNCTION("""COMPUTED_VALUE"""),"#VALUE!")</f>
        <v>#VALUE!</v>
      </c>
      <c r="CS1360" t="str">
        <f ca="1">IFERROR(__xludf.DUMMYFUNCTION("""COMPUTED_VALUE"""),"#VALUE!")</f>
        <v>#VALUE!</v>
      </c>
      <c r="CU1360" t="str">
        <f ca="1">IFERROR(__xludf.DUMMYFUNCTION("""COMPUTED_VALUE"""),"#VALUE!")</f>
        <v>#VALUE!</v>
      </c>
      <c r="CW1360" t="str">
        <f ca="1">IFERROR(__xludf.DUMMYFUNCTION("""COMPUTED_VALUE"""),"#VALUE!")</f>
        <v>#VALUE!</v>
      </c>
      <c r="CY1360" t="str">
        <f ca="1">IFERROR(__xludf.DUMMYFUNCTION("""COMPUTED_VALUE"""),"#VALUE!")</f>
        <v>#VALUE!</v>
      </c>
      <c r="DC1360" t="str">
        <f ca="1">IFERROR(__xludf.DUMMYFUNCTION("""COMPUTED_VALUE"""),"#VALUE!")</f>
        <v>#VALUE!</v>
      </c>
      <c r="DE1360" t="str">
        <f ca="1">IFERROR(__xludf.DUMMYFUNCTION("""COMPUTED_VALUE"""),"#VALUE!")</f>
        <v>#VALUE!</v>
      </c>
    </row>
    <row r="1361" spans="1:109" ht="13.2" x14ac:dyDescent="0.25">
      <c r="A1361" t="str">
        <f ca="1">IFERROR(__xludf.DUMMYFUNCTION("""COMPUTED_VALUE"""),"P1370")</f>
        <v>P1370</v>
      </c>
      <c r="BC1361" t="str">
        <f ca="1">IFERROR(__xludf.DUMMYFUNCTION("""COMPUTED_VALUE"""),"#VALUE!")</f>
        <v>#VALUE!</v>
      </c>
      <c r="BE1361" t="str">
        <f ca="1">IFERROR(__xludf.DUMMYFUNCTION("""COMPUTED_VALUE"""),"#VALUE!")</f>
        <v>#VALUE!</v>
      </c>
      <c r="BG1361" t="str">
        <f ca="1">IFERROR(__xludf.DUMMYFUNCTION("""COMPUTED_VALUE"""),"#VALUE!")</f>
        <v>#VALUE!</v>
      </c>
      <c r="BI1361" t="str">
        <f ca="1">IFERROR(__xludf.DUMMYFUNCTION("""COMPUTED_VALUE"""),"#VALUE!")</f>
        <v>#VALUE!</v>
      </c>
      <c r="BK1361" t="str">
        <f ca="1">IFERROR(__xludf.DUMMYFUNCTION("""COMPUTED_VALUE"""),"#VALUE!")</f>
        <v>#VALUE!</v>
      </c>
      <c r="BM1361" t="str">
        <f ca="1">IFERROR(__xludf.DUMMYFUNCTION("""COMPUTED_VALUE"""),"#VALUE!")</f>
        <v>#VALUE!</v>
      </c>
      <c r="CS1361" t="str">
        <f ca="1">IFERROR(__xludf.DUMMYFUNCTION("""COMPUTED_VALUE"""),"#VALUE!")</f>
        <v>#VALUE!</v>
      </c>
      <c r="CU1361" t="str">
        <f ca="1">IFERROR(__xludf.DUMMYFUNCTION("""COMPUTED_VALUE"""),"#VALUE!")</f>
        <v>#VALUE!</v>
      </c>
      <c r="CW1361" t="str">
        <f ca="1">IFERROR(__xludf.DUMMYFUNCTION("""COMPUTED_VALUE"""),"#VALUE!")</f>
        <v>#VALUE!</v>
      </c>
      <c r="CY1361" t="str">
        <f ca="1">IFERROR(__xludf.DUMMYFUNCTION("""COMPUTED_VALUE"""),"#VALUE!")</f>
        <v>#VALUE!</v>
      </c>
      <c r="DC1361" t="str">
        <f ca="1">IFERROR(__xludf.DUMMYFUNCTION("""COMPUTED_VALUE"""),"#VALUE!")</f>
        <v>#VALUE!</v>
      </c>
      <c r="DE1361" t="str">
        <f ca="1">IFERROR(__xludf.DUMMYFUNCTION("""COMPUTED_VALUE"""),"#VALUE!")</f>
        <v>#VALUE!</v>
      </c>
    </row>
    <row r="1362" spans="1:109" ht="13.2" x14ac:dyDescent="0.25">
      <c r="A1362" t="str">
        <f ca="1">IFERROR(__xludf.DUMMYFUNCTION("""COMPUTED_VALUE"""),"P1371")</f>
        <v>P1371</v>
      </c>
      <c r="BC1362" t="str">
        <f ca="1">IFERROR(__xludf.DUMMYFUNCTION("""COMPUTED_VALUE"""),"#VALUE!")</f>
        <v>#VALUE!</v>
      </c>
      <c r="BE1362" t="str">
        <f ca="1">IFERROR(__xludf.DUMMYFUNCTION("""COMPUTED_VALUE"""),"#VALUE!")</f>
        <v>#VALUE!</v>
      </c>
      <c r="BG1362" t="str">
        <f ca="1">IFERROR(__xludf.DUMMYFUNCTION("""COMPUTED_VALUE"""),"#VALUE!")</f>
        <v>#VALUE!</v>
      </c>
      <c r="BI1362" t="str">
        <f ca="1">IFERROR(__xludf.DUMMYFUNCTION("""COMPUTED_VALUE"""),"#VALUE!")</f>
        <v>#VALUE!</v>
      </c>
      <c r="BK1362" t="str">
        <f ca="1">IFERROR(__xludf.DUMMYFUNCTION("""COMPUTED_VALUE"""),"#VALUE!")</f>
        <v>#VALUE!</v>
      </c>
      <c r="BM1362" t="str">
        <f ca="1">IFERROR(__xludf.DUMMYFUNCTION("""COMPUTED_VALUE"""),"#VALUE!")</f>
        <v>#VALUE!</v>
      </c>
      <c r="CS1362" t="str">
        <f ca="1">IFERROR(__xludf.DUMMYFUNCTION("""COMPUTED_VALUE"""),"#VALUE!")</f>
        <v>#VALUE!</v>
      </c>
      <c r="CU1362" t="str">
        <f ca="1">IFERROR(__xludf.DUMMYFUNCTION("""COMPUTED_VALUE"""),"#VALUE!")</f>
        <v>#VALUE!</v>
      </c>
      <c r="CW1362" t="str">
        <f ca="1">IFERROR(__xludf.DUMMYFUNCTION("""COMPUTED_VALUE"""),"#VALUE!")</f>
        <v>#VALUE!</v>
      </c>
      <c r="CY1362" t="str">
        <f ca="1">IFERROR(__xludf.DUMMYFUNCTION("""COMPUTED_VALUE"""),"#VALUE!")</f>
        <v>#VALUE!</v>
      </c>
      <c r="DC1362" t="str">
        <f ca="1">IFERROR(__xludf.DUMMYFUNCTION("""COMPUTED_VALUE"""),"#VALUE!")</f>
        <v>#VALUE!</v>
      </c>
      <c r="DE1362" t="str">
        <f ca="1">IFERROR(__xludf.DUMMYFUNCTION("""COMPUTED_VALUE"""),"#VALUE!")</f>
        <v>#VALUE!</v>
      </c>
    </row>
    <row r="1363" spans="1:109" ht="13.2" x14ac:dyDescent="0.25">
      <c r="A1363" t="str">
        <f ca="1">IFERROR(__xludf.DUMMYFUNCTION("""COMPUTED_VALUE"""),"P1372")</f>
        <v>P1372</v>
      </c>
      <c r="BC1363" t="str">
        <f ca="1">IFERROR(__xludf.DUMMYFUNCTION("""COMPUTED_VALUE"""),"#VALUE!")</f>
        <v>#VALUE!</v>
      </c>
      <c r="BE1363" t="str">
        <f ca="1">IFERROR(__xludf.DUMMYFUNCTION("""COMPUTED_VALUE"""),"#VALUE!")</f>
        <v>#VALUE!</v>
      </c>
      <c r="BG1363" t="str">
        <f ca="1">IFERROR(__xludf.DUMMYFUNCTION("""COMPUTED_VALUE"""),"#VALUE!")</f>
        <v>#VALUE!</v>
      </c>
      <c r="BI1363" t="str">
        <f ca="1">IFERROR(__xludf.DUMMYFUNCTION("""COMPUTED_VALUE"""),"#VALUE!")</f>
        <v>#VALUE!</v>
      </c>
      <c r="BK1363" t="str">
        <f ca="1">IFERROR(__xludf.DUMMYFUNCTION("""COMPUTED_VALUE"""),"#VALUE!")</f>
        <v>#VALUE!</v>
      </c>
      <c r="BM1363" t="str">
        <f ca="1">IFERROR(__xludf.DUMMYFUNCTION("""COMPUTED_VALUE"""),"#VALUE!")</f>
        <v>#VALUE!</v>
      </c>
      <c r="CS1363" t="str">
        <f ca="1">IFERROR(__xludf.DUMMYFUNCTION("""COMPUTED_VALUE"""),"#VALUE!")</f>
        <v>#VALUE!</v>
      </c>
      <c r="CU1363" t="str">
        <f ca="1">IFERROR(__xludf.DUMMYFUNCTION("""COMPUTED_VALUE"""),"#VALUE!")</f>
        <v>#VALUE!</v>
      </c>
      <c r="CW1363" t="str">
        <f ca="1">IFERROR(__xludf.DUMMYFUNCTION("""COMPUTED_VALUE"""),"#VALUE!")</f>
        <v>#VALUE!</v>
      </c>
      <c r="CY1363" t="str">
        <f ca="1">IFERROR(__xludf.DUMMYFUNCTION("""COMPUTED_VALUE"""),"#VALUE!")</f>
        <v>#VALUE!</v>
      </c>
      <c r="DC1363" t="str">
        <f ca="1">IFERROR(__xludf.DUMMYFUNCTION("""COMPUTED_VALUE"""),"#VALUE!")</f>
        <v>#VALUE!</v>
      </c>
      <c r="DE1363" t="str">
        <f ca="1">IFERROR(__xludf.DUMMYFUNCTION("""COMPUTED_VALUE"""),"#VALUE!")</f>
        <v>#VALUE!</v>
      </c>
    </row>
    <row r="1364" spans="1:109" ht="13.2" x14ac:dyDescent="0.25">
      <c r="A1364" t="str">
        <f ca="1">IFERROR(__xludf.DUMMYFUNCTION("""COMPUTED_VALUE"""),"P1373")</f>
        <v>P1373</v>
      </c>
      <c r="BC1364" t="str">
        <f ca="1">IFERROR(__xludf.DUMMYFUNCTION("""COMPUTED_VALUE"""),"#VALUE!")</f>
        <v>#VALUE!</v>
      </c>
      <c r="BE1364" t="str">
        <f ca="1">IFERROR(__xludf.DUMMYFUNCTION("""COMPUTED_VALUE"""),"#VALUE!")</f>
        <v>#VALUE!</v>
      </c>
      <c r="BG1364" t="str">
        <f ca="1">IFERROR(__xludf.DUMMYFUNCTION("""COMPUTED_VALUE"""),"#VALUE!")</f>
        <v>#VALUE!</v>
      </c>
      <c r="BI1364" t="str">
        <f ca="1">IFERROR(__xludf.DUMMYFUNCTION("""COMPUTED_VALUE"""),"#VALUE!")</f>
        <v>#VALUE!</v>
      </c>
      <c r="BK1364" t="str">
        <f ca="1">IFERROR(__xludf.DUMMYFUNCTION("""COMPUTED_VALUE"""),"#VALUE!")</f>
        <v>#VALUE!</v>
      </c>
      <c r="BM1364" t="str">
        <f ca="1">IFERROR(__xludf.DUMMYFUNCTION("""COMPUTED_VALUE"""),"#VALUE!")</f>
        <v>#VALUE!</v>
      </c>
      <c r="CS1364" t="str">
        <f ca="1">IFERROR(__xludf.DUMMYFUNCTION("""COMPUTED_VALUE"""),"#VALUE!")</f>
        <v>#VALUE!</v>
      </c>
      <c r="CU1364" t="str">
        <f ca="1">IFERROR(__xludf.DUMMYFUNCTION("""COMPUTED_VALUE"""),"#VALUE!")</f>
        <v>#VALUE!</v>
      </c>
      <c r="CW1364" t="str">
        <f ca="1">IFERROR(__xludf.DUMMYFUNCTION("""COMPUTED_VALUE"""),"#VALUE!")</f>
        <v>#VALUE!</v>
      </c>
      <c r="CY1364" t="str">
        <f ca="1">IFERROR(__xludf.DUMMYFUNCTION("""COMPUTED_VALUE"""),"#VALUE!")</f>
        <v>#VALUE!</v>
      </c>
      <c r="DC1364" t="str">
        <f ca="1">IFERROR(__xludf.DUMMYFUNCTION("""COMPUTED_VALUE"""),"#VALUE!")</f>
        <v>#VALUE!</v>
      </c>
      <c r="DE1364" t="str">
        <f ca="1">IFERROR(__xludf.DUMMYFUNCTION("""COMPUTED_VALUE"""),"#VALUE!")</f>
        <v>#VALUE!</v>
      </c>
    </row>
    <row r="1365" spans="1:109" ht="13.2" x14ac:dyDescent="0.25">
      <c r="A1365" t="str">
        <f ca="1">IFERROR(__xludf.DUMMYFUNCTION("""COMPUTED_VALUE"""),"P1374")</f>
        <v>P1374</v>
      </c>
      <c r="BC1365" t="str">
        <f ca="1">IFERROR(__xludf.DUMMYFUNCTION("""COMPUTED_VALUE"""),"#VALUE!")</f>
        <v>#VALUE!</v>
      </c>
      <c r="BE1365" t="str">
        <f ca="1">IFERROR(__xludf.DUMMYFUNCTION("""COMPUTED_VALUE"""),"#VALUE!")</f>
        <v>#VALUE!</v>
      </c>
      <c r="BG1365" t="str">
        <f ca="1">IFERROR(__xludf.DUMMYFUNCTION("""COMPUTED_VALUE"""),"#VALUE!")</f>
        <v>#VALUE!</v>
      </c>
      <c r="BI1365" t="str">
        <f ca="1">IFERROR(__xludf.DUMMYFUNCTION("""COMPUTED_VALUE"""),"#VALUE!")</f>
        <v>#VALUE!</v>
      </c>
      <c r="BK1365" t="str">
        <f ca="1">IFERROR(__xludf.DUMMYFUNCTION("""COMPUTED_VALUE"""),"#VALUE!")</f>
        <v>#VALUE!</v>
      </c>
      <c r="BM1365" t="str">
        <f ca="1">IFERROR(__xludf.DUMMYFUNCTION("""COMPUTED_VALUE"""),"#VALUE!")</f>
        <v>#VALUE!</v>
      </c>
      <c r="CS1365" t="str">
        <f ca="1">IFERROR(__xludf.DUMMYFUNCTION("""COMPUTED_VALUE"""),"#VALUE!")</f>
        <v>#VALUE!</v>
      </c>
      <c r="CU1365" t="str">
        <f ca="1">IFERROR(__xludf.DUMMYFUNCTION("""COMPUTED_VALUE"""),"#VALUE!")</f>
        <v>#VALUE!</v>
      </c>
      <c r="CW1365" t="str">
        <f ca="1">IFERROR(__xludf.DUMMYFUNCTION("""COMPUTED_VALUE"""),"#VALUE!")</f>
        <v>#VALUE!</v>
      </c>
      <c r="CY1365" t="str">
        <f ca="1">IFERROR(__xludf.DUMMYFUNCTION("""COMPUTED_VALUE"""),"#VALUE!")</f>
        <v>#VALUE!</v>
      </c>
      <c r="DC1365" t="str">
        <f ca="1">IFERROR(__xludf.DUMMYFUNCTION("""COMPUTED_VALUE"""),"#VALUE!")</f>
        <v>#VALUE!</v>
      </c>
      <c r="DE1365" t="str">
        <f ca="1">IFERROR(__xludf.DUMMYFUNCTION("""COMPUTED_VALUE"""),"#VALUE!")</f>
        <v>#VALUE!</v>
      </c>
    </row>
    <row r="1366" spans="1:109" ht="13.2" x14ac:dyDescent="0.25">
      <c r="A1366" t="str">
        <f ca="1">IFERROR(__xludf.DUMMYFUNCTION("""COMPUTED_VALUE"""),"P1375")</f>
        <v>P1375</v>
      </c>
      <c r="BC1366" t="str">
        <f ca="1">IFERROR(__xludf.DUMMYFUNCTION("""COMPUTED_VALUE"""),"#VALUE!")</f>
        <v>#VALUE!</v>
      </c>
      <c r="BE1366" t="str">
        <f ca="1">IFERROR(__xludf.DUMMYFUNCTION("""COMPUTED_VALUE"""),"#VALUE!")</f>
        <v>#VALUE!</v>
      </c>
      <c r="BG1366" t="str">
        <f ca="1">IFERROR(__xludf.DUMMYFUNCTION("""COMPUTED_VALUE"""),"#VALUE!")</f>
        <v>#VALUE!</v>
      </c>
      <c r="BI1366" t="str">
        <f ca="1">IFERROR(__xludf.DUMMYFUNCTION("""COMPUTED_VALUE"""),"#VALUE!")</f>
        <v>#VALUE!</v>
      </c>
      <c r="BK1366" t="str">
        <f ca="1">IFERROR(__xludf.DUMMYFUNCTION("""COMPUTED_VALUE"""),"#VALUE!")</f>
        <v>#VALUE!</v>
      </c>
      <c r="BM1366" t="str">
        <f ca="1">IFERROR(__xludf.DUMMYFUNCTION("""COMPUTED_VALUE"""),"#VALUE!")</f>
        <v>#VALUE!</v>
      </c>
      <c r="CS1366" t="str">
        <f ca="1">IFERROR(__xludf.DUMMYFUNCTION("""COMPUTED_VALUE"""),"#VALUE!")</f>
        <v>#VALUE!</v>
      </c>
      <c r="CU1366" t="str">
        <f ca="1">IFERROR(__xludf.DUMMYFUNCTION("""COMPUTED_VALUE"""),"#VALUE!")</f>
        <v>#VALUE!</v>
      </c>
      <c r="CW1366" t="str">
        <f ca="1">IFERROR(__xludf.DUMMYFUNCTION("""COMPUTED_VALUE"""),"#VALUE!")</f>
        <v>#VALUE!</v>
      </c>
      <c r="CY1366" t="str">
        <f ca="1">IFERROR(__xludf.DUMMYFUNCTION("""COMPUTED_VALUE"""),"#VALUE!")</f>
        <v>#VALUE!</v>
      </c>
      <c r="DC1366" t="str">
        <f ca="1">IFERROR(__xludf.DUMMYFUNCTION("""COMPUTED_VALUE"""),"#VALUE!")</f>
        <v>#VALUE!</v>
      </c>
      <c r="DE1366" t="str">
        <f ca="1">IFERROR(__xludf.DUMMYFUNCTION("""COMPUTED_VALUE"""),"#VALUE!")</f>
        <v>#VALUE!</v>
      </c>
    </row>
    <row r="1367" spans="1:109" ht="13.2" x14ac:dyDescent="0.25">
      <c r="A1367" t="str">
        <f ca="1">IFERROR(__xludf.DUMMYFUNCTION("""COMPUTED_VALUE"""),"P1376")</f>
        <v>P1376</v>
      </c>
      <c r="BC1367" t="str">
        <f ca="1">IFERROR(__xludf.DUMMYFUNCTION("""COMPUTED_VALUE"""),"#VALUE!")</f>
        <v>#VALUE!</v>
      </c>
      <c r="BE1367" t="str">
        <f ca="1">IFERROR(__xludf.DUMMYFUNCTION("""COMPUTED_VALUE"""),"#VALUE!")</f>
        <v>#VALUE!</v>
      </c>
      <c r="BG1367" t="str">
        <f ca="1">IFERROR(__xludf.DUMMYFUNCTION("""COMPUTED_VALUE"""),"#VALUE!")</f>
        <v>#VALUE!</v>
      </c>
      <c r="BI1367" t="str">
        <f ca="1">IFERROR(__xludf.DUMMYFUNCTION("""COMPUTED_VALUE"""),"#VALUE!")</f>
        <v>#VALUE!</v>
      </c>
      <c r="BK1367" t="str">
        <f ca="1">IFERROR(__xludf.DUMMYFUNCTION("""COMPUTED_VALUE"""),"#VALUE!")</f>
        <v>#VALUE!</v>
      </c>
      <c r="BM1367" t="str">
        <f ca="1">IFERROR(__xludf.DUMMYFUNCTION("""COMPUTED_VALUE"""),"#VALUE!")</f>
        <v>#VALUE!</v>
      </c>
      <c r="CS1367" t="str">
        <f ca="1">IFERROR(__xludf.DUMMYFUNCTION("""COMPUTED_VALUE"""),"#VALUE!")</f>
        <v>#VALUE!</v>
      </c>
      <c r="CU1367" t="str">
        <f ca="1">IFERROR(__xludf.DUMMYFUNCTION("""COMPUTED_VALUE"""),"#VALUE!")</f>
        <v>#VALUE!</v>
      </c>
      <c r="CW1367" t="str">
        <f ca="1">IFERROR(__xludf.DUMMYFUNCTION("""COMPUTED_VALUE"""),"#VALUE!")</f>
        <v>#VALUE!</v>
      </c>
      <c r="CY1367" t="str">
        <f ca="1">IFERROR(__xludf.DUMMYFUNCTION("""COMPUTED_VALUE"""),"#VALUE!")</f>
        <v>#VALUE!</v>
      </c>
      <c r="DC1367" t="str">
        <f ca="1">IFERROR(__xludf.DUMMYFUNCTION("""COMPUTED_VALUE"""),"#VALUE!")</f>
        <v>#VALUE!</v>
      </c>
      <c r="DE1367" t="str">
        <f ca="1">IFERROR(__xludf.DUMMYFUNCTION("""COMPUTED_VALUE"""),"#VALUE!")</f>
        <v>#VALUE!</v>
      </c>
    </row>
    <row r="1368" spans="1:109" ht="13.2" x14ac:dyDescent="0.25">
      <c r="A1368" t="str">
        <f ca="1">IFERROR(__xludf.DUMMYFUNCTION("""COMPUTED_VALUE"""),"P1377")</f>
        <v>P1377</v>
      </c>
      <c r="BC1368" t="str">
        <f ca="1">IFERROR(__xludf.DUMMYFUNCTION("""COMPUTED_VALUE"""),"#VALUE!")</f>
        <v>#VALUE!</v>
      </c>
      <c r="BE1368" t="str">
        <f ca="1">IFERROR(__xludf.DUMMYFUNCTION("""COMPUTED_VALUE"""),"#VALUE!")</f>
        <v>#VALUE!</v>
      </c>
      <c r="BG1368" t="str">
        <f ca="1">IFERROR(__xludf.DUMMYFUNCTION("""COMPUTED_VALUE"""),"#VALUE!")</f>
        <v>#VALUE!</v>
      </c>
      <c r="BI1368" t="str">
        <f ca="1">IFERROR(__xludf.DUMMYFUNCTION("""COMPUTED_VALUE"""),"#VALUE!")</f>
        <v>#VALUE!</v>
      </c>
      <c r="BK1368" t="str">
        <f ca="1">IFERROR(__xludf.DUMMYFUNCTION("""COMPUTED_VALUE"""),"#VALUE!")</f>
        <v>#VALUE!</v>
      </c>
      <c r="BM1368" t="str">
        <f ca="1">IFERROR(__xludf.DUMMYFUNCTION("""COMPUTED_VALUE"""),"#VALUE!")</f>
        <v>#VALUE!</v>
      </c>
      <c r="CS1368" t="str">
        <f ca="1">IFERROR(__xludf.DUMMYFUNCTION("""COMPUTED_VALUE"""),"#VALUE!")</f>
        <v>#VALUE!</v>
      </c>
      <c r="CU1368" t="str">
        <f ca="1">IFERROR(__xludf.DUMMYFUNCTION("""COMPUTED_VALUE"""),"#VALUE!")</f>
        <v>#VALUE!</v>
      </c>
      <c r="CW1368" t="str">
        <f ca="1">IFERROR(__xludf.DUMMYFUNCTION("""COMPUTED_VALUE"""),"#VALUE!")</f>
        <v>#VALUE!</v>
      </c>
      <c r="CY1368" t="str">
        <f ca="1">IFERROR(__xludf.DUMMYFUNCTION("""COMPUTED_VALUE"""),"#VALUE!")</f>
        <v>#VALUE!</v>
      </c>
      <c r="DC1368" t="str">
        <f ca="1">IFERROR(__xludf.DUMMYFUNCTION("""COMPUTED_VALUE"""),"#VALUE!")</f>
        <v>#VALUE!</v>
      </c>
      <c r="DE1368" t="str">
        <f ca="1">IFERROR(__xludf.DUMMYFUNCTION("""COMPUTED_VALUE"""),"#VALUE!")</f>
        <v>#VALUE!</v>
      </c>
    </row>
    <row r="1369" spans="1:109" ht="13.2" x14ac:dyDescent="0.25">
      <c r="A1369" t="str">
        <f ca="1">IFERROR(__xludf.DUMMYFUNCTION("""COMPUTED_VALUE"""),"P1378")</f>
        <v>P1378</v>
      </c>
      <c r="BC1369" t="str">
        <f ca="1">IFERROR(__xludf.DUMMYFUNCTION("""COMPUTED_VALUE"""),"#VALUE!")</f>
        <v>#VALUE!</v>
      </c>
      <c r="BE1369" t="str">
        <f ca="1">IFERROR(__xludf.DUMMYFUNCTION("""COMPUTED_VALUE"""),"#VALUE!")</f>
        <v>#VALUE!</v>
      </c>
      <c r="BG1369" t="str">
        <f ca="1">IFERROR(__xludf.DUMMYFUNCTION("""COMPUTED_VALUE"""),"#VALUE!")</f>
        <v>#VALUE!</v>
      </c>
      <c r="BI1369" t="str">
        <f ca="1">IFERROR(__xludf.DUMMYFUNCTION("""COMPUTED_VALUE"""),"#VALUE!")</f>
        <v>#VALUE!</v>
      </c>
      <c r="BK1369" t="str">
        <f ca="1">IFERROR(__xludf.DUMMYFUNCTION("""COMPUTED_VALUE"""),"#VALUE!")</f>
        <v>#VALUE!</v>
      </c>
      <c r="BM1369" t="str">
        <f ca="1">IFERROR(__xludf.DUMMYFUNCTION("""COMPUTED_VALUE"""),"#VALUE!")</f>
        <v>#VALUE!</v>
      </c>
      <c r="CS1369" t="str">
        <f ca="1">IFERROR(__xludf.DUMMYFUNCTION("""COMPUTED_VALUE"""),"#VALUE!")</f>
        <v>#VALUE!</v>
      </c>
      <c r="CU1369" t="str">
        <f ca="1">IFERROR(__xludf.DUMMYFUNCTION("""COMPUTED_VALUE"""),"#VALUE!")</f>
        <v>#VALUE!</v>
      </c>
      <c r="CW1369" t="str">
        <f ca="1">IFERROR(__xludf.DUMMYFUNCTION("""COMPUTED_VALUE"""),"#VALUE!")</f>
        <v>#VALUE!</v>
      </c>
      <c r="CY1369" t="str">
        <f ca="1">IFERROR(__xludf.DUMMYFUNCTION("""COMPUTED_VALUE"""),"#VALUE!")</f>
        <v>#VALUE!</v>
      </c>
      <c r="DC1369" t="str">
        <f ca="1">IFERROR(__xludf.DUMMYFUNCTION("""COMPUTED_VALUE"""),"#VALUE!")</f>
        <v>#VALUE!</v>
      </c>
      <c r="DE1369" t="str">
        <f ca="1">IFERROR(__xludf.DUMMYFUNCTION("""COMPUTED_VALUE"""),"#VALUE!")</f>
        <v>#VALUE!</v>
      </c>
    </row>
    <row r="1370" spans="1:109" ht="13.2" x14ac:dyDescent="0.25">
      <c r="A1370" t="str">
        <f ca="1">IFERROR(__xludf.DUMMYFUNCTION("""COMPUTED_VALUE"""),"P1379")</f>
        <v>P1379</v>
      </c>
      <c r="BC1370" t="str">
        <f ca="1">IFERROR(__xludf.DUMMYFUNCTION("""COMPUTED_VALUE"""),"#VALUE!")</f>
        <v>#VALUE!</v>
      </c>
      <c r="BE1370" t="str">
        <f ca="1">IFERROR(__xludf.DUMMYFUNCTION("""COMPUTED_VALUE"""),"#VALUE!")</f>
        <v>#VALUE!</v>
      </c>
      <c r="BG1370" t="str">
        <f ca="1">IFERROR(__xludf.DUMMYFUNCTION("""COMPUTED_VALUE"""),"#VALUE!")</f>
        <v>#VALUE!</v>
      </c>
      <c r="BI1370" t="str">
        <f ca="1">IFERROR(__xludf.DUMMYFUNCTION("""COMPUTED_VALUE"""),"#VALUE!")</f>
        <v>#VALUE!</v>
      </c>
      <c r="BK1370" t="str">
        <f ca="1">IFERROR(__xludf.DUMMYFUNCTION("""COMPUTED_VALUE"""),"#VALUE!")</f>
        <v>#VALUE!</v>
      </c>
      <c r="BM1370" t="str">
        <f ca="1">IFERROR(__xludf.DUMMYFUNCTION("""COMPUTED_VALUE"""),"#VALUE!")</f>
        <v>#VALUE!</v>
      </c>
      <c r="CS1370" t="str">
        <f ca="1">IFERROR(__xludf.DUMMYFUNCTION("""COMPUTED_VALUE"""),"#VALUE!")</f>
        <v>#VALUE!</v>
      </c>
      <c r="CU1370" t="str">
        <f ca="1">IFERROR(__xludf.DUMMYFUNCTION("""COMPUTED_VALUE"""),"#VALUE!")</f>
        <v>#VALUE!</v>
      </c>
      <c r="CW1370" t="str">
        <f ca="1">IFERROR(__xludf.DUMMYFUNCTION("""COMPUTED_VALUE"""),"#VALUE!")</f>
        <v>#VALUE!</v>
      </c>
      <c r="CY1370" t="str">
        <f ca="1">IFERROR(__xludf.DUMMYFUNCTION("""COMPUTED_VALUE"""),"#VALUE!")</f>
        <v>#VALUE!</v>
      </c>
      <c r="DC1370" t="str">
        <f ca="1">IFERROR(__xludf.DUMMYFUNCTION("""COMPUTED_VALUE"""),"#VALUE!")</f>
        <v>#VALUE!</v>
      </c>
      <c r="DE1370" t="str">
        <f ca="1">IFERROR(__xludf.DUMMYFUNCTION("""COMPUTED_VALUE"""),"#VALUE!")</f>
        <v>#VALUE!</v>
      </c>
    </row>
    <row r="1371" spans="1:109" ht="13.2" x14ac:dyDescent="0.25">
      <c r="A1371" t="str">
        <f ca="1">IFERROR(__xludf.DUMMYFUNCTION("""COMPUTED_VALUE"""),"P1380")</f>
        <v>P1380</v>
      </c>
      <c r="BC1371" t="str">
        <f ca="1">IFERROR(__xludf.DUMMYFUNCTION("""COMPUTED_VALUE"""),"#VALUE!")</f>
        <v>#VALUE!</v>
      </c>
      <c r="BE1371" t="str">
        <f ca="1">IFERROR(__xludf.DUMMYFUNCTION("""COMPUTED_VALUE"""),"#VALUE!")</f>
        <v>#VALUE!</v>
      </c>
      <c r="BG1371" t="str">
        <f ca="1">IFERROR(__xludf.DUMMYFUNCTION("""COMPUTED_VALUE"""),"#VALUE!")</f>
        <v>#VALUE!</v>
      </c>
      <c r="BI1371" t="str">
        <f ca="1">IFERROR(__xludf.DUMMYFUNCTION("""COMPUTED_VALUE"""),"#VALUE!")</f>
        <v>#VALUE!</v>
      </c>
      <c r="BK1371" t="str">
        <f ca="1">IFERROR(__xludf.DUMMYFUNCTION("""COMPUTED_VALUE"""),"#VALUE!")</f>
        <v>#VALUE!</v>
      </c>
      <c r="BM1371" t="str">
        <f ca="1">IFERROR(__xludf.DUMMYFUNCTION("""COMPUTED_VALUE"""),"#VALUE!")</f>
        <v>#VALUE!</v>
      </c>
      <c r="CS1371" t="str">
        <f ca="1">IFERROR(__xludf.DUMMYFUNCTION("""COMPUTED_VALUE"""),"#VALUE!")</f>
        <v>#VALUE!</v>
      </c>
      <c r="CU1371" t="str">
        <f ca="1">IFERROR(__xludf.DUMMYFUNCTION("""COMPUTED_VALUE"""),"#VALUE!")</f>
        <v>#VALUE!</v>
      </c>
      <c r="CW1371" t="str">
        <f ca="1">IFERROR(__xludf.DUMMYFUNCTION("""COMPUTED_VALUE"""),"#VALUE!")</f>
        <v>#VALUE!</v>
      </c>
      <c r="CY1371" t="str">
        <f ca="1">IFERROR(__xludf.DUMMYFUNCTION("""COMPUTED_VALUE"""),"#VALUE!")</f>
        <v>#VALUE!</v>
      </c>
      <c r="DC1371" t="str">
        <f ca="1">IFERROR(__xludf.DUMMYFUNCTION("""COMPUTED_VALUE"""),"#VALUE!")</f>
        <v>#VALUE!</v>
      </c>
      <c r="DE1371" t="str">
        <f ca="1">IFERROR(__xludf.DUMMYFUNCTION("""COMPUTED_VALUE"""),"#VALUE!")</f>
        <v>#VALUE!</v>
      </c>
    </row>
    <row r="1372" spans="1:109" ht="13.2" x14ac:dyDescent="0.25">
      <c r="A1372" t="str">
        <f ca="1">IFERROR(__xludf.DUMMYFUNCTION("""COMPUTED_VALUE"""),"P1381")</f>
        <v>P1381</v>
      </c>
      <c r="BC1372" t="str">
        <f ca="1">IFERROR(__xludf.DUMMYFUNCTION("""COMPUTED_VALUE"""),"#VALUE!")</f>
        <v>#VALUE!</v>
      </c>
      <c r="BE1372" t="str">
        <f ca="1">IFERROR(__xludf.DUMMYFUNCTION("""COMPUTED_VALUE"""),"#VALUE!")</f>
        <v>#VALUE!</v>
      </c>
      <c r="BG1372" t="str">
        <f ca="1">IFERROR(__xludf.DUMMYFUNCTION("""COMPUTED_VALUE"""),"#VALUE!")</f>
        <v>#VALUE!</v>
      </c>
      <c r="BI1372" t="str">
        <f ca="1">IFERROR(__xludf.DUMMYFUNCTION("""COMPUTED_VALUE"""),"#VALUE!")</f>
        <v>#VALUE!</v>
      </c>
      <c r="BK1372" t="str">
        <f ca="1">IFERROR(__xludf.DUMMYFUNCTION("""COMPUTED_VALUE"""),"#VALUE!")</f>
        <v>#VALUE!</v>
      </c>
      <c r="BM1372" t="str">
        <f ca="1">IFERROR(__xludf.DUMMYFUNCTION("""COMPUTED_VALUE"""),"#VALUE!")</f>
        <v>#VALUE!</v>
      </c>
      <c r="CS1372" t="str">
        <f ca="1">IFERROR(__xludf.DUMMYFUNCTION("""COMPUTED_VALUE"""),"#VALUE!")</f>
        <v>#VALUE!</v>
      </c>
      <c r="CU1372" t="str">
        <f ca="1">IFERROR(__xludf.DUMMYFUNCTION("""COMPUTED_VALUE"""),"#VALUE!")</f>
        <v>#VALUE!</v>
      </c>
      <c r="CW1372" t="str">
        <f ca="1">IFERROR(__xludf.DUMMYFUNCTION("""COMPUTED_VALUE"""),"#VALUE!")</f>
        <v>#VALUE!</v>
      </c>
      <c r="CY1372" t="str">
        <f ca="1">IFERROR(__xludf.DUMMYFUNCTION("""COMPUTED_VALUE"""),"#VALUE!")</f>
        <v>#VALUE!</v>
      </c>
      <c r="DC1372" t="str">
        <f ca="1">IFERROR(__xludf.DUMMYFUNCTION("""COMPUTED_VALUE"""),"#VALUE!")</f>
        <v>#VALUE!</v>
      </c>
      <c r="DE1372" t="str">
        <f ca="1">IFERROR(__xludf.DUMMYFUNCTION("""COMPUTED_VALUE"""),"#VALUE!")</f>
        <v>#VALUE!</v>
      </c>
    </row>
    <row r="1373" spans="1:109" ht="13.2" x14ac:dyDescent="0.25">
      <c r="A1373" t="str">
        <f ca="1">IFERROR(__xludf.DUMMYFUNCTION("""COMPUTED_VALUE"""),"P1382")</f>
        <v>P1382</v>
      </c>
      <c r="BC1373" t="str">
        <f ca="1">IFERROR(__xludf.DUMMYFUNCTION("""COMPUTED_VALUE"""),"#VALUE!")</f>
        <v>#VALUE!</v>
      </c>
      <c r="BE1373" t="str">
        <f ca="1">IFERROR(__xludf.DUMMYFUNCTION("""COMPUTED_VALUE"""),"#VALUE!")</f>
        <v>#VALUE!</v>
      </c>
      <c r="BG1373" t="str">
        <f ca="1">IFERROR(__xludf.DUMMYFUNCTION("""COMPUTED_VALUE"""),"#VALUE!")</f>
        <v>#VALUE!</v>
      </c>
      <c r="BI1373" t="str">
        <f ca="1">IFERROR(__xludf.DUMMYFUNCTION("""COMPUTED_VALUE"""),"#VALUE!")</f>
        <v>#VALUE!</v>
      </c>
      <c r="BK1373" t="str">
        <f ca="1">IFERROR(__xludf.DUMMYFUNCTION("""COMPUTED_VALUE"""),"#VALUE!")</f>
        <v>#VALUE!</v>
      </c>
      <c r="BM1373" t="str">
        <f ca="1">IFERROR(__xludf.DUMMYFUNCTION("""COMPUTED_VALUE"""),"#VALUE!")</f>
        <v>#VALUE!</v>
      </c>
      <c r="CS1373" t="str">
        <f ca="1">IFERROR(__xludf.DUMMYFUNCTION("""COMPUTED_VALUE"""),"#VALUE!")</f>
        <v>#VALUE!</v>
      </c>
      <c r="CU1373" t="str">
        <f ca="1">IFERROR(__xludf.DUMMYFUNCTION("""COMPUTED_VALUE"""),"#VALUE!")</f>
        <v>#VALUE!</v>
      </c>
      <c r="CW1373" t="str">
        <f ca="1">IFERROR(__xludf.DUMMYFUNCTION("""COMPUTED_VALUE"""),"#VALUE!")</f>
        <v>#VALUE!</v>
      </c>
      <c r="CY1373" t="str">
        <f ca="1">IFERROR(__xludf.DUMMYFUNCTION("""COMPUTED_VALUE"""),"#VALUE!")</f>
        <v>#VALUE!</v>
      </c>
      <c r="DC1373" t="str">
        <f ca="1">IFERROR(__xludf.DUMMYFUNCTION("""COMPUTED_VALUE"""),"#VALUE!")</f>
        <v>#VALUE!</v>
      </c>
      <c r="DE1373" t="str">
        <f ca="1">IFERROR(__xludf.DUMMYFUNCTION("""COMPUTED_VALUE"""),"#VALUE!")</f>
        <v>#VALUE!</v>
      </c>
    </row>
    <row r="1374" spans="1:109" ht="13.2" x14ac:dyDescent="0.25">
      <c r="A1374" t="str">
        <f ca="1">IFERROR(__xludf.DUMMYFUNCTION("""COMPUTED_VALUE"""),"P1383")</f>
        <v>P1383</v>
      </c>
      <c r="BC1374" t="str">
        <f ca="1">IFERROR(__xludf.DUMMYFUNCTION("""COMPUTED_VALUE"""),"#VALUE!")</f>
        <v>#VALUE!</v>
      </c>
      <c r="BE1374" t="str">
        <f ca="1">IFERROR(__xludf.DUMMYFUNCTION("""COMPUTED_VALUE"""),"#VALUE!")</f>
        <v>#VALUE!</v>
      </c>
      <c r="BG1374" t="str">
        <f ca="1">IFERROR(__xludf.DUMMYFUNCTION("""COMPUTED_VALUE"""),"#VALUE!")</f>
        <v>#VALUE!</v>
      </c>
      <c r="BI1374" t="str">
        <f ca="1">IFERROR(__xludf.DUMMYFUNCTION("""COMPUTED_VALUE"""),"#VALUE!")</f>
        <v>#VALUE!</v>
      </c>
      <c r="BK1374" t="str">
        <f ca="1">IFERROR(__xludf.DUMMYFUNCTION("""COMPUTED_VALUE"""),"#VALUE!")</f>
        <v>#VALUE!</v>
      </c>
      <c r="BM1374" t="str">
        <f ca="1">IFERROR(__xludf.DUMMYFUNCTION("""COMPUTED_VALUE"""),"#VALUE!")</f>
        <v>#VALUE!</v>
      </c>
      <c r="CS1374" t="str">
        <f ca="1">IFERROR(__xludf.DUMMYFUNCTION("""COMPUTED_VALUE"""),"#VALUE!")</f>
        <v>#VALUE!</v>
      </c>
      <c r="CU1374" t="str">
        <f ca="1">IFERROR(__xludf.DUMMYFUNCTION("""COMPUTED_VALUE"""),"#VALUE!")</f>
        <v>#VALUE!</v>
      </c>
      <c r="CW1374" t="str">
        <f ca="1">IFERROR(__xludf.DUMMYFUNCTION("""COMPUTED_VALUE"""),"#VALUE!")</f>
        <v>#VALUE!</v>
      </c>
      <c r="CY1374" t="str">
        <f ca="1">IFERROR(__xludf.DUMMYFUNCTION("""COMPUTED_VALUE"""),"#VALUE!")</f>
        <v>#VALUE!</v>
      </c>
      <c r="DC1374" t="str">
        <f ca="1">IFERROR(__xludf.DUMMYFUNCTION("""COMPUTED_VALUE"""),"#VALUE!")</f>
        <v>#VALUE!</v>
      </c>
      <c r="DE1374" t="str">
        <f ca="1">IFERROR(__xludf.DUMMYFUNCTION("""COMPUTED_VALUE"""),"#VALUE!")</f>
        <v>#VALUE!</v>
      </c>
    </row>
    <row r="1375" spans="1:109" ht="13.2" x14ac:dyDescent="0.25">
      <c r="A1375" t="str">
        <f ca="1">IFERROR(__xludf.DUMMYFUNCTION("""COMPUTED_VALUE"""),"P1384")</f>
        <v>P1384</v>
      </c>
      <c r="BC1375" t="str">
        <f ca="1">IFERROR(__xludf.DUMMYFUNCTION("""COMPUTED_VALUE"""),"#VALUE!")</f>
        <v>#VALUE!</v>
      </c>
      <c r="BE1375" t="str">
        <f ca="1">IFERROR(__xludf.DUMMYFUNCTION("""COMPUTED_VALUE"""),"#VALUE!")</f>
        <v>#VALUE!</v>
      </c>
      <c r="BG1375" t="str">
        <f ca="1">IFERROR(__xludf.DUMMYFUNCTION("""COMPUTED_VALUE"""),"#VALUE!")</f>
        <v>#VALUE!</v>
      </c>
      <c r="BI1375" t="str">
        <f ca="1">IFERROR(__xludf.DUMMYFUNCTION("""COMPUTED_VALUE"""),"#VALUE!")</f>
        <v>#VALUE!</v>
      </c>
      <c r="BK1375" t="str">
        <f ca="1">IFERROR(__xludf.DUMMYFUNCTION("""COMPUTED_VALUE"""),"#VALUE!")</f>
        <v>#VALUE!</v>
      </c>
      <c r="BM1375" t="str">
        <f ca="1">IFERROR(__xludf.DUMMYFUNCTION("""COMPUTED_VALUE"""),"#VALUE!")</f>
        <v>#VALUE!</v>
      </c>
      <c r="CS1375" t="str">
        <f ca="1">IFERROR(__xludf.DUMMYFUNCTION("""COMPUTED_VALUE"""),"#VALUE!")</f>
        <v>#VALUE!</v>
      </c>
      <c r="CU1375" t="str">
        <f ca="1">IFERROR(__xludf.DUMMYFUNCTION("""COMPUTED_VALUE"""),"#VALUE!")</f>
        <v>#VALUE!</v>
      </c>
      <c r="CW1375" t="str">
        <f ca="1">IFERROR(__xludf.DUMMYFUNCTION("""COMPUTED_VALUE"""),"#VALUE!")</f>
        <v>#VALUE!</v>
      </c>
      <c r="CY1375" t="str">
        <f ca="1">IFERROR(__xludf.DUMMYFUNCTION("""COMPUTED_VALUE"""),"#VALUE!")</f>
        <v>#VALUE!</v>
      </c>
      <c r="DC1375" t="str">
        <f ca="1">IFERROR(__xludf.DUMMYFUNCTION("""COMPUTED_VALUE"""),"#VALUE!")</f>
        <v>#VALUE!</v>
      </c>
      <c r="DE1375" t="str">
        <f ca="1">IFERROR(__xludf.DUMMYFUNCTION("""COMPUTED_VALUE"""),"#VALUE!")</f>
        <v>#VALUE!</v>
      </c>
    </row>
    <row r="1376" spans="1:109" ht="13.2" x14ac:dyDescent="0.25">
      <c r="A1376" t="str">
        <f ca="1">IFERROR(__xludf.DUMMYFUNCTION("""COMPUTED_VALUE"""),"P1385")</f>
        <v>P1385</v>
      </c>
      <c r="BC1376" t="str">
        <f ca="1">IFERROR(__xludf.DUMMYFUNCTION("""COMPUTED_VALUE"""),"#VALUE!")</f>
        <v>#VALUE!</v>
      </c>
      <c r="BE1376" t="str">
        <f ca="1">IFERROR(__xludf.DUMMYFUNCTION("""COMPUTED_VALUE"""),"#VALUE!")</f>
        <v>#VALUE!</v>
      </c>
      <c r="BG1376" t="str">
        <f ca="1">IFERROR(__xludf.DUMMYFUNCTION("""COMPUTED_VALUE"""),"#VALUE!")</f>
        <v>#VALUE!</v>
      </c>
      <c r="BI1376" t="str">
        <f ca="1">IFERROR(__xludf.DUMMYFUNCTION("""COMPUTED_VALUE"""),"#VALUE!")</f>
        <v>#VALUE!</v>
      </c>
      <c r="BK1376" t="str">
        <f ca="1">IFERROR(__xludf.DUMMYFUNCTION("""COMPUTED_VALUE"""),"#VALUE!")</f>
        <v>#VALUE!</v>
      </c>
      <c r="BM1376" t="str">
        <f ca="1">IFERROR(__xludf.DUMMYFUNCTION("""COMPUTED_VALUE"""),"#VALUE!")</f>
        <v>#VALUE!</v>
      </c>
      <c r="CS1376" t="str">
        <f ca="1">IFERROR(__xludf.DUMMYFUNCTION("""COMPUTED_VALUE"""),"#VALUE!")</f>
        <v>#VALUE!</v>
      </c>
      <c r="CU1376" t="str">
        <f ca="1">IFERROR(__xludf.DUMMYFUNCTION("""COMPUTED_VALUE"""),"#VALUE!")</f>
        <v>#VALUE!</v>
      </c>
      <c r="CW1376" t="str">
        <f ca="1">IFERROR(__xludf.DUMMYFUNCTION("""COMPUTED_VALUE"""),"#VALUE!")</f>
        <v>#VALUE!</v>
      </c>
      <c r="CY1376" t="str">
        <f ca="1">IFERROR(__xludf.DUMMYFUNCTION("""COMPUTED_VALUE"""),"#VALUE!")</f>
        <v>#VALUE!</v>
      </c>
      <c r="DC1376" t="str">
        <f ca="1">IFERROR(__xludf.DUMMYFUNCTION("""COMPUTED_VALUE"""),"#VALUE!")</f>
        <v>#VALUE!</v>
      </c>
      <c r="DE1376" t="str">
        <f ca="1">IFERROR(__xludf.DUMMYFUNCTION("""COMPUTED_VALUE"""),"#VALUE!")</f>
        <v>#VALUE!</v>
      </c>
    </row>
    <row r="1377" spans="1:109" ht="13.2" x14ac:dyDescent="0.25">
      <c r="A1377" t="str">
        <f ca="1">IFERROR(__xludf.DUMMYFUNCTION("""COMPUTED_VALUE"""),"P1386")</f>
        <v>P1386</v>
      </c>
      <c r="BC1377" t="str">
        <f ca="1">IFERROR(__xludf.DUMMYFUNCTION("""COMPUTED_VALUE"""),"#VALUE!")</f>
        <v>#VALUE!</v>
      </c>
      <c r="BE1377" t="str">
        <f ca="1">IFERROR(__xludf.DUMMYFUNCTION("""COMPUTED_VALUE"""),"#VALUE!")</f>
        <v>#VALUE!</v>
      </c>
      <c r="BG1377" t="str">
        <f ca="1">IFERROR(__xludf.DUMMYFUNCTION("""COMPUTED_VALUE"""),"#VALUE!")</f>
        <v>#VALUE!</v>
      </c>
      <c r="BI1377" t="str">
        <f ca="1">IFERROR(__xludf.DUMMYFUNCTION("""COMPUTED_VALUE"""),"#VALUE!")</f>
        <v>#VALUE!</v>
      </c>
      <c r="BK1377" t="str">
        <f ca="1">IFERROR(__xludf.DUMMYFUNCTION("""COMPUTED_VALUE"""),"#VALUE!")</f>
        <v>#VALUE!</v>
      </c>
      <c r="BM1377" t="str">
        <f ca="1">IFERROR(__xludf.DUMMYFUNCTION("""COMPUTED_VALUE"""),"#VALUE!")</f>
        <v>#VALUE!</v>
      </c>
      <c r="CS1377" t="str">
        <f ca="1">IFERROR(__xludf.DUMMYFUNCTION("""COMPUTED_VALUE"""),"#VALUE!")</f>
        <v>#VALUE!</v>
      </c>
      <c r="CU1377" t="str">
        <f ca="1">IFERROR(__xludf.DUMMYFUNCTION("""COMPUTED_VALUE"""),"#VALUE!")</f>
        <v>#VALUE!</v>
      </c>
      <c r="CW1377" t="str">
        <f ca="1">IFERROR(__xludf.DUMMYFUNCTION("""COMPUTED_VALUE"""),"#VALUE!")</f>
        <v>#VALUE!</v>
      </c>
      <c r="CY1377" t="str">
        <f ca="1">IFERROR(__xludf.DUMMYFUNCTION("""COMPUTED_VALUE"""),"#VALUE!")</f>
        <v>#VALUE!</v>
      </c>
      <c r="DC1377" t="str">
        <f ca="1">IFERROR(__xludf.DUMMYFUNCTION("""COMPUTED_VALUE"""),"#VALUE!")</f>
        <v>#VALUE!</v>
      </c>
      <c r="DE1377" t="str">
        <f ca="1">IFERROR(__xludf.DUMMYFUNCTION("""COMPUTED_VALUE"""),"#VALUE!")</f>
        <v>#VALUE!</v>
      </c>
    </row>
    <row r="1378" spans="1:109" ht="13.2" x14ac:dyDescent="0.25">
      <c r="A1378" t="str">
        <f ca="1">IFERROR(__xludf.DUMMYFUNCTION("""COMPUTED_VALUE"""),"P1387")</f>
        <v>P1387</v>
      </c>
      <c r="BC1378" t="str">
        <f ca="1">IFERROR(__xludf.DUMMYFUNCTION("""COMPUTED_VALUE"""),"#VALUE!")</f>
        <v>#VALUE!</v>
      </c>
      <c r="BE1378" t="str">
        <f ca="1">IFERROR(__xludf.DUMMYFUNCTION("""COMPUTED_VALUE"""),"#VALUE!")</f>
        <v>#VALUE!</v>
      </c>
      <c r="BG1378" t="str">
        <f ca="1">IFERROR(__xludf.DUMMYFUNCTION("""COMPUTED_VALUE"""),"#VALUE!")</f>
        <v>#VALUE!</v>
      </c>
      <c r="BI1378" t="str">
        <f ca="1">IFERROR(__xludf.DUMMYFUNCTION("""COMPUTED_VALUE"""),"#VALUE!")</f>
        <v>#VALUE!</v>
      </c>
      <c r="BK1378" t="str">
        <f ca="1">IFERROR(__xludf.DUMMYFUNCTION("""COMPUTED_VALUE"""),"#VALUE!")</f>
        <v>#VALUE!</v>
      </c>
      <c r="BM1378" t="str">
        <f ca="1">IFERROR(__xludf.DUMMYFUNCTION("""COMPUTED_VALUE"""),"#VALUE!")</f>
        <v>#VALUE!</v>
      </c>
      <c r="CS1378" t="str">
        <f ca="1">IFERROR(__xludf.DUMMYFUNCTION("""COMPUTED_VALUE"""),"#VALUE!")</f>
        <v>#VALUE!</v>
      </c>
      <c r="CU1378" t="str">
        <f ca="1">IFERROR(__xludf.DUMMYFUNCTION("""COMPUTED_VALUE"""),"#VALUE!")</f>
        <v>#VALUE!</v>
      </c>
      <c r="CW1378" t="str">
        <f ca="1">IFERROR(__xludf.DUMMYFUNCTION("""COMPUTED_VALUE"""),"#VALUE!")</f>
        <v>#VALUE!</v>
      </c>
      <c r="CY1378" t="str">
        <f ca="1">IFERROR(__xludf.DUMMYFUNCTION("""COMPUTED_VALUE"""),"#VALUE!")</f>
        <v>#VALUE!</v>
      </c>
      <c r="DC1378" t="str">
        <f ca="1">IFERROR(__xludf.DUMMYFUNCTION("""COMPUTED_VALUE"""),"#VALUE!")</f>
        <v>#VALUE!</v>
      </c>
      <c r="DE1378" t="str">
        <f ca="1">IFERROR(__xludf.DUMMYFUNCTION("""COMPUTED_VALUE"""),"#VALUE!")</f>
        <v>#VALUE!</v>
      </c>
    </row>
    <row r="1379" spans="1:109" ht="13.2" x14ac:dyDescent="0.25">
      <c r="A1379" t="str">
        <f ca="1">IFERROR(__xludf.DUMMYFUNCTION("""COMPUTED_VALUE"""),"P1388")</f>
        <v>P1388</v>
      </c>
      <c r="BC1379" t="str">
        <f ca="1">IFERROR(__xludf.DUMMYFUNCTION("""COMPUTED_VALUE"""),"#VALUE!")</f>
        <v>#VALUE!</v>
      </c>
      <c r="BE1379" t="str">
        <f ca="1">IFERROR(__xludf.DUMMYFUNCTION("""COMPUTED_VALUE"""),"#VALUE!")</f>
        <v>#VALUE!</v>
      </c>
      <c r="BG1379" t="str">
        <f ca="1">IFERROR(__xludf.DUMMYFUNCTION("""COMPUTED_VALUE"""),"#VALUE!")</f>
        <v>#VALUE!</v>
      </c>
      <c r="BI1379" t="str">
        <f ca="1">IFERROR(__xludf.DUMMYFUNCTION("""COMPUTED_VALUE"""),"#VALUE!")</f>
        <v>#VALUE!</v>
      </c>
      <c r="BK1379" t="str">
        <f ca="1">IFERROR(__xludf.DUMMYFUNCTION("""COMPUTED_VALUE"""),"#VALUE!")</f>
        <v>#VALUE!</v>
      </c>
      <c r="BM1379" t="str">
        <f ca="1">IFERROR(__xludf.DUMMYFUNCTION("""COMPUTED_VALUE"""),"#VALUE!")</f>
        <v>#VALUE!</v>
      </c>
      <c r="CS1379" t="str">
        <f ca="1">IFERROR(__xludf.DUMMYFUNCTION("""COMPUTED_VALUE"""),"#VALUE!")</f>
        <v>#VALUE!</v>
      </c>
      <c r="CU1379" t="str">
        <f ca="1">IFERROR(__xludf.DUMMYFUNCTION("""COMPUTED_VALUE"""),"#VALUE!")</f>
        <v>#VALUE!</v>
      </c>
      <c r="CW1379" t="str">
        <f ca="1">IFERROR(__xludf.DUMMYFUNCTION("""COMPUTED_VALUE"""),"#VALUE!")</f>
        <v>#VALUE!</v>
      </c>
      <c r="CY1379" t="str">
        <f ca="1">IFERROR(__xludf.DUMMYFUNCTION("""COMPUTED_VALUE"""),"#VALUE!")</f>
        <v>#VALUE!</v>
      </c>
      <c r="DC1379" t="str">
        <f ca="1">IFERROR(__xludf.DUMMYFUNCTION("""COMPUTED_VALUE"""),"#VALUE!")</f>
        <v>#VALUE!</v>
      </c>
      <c r="DE1379" t="str">
        <f ca="1">IFERROR(__xludf.DUMMYFUNCTION("""COMPUTED_VALUE"""),"#VALUE!")</f>
        <v>#VALUE!</v>
      </c>
    </row>
    <row r="1380" spans="1:109" ht="13.2" x14ac:dyDescent="0.25">
      <c r="A1380" t="str">
        <f ca="1">IFERROR(__xludf.DUMMYFUNCTION("""COMPUTED_VALUE"""),"P1389")</f>
        <v>P1389</v>
      </c>
      <c r="BC1380" t="str">
        <f ca="1">IFERROR(__xludf.DUMMYFUNCTION("""COMPUTED_VALUE"""),"#VALUE!")</f>
        <v>#VALUE!</v>
      </c>
      <c r="BE1380" t="str">
        <f ca="1">IFERROR(__xludf.DUMMYFUNCTION("""COMPUTED_VALUE"""),"#VALUE!")</f>
        <v>#VALUE!</v>
      </c>
      <c r="BG1380" t="str">
        <f ca="1">IFERROR(__xludf.DUMMYFUNCTION("""COMPUTED_VALUE"""),"#VALUE!")</f>
        <v>#VALUE!</v>
      </c>
      <c r="BI1380" t="str">
        <f ca="1">IFERROR(__xludf.DUMMYFUNCTION("""COMPUTED_VALUE"""),"#VALUE!")</f>
        <v>#VALUE!</v>
      </c>
      <c r="BK1380" t="str">
        <f ca="1">IFERROR(__xludf.DUMMYFUNCTION("""COMPUTED_VALUE"""),"#VALUE!")</f>
        <v>#VALUE!</v>
      </c>
      <c r="BM1380" t="str">
        <f ca="1">IFERROR(__xludf.DUMMYFUNCTION("""COMPUTED_VALUE"""),"#VALUE!")</f>
        <v>#VALUE!</v>
      </c>
      <c r="CS1380" t="str">
        <f ca="1">IFERROR(__xludf.DUMMYFUNCTION("""COMPUTED_VALUE"""),"#VALUE!")</f>
        <v>#VALUE!</v>
      </c>
      <c r="CU1380" t="str">
        <f ca="1">IFERROR(__xludf.DUMMYFUNCTION("""COMPUTED_VALUE"""),"#VALUE!")</f>
        <v>#VALUE!</v>
      </c>
      <c r="CW1380" t="str">
        <f ca="1">IFERROR(__xludf.DUMMYFUNCTION("""COMPUTED_VALUE"""),"#VALUE!")</f>
        <v>#VALUE!</v>
      </c>
      <c r="CY1380" t="str">
        <f ca="1">IFERROR(__xludf.DUMMYFUNCTION("""COMPUTED_VALUE"""),"#VALUE!")</f>
        <v>#VALUE!</v>
      </c>
      <c r="DC1380" t="str">
        <f ca="1">IFERROR(__xludf.DUMMYFUNCTION("""COMPUTED_VALUE"""),"#VALUE!")</f>
        <v>#VALUE!</v>
      </c>
      <c r="DE1380" t="str">
        <f ca="1">IFERROR(__xludf.DUMMYFUNCTION("""COMPUTED_VALUE"""),"#VALUE!")</f>
        <v>#VALUE!</v>
      </c>
    </row>
    <row r="1381" spans="1:109" ht="13.2" x14ac:dyDescent="0.25">
      <c r="A1381" t="str">
        <f ca="1">IFERROR(__xludf.DUMMYFUNCTION("""COMPUTED_VALUE"""),"P1390")</f>
        <v>P1390</v>
      </c>
      <c r="BC1381" t="str">
        <f ca="1">IFERROR(__xludf.DUMMYFUNCTION("""COMPUTED_VALUE"""),"#VALUE!")</f>
        <v>#VALUE!</v>
      </c>
      <c r="BE1381" t="str">
        <f ca="1">IFERROR(__xludf.DUMMYFUNCTION("""COMPUTED_VALUE"""),"#VALUE!")</f>
        <v>#VALUE!</v>
      </c>
      <c r="BG1381" t="str">
        <f ca="1">IFERROR(__xludf.DUMMYFUNCTION("""COMPUTED_VALUE"""),"#VALUE!")</f>
        <v>#VALUE!</v>
      </c>
      <c r="BI1381" t="str">
        <f ca="1">IFERROR(__xludf.DUMMYFUNCTION("""COMPUTED_VALUE"""),"#VALUE!")</f>
        <v>#VALUE!</v>
      </c>
      <c r="BK1381" t="str">
        <f ca="1">IFERROR(__xludf.DUMMYFUNCTION("""COMPUTED_VALUE"""),"#VALUE!")</f>
        <v>#VALUE!</v>
      </c>
      <c r="BM1381" t="str">
        <f ca="1">IFERROR(__xludf.DUMMYFUNCTION("""COMPUTED_VALUE"""),"#VALUE!")</f>
        <v>#VALUE!</v>
      </c>
      <c r="CS1381" t="str">
        <f ca="1">IFERROR(__xludf.DUMMYFUNCTION("""COMPUTED_VALUE"""),"#VALUE!")</f>
        <v>#VALUE!</v>
      </c>
      <c r="CU1381" t="str">
        <f ca="1">IFERROR(__xludf.DUMMYFUNCTION("""COMPUTED_VALUE"""),"#VALUE!")</f>
        <v>#VALUE!</v>
      </c>
      <c r="CW1381" t="str">
        <f ca="1">IFERROR(__xludf.DUMMYFUNCTION("""COMPUTED_VALUE"""),"#VALUE!")</f>
        <v>#VALUE!</v>
      </c>
      <c r="CY1381" t="str">
        <f ca="1">IFERROR(__xludf.DUMMYFUNCTION("""COMPUTED_VALUE"""),"#VALUE!")</f>
        <v>#VALUE!</v>
      </c>
      <c r="DC1381" t="str">
        <f ca="1">IFERROR(__xludf.DUMMYFUNCTION("""COMPUTED_VALUE"""),"#VALUE!")</f>
        <v>#VALUE!</v>
      </c>
      <c r="DE1381" t="str">
        <f ca="1">IFERROR(__xludf.DUMMYFUNCTION("""COMPUTED_VALUE"""),"#VALUE!")</f>
        <v>#VALUE!</v>
      </c>
    </row>
    <row r="1382" spans="1:109" ht="13.2" x14ac:dyDescent="0.25">
      <c r="A1382" t="str">
        <f ca="1">IFERROR(__xludf.DUMMYFUNCTION("""COMPUTED_VALUE"""),"P1391")</f>
        <v>P1391</v>
      </c>
      <c r="BC1382" t="str">
        <f ca="1">IFERROR(__xludf.DUMMYFUNCTION("""COMPUTED_VALUE"""),"#VALUE!")</f>
        <v>#VALUE!</v>
      </c>
      <c r="BE1382" t="str">
        <f ca="1">IFERROR(__xludf.DUMMYFUNCTION("""COMPUTED_VALUE"""),"#VALUE!")</f>
        <v>#VALUE!</v>
      </c>
      <c r="BG1382" t="str">
        <f ca="1">IFERROR(__xludf.DUMMYFUNCTION("""COMPUTED_VALUE"""),"#VALUE!")</f>
        <v>#VALUE!</v>
      </c>
      <c r="BI1382" t="str">
        <f ca="1">IFERROR(__xludf.DUMMYFUNCTION("""COMPUTED_VALUE"""),"#VALUE!")</f>
        <v>#VALUE!</v>
      </c>
      <c r="BK1382" t="str">
        <f ca="1">IFERROR(__xludf.DUMMYFUNCTION("""COMPUTED_VALUE"""),"#VALUE!")</f>
        <v>#VALUE!</v>
      </c>
      <c r="BM1382" t="str">
        <f ca="1">IFERROR(__xludf.DUMMYFUNCTION("""COMPUTED_VALUE"""),"#VALUE!")</f>
        <v>#VALUE!</v>
      </c>
      <c r="CS1382" t="str">
        <f ca="1">IFERROR(__xludf.DUMMYFUNCTION("""COMPUTED_VALUE"""),"#VALUE!")</f>
        <v>#VALUE!</v>
      </c>
      <c r="CU1382" t="str">
        <f ca="1">IFERROR(__xludf.DUMMYFUNCTION("""COMPUTED_VALUE"""),"#VALUE!")</f>
        <v>#VALUE!</v>
      </c>
      <c r="CW1382" t="str">
        <f ca="1">IFERROR(__xludf.DUMMYFUNCTION("""COMPUTED_VALUE"""),"#VALUE!")</f>
        <v>#VALUE!</v>
      </c>
      <c r="CY1382" t="str">
        <f ca="1">IFERROR(__xludf.DUMMYFUNCTION("""COMPUTED_VALUE"""),"#VALUE!")</f>
        <v>#VALUE!</v>
      </c>
      <c r="DC1382" t="str">
        <f ca="1">IFERROR(__xludf.DUMMYFUNCTION("""COMPUTED_VALUE"""),"#VALUE!")</f>
        <v>#VALUE!</v>
      </c>
      <c r="DE1382" t="str">
        <f ca="1">IFERROR(__xludf.DUMMYFUNCTION("""COMPUTED_VALUE"""),"#VALUE!")</f>
        <v>#VALUE!</v>
      </c>
    </row>
    <row r="1383" spans="1:109" ht="13.2" x14ac:dyDescent="0.25">
      <c r="A1383" t="str">
        <f ca="1">IFERROR(__xludf.DUMMYFUNCTION("""COMPUTED_VALUE"""),"P1392")</f>
        <v>P1392</v>
      </c>
      <c r="BC1383" t="str">
        <f ca="1">IFERROR(__xludf.DUMMYFUNCTION("""COMPUTED_VALUE"""),"#VALUE!")</f>
        <v>#VALUE!</v>
      </c>
      <c r="BE1383" t="str">
        <f ca="1">IFERROR(__xludf.DUMMYFUNCTION("""COMPUTED_VALUE"""),"#VALUE!")</f>
        <v>#VALUE!</v>
      </c>
      <c r="BG1383" t="str">
        <f ca="1">IFERROR(__xludf.DUMMYFUNCTION("""COMPUTED_VALUE"""),"#VALUE!")</f>
        <v>#VALUE!</v>
      </c>
      <c r="BI1383" t="str">
        <f ca="1">IFERROR(__xludf.DUMMYFUNCTION("""COMPUTED_VALUE"""),"#VALUE!")</f>
        <v>#VALUE!</v>
      </c>
      <c r="BK1383" t="str">
        <f ca="1">IFERROR(__xludf.DUMMYFUNCTION("""COMPUTED_VALUE"""),"#VALUE!")</f>
        <v>#VALUE!</v>
      </c>
      <c r="BM1383" t="str">
        <f ca="1">IFERROR(__xludf.DUMMYFUNCTION("""COMPUTED_VALUE"""),"#VALUE!")</f>
        <v>#VALUE!</v>
      </c>
      <c r="CS1383" t="str">
        <f ca="1">IFERROR(__xludf.DUMMYFUNCTION("""COMPUTED_VALUE"""),"#VALUE!")</f>
        <v>#VALUE!</v>
      </c>
      <c r="CU1383" t="str">
        <f ca="1">IFERROR(__xludf.DUMMYFUNCTION("""COMPUTED_VALUE"""),"#VALUE!")</f>
        <v>#VALUE!</v>
      </c>
      <c r="CW1383" t="str">
        <f ca="1">IFERROR(__xludf.DUMMYFUNCTION("""COMPUTED_VALUE"""),"#VALUE!")</f>
        <v>#VALUE!</v>
      </c>
      <c r="CY1383" t="str">
        <f ca="1">IFERROR(__xludf.DUMMYFUNCTION("""COMPUTED_VALUE"""),"#VALUE!")</f>
        <v>#VALUE!</v>
      </c>
      <c r="DC1383" t="str">
        <f ca="1">IFERROR(__xludf.DUMMYFUNCTION("""COMPUTED_VALUE"""),"#VALUE!")</f>
        <v>#VALUE!</v>
      </c>
      <c r="DE1383" t="str">
        <f ca="1">IFERROR(__xludf.DUMMYFUNCTION("""COMPUTED_VALUE"""),"#VALUE!")</f>
        <v>#VALUE!</v>
      </c>
    </row>
    <row r="1384" spans="1:109" ht="13.2" x14ac:dyDescent="0.25">
      <c r="A1384" t="str">
        <f ca="1">IFERROR(__xludf.DUMMYFUNCTION("""COMPUTED_VALUE"""),"P1393")</f>
        <v>P1393</v>
      </c>
      <c r="BC1384" t="str">
        <f ca="1">IFERROR(__xludf.DUMMYFUNCTION("""COMPUTED_VALUE"""),"#VALUE!")</f>
        <v>#VALUE!</v>
      </c>
      <c r="BE1384" t="str">
        <f ca="1">IFERROR(__xludf.DUMMYFUNCTION("""COMPUTED_VALUE"""),"#VALUE!")</f>
        <v>#VALUE!</v>
      </c>
      <c r="BG1384" t="str">
        <f ca="1">IFERROR(__xludf.DUMMYFUNCTION("""COMPUTED_VALUE"""),"#VALUE!")</f>
        <v>#VALUE!</v>
      </c>
      <c r="BI1384" t="str">
        <f ca="1">IFERROR(__xludf.DUMMYFUNCTION("""COMPUTED_VALUE"""),"#VALUE!")</f>
        <v>#VALUE!</v>
      </c>
      <c r="BK1384" t="str">
        <f ca="1">IFERROR(__xludf.DUMMYFUNCTION("""COMPUTED_VALUE"""),"#VALUE!")</f>
        <v>#VALUE!</v>
      </c>
      <c r="BM1384" t="str">
        <f ca="1">IFERROR(__xludf.DUMMYFUNCTION("""COMPUTED_VALUE"""),"#VALUE!")</f>
        <v>#VALUE!</v>
      </c>
      <c r="CS1384" t="str">
        <f ca="1">IFERROR(__xludf.DUMMYFUNCTION("""COMPUTED_VALUE"""),"#VALUE!")</f>
        <v>#VALUE!</v>
      </c>
      <c r="CU1384" t="str">
        <f ca="1">IFERROR(__xludf.DUMMYFUNCTION("""COMPUTED_VALUE"""),"#VALUE!")</f>
        <v>#VALUE!</v>
      </c>
      <c r="CW1384" t="str">
        <f ca="1">IFERROR(__xludf.DUMMYFUNCTION("""COMPUTED_VALUE"""),"#VALUE!")</f>
        <v>#VALUE!</v>
      </c>
      <c r="CY1384" t="str">
        <f ca="1">IFERROR(__xludf.DUMMYFUNCTION("""COMPUTED_VALUE"""),"#VALUE!")</f>
        <v>#VALUE!</v>
      </c>
      <c r="DC1384" t="str">
        <f ca="1">IFERROR(__xludf.DUMMYFUNCTION("""COMPUTED_VALUE"""),"#VALUE!")</f>
        <v>#VALUE!</v>
      </c>
      <c r="DE1384" t="str">
        <f ca="1">IFERROR(__xludf.DUMMYFUNCTION("""COMPUTED_VALUE"""),"#VALUE!")</f>
        <v>#VALUE!</v>
      </c>
    </row>
    <row r="1385" spans="1:109" ht="13.2" x14ac:dyDescent="0.25">
      <c r="A1385" t="str">
        <f ca="1">IFERROR(__xludf.DUMMYFUNCTION("""COMPUTED_VALUE"""),"P1394")</f>
        <v>P1394</v>
      </c>
      <c r="BC1385" t="str">
        <f ca="1">IFERROR(__xludf.DUMMYFUNCTION("""COMPUTED_VALUE"""),"#VALUE!")</f>
        <v>#VALUE!</v>
      </c>
      <c r="BE1385" t="str">
        <f ca="1">IFERROR(__xludf.DUMMYFUNCTION("""COMPUTED_VALUE"""),"#VALUE!")</f>
        <v>#VALUE!</v>
      </c>
      <c r="BG1385" t="str">
        <f ca="1">IFERROR(__xludf.DUMMYFUNCTION("""COMPUTED_VALUE"""),"#VALUE!")</f>
        <v>#VALUE!</v>
      </c>
      <c r="BI1385" t="str">
        <f ca="1">IFERROR(__xludf.DUMMYFUNCTION("""COMPUTED_VALUE"""),"#VALUE!")</f>
        <v>#VALUE!</v>
      </c>
      <c r="BK1385" t="str">
        <f ca="1">IFERROR(__xludf.DUMMYFUNCTION("""COMPUTED_VALUE"""),"#VALUE!")</f>
        <v>#VALUE!</v>
      </c>
      <c r="BM1385" t="str">
        <f ca="1">IFERROR(__xludf.DUMMYFUNCTION("""COMPUTED_VALUE"""),"#VALUE!")</f>
        <v>#VALUE!</v>
      </c>
      <c r="CS1385" t="str">
        <f ca="1">IFERROR(__xludf.DUMMYFUNCTION("""COMPUTED_VALUE"""),"#VALUE!")</f>
        <v>#VALUE!</v>
      </c>
      <c r="CU1385" t="str">
        <f ca="1">IFERROR(__xludf.DUMMYFUNCTION("""COMPUTED_VALUE"""),"#VALUE!")</f>
        <v>#VALUE!</v>
      </c>
      <c r="CW1385" t="str">
        <f ca="1">IFERROR(__xludf.DUMMYFUNCTION("""COMPUTED_VALUE"""),"#VALUE!")</f>
        <v>#VALUE!</v>
      </c>
      <c r="CY1385" t="str">
        <f ca="1">IFERROR(__xludf.DUMMYFUNCTION("""COMPUTED_VALUE"""),"#VALUE!")</f>
        <v>#VALUE!</v>
      </c>
      <c r="DC1385" t="str">
        <f ca="1">IFERROR(__xludf.DUMMYFUNCTION("""COMPUTED_VALUE"""),"#VALUE!")</f>
        <v>#VALUE!</v>
      </c>
      <c r="DE1385" t="str">
        <f ca="1">IFERROR(__xludf.DUMMYFUNCTION("""COMPUTED_VALUE"""),"#VALUE!")</f>
        <v>#VALUE!</v>
      </c>
    </row>
    <row r="1386" spans="1:109" ht="13.2" x14ac:dyDescent="0.25">
      <c r="A1386" t="str">
        <f ca="1">IFERROR(__xludf.DUMMYFUNCTION("""COMPUTED_VALUE"""),"P1395")</f>
        <v>P1395</v>
      </c>
      <c r="BC1386" t="str">
        <f ca="1">IFERROR(__xludf.DUMMYFUNCTION("""COMPUTED_VALUE"""),"#VALUE!")</f>
        <v>#VALUE!</v>
      </c>
      <c r="BE1386" t="str">
        <f ca="1">IFERROR(__xludf.DUMMYFUNCTION("""COMPUTED_VALUE"""),"#VALUE!")</f>
        <v>#VALUE!</v>
      </c>
      <c r="BG1386" t="str">
        <f ca="1">IFERROR(__xludf.DUMMYFUNCTION("""COMPUTED_VALUE"""),"#VALUE!")</f>
        <v>#VALUE!</v>
      </c>
      <c r="BI1386" t="str">
        <f ca="1">IFERROR(__xludf.DUMMYFUNCTION("""COMPUTED_VALUE"""),"#VALUE!")</f>
        <v>#VALUE!</v>
      </c>
      <c r="BK1386" t="str">
        <f ca="1">IFERROR(__xludf.DUMMYFUNCTION("""COMPUTED_VALUE"""),"#VALUE!")</f>
        <v>#VALUE!</v>
      </c>
      <c r="BM1386" t="str">
        <f ca="1">IFERROR(__xludf.DUMMYFUNCTION("""COMPUTED_VALUE"""),"#VALUE!")</f>
        <v>#VALUE!</v>
      </c>
      <c r="CS1386" t="str">
        <f ca="1">IFERROR(__xludf.DUMMYFUNCTION("""COMPUTED_VALUE"""),"#VALUE!")</f>
        <v>#VALUE!</v>
      </c>
      <c r="CU1386" t="str">
        <f ca="1">IFERROR(__xludf.DUMMYFUNCTION("""COMPUTED_VALUE"""),"#VALUE!")</f>
        <v>#VALUE!</v>
      </c>
      <c r="CW1386" t="str">
        <f ca="1">IFERROR(__xludf.DUMMYFUNCTION("""COMPUTED_VALUE"""),"#VALUE!")</f>
        <v>#VALUE!</v>
      </c>
      <c r="CY1386" t="str">
        <f ca="1">IFERROR(__xludf.DUMMYFUNCTION("""COMPUTED_VALUE"""),"#VALUE!")</f>
        <v>#VALUE!</v>
      </c>
      <c r="DC1386" t="str">
        <f ca="1">IFERROR(__xludf.DUMMYFUNCTION("""COMPUTED_VALUE"""),"#VALUE!")</f>
        <v>#VALUE!</v>
      </c>
      <c r="DE1386" t="str">
        <f ca="1">IFERROR(__xludf.DUMMYFUNCTION("""COMPUTED_VALUE"""),"#VALUE!")</f>
        <v>#VALUE!</v>
      </c>
    </row>
    <row r="1387" spans="1:109" ht="13.2" x14ac:dyDescent="0.25">
      <c r="A1387" t="str">
        <f ca="1">IFERROR(__xludf.DUMMYFUNCTION("""COMPUTED_VALUE"""),"P1396")</f>
        <v>P1396</v>
      </c>
      <c r="BC1387" t="str">
        <f ca="1">IFERROR(__xludf.DUMMYFUNCTION("""COMPUTED_VALUE"""),"#VALUE!")</f>
        <v>#VALUE!</v>
      </c>
      <c r="BE1387" t="str">
        <f ca="1">IFERROR(__xludf.DUMMYFUNCTION("""COMPUTED_VALUE"""),"#VALUE!")</f>
        <v>#VALUE!</v>
      </c>
      <c r="BG1387" t="str">
        <f ca="1">IFERROR(__xludf.DUMMYFUNCTION("""COMPUTED_VALUE"""),"#VALUE!")</f>
        <v>#VALUE!</v>
      </c>
      <c r="BI1387" t="str">
        <f ca="1">IFERROR(__xludf.DUMMYFUNCTION("""COMPUTED_VALUE"""),"#VALUE!")</f>
        <v>#VALUE!</v>
      </c>
      <c r="BK1387" t="str">
        <f ca="1">IFERROR(__xludf.DUMMYFUNCTION("""COMPUTED_VALUE"""),"#VALUE!")</f>
        <v>#VALUE!</v>
      </c>
      <c r="BM1387" t="str">
        <f ca="1">IFERROR(__xludf.DUMMYFUNCTION("""COMPUTED_VALUE"""),"#VALUE!")</f>
        <v>#VALUE!</v>
      </c>
      <c r="CS1387" t="str">
        <f ca="1">IFERROR(__xludf.DUMMYFUNCTION("""COMPUTED_VALUE"""),"#VALUE!")</f>
        <v>#VALUE!</v>
      </c>
      <c r="CU1387" t="str">
        <f ca="1">IFERROR(__xludf.DUMMYFUNCTION("""COMPUTED_VALUE"""),"#VALUE!")</f>
        <v>#VALUE!</v>
      </c>
      <c r="CW1387" t="str">
        <f ca="1">IFERROR(__xludf.DUMMYFUNCTION("""COMPUTED_VALUE"""),"#VALUE!")</f>
        <v>#VALUE!</v>
      </c>
      <c r="CY1387" t="str">
        <f ca="1">IFERROR(__xludf.DUMMYFUNCTION("""COMPUTED_VALUE"""),"#VALUE!")</f>
        <v>#VALUE!</v>
      </c>
      <c r="DC1387" t="str">
        <f ca="1">IFERROR(__xludf.DUMMYFUNCTION("""COMPUTED_VALUE"""),"#VALUE!")</f>
        <v>#VALUE!</v>
      </c>
      <c r="DE1387" t="str">
        <f ca="1">IFERROR(__xludf.DUMMYFUNCTION("""COMPUTED_VALUE"""),"#VALUE!")</f>
        <v>#VALUE!</v>
      </c>
    </row>
    <row r="1388" spans="1:109" ht="13.2" x14ac:dyDescent="0.25">
      <c r="A1388" t="str">
        <f ca="1">IFERROR(__xludf.DUMMYFUNCTION("""COMPUTED_VALUE"""),"P1397")</f>
        <v>P1397</v>
      </c>
      <c r="BC1388" t="str">
        <f ca="1">IFERROR(__xludf.DUMMYFUNCTION("""COMPUTED_VALUE"""),"#VALUE!")</f>
        <v>#VALUE!</v>
      </c>
      <c r="BE1388" t="str">
        <f ca="1">IFERROR(__xludf.DUMMYFUNCTION("""COMPUTED_VALUE"""),"#VALUE!")</f>
        <v>#VALUE!</v>
      </c>
      <c r="BG1388" t="str">
        <f ca="1">IFERROR(__xludf.DUMMYFUNCTION("""COMPUTED_VALUE"""),"#VALUE!")</f>
        <v>#VALUE!</v>
      </c>
      <c r="BI1388" t="str">
        <f ca="1">IFERROR(__xludf.DUMMYFUNCTION("""COMPUTED_VALUE"""),"#VALUE!")</f>
        <v>#VALUE!</v>
      </c>
      <c r="BK1388" t="str">
        <f ca="1">IFERROR(__xludf.DUMMYFUNCTION("""COMPUTED_VALUE"""),"#VALUE!")</f>
        <v>#VALUE!</v>
      </c>
      <c r="BM1388" t="str">
        <f ca="1">IFERROR(__xludf.DUMMYFUNCTION("""COMPUTED_VALUE"""),"#VALUE!")</f>
        <v>#VALUE!</v>
      </c>
      <c r="CS1388" t="str">
        <f ca="1">IFERROR(__xludf.DUMMYFUNCTION("""COMPUTED_VALUE"""),"#VALUE!")</f>
        <v>#VALUE!</v>
      </c>
      <c r="CU1388" t="str">
        <f ca="1">IFERROR(__xludf.DUMMYFUNCTION("""COMPUTED_VALUE"""),"#VALUE!")</f>
        <v>#VALUE!</v>
      </c>
      <c r="CW1388" t="str">
        <f ca="1">IFERROR(__xludf.DUMMYFUNCTION("""COMPUTED_VALUE"""),"#VALUE!")</f>
        <v>#VALUE!</v>
      </c>
      <c r="CY1388" t="str">
        <f ca="1">IFERROR(__xludf.DUMMYFUNCTION("""COMPUTED_VALUE"""),"#VALUE!")</f>
        <v>#VALUE!</v>
      </c>
      <c r="DC1388" t="str">
        <f ca="1">IFERROR(__xludf.DUMMYFUNCTION("""COMPUTED_VALUE"""),"#VALUE!")</f>
        <v>#VALUE!</v>
      </c>
      <c r="DE1388" t="str">
        <f ca="1">IFERROR(__xludf.DUMMYFUNCTION("""COMPUTED_VALUE"""),"#VALUE!")</f>
        <v>#VALUE!</v>
      </c>
    </row>
    <row r="1389" spans="1:109" ht="13.2" x14ac:dyDescent="0.25">
      <c r="A1389" t="str">
        <f ca="1">IFERROR(__xludf.DUMMYFUNCTION("""COMPUTED_VALUE"""),"P1398")</f>
        <v>P1398</v>
      </c>
      <c r="BC1389" t="str">
        <f ca="1">IFERROR(__xludf.DUMMYFUNCTION("""COMPUTED_VALUE"""),"#VALUE!")</f>
        <v>#VALUE!</v>
      </c>
      <c r="BE1389" t="str">
        <f ca="1">IFERROR(__xludf.DUMMYFUNCTION("""COMPUTED_VALUE"""),"#VALUE!")</f>
        <v>#VALUE!</v>
      </c>
      <c r="BG1389" t="str">
        <f ca="1">IFERROR(__xludf.DUMMYFUNCTION("""COMPUTED_VALUE"""),"#VALUE!")</f>
        <v>#VALUE!</v>
      </c>
      <c r="BI1389" t="str">
        <f ca="1">IFERROR(__xludf.DUMMYFUNCTION("""COMPUTED_VALUE"""),"#VALUE!")</f>
        <v>#VALUE!</v>
      </c>
      <c r="BK1389" t="str">
        <f ca="1">IFERROR(__xludf.DUMMYFUNCTION("""COMPUTED_VALUE"""),"#VALUE!")</f>
        <v>#VALUE!</v>
      </c>
      <c r="BM1389" t="str">
        <f ca="1">IFERROR(__xludf.DUMMYFUNCTION("""COMPUTED_VALUE"""),"#VALUE!")</f>
        <v>#VALUE!</v>
      </c>
      <c r="CS1389" t="str">
        <f ca="1">IFERROR(__xludf.DUMMYFUNCTION("""COMPUTED_VALUE"""),"#VALUE!")</f>
        <v>#VALUE!</v>
      </c>
      <c r="CU1389" t="str">
        <f ca="1">IFERROR(__xludf.DUMMYFUNCTION("""COMPUTED_VALUE"""),"#VALUE!")</f>
        <v>#VALUE!</v>
      </c>
      <c r="CW1389" t="str">
        <f ca="1">IFERROR(__xludf.DUMMYFUNCTION("""COMPUTED_VALUE"""),"#VALUE!")</f>
        <v>#VALUE!</v>
      </c>
      <c r="CY1389" t="str">
        <f ca="1">IFERROR(__xludf.DUMMYFUNCTION("""COMPUTED_VALUE"""),"#VALUE!")</f>
        <v>#VALUE!</v>
      </c>
      <c r="DC1389" t="str">
        <f ca="1">IFERROR(__xludf.DUMMYFUNCTION("""COMPUTED_VALUE"""),"#VALUE!")</f>
        <v>#VALUE!</v>
      </c>
      <c r="DE1389" t="str">
        <f ca="1">IFERROR(__xludf.DUMMYFUNCTION("""COMPUTED_VALUE"""),"#VALUE!")</f>
        <v>#VALUE!</v>
      </c>
    </row>
    <row r="1390" spans="1:109" ht="13.2" x14ac:dyDescent="0.25">
      <c r="A1390" t="str">
        <f ca="1">IFERROR(__xludf.DUMMYFUNCTION("""COMPUTED_VALUE"""),"P1399")</f>
        <v>P1399</v>
      </c>
      <c r="BC1390" t="str">
        <f ca="1">IFERROR(__xludf.DUMMYFUNCTION("""COMPUTED_VALUE"""),"#VALUE!")</f>
        <v>#VALUE!</v>
      </c>
      <c r="BE1390" t="str">
        <f ca="1">IFERROR(__xludf.DUMMYFUNCTION("""COMPUTED_VALUE"""),"#VALUE!")</f>
        <v>#VALUE!</v>
      </c>
      <c r="BG1390" t="str">
        <f ca="1">IFERROR(__xludf.DUMMYFUNCTION("""COMPUTED_VALUE"""),"#VALUE!")</f>
        <v>#VALUE!</v>
      </c>
      <c r="BI1390" t="str">
        <f ca="1">IFERROR(__xludf.DUMMYFUNCTION("""COMPUTED_VALUE"""),"#VALUE!")</f>
        <v>#VALUE!</v>
      </c>
      <c r="BK1390" t="str">
        <f ca="1">IFERROR(__xludf.DUMMYFUNCTION("""COMPUTED_VALUE"""),"#VALUE!")</f>
        <v>#VALUE!</v>
      </c>
      <c r="BM1390" t="str">
        <f ca="1">IFERROR(__xludf.DUMMYFUNCTION("""COMPUTED_VALUE"""),"#VALUE!")</f>
        <v>#VALUE!</v>
      </c>
      <c r="CS1390" t="str">
        <f ca="1">IFERROR(__xludf.DUMMYFUNCTION("""COMPUTED_VALUE"""),"#VALUE!")</f>
        <v>#VALUE!</v>
      </c>
      <c r="CU1390" t="str">
        <f ca="1">IFERROR(__xludf.DUMMYFUNCTION("""COMPUTED_VALUE"""),"#VALUE!")</f>
        <v>#VALUE!</v>
      </c>
      <c r="CW1390" t="str">
        <f ca="1">IFERROR(__xludf.DUMMYFUNCTION("""COMPUTED_VALUE"""),"#VALUE!")</f>
        <v>#VALUE!</v>
      </c>
      <c r="CY1390" t="str">
        <f ca="1">IFERROR(__xludf.DUMMYFUNCTION("""COMPUTED_VALUE"""),"#VALUE!")</f>
        <v>#VALUE!</v>
      </c>
      <c r="DC1390" t="str">
        <f ca="1">IFERROR(__xludf.DUMMYFUNCTION("""COMPUTED_VALUE"""),"#VALUE!")</f>
        <v>#VALUE!</v>
      </c>
      <c r="DE1390" t="str">
        <f ca="1">IFERROR(__xludf.DUMMYFUNCTION("""COMPUTED_VALUE"""),"#VALUE!")</f>
        <v>#VALUE!</v>
      </c>
    </row>
    <row r="1391" spans="1:109" ht="13.2" x14ac:dyDescent="0.25">
      <c r="A1391" t="str">
        <f ca="1">IFERROR(__xludf.DUMMYFUNCTION("""COMPUTED_VALUE"""),"P1400")</f>
        <v>P1400</v>
      </c>
      <c r="BC1391" t="str">
        <f ca="1">IFERROR(__xludf.DUMMYFUNCTION("""COMPUTED_VALUE"""),"#VALUE!")</f>
        <v>#VALUE!</v>
      </c>
      <c r="BE1391" t="str">
        <f ca="1">IFERROR(__xludf.DUMMYFUNCTION("""COMPUTED_VALUE"""),"#VALUE!")</f>
        <v>#VALUE!</v>
      </c>
      <c r="BG1391" t="str">
        <f ca="1">IFERROR(__xludf.DUMMYFUNCTION("""COMPUTED_VALUE"""),"#VALUE!")</f>
        <v>#VALUE!</v>
      </c>
      <c r="BI1391" t="str">
        <f ca="1">IFERROR(__xludf.DUMMYFUNCTION("""COMPUTED_VALUE"""),"#VALUE!")</f>
        <v>#VALUE!</v>
      </c>
      <c r="BK1391" t="str">
        <f ca="1">IFERROR(__xludf.DUMMYFUNCTION("""COMPUTED_VALUE"""),"#VALUE!")</f>
        <v>#VALUE!</v>
      </c>
      <c r="BM1391" t="str">
        <f ca="1">IFERROR(__xludf.DUMMYFUNCTION("""COMPUTED_VALUE"""),"#VALUE!")</f>
        <v>#VALUE!</v>
      </c>
      <c r="CS1391" t="str">
        <f ca="1">IFERROR(__xludf.DUMMYFUNCTION("""COMPUTED_VALUE"""),"#VALUE!")</f>
        <v>#VALUE!</v>
      </c>
      <c r="CU1391" t="str">
        <f ca="1">IFERROR(__xludf.DUMMYFUNCTION("""COMPUTED_VALUE"""),"#VALUE!")</f>
        <v>#VALUE!</v>
      </c>
      <c r="CW1391" t="str">
        <f ca="1">IFERROR(__xludf.DUMMYFUNCTION("""COMPUTED_VALUE"""),"#VALUE!")</f>
        <v>#VALUE!</v>
      </c>
      <c r="CY1391" t="str">
        <f ca="1">IFERROR(__xludf.DUMMYFUNCTION("""COMPUTED_VALUE"""),"#VALUE!")</f>
        <v>#VALUE!</v>
      </c>
      <c r="DC1391" t="str">
        <f ca="1">IFERROR(__xludf.DUMMYFUNCTION("""COMPUTED_VALUE"""),"#VALUE!")</f>
        <v>#VALUE!</v>
      </c>
      <c r="DE1391" t="str">
        <f ca="1">IFERROR(__xludf.DUMMYFUNCTION("""COMPUTED_VALUE"""),"#VALUE!")</f>
        <v>#VALUE!</v>
      </c>
    </row>
    <row r="1392" spans="1:109" ht="13.2" x14ac:dyDescent="0.25">
      <c r="A1392" t="str">
        <f ca="1">IFERROR(__xludf.DUMMYFUNCTION("""COMPUTED_VALUE"""),"P1401")</f>
        <v>P1401</v>
      </c>
      <c r="BC1392" t="str">
        <f ca="1">IFERROR(__xludf.DUMMYFUNCTION("""COMPUTED_VALUE"""),"#VALUE!")</f>
        <v>#VALUE!</v>
      </c>
      <c r="BE1392" t="str">
        <f ca="1">IFERROR(__xludf.DUMMYFUNCTION("""COMPUTED_VALUE"""),"#VALUE!")</f>
        <v>#VALUE!</v>
      </c>
      <c r="BG1392" t="str">
        <f ca="1">IFERROR(__xludf.DUMMYFUNCTION("""COMPUTED_VALUE"""),"#VALUE!")</f>
        <v>#VALUE!</v>
      </c>
      <c r="BI1392" t="str">
        <f ca="1">IFERROR(__xludf.DUMMYFUNCTION("""COMPUTED_VALUE"""),"#VALUE!")</f>
        <v>#VALUE!</v>
      </c>
      <c r="BK1392" t="str">
        <f ca="1">IFERROR(__xludf.DUMMYFUNCTION("""COMPUTED_VALUE"""),"#VALUE!")</f>
        <v>#VALUE!</v>
      </c>
      <c r="BM1392" t="str">
        <f ca="1">IFERROR(__xludf.DUMMYFUNCTION("""COMPUTED_VALUE"""),"#VALUE!")</f>
        <v>#VALUE!</v>
      </c>
      <c r="CS1392" t="str">
        <f ca="1">IFERROR(__xludf.DUMMYFUNCTION("""COMPUTED_VALUE"""),"#VALUE!")</f>
        <v>#VALUE!</v>
      </c>
      <c r="CU1392" t="str">
        <f ca="1">IFERROR(__xludf.DUMMYFUNCTION("""COMPUTED_VALUE"""),"#VALUE!")</f>
        <v>#VALUE!</v>
      </c>
      <c r="CW1392" t="str">
        <f ca="1">IFERROR(__xludf.DUMMYFUNCTION("""COMPUTED_VALUE"""),"#VALUE!")</f>
        <v>#VALUE!</v>
      </c>
      <c r="CY1392" t="str">
        <f ca="1">IFERROR(__xludf.DUMMYFUNCTION("""COMPUTED_VALUE"""),"#VALUE!")</f>
        <v>#VALUE!</v>
      </c>
      <c r="DC1392" t="str">
        <f ca="1">IFERROR(__xludf.DUMMYFUNCTION("""COMPUTED_VALUE"""),"#VALUE!")</f>
        <v>#VALUE!</v>
      </c>
      <c r="DE1392" t="str">
        <f ca="1">IFERROR(__xludf.DUMMYFUNCTION("""COMPUTED_VALUE"""),"#VALUE!")</f>
        <v>#VALUE!</v>
      </c>
    </row>
    <row r="1393" spans="1:109" ht="13.2" x14ac:dyDescent="0.25">
      <c r="A1393" t="str">
        <f ca="1">IFERROR(__xludf.DUMMYFUNCTION("""COMPUTED_VALUE"""),"P1402")</f>
        <v>P1402</v>
      </c>
      <c r="BC1393" t="str">
        <f ca="1">IFERROR(__xludf.DUMMYFUNCTION("""COMPUTED_VALUE"""),"#VALUE!")</f>
        <v>#VALUE!</v>
      </c>
      <c r="BE1393" t="str">
        <f ca="1">IFERROR(__xludf.DUMMYFUNCTION("""COMPUTED_VALUE"""),"#VALUE!")</f>
        <v>#VALUE!</v>
      </c>
      <c r="BG1393" t="str">
        <f ca="1">IFERROR(__xludf.DUMMYFUNCTION("""COMPUTED_VALUE"""),"#VALUE!")</f>
        <v>#VALUE!</v>
      </c>
      <c r="BI1393" t="str">
        <f ca="1">IFERROR(__xludf.DUMMYFUNCTION("""COMPUTED_VALUE"""),"#VALUE!")</f>
        <v>#VALUE!</v>
      </c>
      <c r="BK1393" t="str">
        <f ca="1">IFERROR(__xludf.DUMMYFUNCTION("""COMPUTED_VALUE"""),"#VALUE!")</f>
        <v>#VALUE!</v>
      </c>
      <c r="BM1393" t="str">
        <f ca="1">IFERROR(__xludf.DUMMYFUNCTION("""COMPUTED_VALUE"""),"#VALUE!")</f>
        <v>#VALUE!</v>
      </c>
      <c r="CS1393" t="str">
        <f ca="1">IFERROR(__xludf.DUMMYFUNCTION("""COMPUTED_VALUE"""),"#VALUE!")</f>
        <v>#VALUE!</v>
      </c>
      <c r="CU1393" t="str">
        <f ca="1">IFERROR(__xludf.DUMMYFUNCTION("""COMPUTED_VALUE"""),"#VALUE!")</f>
        <v>#VALUE!</v>
      </c>
      <c r="CW1393" t="str">
        <f ca="1">IFERROR(__xludf.DUMMYFUNCTION("""COMPUTED_VALUE"""),"#VALUE!")</f>
        <v>#VALUE!</v>
      </c>
      <c r="CY1393" t="str">
        <f ca="1">IFERROR(__xludf.DUMMYFUNCTION("""COMPUTED_VALUE"""),"#VALUE!")</f>
        <v>#VALUE!</v>
      </c>
      <c r="DC1393" t="str">
        <f ca="1">IFERROR(__xludf.DUMMYFUNCTION("""COMPUTED_VALUE"""),"#VALUE!")</f>
        <v>#VALUE!</v>
      </c>
      <c r="DE1393" t="str">
        <f ca="1">IFERROR(__xludf.DUMMYFUNCTION("""COMPUTED_VALUE"""),"#VALUE!")</f>
        <v>#VALUE!</v>
      </c>
    </row>
    <row r="1394" spans="1:109" ht="13.2" x14ac:dyDescent="0.25">
      <c r="A1394" t="str">
        <f ca="1">IFERROR(__xludf.DUMMYFUNCTION("""COMPUTED_VALUE"""),"P1403")</f>
        <v>P1403</v>
      </c>
      <c r="BC1394" t="str">
        <f ca="1">IFERROR(__xludf.DUMMYFUNCTION("""COMPUTED_VALUE"""),"#VALUE!")</f>
        <v>#VALUE!</v>
      </c>
      <c r="BE1394" t="str">
        <f ca="1">IFERROR(__xludf.DUMMYFUNCTION("""COMPUTED_VALUE"""),"#VALUE!")</f>
        <v>#VALUE!</v>
      </c>
      <c r="BG1394" t="str">
        <f ca="1">IFERROR(__xludf.DUMMYFUNCTION("""COMPUTED_VALUE"""),"#VALUE!")</f>
        <v>#VALUE!</v>
      </c>
      <c r="BI1394" t="str">
        <f ca="1">IFERROR(__xludf.DUMMYFUNCTION("""COMPUTED_VALUE"""),"#VALUE!")</f>
        <v>#VALUE!</v>
      </c>
      <c r="BK1394" t="str">
        <f ca="1">IFERROR(__xludf.DUMMYFUNCTION("""COMPUTED_VALUE"""),"#VALUE!")</f>
        <v>#VALUE!</v>
      </c>
      <c r="BM1394" t="str">
        <f ca="1">IFERROR(__xludf.DUMMYFUNCTION("""COMPUTED_VALUE"""),"#VALUE!")</f>
        <v>#VALUE!</v>
      </c>
      <c r="CS1394" t="str">
        <f ca="1">IFERROR(__xludf.DUMMYFUNCTION("""COMPUTED_VALUE"""),"#VALUE!")</f>
        <v>#VALUE!</v>
      </c>
      <c r="CU1394" t="str">
        <f ca="1">IFERROR(__xludf.DUMMYFUNCTION("""COMPUTED_VALUE"""),"#VALUE!")</f>
        <v>#VALUE!</v>
      </c>
      <c r="CW1394" t="str">
        <f ca="1">IFERROR(__xludf.DUMMYFUNCTION("""COMPUTED_VALUE"""),"#VALUE!")</f>
        <v>#VALUE!</v>
      </c>
      <c r="CY1394" t="str">
        <f ca="1">IFERROR(__xludf.DUMMYFUNCTION("""COMPUTED_VALUE"""),"#VALUE!")</f>
        <v>#VALUE!</v>
      </c>
      <c r="DC1394" t="str">
        <f ca="1">IFERROR(__xludf.DUMMYFUNCTION("""COMPUTED_VALUE"""),"#VALUE!")</f>
        <v>#VALUE!</v>
      </c>
      <c r="DE1394" t="str">
        <f ca="1">IFERROR(__xludf.DUMMYFUNCTION("""COMPUTED_VALUE"""),"#VALUE!")</f>
        <v>#VALUE!</v>
      </c>
    </row>
    <row r="1395" spans="1:109" ht="13.2" x14ac:dyDescent="0.25">
      <c r="A1395" t="str">
        <f ca="1">IFERROR(__xludf.DUMMYFUNCTION("""COMPUTED_VALUE"""),"P1404")</f>
        <v>P1404</v>
      </c>
      <c r="BC1395" t="str">
        <f ca="1">IFERROR(__xludf.DUMMYFUNCTION("""COMPUTED_VALUE"""),"#VALUE!")</f>
        <v>#VALUE!</v>
      </c>
      <c r="BE1395" t="str">
        <f ca="1">IFERROR(__xludf.DUMMYFUNCTION("""COMPUTED_VALUE"""),"#VALUE!")</f>
        <v>#VALUE!</v>
      </c>
      <c r="BG1395" t="str">
        <f ca="1">IFERROR(__xludf.DUMMYFUNCTION("""COMPUTED_VALUE"""),"#VALUE!")</f>
        <v>#VALUE!</v>
      </c>
      <c r="BI1395" t="str">
        <f ca="1">IFERROR(__xludf.DUMMYFUNCTION("""COMPUTED_VALUE"""),"#VALUE!")</f>
        <v>#VALUE!</v>
      </c>
      <c r="BK1395" t="str">
        <f ca="1">IFERROR(__xludf.DUMMYFUNCTION("""COMPUTED_VALUE"""),"#VALUE!")</f>
        <v>#VALUE!</v>
      </c>
      <c r="BM1395" t="str">
        <f ca="1">IFERROR(__xludf.DUMMYFUNCTION("""COMPUTED_VALUE"""),"#VALUE!")</f>
        <v>#VALUE!</v>
      </c>
      <c r="CS1395" t="str">
        <f ca="1">IFERROR(__xludf.DUMMYFUNCTION("""COMPUTED_VALUE"""),"#VALUE!")</f>
        <v>#VALUE!</v>
      </c>
      <c r="CU1395" t="str">
        <f ca="1">IFERROR(__xludf.DUMMYFUNCTION("""COMPUTED_VALUE"""),"#VALUE!")</f>
        <v>#VALUE!</v>
      </c>
      <c r="CW1395" t="str">
        <f ca="1">IFERROR(__xludf.DUMMYFUNCTION("""COMPUTED_VALUE"""),"#VALUE!")</f>
        <v>#VALUE!</v>
      </c>
      <c r="CY1395" t="str">
        <f ca="1">IFERROR(__xludf.DUMMYFUNCTION("""COMPUTED_VALUE"""),"#VALUE!")</f>
        <v>#VALUE!</v>
      </c>
      <c r="DC1395" t="str">
        <f ca="1">IFERROR(__xludf.DUMMYFUNCTION("""COMPUTED_VALUE"""),"#VALUE!")</f>
        <v>#VALUE!</v>
      </c>
      <c r="DE1395" t="str">
        <f ca="1">IFERROR(__xludf.DUMMYFUNCTION("""COMPUTED_VALUE"""),"#VALUE!")</f>
        <v>#VALUE!</v>
      </c>
    </row>
    <row r="1396" spans="1:109" ht="13.2" x14ac:dyDescent="0.25">
      <c r="A1396" t="str">
        <f ca="1">IFERROR(__xludf.DUMMYFUNCTION("""COMPUTED_VALUE"""),"P1405")</f>
        <v>P1405</v>
      </c>
      <c r="BC1396" t="str">
        <f ca="1">IFERROR(__xludf.DUMMYFUNCTION("""COMPUTED_VALUE"""),"#VALUE!")</f>
        <v>#VALUE!</v>
      </c>
      <c r="BE1396" t="str">
        <f ca="1">IFERROR(__xludf.DUMMYFUNCTION("""COMPUTED_VALUE"""),"#VALUE!")</f>
        <v>#VALUE!</v>
      </c>
      <c r="BG1396" t="str">
        <f ca="1">IFERROR(__xludf.DUMMYFUNCTION("""COMPUTED_VALUE"""),"#VALUE!")</f>
        <v>#VALUE!</v>
      </c>
      <c r="BI1396" t="str">
        <f ca="1">IFERROR(__xludf.DUMMYFUNCTION("""COMPUTED_VALUE"""),"#VALUE!")</f>
        <v>#VALUE!</v>
      </c>
      <c r="BK1396" t="str">
        <f ca="1">IFERROR(__xludf.DUMMYFUNCTION("""COMPUTED_VALUE"""),"#VALUE!")</f>
        <v>#VALUE!</v>
      </c>
      <c r="BM1396" t="str">
        <f ca="1">IFERROR(__xludf.DUMMYFUNCTION("""COMPUTED_VALUE"""),"#VALUE!")</f>
        <v>#VALUE!</v>
      </c>
      <c r="CS1396" t="str">
        <f ca="1">IFERROR(__xludf.DUMMYFUNCTION("""COMPUTED_VALUE"""),"#VALUE!")</f>
        <v>#VALUE!</v>
      </c>
      <c r="CU1396" t="str">
        <f ca="1">IFERROR(__xludf.DUMMYFUNCTION("""COMPUTED_VALUE"""),"#VALUE!")</f>
        <v>#VALUE!</v>
      </c>
      <c r="CW1396" t="str">
        <f ca="1">IFERROR(__xludf.DUMMYFUNCTION("""COMPUTED_VALUE"""),"#VALUE!")</f>
        <v>#VALUE!</v>
      </c>
      <c r="CY1396" t="str">
        <f ca="1">IFERROR(__xludf.DUMMYFUNCTION("""COMPUTED_VALUE"""),"#VALUE!")</f>
        <v>#VALUE!</v>
      </c>
      <c r="DC1396" t="str">
        <f ca="1">IFERROR(__xludf.DUMMYFUNCTION("""COMPUTED_VALUE"""),"#VALUE!")</f>
        <v>#VALUE!</v>
      </c>
      <c r="DE1396" t="str">
        <f ca="1">IFERROR(__xludf.DUMMYFUNCTION("""COMPUTED_VALUE"""),"#VALUE!")</f>
        <v>#VALUE!</v>
      </c>
    </row>
    <row r="1397" spans="1:109" ht="13.2" x14ac:dyDescent="0.25">
      <c r="A1397" t="str">
        <f ca="1">IFERROR(__xludf.DUMMYFUNCTION("""COMPUTED_VALUE"""),"P1406")</f>
        <v>P1406</v>
      </c>
      <c r="BC1397" t="str">
        <f ca="1">IFERROR(__xludf.DUMMYFUNCTION("""COMPUTED_VALUE"""),"#VALUE!")</f>
        <v>#VALUE!</v>
      </c>
      <c r="BE1397" t="str">
        <f ca="1">IFERROR(__xludf.DUMMYFUNCTION("""COMPUTED_VALUE"""),"#VALUE!")</f>
        <v>#VALUE!</v>
      </c>
      <c r="BG1397" t="str">
        <f ca="1">IFERROR(__xludf.DUMMYFUNCTION("""COMPUTED_VALUE"""),"#VALUE!")</f>
        <v>#VALUE!</v>
      </c>
      <c r="BI1397" t="str">
        <f ca="1">IFERROR(__xludf.DUMMYFUNCTION("""COMPUTED_VALUE"""),"#VALUE!")</f>
        <v>#VALUE!</v>
      </c>
      <c r="BK1397" t="str">
        <f ca="1">IFERROR(__xludf.DUMMYFUNCTION("""COMPUTED_VALUE"""),"#VALUE!")</f>
        <v>#VALUE!</v>
      </c>
      <c r="BM1397" t="str">
        <f ca="1">IFERROR(__xludf.DUMMYFUNCTION("""COMPUTED_VALUE"""),"#VALUE!")</f>
        <v>#VALUE!</v>
      </c>
      <c r="CS1397" t="str">
        <f ca="1">IFERROR(__xludf.DUMMYFUNCTION("""COMPUTED_VALUE"""),"#VALUE!")</f>
        <v>#VALUE!</v>
      </c>
      <c r="CU1397" t="str">
        <f ca="1">IFERROR(__xludf.DUMMYFUNCTION("""COMPUTED_VALUE"""),"#VALUE!")</f>
        <v>#VALUE!</v>
      </c>
      <c r="CW1397" t="str">
        <f ca="1">IFERROR(__xludf.DUMMYFUNCTION("""COMPUTED_VALUE"""),"#VALUE!")</f>
        <v>#VALUE!</v>
      </c>
      <c r="CY1397" t="str">
        <f ca="1">IFERROR(__xludf.DUMMYFUNCTION("""COMPUTED_VALUE"""),"#VALUE!")</f>
        <v>#VALUE!</v>
      </c>
      <c r="DC1397" t="str">
        <f ca="1">IFERROR(__xludf.DUMMYFUNCTION("""COMPUTED_VALUE"""),"#VALUE!")</f>
        <v>#VALUE!</v>
      </c>
      <c r="DE1397" t="str">
        <f ca="1">IFERROR(__xludf.DUMMYFUNCTION("""COMPUTED_VALUE"""),"#VALUE!")</f>
        <v>#VALUE!</v>
      </c>
    </row>
    <row r="1398" spans="1:109" ht="13.2" x14ac:dyDescent="0.25">
      <c r="A1398" t="str">
        <f ca="1">IFERROR(__xludf.DUMMYFUNCTION("""COMPUTED_VALUE"""),"P1407")</f>
        <v>P1407</v>
      </c>
      <c r="BC1398" t="str">
        <f ca="1">IFERROR(__xludf.DUMMYFUNCTION("""COMPUTED_VALUE"""),"#VALUE!")</f>
        <v>#VALUE!</v>
      </c>
      <c r="BE1398" t="str">
        <f ca="1">IFERROR(__xludf.DUMMYFUNCTION("""COMPUTED_VALUE"""),"#VALUE!")</f>
        <v>#VALUE!</v>
      </c>
      <c r="BG1398" t="str">
        <f ca="1">IFERROR(__xludf.DUMMYFUNCTION("""COMPUTED_VALUE"""),"#VALUE!")</f>
        <v>#VALUE!</v>
      </c>
      <c r="BI1398" t="str">
        <f ca="1">IFERROR(__xludf.DUMMYFUNCTION("""COMPUTED_VALUE"""),"#VALUE!")</f>
        <v>#VALUE!</v>
      </c>
      <c r="BK1398" t="str">
        <f ca="1">IFERROR(__xludf.DUMMYFUNCTION("""COMPUTED_VALUE"""),"#VALUE!")</f>
        <v>#VALUE!</v>
      </c>
      <c r="BM1398" t="str">
        <f ca="1">IFERROR(__xludf.DUMMYFUNCTION("""COMPUTED_VALUE"""),"#VALUE!")</f>
        <v>#VALUE!</v>
      </c>
      <c r="CS1398" t="str">
        <f ca="1">IFERROR(__xludf.DUMMYFUNCTION("""COMPUTED_VALUE"""),"#VALUE!")</f>
        <v>#VALUE!</v>
      </c>
      <c r="CU1398" t="str">
        <f ca="1">IFERROR(__xludf.DUMMYFUNCTION("""COMPUTED_VALUE"""),"#VALUE!")</f>
        <v>#VALUE!</v>
      </c>
      <c r="CW1398" t="str">
        <f ca="1">IFERROR(__xludf.DUMMYFUNCTION("""COMPUTED_VALUE"""),"#VALUE!")</f>
        <v>#VALUE!</v>
      </c>
      <c r="CY1398" t="str">
        <f ca="1">IFERROR(__xludf.DUMMYFUNCTION("""COMPUTED_VALUE"""),"#VALUE!")</f>
        <v>#VALUE!</v>
      </c>
      <c r="DC1398" t="str">
        <f ca="1">IFERROR(__xludf.DUMMYFUNCTION("""COMPUTED_VALUE"""),"#VALUE!")</f>
        <v>#VALUE!</v>
      </c>
      <c r="DE1398" t="str">
        <f ca="1">IFERROR(__xludf.DUMMYFUNCTION("""COMPUTED_VALUE"""),"#VALUE!")</f>
        <v>#VALUE!</v>
      </c>
    </row>
    <row r="1399" spans="1:109" ht="13.2" x14ac:dyDescent="0.25">
      <c r="A1399" t="str">
        <f ca="1">IFERROR(__xludf.DUMMYFUNCTION("""COMPUTED_VALUE"""),"P1408")</f>
        <v>P1408</v>
      </c>
      <c r="BC1399" t="str">
        <f ca="1">IFERROR(__xludf.DUMMYFUNCTION("""COMPUTED_VALUE"""),"#VALUE!")</f>
        <v>#VALUE!</v>
      </c>
      <c r="BE1399" t="str">
        <f ca="1">IFERROR(__xludf.DUMMYFUNCTION("""COMPUTED_VALUE"""),"#VALUE!")</f>
        <v>#VALUE!</v>
      </c>
      <c r="BG1399" t="str">
        <f ca="1">IFERROR(__xludf.DUMMYFUNCTION("""COMPUTED_VALUE"""),"#VALUE!")</f>
        <v>#VALUE!</v>
      </c>
      <c r="BI1399" t="str">
        <f ca="1">IFERROR(__xludf.DUMMYFUNCTION("""COMPUTED_VALUE"""),"#VALUE!")</f>
        <v>#VALUE!</v>
      </c>
      <c r="BK1399" t="str">
        <f ca="1">IFERROR(__xludf.DUMMYFUNCTION("""COMPUTED_VALUE"""),"#VALUE!")</f>
        <v>#VALUE!</v>
      </c>
      <c r="BM1399" t="str">
        <f ca="1">IFERROR(__xludf.DUMMYFUNCTION("""COMPUTED_VALUE"""),"#VALUE!")</f>
        <v>#VALUE!</v>
      </c>
      <c r="CS1399" t="str">
        <f ca="1">IFERROR(__xludf.DUMMYFUNCTION("""COMPUTED_VALUE"""),"#VALUE!")</f>
        <v>#VALUE!</v>
      </c>
      <c r="CU1399" t="str">
        <f ca="1">IFERROR(__xludf.DUMMYFUNCTION("""COMPUTED_VALUE"""),"#VALUE!")</f>
        <v>#VALUE!</v>
      </c>
      <c r="CW1399" t="str">
        <f ca="1">IFERROR(__xludf.DUMMYFUNCTION("""COMPUTED_VALUE"""),"#VALUE!")</f>
        <v>#VALUE!</v>
      </c>
      <c r="CY1399" t="str">
        <f ca="1">IFERROR(__xludf.DUMMYFUNCTION("""COMPUTED_VALUE"""),"#VALUE!")</f>
        <v>#VALUE!</v>
      </c>
      <c r="DC1399" t="str">
        <f ca="1">IFERROR(__xludf.DUMMYFUNCTION("""COMPUTED_VALUE"""),"#VALUE!")</f>
        <v>#VALUE!</v>
      </c>
      <c r="DE1399" t="str">
        <f ca="1">IFERROR(__xludf.DUMMYFUNCTION("""COMPUTED_VALUE"""),"#VALUE!")</f>
        <v>#VALUE!</v>
      </c>
    </row>
    <row r="1400" spans="1:109" ht="13.2" x14ac:dyDescent="0.25">
      <c r="A1400" t="str">
        <f ca="1">IFERROR(__xludf.DUMMYFUNCTION("""COMPUTED_VALUE"""),"P1409")</f>
        <v>P1409</v>
      </c>
      <c r="BC1400" t="str">
        <f ca="1">IFERROR(__xludf.DUMMYFUNCTION("""COMPUTED_VALUE"""),"#VALUE!")</f>
        <v>#VALUE!</v>
      </c>
      <c r="BE1400" t="str">
        <f ca="1">IFERROR(__xludf.DUMMYFUNCTION("""COMPUTED_VALUE"""),"#VALUE!")</f>
        <v>#VALUE!</v>
      </c>
      <c r="BG1400" t="str">
        <f ca="1">IFERROR(__xludf.DUMMYFUNCTION("""COMPUTED_VALUE"""),"#VALUE!")</f>
        <v>#VALUE!</v>
      </c>
      <c r="BI1400" t="str">
        <f ca="1">IFERROR(__xludf.DUMMYFUNCTION("""COMPUTED_VALUE"""),"#VALUE!")</f>
        <v>#VALUE!</v>
      </c>
      <c r="BK1400" t="str">
        <f ca="1">IFERROR(__xludf.DUMMYFUNCTION("""COMPUTED_VALUE"""),"#VALUE!")</f>
        <v>#VALUE!</v>
      </c>
      <c r="BM1400" t="str">
        <f ca="1">IFERROR(__xludf.DUMMYFUNCTION("""COMPUTED_VALUE"""),"#VALUE!")</f>
        <v>#VALUE!</v>
      </c>
      <c r="CS1400" t="str">
        <f ca="1">IFERROR(__xludf.DUMMYFUNCTION("""COMPUTED_VALUE"""),"#VALUE!")</f>
        <v>#VALUE!</v>
      </c>
      <c r="CU1400" t="str">
        <f ca="1">IFERROR(__xludf.DUMMYFUNCTION("""COMPUTED_VALUE"""),"#VALUE!")</f>
        <v>#VALUE!</v>
      </c>
      <c r="CW1400" t="str">
        <f ca="1">IFERROR(__xludf.DUMMYFUNCTION("""COMPUTED_VALUE"""),"#VALUE!")</f>
        <v>#VALUE!</v>
      </c>
      <c r="CY1400" t="str">
        <f ca="1">IFERROR(__xludf.DUMMYFUNCTION("""COMPUTED_VALUE"""),"#VALUE!")</f>
        <v>#VALUE!</v>
      </c>
      <c r="DC1400" t="str">
        <f ca="1">IFERROR(__xludf.DUMMYFUNCTION("""COMPUTED_VALUE"""),"#VALUE!")</f>
        <v>#VALUE!</v>
      </c>
      <c r="DE1400" t="str">
        <f ca="1">IFERROR(__xludf.DUMMYFUNCTION("""COMPUTED_VALUE"""),"#VALUE!")</f>
        <v>#VALUE!</v>
      </c>
    </row>
    <row r="1401" spans="1:109" ht="13.2" x14ac:dyDescent="0.25">
      <c r="A1401" t="str">
        <f ca="1">IFERROR(__xludf.DUMMYFUNCTION("""COMPUTED_VALUE"""),"P1410")</f>
        <v>P1410</v>
      </c>
      <c r="BC1401" t="str">
        <f ca="1">IFERROR(__xludf.DUMMYFUNCTION("""COMPUTED_VALUE"""),"#VALUE!")</f>
        <v>#VALUE!</v>
      </c>
      <c r="BE1401" t="str">
        <f ca="1">IFERROR(__xludf.DUMMYFUNCTION("""COMPUTED_VALUE"""),"#VALUE!")</f>
        <v>#VALUE!</v>
      </c>
      <c r="BG1401" t="str">
        <f ca="1">IFERROR(__xludf.DUMMYFUNCTION("""COMPUTED_VALUE"""),"#VALUE!")</f>
        <v>#VALUE!</v>
      </c>
      <c r="BI1401" t="str">
        <f ca="1">IFERROR(__xludf.DUMMYFUNCTION("""COMPUTED_VALUE"""),"#VALUE!")</f>
        <v>#VALUE!</v>
      </c>
      <c r="BK1401" t="str">
        <f ca="1">IFERROR(__xludf.DUMMYFUNCTION("""COMPUTED_VALUE"""),"#VALUE!")</f>
        <v>#VALUE!</v>
      </c>
      <c r="BM1401" t="str">
        <f ca="1">IFERROR(__xludf.DUMMYFUNCTION("""COMPUTED_VALUE"""),"#VALUE!")</f>
        <v>#VALUE!</v>
      </c>
      <c r="CS1401" t="str">
        <f ca="1">IFERROR(__xludf.DUMMYFUNCTION("""COMPUTED_VALUE"""),"#VALUE!")</f>
        <v>#VALUE!</v>
      </c>
      <c r="CU1401" t="str">
        <f ca="1">IFERROR(__xludf.DUMMYFUNCTION("""COMPUTED_VALUE"""),"#VALUE!")</f>
        <v>#VALUE!</v>
      </c>
      <c r="CW1401" t="str">
        <f ca="1">IFERROR(__xludf.DUMMYFUNCTION("""COMPUTED_VALUE"""),"#VALUE!")</f>
        <v>#VALUE!</v>
      </c>
      <c r="CY1401" t="str">
        <f ca="1">IFERROR(__xludf.DUMMYFUNCTION("""COMPUTED_VALUE"""),"#VALUE!")</f>
        <v>#VALUE!</v>
      </c>
      <c r="DC1401" t="str">
        <f ca="1">IFERROR(__xludf.DUMMYFUNCTION("""COMPUTED_VALUE"""),"#VALUE!")</f>
        <v>#VALUE!</v>
      </c>
      <c r="DE1401" t="str">
        <f ca="1">IFERROR(__xludf.DUMMYFUNCTION("""COMPUTED_VALUE"""),"#VALUE!")</f>
        <v>#VALUE!</v>
      </c>
    </row>
    <row r="1402" spans="1:109" ht="13.2" x14ac:dyDescent="0.25">
      <c r="A1402" t="str">
        <f ca="1">IFERROR(__xludf.DUMMYFUNCTION("""COMPUTED_VALUE"""),"P1411")</f>
        <v>P1411</v>
      </c>
      <c r="BC1402" t="str">
        <f ca="1">IFERROR(__xludf.DUMMYFUNCTION("""COMPUTED_VALUE"""),"#VALUE!")</f>
        <v>#VALUE!</v>
      </c>
      <c r="BE1402" t="str">
        <f ca="1">IFERROR(__xludf.DUMMYFUNCTION("""COMPUTED_VALUE"""),"#VALUE!")</f>
        <v>#VALUE!</v>
      </c>
      <c r="BG1402" t="str">
        <f ca="1">IFERROR(__xludf.DUMMYFUNCTION("""COMPUTED_VALUE"""),"#VALUE!")</f>
        <v>#VALUE!</v>
      </c>
      <c r="BI1402" t="str">
        <f ca="1">IFERROR(__xludf.DUMMYFUNCTION("""COMPUTED_VALUE"""),"#VALUE!")</f>
        <v>#VALUE!</v>
      </c>
      <c r="BK1402" t="str">
        <f ca="1">IFERROR(__xludf.DUMMYFUNCTION("""COMPUTED_VALUE"""),"#VALUE!")</f>
        <v>#VALUE!</v>
      </c>
      <c r="BM1402" t="str">
        <f ca="1">IFERROR(__xludf.DUMMYFUNCTION("""COMPUTED_VALUE"""),"#VALUE!")</f>
        <v>#VALUE!</v>
      </c>
      <c r="CS1402" t="str">
        <f ca="1">IFERROR(__xludf.DUMMYFUNCTION("""COMPUTED_VALUE"""),"#VALUE!")</f>
        <v>#VALUE!</v>
      </c>
      <c r="CU1402" t="str">
        <f ca="1">IFERROR(__xludf.DUMMYFUNCTION("""COMPUTED_VALUE"""),"#VALUE!")</f>
        <v>#VALUE!</v>
      </c>
      <c r="CW1402" t="str">
        <f ca="1">IFERROR(__xludf.DUMMYFUNCTION("""COMPUTED_VALUE"""),"#VALUE!")</f>
        <v>#VALUE!</v>
      </c>
      <c r="CY1402" t="str">
        <f ca="1">IFERROR(__xludf.DUMMYFUNCTION("""COMPUTED_VALUE"""),"#VALUE!")</f>
        <v>#VALUE!</v>
      </c>
      <c r="DC1402" t="str">
        <f ca="1">IFERROR(__xludf.DUMMYFUNCTION("""COMPUTED_VALUE"""),"#VALUE!")</f>
        <v>#VALUE!</v>
      </c>
      <c r="DE1402" t="str">
        <f ca="1">IFERROR(__xludf.DUMMYFUNCTION("""COMPUTED_VALUE"""),"#VALUE!")</f>
        <v>#VALUE!</v>
      </c>
    </row>
    <row r="1403" spans="1:109" ht="13.2" x14ac:dyDescent="0.25">
      <c r="A1403" t="str">
        <f ca="1">IFERROR(__xludf.DUMMYFUNCTION("""COMPUTED_VALUE"""),"P1412")</f>
        <v>P1412</v>
      </c>
      <c r="BC1403" t="str">
        <f ca="1">IFERROR(__xludf.DUMMYFUNCTION("""COMPUTED_VALUE"""),"#VALUE!")</f>
        <v>#VALUE!</v>
      </c>
      <c r="BE1403" t="str">
        <f ca="1">IFERROR(__xludf.DUMMYFUNCTION("""COMPUTED_VALUE"""),"#VALUE!")</f>
        <v>#VALUE!</v>
      </c>
      <c r="BG1403" t="str">
        <f ca="1">IFERROR(__xludf.DUMMYFUNCTION("""COMPUTED_VALUE"""),"#VALUE!")</f>
        <v>#VALUE!</v>
      </c>
      <c r="BI1403" t="str">
        <f ca="1">IFERROR(__xludf.DUMMYFUNCTION("""COMPUTED_VALUE"""),"#VALUE!")</f>
        <v>#VALUE!</v>
      </c>
      <c r="BK1403" t="str">
        <f ca="1">IFERROR(__xludf.DUMMYFUNCTION("""COMPUTED_VALUE"""),"#VALUE!")</f>
        <v>#VALUE!</v>
      </c>
      <c r="BM1403" t="str">
        <f ca="1">IFERROR(__xludf.DUMMYFUNCTION("""COMPUTED_VALUE"""),"#VALUE!")</f>
        <v>#VALUE!</v>
      </c>
      <c r="CS1403" t="str">
        <f ca="1">IFERROR(__xludf.DUMMYFUNCTION("""COMPUTED_VALUE"""),"#VALUE!")</f>
        <v>#VALUE!</v>
      </c>
      <c r="CU1403" t="str">
        <f ca="1">IFERROR(__xludf.DUMMYFUNCTION("""COMPUTED_VALUE"""),"#VALUE!")</f>
        <v>#VALUE!</v>
      </c>
      <c r="CW1403" t="str">
        <f ca="1">IFERROR(__xludf.DUMMYFUNCTION("""COMPUTED_VALUE"""),"#VALUE!")</f>
        <v>#VALUE!</v>
      </c>
      <c r="CY1403" t="str">
        <f ca="1">IFERROR(__xludf.DUMMYFUNCTION("""COMPUTED_VALUE"""),"#VALUE!")</f>
        <v>#VALUE!</v>
      </c>
      <c r="DC1403" t="str">
        <f ca="1">IFERROR(__xludf.DUMMYFUNCTION("""COMPUTED_VALUE"""),"#VALUE!")</f>
        <v>#VALUE!</v>
      </c>
      <c r="DE1403" t="str">
        <f ca="1">IFERROR(__xludf.DUMMYFUNCTION("""COMPUTED_VALUE"""),"#VALUE!")</f>
        <v>#VALUE!</v>
      </c>
    </row>
    <row r="1404" spans="1:109" ht="13.2" x14ac:dyDescent="0.25">
      <c r="A1404" t="str">
        <f ca="1">IFERROR(__xludf.DUMMYFUNCTION("""COMPUTED_VALUE"""),"P1413")</f>
        <v>P1413</v>
      </c>
      <c r="BC1404" t="str">
        <f ca="1">IFERROR(__xludf.DUMMYFUNCTION("""COMPUTED_VALUE"""),"#VALUE!")</f>
        <v>#VALUE!</v>
      </c>
      <c r="BE1404" t="str">
        <f ca="1">IFERROR(__xludf.DUMMYFUNCTION("""COMPUTED_VALUE"""),"#VALUE!")</f>
        <v>#VALUE!</v>
      </c>
      <c r="BG1404" t="str">
        <f ca="1">IFERROR(__xludf.DUMMYFUNCTION("""COMPUTED_VALUE"""),"#VALUE!")</f>
        <v>#VALUE!</v>
      </c>
      <c r="BI1404" t="str">
        <f ca="1">IFERROR(__xludf.DUMMYFUNCTION("""COMPUTED_VALUE"""),"#VALUE!")</f>
        <v>#VALUE!</v>
      </c>
      <c r="BK1404" t="str">
        <f ca="1">IFERROR(__xludf.DUMMYFUNCTION("""COMPUTED_VALUE"""),"#VALUE!")</f>
        <v>#VALUE!</v>
      </c>
      <c r="BM1404" t="str">
        <f ca="1">IFERROR(__xludf.DUMMYFUNCTION("""COMPUTED_VALUE"""),"#VALUE!")</f>
        <v>#VALUE!</v>
      </c>
      <c r="CS1404" t="str">
        <f ca="1">IFERROR(__xludf.DUMMYFUNCTION("""COMPUTED_VALUE"""),"#VALUE!")</f>
        <v>#VALUE!</v>
      </c>
      <c r="CU1404" t="str">
        <f ca="1">IFERROR(__xludf.DUMMYFUNCTION("""COMPUTED_VALUE"""),"#VALUE!")</f>
        <v>#VALUE!</v>
      </c>
      <c r="CW1404" t="str">
        <f ca="1">IFERROR(__xludf.DUMMYFUNCTION("""COMPUTED_VALUE"""),"#VALUE!")</f>
        <v>#VALUE!</v>
      </c>
      <c r="CY1404" t="str">
        <f ca="1">IFERROR(__xludf.DUMMYFUNCTION("""COMPUTED_VALUE"""),"#VALUE!")</f>
        <v>#VALUE!</v>
      </c>
      <c r="DC1404" t="str">
        <f ca="1">IFERROR(__xludf.DUMMYFUNCTION("""COMPUTED_VALUE"""),"#VALUE!")</f>
        <v>#VALUE!</v>
      </c>
      <c r="DE1404" t="str">
        <f ca="1">IFERROR(__xludf.DUMMYFUNCTION("""COMPUTED_VALUE"""),"#VALUE!")</f>
        <v>#VALUE!</v>
      </c>
    </row>
    <row r="1405" spans="1:109" ht="13.2" x14ac:dyDescent="0.25">
      <c r="A1405" t="str">
        <f ca="1">IFERROR(__xludf.DUMMYFUNCTION("""COMPUTED_VALUE"""),"P1414")</f>
        <v>P1414</v>
      </c>
      <c r="BC1405" t="str">
        <f ca="1">IFERROR(__xludf.DUMMYFUNCTION("""COMPUTED_VALUE"""),"#VALUE!")</f>
        <v>#VALUE!</v>
      </c>
      <c r="BE1405" t="str">
        <f ca="1">IFERROR(__xludf.DUMMYFUNCTION("""COMPUTED_VALUE"""),"#VALUE!")</f>
        <v>#VALUE!</v>
      </c>
      <c r="BG1405" t="str">
        <f ca="1">IFERROR(__xludf.DUMMYFUNCTION("""COMPUTED_VALUE"""),"#VALUE!")</f>
        <v>#VALUE!</v>
      </c>
      <c r="BI1405" t="str">
        <f ca="1">IFERROR(__xludf.DUMMYFUNCTION("""COMPUTED_VALUE"""),"#VALUE!")</f>
        <v>#VALUE!</v>
      </c>
      <c r="BK1405" t="str">
        <f ca="1">IFERROR(__xludf.DUMMYFUNCTION("""COMPUTED_VALUE"""),"#VALUE!")</f>
        <v>#VALUE!</v>
      </c>
      <c r="BM1405" t="str">
        <f ca="1">IFERROR(__xludf.DUMMYFUNCTION("""COMPUTED_VALUE"""),"#VALUE!")</f>
        <v>#VALUE!</v>
      </c>
      <c r="CS1405" t="str">
        <f ca="1">IFERROR(__xludf.DUMMYFUNCTION("""COMPUTED_VALUE"""),"#VALUE!")</f>
        <v>#VALUE!</v>
      </c>
      <c r="CU1405" t="str">
        <f ca="1">IFERROR(__xludf.DUMMYFUNCTION("""COMPUTED_VALUE"""),"#VALUE!")</f>
        <v>#VALUE!</v>
      </c>
      <c r="CW1405" t="str">
        <f ca="1">IFERROR(__xludf.DUMMYFUNCTION("""COMPUTED_VALUE"""),"#VALUE!")</f>
        <v>#VALUE!</v>
      </c>
      <c r="CY1405" t="str">
        <f ca="1">IFERROR(__xludf.DUMMYFUNCTION("""COMPUTED_VALUE"""),"#VALUE!")</f>
        <v>#VALUE!</v>
      </c>
      <c r="DC1405" t="str">
        <f ca="1">IFERROR(__xludf.DUMMYFUNCTION("""COMPUTED_VALUE"""),"#VALUE!")</f>
        <v>#VALUE!</v>
      </c>
      <c r="DE1405" t="str">
        <f ca="1">IFERROR(__xludf.DUMMYFUNCTION("""COMPUTED_VALUE"""),"#VALUE!")</f>
        <v>#VALUE!</v>
      </c>
    </row>
    <row r="1406" spans="1:109" ht="13.2" x14ac:dyDescent="0.25">
      <c r="A1406" t="str">
        <f ca="1">IFERROR(__xludf.DUMMYFUNCTION("""COMPUTED_VALUE"""),"P1415")</f>
        <v>P1415</v>
      </c>
      <c r="BC1406" t="str">
        <f ca="1">IFERROR(__xludf.DUMMYFUNCTION("""COMPUTED_VALUE"""),"#VALUE!")</f>
        <v>#VALUE!</v>
      </c>
      <c r="BE1406" t="str">
        <f ca="1">IFERROR(__xludf.DUMMYFUNCTION("""COMPUTED_VALUE"""),"#VALUE!")</f>
        <v>#VALUE!</v>
      </c>
      <c r="BG1406" t="str">
        <f ca="1">IFERROR(__xludf.DUMMYFUNCTION("""COMPUTED_VALUE"""),"#VALUE!")</f>
        <v>#VALUE!</v>
      </c>
      <c r="BI1406" t="str">
        <f ca="1">IFERROR(__xludf.DUMMYFUNCTION("""COMPUTED_VALUE"""),"#VALUE!")</f>
        <v>#VALUE!</v>
      </c>
      <c r="BK1406" t="str">
        <f ca="1">IFERROR(__xludf.DUMMYFUNCTION("""COMPUTED_VALUE"""),"#VALUE!")</f>
        <v>#VALUE!</v>
      </c>
      <c r="BM1406" t="str">
        <f ca="1">IFERROR(__xludf.DUMMYFUNCTION("""COMPUTED_VALUE"""),"#VALUE!")</f>
        <v>#VALUE!</v>
      </c>
      <c r="CS1406" t="str">
        <f ca="1">IFERROR(__xludf.DUMMYFUNCTION("""COMPUTED_VALUE"""),"#VALUE!")</f>
        <v>#VALUE!</v>
      </c>
      <c r="CU1406" t="str">
        <f ca="1">IFERROR(__xludf.DUMMYFUNCTION("""COMPUTED_VALUE"""),"#VALUE!")</f>
        <v>#VALUE!</v>
      </c>
      <c r="CW1406" t="str">
        <f ca="1">IFERROR(__xludf.DUMMYFUNCTION("""COMPUTED_VALUE"""),"#VALUE!")</f>
        <v>#VALUE!</v>
      </c>
      <c r="CY1406" t="str">
        <f ca="1">IFERROR(__xludf.DUMMYFUNCTION("""COMPUTED_VALUE"""),"#VALUE!")</f>
        <v>#VALUE!</v>
      </c>
      <c r="DC1406" t="str">
        <f ca="1">IFERROR(__xludf.DUMMYFUNCTION("""COMPUTED_VALUE"""),"#VALUE!")</f>
        <v>#VALUE!</v>
      </c>
      <c r="DE1406" t="str">
        <f ca="1">IFERROR(__xludf.DUMMYFUNCTION("""COMPUTED_VALUE"""),"#VALUE!")</f>
        <v>#VALUE!</v>
      </c>
    </row>
    <row r="1407" spans="1:109" ht="13.2" x14ac:dyDescent="0.25">
      <c r="A1407" t="str">
        <f ca="1">IFERROR(__xludf.DUMMYFUNCTION("""COMPUTED_VALUE"""),"P1416")</f>
        <v>P1416</v>
      </c>
      <c r="BC1407" t="str">
        <f ca="1">IFERROR(__xludf.DUMMYFUNCTION("""COMPUTED_VALUE"""),"#VALUE!")</f>
        <v>#VALUE!</v>
      </c>
      <c r="BE1407" t="str">
        <f ca="1">IFERROR(__xludf.DUMMYFUNCTION("""COMPUTED_VALUE"""),"#VALUE!")</f>
        <v>#VALUE!</v>
      </c>
      <c r="BG1407" t="str">
        <f ca="1">IFERROR(__xludf.DUMMYFUNCTION("""COMPUTED_VALUE"""),"#VALUE!")</f>
        <v>#VALUE!</v>
      </c>
      <c r="BI1407" t="str">
        <f ca="1">IFERROR(__xludf.DUMMYFUNCTION("""COMPUTED_VALUE"""),"#VALUE!")</f>
        <v>#VALUE!</v>
      </c>
      <c r="BK1407" t="str">
        <f ca="1">IFERROR(__xludf.DUMMYFUNCTION("""COMPUTED_VALUE"""),"#VALUE!")</f>
        <v>#VALUE!</v>
      </c>
      <c r="BM1407" t="str">
        <f ca="1">IFERROR(__xludf.DUMMYFUNCTION("""COMPUTED_VALUE"""),"#VALUE!")</f>
        <v>#VALUE!</v>
      </c>
      <c r="CS1407" t="str">
        <f ca="1">IFERROR(__xludf.DUMMYFUNCTION("""COMPUTED_VALUE"""),"#VALUE!")</f>
        <v>#VALUE!</v>
      </c>
      <c r="CU1407" t="str">
        <f ca="1">IFERROR(__xludf.DUMMYFUNCTION("""COMPUTED_VALUE"""),"#VALUE!")</f>
        <v>#VALUE!</v>
      </c>
      <c r="CW1407" t="str">
        <f ca="1">IFERROR(__xludf.DUMMYFUNCTION("""COMPUTED_VALUE"""),"#VALUE!")</f>
        <v>#VALUE!</v>
      </c>
      <c r="CY1407" t="str">
        <f ca="1">IFERROR(__xludf.DUMMYFUNCTION("""COMPUTED_VALUE"""),"#VALUE!")</f>
        <v>#VALUE!</v>
      </c>
      <c r="DC1407" t="str">
        <f ca="1">IFERROR(__xludf.DUMMYFUNCTION("""COMPUTED_VALUE"""),"#VALUE!")</f>
        <v>#VALUE!</v>
      </c>
      <c r="DE1407" t="str">
        <f ca="1">IFERROR(__xludf.DUMMYFUNCTION("""COMPUTED_VALUE"""),"#VALUE!")</f>
        <v>#VALUE!</v>
      </c>
    </row>
    <row r="1408" spans="1:109" ht="13.2" x14ac:dyDescent="0.25">
      <c r="A1408" t="str">
        <f ca="1">IFERROR(__xludf.DUMMYFUNCTION("""COMPUTED_VALUE"""),"P1417")</f>
        <v>P1417</v>
      </c>
      <c r="BC1408" t="str">
        <f ca="1">IFERROR(__xludf.DUMMYFUNCTION("""COMPUTED_VALUE"""),"#VALUE!")</f>
        <v>#VALUE!</v>
      </c>
      <c r="BE1408" t="str">
        <f ca="1">IFERROR(__xludf.DUMMYFUNCTION("""COMPUTED_VALUE"""),"#VALUE!")</f>
        <v>#VALUE!</v>
      </c>
      <c r="BG1408" t="str">
        <f ca="1">IFERROR(__xludf.DUMMYFUNCTION("""COMPUTED_VALUE"""),"#VALUE!")</f>
        <v>#VALUE!</v>
      </c>
      <c r="BI1408" t="str">
        <f ca="1">IFERROR(__xludf.DUMMYFUNCTION("""COMPUTED_VALUE"""),"#VALUE!")</f>
        <v>#VALUE!</v>
      </c>
      <c r="BK1408" t="str">
        <f ca="1">IFERROR(__xludf.DUMMYFUNCTION("""COMPUTED_VALUE"""),"#VALUE!")</f>
        <v>#VALUE!</v>
      </c>
      <c r="BM1408" t="str">
        <f ca="1">IFERROR(__xludf.DUMMYFUNCTION("""COMPUTED_VALUE"""),"#VALUE!")</f>
        <v>#VALUE!</v>
      </c>
      <c r="CS1408" t="str">
        <f ca="1">IFERROR(__xludf.DUMMYFUNCTION("""COMPUTED_VALUE"""),"#VALUE!")</f>
        <v>#VALUE!</v>
      </c>
      <c r="CU1408" t="str">
        <f ca="1">IFERROR(__xludf.DUMMYFUNCTION("""COMPUTED_VALUE"""),"#VALUE!")</f>
        <v>#VALUE!</v>
      </c>
      <c r="CW1408" t="str">
        <f ca="1">IFERROR(__xludf.DUMMYFUNCTION("""COMPUTED_VALUE"""),"#VALUE!")</f>
        <v>#VALUE!</v>
      </c>
      <c r="CY1408" t="str">
        <f ca="1">IFERROR(__xludf.DUMMYFUNCTION("""COMPUTED_VALUE"""),"#VALUE!")</f>
        <v>#VALUE!</v>
      </c>
      <c r="DC1408" t="str">
        <f ca="1">IFERROR(__xludf.DUMMYFUNCTION("""COMPUTED_VALUE"""),"#VALUE!")</f>
        <v>#VALUE!</v>
      </c>
      <c r="DE1408" t="str">
        <f ca="1">IFERROR(__xludf.DUMMYFUNCTION("""COMPUTED_VALUE"""),"#VALUE!")</f>
        <v>#VALUE!</v>
      </c>
    </row>
    <row r="1409" spans="1:109" ht="13.2" x14ac:dyDescent="0.25">
      <c r="A1409" t="str">
        <f ca="1">IFERROR(__xludf.DUMMYFUNCTION("""COMPUTED_VALUE"""),"P1418")</f>
        <v>P1418</v>
      </c>
      <c r="BC1409" t="str">
        <f ca="1">IFERROR(__xludf.DUMMYFUNCTION("""COMPUTED_VALUE"""),"#VALUE!")</f>
        <v>#VALUE!</v>
      </c>
      <c r="BE1409" t="str">
        <f ca="1">IFERROR(__xludf.DUMMYFUNCTION("""COMPUTED_VALUE"""),"#VALUE!")</f>
        <v>#VALUE!</v>
      </c>
      <c r="BG1409" t="str">
        <f ca="1">IFERROR(__xludf.DUMMYFUNCTION("""COMPUTED_VALUE"""),"#VALUE!")</f>
        <v>#VALUE!</v>
      </c>
      <c r="BI1409" t="str">
        <f ca="1">IFERROR(__xludf.DUMMYFUNCTION("""COMPUTED_VALUE"""),"#VALUE!")</f>
        <v>#VALUE!</v>
      </c>
      <c r="BK1409" t="str">
        <f ca="1">IFERROR(__xludf.DUMMYFUNCTION("""COMPUTED_VALUE"""),"#VALUE!")</f>
        <v>#VALUE!</v>
      </c>
      <c r="BM1409" t="str">
        <f ca="1">IFERROR(__xludf.DUMMYFUNCTION("""COMPUTED_VALUE"""),"#VALUE!")</f>
        <v>#VALUE!</v>
      </c>
      <c r="CS1409" t="str">
        <f ca="1">IFERROR(__xludf.DUMMYFUNCTION("""COMPUTED_VALUE"""),"#VALUE!")</f>
        <v>#VALUE!</v>
      </c>
      <c r="CU1409" t="str">
        <f ca="1">IFERROR(__xludf.DUMMYFUNCTION("""COMPUTED_VALUE"""),"#VALUE!")</f>
        <v>#VALUE!</v>
      </c>
      <c r="CW1409" t="str">
        <f ca="1">IFERROR(__xludf.DUMMYFUNCTION("""COMPUTED_VALUE"""),"#VALUE!")</f>
        <v>#VALUE!</v>
      </c>
      <c r="CY1409" t="str">
        <f ca="1">IFERROR(__xludf.DUMMYFUNCTION("""COMPUTED_VALUE"""),"#VALUE!")</f>
        <v>#VALUE!</v>
      </c>
      <c r="DC1409" t="str">
        <f ca="1">IFERROR(__xludf.DUMMYFUNCTION("""COMPUTED_VALUE"""),"#VALUE!")</f>
        <v>#VALUE!</v>
      </c>
      <c r="DE1409" t="str">
        <f ca="1">IFERROR(__xludf.DUMMYFUNCTION("""COMPUTED_VALUE"""),"#VALUE!")</f>
        <v>#VALUE!</v>
      </c>
    </row>
    <row r="1410" spans="1:109" ht="13.2" x14ac:dyDescent="0.25">
      <c r="A1410" t="str">
        <f ca="1">IFERROR(__xludf.DUMMYFUNCTION("""COMPUTED_VALUE"""),"P1419")</f>
        <v>P1419</v>
      </c>
      <c r="BC1410" t="str">
        <f ca="1">IFERROR(__xludf.DUMMYFUNCTION("""COMPUTED_VALUE"""),"#VALUE!")</f>
        <v>#VALUE!</v>
      </c>
      <c r="BE1410" t="str">
        <f ca="1">IFERROR(__xludf.DUMMYFUNCTION("""COMPUTED_VALUE"""),"#VALUE!")</f>
        <v>#VALUE!</v>
      </c>
      <c r="BG1410" t="str">
        <f ca="1">IFERROR(__xludf.DUMMYFUNCTION("""COMPUTED_VALUE"""),"#VALUE!")</f>
        <v>#VALUE!</v>
      </c>
      <c r="BI1410" t="str">
        <f ca="1">IFERROR(__xludf.DUMMYFUNCTION("""COMPUTED_VALUE"""),"#VALUE!")</f>
        <v>#VALUE!</v>
      </c>
      <c r="BK1410" t="str">
        <f ca="1">IFERROR(__xludf.DUMMYFUNCTION("""COMPUTED_VALUE"""),"#VALUE!")</f>
        <v>#VALUE!</v>
      </c>
      <c r="BM1410" t="str">
        <f ca="1">IFERROR(__xludf.DUMMYFUNCTION("""COMPUTED_VALUE"""),"#VALUE!")</f>
        <v>#VALUE!</v>
      </c>
      <c r="CS1410" t="str">
        <f ca="1">IFERROR(__xludf.DUMMYFUNCTION("""COMPUTED_VALUE"""),"#VALUE!")</f>
        <v>#VALUE!</v>
      </c>
      <c r="CU1410" t="str">
        <f ca="1">IFERROR(__xludf.DUMMYFUNCTION("""COMPUTED_VALUE"""),"#VALUE!")</f>
        <v>#VALUE!</v>
      </c>
      <c r="CW1410" t="str">
        <f ca="1">IFERROR(__xludf.DUMMYFUNCTION("""COMPUTED_VALUE"""),"#VALUE!")</f>
        <v>#VALUE!</v>
      </c>
      <c r="CY1410" t="str">
        <f ca="1">IFERROR(__xludf.DUMMYFUNCTION("""COMPUTED_VALUE"""),"#VALUE!")</f>
        <v>#VALUE!</v>
      </c>
      <c r="DC1410" t="str">
        <f ca="1">IFERROR(__xludf.DUMMYFUNCTION("""COMPUTED_VALUE"""),"#VALUE!")</f>
        <v>#VALUE!</v>
      </c>
      <c r="DE1410" t="str">
        <f ca="1">IFERROR(__xludf.DUMMYFUNCTION("""COMPUTED_VALUE"""),"#VALUE!")</f>
        <v>#VALUE!</v>
      </c>
    </row>
    <row r="1411" spans="1:109" ht="13.2" x14ac:dyDescent="0.25">
      <c r="A1411" t="str">
        <f ca="1">IFERROR(__xludf.DUMMYFUNCTION("""COMPUTED_VALUE"""),"P1420")</f>
        <v>P1420</v>
      </c>
      <c r="BC1411" t="str">
        <f ca="1">IFERROR(__xludf.DUMMYFUNCTION("""COMPUTED_VALUE"""),"#VALUE!")</f>
        <v>#VALUE!</v>
      </c>
      <c r="BE1411" t="str">
        <f ca="1">IFERROR(__xludf.DUMMYFUNCTION("""COMPUTED_VALUE"""),"#VALUE!")</f>
        <v>#VALUE!</v>
      </c>
      <c r="BG1411" t="str">
        <f ca="1">IFERROR(__xludf.DUMMYFUNCTION("""COMPUTED_VALUE"""),"#VALUE!")</f>
        <v>#VALUE!</v>
      </c>
      <c r="BI1411" t="str">
        <f ca="1">IFERROR(__xludf.DUMMYFUNCTION("""COMPUTED_VALUE"""),"#VALUE!")</f>
        <v>#VALUE!</v>
      </c>
      <c r="BK1411" t="str">
        <f ca="1">IFERROR(__xludf.DUMMYFUNCTION("""COMPUTED_VALUE"""),"#VALUE!")</f>
        <v>#VALUE!</v>
      </c>
      <c r="BM1411" t="str">
        <f ca="1">IFERROR(__xludf.DUMMYFUNCTION("""COMPUTED_VALUE"""),"#VALUE!")</f>
        <v>#VALUE!</v>
      </c>
      <c r="CS1411" t="str">
        <f ca="1">IFERROR(__xludf.DUMMYFUNCTION("""COMPUTED_VALUE"""),"#VALUE!")</f>
        <v>#VALUE!</v>
      </c>
      <c r="CU1411" t="str">
        <f ca="1">IFERROR(__xludf.DUMMYFUNCTION("""COMPUTED_VALUE"""),"#VALUE!")</f>
        <v>#VALUE!</v>
      </c>
      <c r="CW1411" t="str">
        <f ca="1">IFERROR(__xludf.DUMMYFUNCTION("""COMPUTED_VALUE"""),"#VALUE!")</f>
        <v>#VALUE!</v>
      </c>
      <c r="CY1411" t="str">
        <f ca="1">IFERROR(__xludf.DUMMYFUNCTION("""COMPUTED_VALUE"""),"#VALUE!")</f>
        <v>#VALUE!</v>
      </c>
      <c r="DC1411" t="str">
        <f ca="1">IFERROR(__xludf.DUMMYFUNCTION("""COMPUTED_VALUE"""),"#VALUE!")</f>
        <v>#VALUE!</v>
      </c>
      <c r="DE1411" t="str">
        <f ca="1">IFERROR(__xludf.DUMMYFUNCTION("""COMPUTED_VALUE"""),"#VALUE!")</f>
        <v>#VALUE!</v>
      </c>
    </row>
    <row r="1412" spans="1:109" ht="13.2" x14ac:dyDescent="0.25">
      <c r="A1412" t="str">
        <f ca="1">IFERROR(__xludf.DUMMYFUNCTION("""COMPUTED_VALUE"""),"P1421")</f>
        <v>P1421</v>
      </c>
      <c r="BC1412" t="str">
        <f ca="1">IFERROR(__xludf.DUMMYFUNCTION("""COMPUTED_VALUE"""),"#VALUE!")</f>
        <v>#VALUE!</v>
      </c>
      <c r="BE1412" t="str">
        <f ca="1">IFERROR(__xludf.DUMMYFUNCTION("""COMPUTED_VALUE"""),"#VALUE!")</f>
        <v>#VALUE!</v>
      </c>
      <c r="BG1412" t="str">
        <f ca="1">IFERROR(__xludf.DUMMYFUNCTION("""COMPUTED_VALUE"""),"#VALUE!")</f>
        <v>#VALUE!</v>
      </c>
      <c r="BI1412" t="str">
        <f ca="1">IFERROR(__xludf.DUMMYFUNCTION("""COMPUTED_VALUE"""),"#VALUE!")</f>
        <v>#VALUE!</v>
      </c>
      <c r="BK1412" t="str">
        <f ca="1">IFERROR(__xludf.DUMMYFUNCTION("""COMPUTED_VALUE"""),"#VALUE!")</f>
        <v>#VALUE!</v>
      </c>
      <c r="BM1412" t="str">
        <f ca="1">IFERROR(__xludf.DUMMYFUNCTION("""COMPUTED_VALUE"""),"#VALUE!")</f>
        <v>#VALUE!</v>
      </c>
      <c r="CS1412" t="str">
        <f ca="1">IFERROR(__xludf.DUMMYFUNCTION("""COMPUTED_VALUE"""),"#VALUE!")</f>
        <v>#VALUE!</v>
      </c>
      <c r="CU1412" t="str">
        <f ca="1">IFERROR(__xludf.DUMMYFUNCTION("""COMPUTED_VALUE"""),"#VALUE!")</f>
        <v>#VALUE!</v>
      </c>
      <c r="CW1412" t="str">
        <f ca="1">IFERROR(__xludf.DUMMYFUNCTION("""COMPUTED_VALUE"""),"#VALUE!")</f>
        <v>#VALUE!</v>
      </c>
      <c r="CY1412" t="str">
        <f ca="1">IFERROR(__xludf.DUMMYFUNCTION("""COMPUTED_VALUE"""),"#VALUE!")</f>
        <v>#VALUE!</v>
      </c>
      <c r="DC1412" t="str">
        <f ca="1">IFERROR(__xludf.DUMMYFUNCTION("""COMPUTED_VALUE"""),"#VALUE!")</f>
        <v>#VALUE!</v>
      </c>
      <c r="DE1412" t="str">
        <f ca="1">IFERROR(__xludf.DUMMYFUNCTION("""COMPUTED_VALUE"""),"#VALUE!")</f>
        <v>#VALUE!</v>
      </c>
    </row>
    <row r="1413" spans="1:109" ht="13.2" x14ac:dyDescent="0.25">
      <c r="A1413" t="str">
        <f ca="1">IFERROR(__xludf.DUMMYFUNCTION("""COMPUTED_VALUE"""),"P1422")</f>
        <v>P1422</v>
      </c>
      <c r="BC1413" t="str">
        <f ca="1">IFERROR(__xludf.DUMMYFUNCTION("""COMPUTED_VALUE"""),"#VALUE!")</f>
        <v>#VALUE!</v>
      </c>
      <c r="BE1413" t="str">
        <f ca="1">IFERROR(__xludf.DUMMYFUNCTION("""COMPUTED_VALUE"""),"#VALUE!")</f>
        <v>#VALUE!</v>
      </c>
      <c r="BG1413" t="str">
        <f ca="1">IFERROR(__xludf.DUMMYFUNCTION("""COMPUTED_VALUE"""),"#VALUE!")</f>
        <v>#VALUE!</v>
      </c>
      <c r="BI1413" t="str">
        <f ca="1">IFERROR(__xludf.DUMMYFUNCTION("""COMPUTED_VALUE"""),"#VALUE!")</f>
        <v>#VALUE!</v>
      </c>
      <c r="BK1413" t="str">
        <f ca="1">IFERROR(__xludf.DUMMYFUNCTION("""COMPUTED_VALUE"""),"#VALUE!")</f>
        <v>#VALUE!</v>
      </c>
      <c r="BM1413" t="str">
        <f ca="1">IFERROR(__xludf.DUMMYFUNCTION("""COMPUTED_VALUE"""),"#VALUE!")</f>
        <v>#VALUE!</v>
      </c>
      <c r="CS1413" t="str">
        <f ca="1">IFERROR(__xludf.DUMMYFUNCTION("""COMPUTED_VALUE"""),"#VALUE!")</f>
        <v>#VALUE!</v>
      </c>
      <c r="CU1413" t="str">
        <f ca="1">IFERROR(__xludf.DUMMYFUNCTION("""COMPUTED_VALUE"""),"#VALUE!")</f>
        <v>#VALUE!</v>
      </c>
      <c r="CW1413" t="str">
        <f ca="1">IFERROR(__xludf.DUMMYFUNCTION("""COMPUTED_VALUE"""),"#VALUE!")</f>
        <v>#VALUE!</v>
      </c>
      <c r="CY1413" t="str">
        <f ca="1">IFERROR(__xludf.DUMMYFUNCTION("""COMPUTED_VALUE"""),"#VALUE!")</f>
        <v>#VALUE!</v>
      </c>
      <c r="DC1413" t="str">
        <f ca="1">IFERROR(__xludf.DUMMYFUNCTION("""COMPUTED_VALUE"""),"#VALUE!")</f>
        <v>#VALUE!</v>
      </c>
      <c r="DE1413" t="str">
        <f ca="1">IFERROR(__xludf.DUMMYFUNCTION("""COMPUTED_VALUE"""),"#VALUE!")</f>
        <v>#VALUE!</v>
      </c>
    </row>
    <row r="1414" spans="1:109" ht="13.2" x14ac:dyDescent="0.25">
      <c r="A1414" t="str">
        <f ca="1">IFERROR(__xludf.DUMMYFUNCTION("""COMPUTED_VALUE"""),"P1423")</f>
        <v>P1423</v>
      </c>
      <c r="BC1414" t="str">
        <f ca="1">IFERROR(__xludf.DUMMYFUNCTION("""COMPUTED_VALUE"""),"#VALUE!")</f>
        <v>#VALUE!</v>
      </c>
      <c r="BE1414" t="str">
        <f ca="1">IFERROR(__xludf.DUMMYFUNCTION("""COMPUTED_VALUE"""),"#VALUE!")</f>
        <v>#VALUE!</v>
      </c>
      <c r="BG1414" t="str">
        <f ca="1">IFERROR(__xludf.DUMMYFUNCTION("""COMPUTED_VALUE"""),"#VALUE!")</f>
        <v>#VALUE!</v>
      </c>
      <c r="BI1414" t="str">
        <f ca="1">IFERROR(__xludf.DUMMYFUNCTION("""COMPUTED_VALUE"""),"#VALUE!")</f>
        <v>#VALUE!</v>
      </c>
      <c r="BK1414" t="str">
        <f ca="1">IFERROR(__xludf.DUMMYFUNCTION("""COMPUTED_VALUE"""),"#VALUE!")</f>
        <v>#VALUE!</v>
      </c>
      <c r="BM1414" t="str">
        <f ca="1">IFERROR(__xludf.DUMMYFUNCTION("""COMPUTED_VALUE"""),"#VALUE!")</f>
        <v>#VALUE!</v>
      </c>
      <c r="CS1414" t="str">
        <f ca="1">IFERROR(__xludf.DUMMYFUNCTION("""COMPUTED_VALUE"""),"#VALUE!")</f>
        <v>#VALUE!</v>
      </c>
      <c r="CU1414" t="str">
        <f ca="1">IFERROR(__xludf.DUMMYFUNCTION("""COMPUTED_VALUE"""),"#VALUE!")</f>
        <v>#VALUE!</v>
      </c>
      <c r="CW1414" t="str">
        <f ca="1">IFERROR(__xludf.DUMMYFUNCTION("""COMPUTED_VALUE"""),"#VALUE!")</f>
        <v>#VALUE!</v>
      </c>
      <c r="CY1414" t="str">
        <f ca="1">IFERROR(__xludf.DUMMYFUNCTION("""COMPUTED_VALUE"""),"#VALUE!")</f>
        <v>#VALUE!</v>
      </c>
      <c r="DC1414" t="str">
        <f ca="1">IFERROR(__xludf.DUMMYFUNCTION("""COMPUTED_VALUE"""),"#VALUE!")</f>
        <v>#VALUE!</v>
      </c>
      <c r="DE1414" t="str">
        <f ca="1">IFERROR(__xludf.DUMMYFUNCTION("""COMPUTED_VALUE"""),"#VALUE!")</f>
        <v>#VALUE!</v>
      </c>
    </row>
    <row r="1415" spans="1:109" ht="13.2" x14ac:dyDescent="0.25">
      <c r="A1415" t="str">
        <f ca="1">IFERROR(__xludf.DUMMYFUNCTION("""COMPUTED_VALUE"""),"P1424")</f>
        <v>P1424</v>
      </c>
      <c r="BC1415" t="str">
        <f ca="1">IFERROR(__xludf.DUMMYFUNCTION("""COMPUTED_VALUE"""),"#VALUE!")</f>
        <v>#VALUE!</v>
      </c>
      <c r="BE1415" t="str">
        <f ca="1">IFERROR(__xludf.DUMMYFUNCTION("""COMPUTED_VALUE"""),"#VALUE!")</f>
        <v>#VALUE!</v>
      </c>
      <c r="BG1415" t="str">
        <f ca="1">IFERROR(__xludf.DUMMYFUNCTION("""COMPUTED_VALUE"""),"#VALUE!")</f>
        <v>#VALUE!</v>
      </c>
      <c r="BI1415" t="str">
        <f ca="1">IFERROR(__xludf.DUMMYFUNCTION("""COMPUTED_VALUE"""),"#VALUE!")</f>
        <v>#VALUE!</v>
      </c>
      <c r="BK1415" t="str">
        <f ca="1">IFERROR(__xludf.DUMMYFUNCTION("""COMPUTED_VALUE"""),"#VALUE!")</f>
        <v>#VALUE!</v>
      </c>
      <c r="BM1415" t="str">
        <f ca="1">IFERROR(__xludf.DUMMYFUNCTION("""COMPUTED_VALUE"""),"#VALUE!")</f>
        <v>#VALUE!</v>
      </c>
      <c r="CS1415" t="str">
        <f ca="1">IFERROR(__xludf.DUMMYFUNCTION("""COMPUTED_VALUE"""),"#VALUE!")</f>
        <v>#VALUE!</v>
      </c>
      <c r="CU1415" t="str">
        <f ca="1">IFERROR(__xludf.DUMMYFUNCTION("""COMPUTED_VALUE"""),"#VALUE!")</f>
        <v>#VALUE!</v>
      </c>
      <c r="CW1415" t="str">
        <f ca="1">IFERROR(__xludf.DUMMYFUNCTION("""COMPUTED_VALUE"""),"#VALUE!")</f>
        <v>#VALUE!</v>
      </c>
      <c r="CY1415" t="str">
        <f ca="1">IFERROR(__xludf.DUMMYFUNCTION("""COMPUTED_VALUE"""),"#VALUE!")</f>
        <v>#VALUE!</v>
      </c>
      <c r="DC1415" t="str">
        <f ca="1">IFERROR(__xludf.DUMMYFUNCTION("""COMPUTED_VALUE"""),"#VALUE!")</f>
        <v>#VALUE!</v>
      </c>
      <c r="DE1415" t="str">
        <f ca="1">IFERROR(__xludf.DUMMYFUNCTION("""COMPUTED_VALUE"""),"#VALUE!")</f>
        <v>#VALUE!</v>
      </c>
    </row>
    <row r="1416" spans="1:109" ht="13.2" x14ac:dyDescent="0.25">
      <c r="A1416" t="str">
        <f ca="1">IFERROR(__xludf.DUMMYFUNCTION("""COMPUTED_VALUE"""),"P1425")</f>
        <v>P1425</v>
      </c>
      <c r="BC1416" t="str">
        <f ca="1">IFERROR(__xludf.DUMMYFUNCTION("""COMPUTED_VALUE"""),"#VALUE!")</f>
        <v>#VALUE!</v>
      </c>
      <c r="BE1416" t="str">
        <f ca="1">IFERROR(__xludf.DUMMYFUNCTION("""COMPUTED_VALUE"""),"#VALUE!")</f>
        <v>#VALUE!</v>
      </c>
      <c r="BG1416" t="str">
        <f ca="1">IFERROR(__xludf.DUMMYFUNCTION("""COMPUTED_VALUE"""),"#VALUE!")</f>
        <v>#VALUE!</v>
      </c>
      <c r="BI1416" t="str">
        <f ca="1">IFERROR(__xludf.DUMMYFUNCTION("""COMPUTED_VALUE"""),"#VALUE!")</f>
        <v>#VALUE!</v>
      </c>
      <c r="BK1416" t="str">
        <f ca="1">IFERROR(__xludf.DUMMYFUNCTION("""COMPUTED_VALUE"""),"#VALUE!")</f>
        <v>#VALUE!</v>
      </c>
      <c r="BM1416" t="str">
        <f ca="1">IFERROR(__xludf.DUMMYFUNCTION("""COMPUTED_VALUE"""),"#VALUE!")</f>
        <v>#VALUE!</v>
      </c>
      <c r="CS1416" t="str">
        <f ca="1">IFERROR(__xludf.DUMMYFUNCTION("""COMPUTED_VALUE"""),"#VALUE!")</f>
        <v>#VALUE!</v>
      </c>
      <c r="CU1416" t="str">
        <f ca="1">IFERROR(__xludf.DUMMYFUNCTION("""COMPUTED_VALUE"""),"#VALUE!")</f>
        <v>#VALUE!</v>
      </c>
      <c r="CW1416" t="str">
        <f ca="1">IFERROR(__xludf.DUMMYFUNCTION("""COMPUTED_VALUE"""),"#VALUE!")</f>
        <v>#VALUE!</v>
      </c>
      <c r="CY1416" t="str">
        <f ca="1">IFERROR(__xludf.DUMMYFUNCTION("""COMPUTED_VALUE"""),"#VALUE!")</f>
        <v>#VALUE!</v>
      </c>
      <c r="DC1416" t="str">
        <f ca="1">IFERROR(__xludf.DUMMYFUNCTION("""COMPUTED_VALUE"""),"#VALUE!")</f>
        <v>#VALUE!</v>
      </c>
      <c r="DE1416" t="str">
        <f ca="1">IFERROR(__xludf.DUMMYFUNCTION("""COMPUTED_VALUE"""),"#VALUE!")</f>
        <v>#VALUE!</v>
      </c>
    </row>
    <row r="1417" spans="1:109" ht="13.2" x14ac:dyDescent="0.25">
      <c r="A1417" t="str">
        <f ca="1">IFERROR(__xludf.DUMMYFUNCTION("""COMPUTED_VALUE"""),"P1426")</f>
        <v>P1426</v>
      </c>
      <c r="BC1417" t="str">
        <f ca="1">IFERROR(__xludf.DUMMYFUNCTION("""COMPUTED_VALUE"""),"#VALUE!")</f>
        <v>#VALUE!</v>
      </c>
      <c r="BE1417" t="str">
        <f ca="1">IFERROR(__xludf.DUMMYFUNCTION("""COMPUTED_VALUE"""),"#VALUE!")</f>
        <v>#VALUE!</v>
      </c>
      <c r="BG1417" t="str">
        <f ca="1">IFERROR(__xludf.DUMMYFUNCTION("""COMPUTED_VALUE"""),"#VALUE!")</f>
        <v>#VALUE!</v>
      </c>
      <c r="BI1417" t="str">
        <f ca="1">IFERROR(__xludf.DUMMYFUNCTION("""COMPUTED_VALUE"""),"#VALUE!")</f>
        <v>#VALUE!</v>
      </c>
      <c r="BK1417" t="str">
        <f ca="1">IFERROR(__xludf.DUMMYFUNCTION("""COMPUTED_VALUE"""),"#VALUE!")</f>
        <v>#VALUE!</v>
      </c>
      <c r="BM1417" t="str">
        <f ca="1">IFERROR(__xludf.DUMMYFUNCTION("""COMPUTED_VALUE"""),"#VALUE!")</f>
        <v>#VALUE!</v>
      </c>
      <c r="CS1417" t="str">
        <f ca="1">IFERROR(__xludf.DUMMYFUNCTION("""COMPUTED_VALUE"""),"#VALUE!")</f>
        <v>#VALUE!</v>
      </c>
      <c r="CU1417" t="str">
        <f ca="1">IFERROR(__xludf.DUMMYFUNCTION("""COMPUTED_VALUE"""),"#VALUE!")</f>
        <v>#VALUE!</v>
      </c>
      <c r="CW1417" t="str">
        <f ca="1">IFERROR(__xludf.DUMMYFUNCTION("""COMPUTED_VALUE"""),"#VALUE!")</f>
        <v>#VALUE!</v>
      </c>
      <c r="CY1417" t="str">
        <f ca="1">IFERROR(__xludf.DUMMYFUNCTION("""COMPUTED_VALUE"""),"#VALUE!")</f>
        <v>#VALUE!</v>
      </c>
      <c r="DC1417" t="str">
        <f ca="1">IFERROR(__xludf.DUMMYFUNCTION("""COMPUTED_VALUE"""),"#VALUE!")</f>
        <v>#VALUE!</v>
      </c>
      <c r="DE1417" t="str">
        <f ca="1">IFERROR(__xludf.DUMMYFUNCTION("""COMPUTED_VALUE"""),"#VALUE!")</f>
        <v>#VALUE!</v>
      </c>
    </row>
    <row r="1418" spans="1:109" ht="13.2" x14ac:dyDescent="0.25">
      <c r="A1418" t="str">
        <f ca="1">IFERROR(__xludf.DUMMYFUNCTION("""COMPUTED_VALUE"""),"P1427")</f>
        <v>P1427</v>
      </c>
      <c r="BC1418" t="str">
        <f ca="1">IFERROR(__xludf.DUMMYFUNCTION("""COMPUTED_VALUE"""),"#VALUE!")</f>
        <v>#VALUE!</v>
      </c>
      <c r="BE1418" t="str">
        <f ca="1">IFERROR(__xludf.DUMMYFUNCTION("""COMPUTED_VALUE"""),"#VALUE!")</f>
        <v>#VALUE!</v>
      </c>
      <c r="BG1418" t="str">
        <f ca="1">IFERROR(__xludf.DUMMYFUNCTION("""COMPUTED_VALUE"""),"#VALUE!")</f>
        <v>#VALUE!</v>
      </c>
      <c r="BI1418" t="str">
        <f ca="1">IFERROR(__xludf.DUMMYFUNCTION("""COMPUTED_VALUE"""),"#VALUE!")</f>
        <v>#VALUE!</v>
      </c>
      <c r="BK1418" t="str">
        <f ca="1">IFERROR(__xludf.DUMMYFUNCTION("""COMPUTED_VALUE"""),"#VALUE!")</f>
        <v>#VALUE!</v>
      </c>
      <c r="BM1418" t="str">
        <f ca="1">IFERROR(__xludf.DUMMYFUNCTION("""COMPUTED_VALUE"""),"#VALUE!")</f>
        <v>#VALUE!</v>
      </c>
      <c r="CS1418" t="str">
        <f ca="1">IFERROR(__xludf.DUMMYFUNCTION("""COMPUTED_VALUE"""),"#VALUE!")</f>
        <v>#VALUE!</v>
      </c>
      <c r="CU1418" t="str">
        <f ca="1">IFERROR(__xludf.DUMMYFUNCTION("""COMPUTED_VALUE"""),"#VALUE!")</f>
        <v>#VALUE!</v>
      </c>
      <c r="CW1418" t="str">
        <f ca="1">IFERROR(__xludf.DUMMYFUNCTION("""COMPUTED_VALUE"""),"#VALUE!")</f>
        <v>#VALUE!</v>
      </c>
      <c r="CY1418" t="str">
        <f ca="1">IFERROR(__xludf.DUMMYFUNCTION("""COMPUTED_VALUE"""),"#VALUE!")</f>
        <v>#VALUE!</v>
      </c>
      <c r="DC1418" t="str">
        <f ca="1">IFERROR(__xludf.DUMMYFUNCTION("""COMPUTED_VALUE"""),"#VALUE!")</f>
        <v>#VALUE!</v>
      </c>
      <c r="DE1418" t="str">
        <f ca="1">IFERROR(__xludf.DUMMYFUNCTION("""COMPUTED_VALUE"""),"#VALUE!")</f>
        <v>#VALUE!</v>
      </c>
    </row>
    <row r="1419" spans="1:109" ht="13.2" x14ac:dyDescent="0.25">
      <c r="A1419" t="str">
        <f ca="1">IFERROR(__xludf.DUMMYFUNCTION("""COMPUTED_VALUE"""),"P1428")</f>
        <v>P1428</v>
      </c>
      <c r="BC1419" t="str">
        <f ca="1">IFERROR(__xludf.DUMMYFUNCTION("""COMPUTED_VALUE"""),"#VALUE!")</f>
        <v>#VALUE!</v>
      </c>
      <c r="BE1419" t="str">
        <f ca="1">IFERROR(__xludf.DUMMYFUNCTION("""COMPUTED_VALUE"""),"#VALUE!")</f>
        <v>#VALUE!</v>
      </c>
      <c r="BG1419" t="str">
        <f ca="1">IFERROR(__xludf.DUMMYFUNCTION("""COMPUTED_VALUE"""),"#VALUE!")</f>
        <v>#VALUE!</v>
      </c>
      <c r="BI1419" t="str">
        <f ca="1">IFERROR(__xludf.DUMMYFUNCTION("""COMPUTED_VALUE"""),"#VALUE!")</f>
        <v>#VALUE!</v>
      </c>
      <c r="BK1419" t="str">
        <f ca="1">IFERROR(__xludf.DUMMYFUNCTION("""COMPUTED_VALUE"""),"#VALUE!")</f>
        <v>#VALUE!</v>
      </c>
      <c r="BM1419" t="str">
        <f ca="1">IFERROR(__xludf.DUMMYFUNCTION("""COMPUTED_VALUE"""),"#VALUE!")</f>
        <v>#VALUE!</v>
      </c>
      <c r="CS1419" t="str">
        <f ca="1">IFERROR(__xludf.DUMMYFUNCTION("""COMPUTED_VALUE"""),"#VALUE!")</f>
        <v>#VALUE!</v>
      </c>
      <c r="CU1419" t="str">
        <f ca="1">IFERROR(__xludf.DUMMYFUNCTION("""COMPUTED_VALUE"""),"#VALUE!")</f>
        <v>#VALUE!</v>
      </c>
      <c r="CW1419" t="str">
        <f ca="1">IFERROR(__xludf.DUMMYFUNCTION("""COMPUTED_VALUE"""),"#VALUE!")</f>
        <v>#VALUE!</v>
      </c>
      <c r="CY1419" t="str">
        <f ca="1">IFERROR(__xludf.DUMMYFUNCTION("""COMPUTED_VALUE"""),"#VALUE!")</f>
        <v>#VALUE!</v>
      </c>
      <c r="DC1419" t="str">
        <f ca="1">IFERROR(__xludf.DUMMYFUNCTION("""COMPUTED_VALUE"""),"#VALUE!")</f>
        <v>#VALUE!</v>
      </c>
      <c r="DE1419" t="str">
        <f ca="1">IFERROR(__xludf.DUMMYFUNCTION("""COMPUTED_VALUE"""),"#VALUE!")</f>
        <v>#VALUE!</v>
      </c>
    </row>
    <row r="1420" spans="1:109" ht="13.2" x14ac:dyDescent="0.25">
      <c r="A1420" t="str">
        <f ca="1">IFERROR(__xludf.DUMMYFUNCTION("""COMPUTED_VALUE"""),"P1429")</f>
        <v>P1429</v>
      </c>
      <c r="BC1420" t="str">
        <f ca="1">IFERROR(__xludf.DUMMYFUNCTION("""COMPUTED_VALUE"""),"#VALUE!")</f>
        <v>#VALUE!</v>
      </c>
      <c r="BE1420" t="str">
        <f ca="1">IFERROR(__xludf.DUMMYFUNCTION("""COMPUTED_VALUE"""),"#VALUE!")</f>
        <v>#VALUE!</v>
      </c>
      <c r="BG1420" t="str">
        <f ca="1">IFERROR(__xludf.DUMMYFUNCTION("""COMPUTED_VALUE"""),"#VALUE!")</f>
        <v>#VALUE!</v>
      </c>
      <c r="BI1420" t="str">
        <f ca="1">IFERROR(__xludf.DUMMYFUNCTION("""COMPUTED_VALUE"""),"#VALUE!")</f>
        <v>#VALUE!</v>
      </c>
      <c r="BK1420" t="str">
        <f ca="1">IFERROR(__xludf.DUMMYFUNCTION("""COMPUTED_VALUE"""),"#VALUE!")</f>
        <v>#VALUE!</v>
      </c>
      <c r="BM1420" t="str">
        <f ca="1">IFERROR(__xludf.DUMMYFUNCTION("""COMPUTED_VALUE"""),"#VALUE!")</f>
        <v>#VALUE!</v>
      </c>
      <c r="CS1420" t="str">
        <f ca="1">IFERROR(__xludf.DUMMYFUNCTION("""COMPUTED_VALUE"""),"#VALUE!")</f>
        <v>#VALUE!</v>
      </c>
      <c r="CU1420" t="str">
        <f ca="1">IFERROR(__xludf.DUMMYFUNCTION("""COMPUTED_VALUE"""),"#VALUE!")</f>
        <v>#VALUE!</v>
      </c>
      <c r="CW1420" t="str">
        <f ca="1">IFERROR(__xludf.DUMMYFUNCTION("""COMPUTED_VALUE"""),"#VALUE!")</f>
        <v>#VALUE!</v>
      </c>
      <c r="CY1420" t="str">
        <f ca="1">IFERROR(__xludf.DUMMYFUNCTION("""COMPUTED_VALUE"""),"#VALUE!")</f>
        <v>#VALUE!</v>
      </c>
      <c r="DC1420" t="str">
        <f ca="1">IFERROR(__xludf.DUMMYFUNCTION("""COMPUTED_VALUE"""),"#VALUE!")</f>
        <v>#VALUE!</v>
      </c>
      <c r="DE1420" t="str">
        <f ca="1">IFERROR(__xludf.DUMMYFUNCTION("""COMPUTED_VALUE"""),"#VALUE!")</f>
        <v>#VALUE!</v>
      </c>
    </row>
    <row r="1421" spans="1:109" ht="13.2" x14ac:dyDescent="0.25">
      <c r="A1421" t="str">
        <f ca="1">IFERROR(__xludf.DUMMYFUNCTION("""COMPUTED_VALUE"""),"P1430")</f>
        <v>P1430</v>
      </c>
      <c r="BC1421" t="str">
        <f ca="1">IFERROR(__xludf.DUMMYFUNCTION("""COMPUTED_VALUE"""),"#VALUE!")</f>
        <v>#VALUE!</v>
      </c>
      <c r="BE1421" t="str">
        <f ca="1">IFERROR(__xludf.DUMMYFUNCTION("""COMPUTED_VALUE"""),"#VALUE!")</f>
        <v>#VALUE!</v>
      </c>
      <c r="BG1421" t="str">
        <f ca="1">IFERROR(__xludf.DUMMYFUNCTION("""COMPUTED_VALUE"""),"#VALUE!")</f>
        <v>#VALUE!</v>
      </c>
      <c r="BI1421" t="str">
        <f ca="1">IFERROR(__xludf.DUMMYFUNCTION("""COMPUTED_VALUE"""),"#VALUE!")</f>
        <v>#VALUE!</v>
      </c>
      <c r="BK1421" t="str">
        <f ca="1">IFERROR(__xludf.DUMMYFUNCTION("""COMPUTED_VALUE"""),"#VALUE!")</f>
        <v>#VALUE!</v>
      </c>
      <c r="BM1421" t="str">
        <f ca="1">IFERROR(__xludf.DUMMYFUNCTION("""COMPUTED_VALUE"""),"#VALUE!")</f>
        <v>#VALUE!</v>
      </c>
      <c r="CS1421" t="str">
        <f ca="1">IFERROR(__xludf.DUMMYFUNCTION("""COMPUTED_VALUE"""),"#VALUE!")</f>
        <v>#VALUE!</v>
      </c>
      <c r="CU1421" t="str">
        <f ca="1">IFERROR(__xludf.DUMMYFUNCTION("""COMPUTED_VALUE"""),"#VALUE!")</f>
        <v>#VALUE!</v>
      </c>
      <c r="CW1421" t="str">
        <f ca="1">IFERROR(__xludf.DUMMYFUNCTION("""COMPUTED_VALUE"""),"#VALUE!")</f>
        <v>#VALUE!</v>
      </c>
      <c r="CY1421" t="str">
        <f ca="1">IFERROR(__xludf.DUMMYFUNCTION("""COMPUTED_VALUE"""),"#VALUE!")</f>
        <v>#VALUE!</v>
      </c>
      <c r="DC1421" t="str">
        <f ca="1">IFERROR(__xludf.DUMMYFUNCTION("""COMPUTED_VALUE"""),"#VALUE!")</f>
        <v>#VALUE!</v>
      </c>
      <c r="DE1421" t="str">
        <f ca="1">IFERROR(__xludf.DUMMYFUNCTION("""COMPUTED_VALUE"""),"#VALUE!")</f>
        <v>#VALUE!</v>
      </c>
    </row>
    <row r="1422" spans="1:109" ht="13.2" x14ac:dyDescent="0.25">
      <c r="A1422" t="str">
        <f ca="1">IFERROR(__xludf.DUMMYFUNCTION("""COMPUTED_VALUE"""),"P1431")</f>
        <v>P1431</v>
      </c>
      <c r="BC1422" t="str">
        <f ca="1">IFERROR(__xludf.DUMMYFUNCTION("""COMPUTED_VALUE"""),"#VALUE!")</f>
        <v>#VALUE!</v>
      </c>
      <c r="BE1422" t="str">
        <f ca="1">IFERROR(__xludf.DUMMYFUNCTION("""COMPUTED_VALUE"""),"#VALUE!")</f>
        <v>#VALUE!</v>
      </c>
      <c r="BG1422" t="str">
        <f ca="1">IFERROR(__xludf.DUMMYFUNCTION("""COMPUTED_VALUE"""),"#VALUE!")</f>
        <v>#VALUE!</v>
      </c>
      <c r="BI1422" t="str">
        <f ca="1">IFERROR(__xludf.DUMMYFUNCTION("""COMPUTED_VALUE"""),"#VALUE!")</f>
        <v>#VALUE!</v>
      </c>
      <c r="BK1422" t="str">
        <f ca="1">IFERROR(__xludf.DUMMYFUNCTION("""COMPUTED_VALUE"""),"#VALUE!")</f>
        <v>#VALUE!</v>
      </c>
      <c r="BM1422" t="str">
        <f ca="1">IFERROR(__xludf.DUMMYFUNCTION("""COMPUTED_VALUE"""),"#VALUE!")</f>
        <v>#VALUE!</v>
      </c>
      <c r="CS1422" t="str">
        <f ca="1">IFERROR(__xludf.DUMMYFUNCTION("""COMPUTED_VALUE"""),"#VALUE!")</f>
        <v>#VALUE!</v>
      </c>
      <c r="CU1422" t="str">
        <f ca="1">IFERROR(__xludf.DUMMYFUNCTION("""COMPUTED_VALUE"""),"#VALUE!")</f>
        <v>#VALUE!</v>
      </c>
      <c r="CW1422" t="str">
        <f ca="1">IFERROR(__xludf.DUMMYFUNCTION("""COMPUTED_VALUE"""),"#VALUE!")</f>
        <v>#VALUE!</v>
      </c>
      <c r="CY1422" t="str">
        <f ca="1">IFERROR(__xludf.DUMMYFUNCTION("""COMPUTED_VALUE"""),"#VALUE!")</f>
        <v>#VALUE!</v>
      </c>
      <c r="DC1422" t="str">
        <f ca="1">IFERROR(__xludf.DUMMYFUNCTION("""COMPUTED_VALUE"""),"#VALUE!")</f>
        <v>#VALUE!</v>
      </c>
      <c r="DE1422" t="str">
        <f ca="1">IFERROR(__xludf.DUMMYFUNCTION("""COMPUTED_VALUE"""),"#VALUE!")</f>
        <v>#VALUE!</v>
      </c>
    </row>
    <row r="1423" spans="1:109" ht="13.2" x14ac:dyDescent="0.25">
      <c r="A1423" t="str">
        <f ca="1">IFERROR(__xludf.DUMMYFUNCTION("""COMPUTED_VALUE"""),"P1432")</f>
        <v>P1432</v>
      </c>
      <c r="BC1423" t="str">
        <f ca="1">IFERROR(__xludf.DUMMYFUNCTION("""COMPUTED_VALUE"""),"#VALUE!")</f>
        <v>#VALUE!</v>
      </c>
      <c r="BE1423" t="str">
        <f ca="1">IFERROR(__xludf.DUMMYFUNCTION("""COMPUTED_VALUE"""),"#VALUE!")</f>
        <v>#VALUE!</v>
      </c>
      <c r="BG1423" t="str">
        <f ca="1">IFERROR(__xludf.DUMMYFUNCTION("""COMPUTED_VALUE"""),"#VALUE!")</f>
        <v>#VALUE!</v>
      </c>
      <c r="BI1423" t="str">
        <f ca="1">IFERROR(__xludf.DUMMYFUNCTION("""COMPUTED_VALUE"""),"#VALUE!")</f>
        <v>#VALUE!</v>
      </c>
      <c r="BK1423" t="str">
        <f ca="1">IFERROR(__xludf.DUMMYFUNCTION("""COMPUTED_VALUE"""),"#VALUE!")</f>
        <v>#VALUE!</v>
      </c>
      <c r="BM1423" t="str">
        <f ca="1">IFERROR(__xludf.DUMMYFUNCTION("""COMPUTED_VALUE"""),"#VALUE!")</f>
        <v>#VALUE!</v>
      </c>
      <c r="CS1423" t="str">
        <f ca="1">IFERROR(__xludf.DUMMYFUNCTION("""COMPUTED_VALUE"""),"#VALUE!")</f>
        <v>#VALUE!</v>
      </c>
      <c r="CU1423" t="str">
        <f ca="1">IFERROR(__xludf.DUMMYFUNCTION("""COMPUTED_VALUE"""),"#VALUE!")</f>
        <v>#VALUE!</v>
      </c>
      <c r="CW1423" t="str">
        <f ca="1">IFERROR(__xludf.DUMMYFUNCTION("""COMPUTED_VALUE"""),"#VALUE!")</f>
        <v>#VALUE!</v>
      </c>
      <c r="CY1423" t="str">
        <f ca="1">IFERROR(__xludf.DUMMYFUNCTION("""COMPUTED_VALUE"""),"#VALUE!")</f>
        <v>#VALUE!</v>
      </c>
      <c r="DC1423" t="str">
        <f ca="1">IFERROR(__xludf.DUMMYFUNCTION("""COMPUTED_VALUE"""),"#VALUE!")</f>
        <v>#VALUE!</v>
      </c>
      <c r="DE1423" t="str">
        <f ca="1">IFERROR(__xludf.DUMMYFUNCTION("""COMPUTED_VALUE"""),"#VALUE!")</f>
        <v>#VALUE!</v>
      </c>
    </row>
    <row r="1424" spans="1:109" ht="13.2" x14ac:dyDescent="0.25">
      <c r="A1424" t="str">
        <f ca="1">IFERROR(__xludf.DUMMYFUNCTION("""COMPUTED_VALUE"""),"P1433")</f>
        <v>P1433</v>
      </c>
      <c r="BC1424" t="str">
        <f ca="1">IFERROR(__xludf.DUMMYFUNCTION("""COMPUTED_VALUE"""),"#VALUE!")</f>
        <v>#VALUE!</v>
      </c>
      <c r="BE1424" t="str">
        <f ca="1">IFERROR(__xludf.DUMMYFUNCTION("""COMPUTED_VALUE"""),"#VALUE!")</f>
        <v>#VALUE!</v>
      </c>
      <c r="BG1424" t="str">
        <f ca="1">IFERROR(__xludf.DUMMYFUNCTION("""COMPUTED_VALUE"""),"#VALUE!")</f>
        <v>#VALUE!</v>
      </c>
      <c r="BI1424" t="str">
        <f ca="1">IFERROR(__xludf.DUMMYFUNCTION("""COMPUTED_VALUE"""),"#VALUE!")</f>
        <v>#VALUE!</v>
      </c>
      <c r="BK1424" t="str">
        <f ca="1">IFERROR(__xludf.DUMMYFUNCTION("""COMPUTED_VALUE"""),"#VALUE!")</f>
        <v>#VALUE!</v>
      </c>
      <c r="BM1424" t="str">
        <f ca="1">IFERROR(__xludf.DUMMYFUNCTION("""COMPUTED_VALUE"""),"#VALUE!")</f>
        <v>#VALUE!</v>
      </c>
      <c r="CS1424" t="str">
        <f ca="1">IFERROR(__xludf.DUMMYFUNCTION("""COMPUTED_VALUE"""),"#VALUE!")</f>
        <v>#VALUE!</v>
      </c>
      <c r="CU1424" t="str">
        <f ca="1">IFERROR(__xludf.DUMMYFUNCTION("""COMPUTED_VALUE"""),"#VALUE!")</f>
        <v>#VALUE!</v>
      </c>
      <c r="CW1424" t="str">
        <f ca="1">IFERROR(__xludf.DUMMYFUNCTION("""COMPUTED_VALUE"""),"#VALUE!")</f>
        <v>#VALUE!</v>
      </c>
      <c r="CY1424" t="str">
        <f ca="1">IFERROR(__xludf.DUMMYFUNCTION("""COMPUTED_VALUE"""),"#VALUE!")</f>
        <v>#VALUE!</v>
      </c>
      <c r="DC1424" t="str">
        <f ca="1">IFERROR(__xludf.DUMMYFUNCTION("""COMPUTED_VALUE"""),"#VALUE!")</f>
        <v>#VALUE!</v>
      </c>
      <c r="DE1424" t="str">
        <f ca="1">IFERROR(__xludf.DUMMYFUNCTION("""COMPUTED_VALUE"""),"#VALUE!")</f>
        <v>#VALUE!</v>
      </c>
    </row>
    <row r="1425" spans="1:109" ht="13.2" x14ac:dyDescent="0.25">
      <c r="A1425" t="str">
        <f ca="1">IFERROR(__xludf.DUMMYFUNCTION("""COMPUTED_VALUE"""),"P1434")</f>
        <v>P1434</v>
      </c>
      <c r="BC1425" t="str">
        <f ca="1">IFERROR(__xludf.DUMMYFUNCTION("""COMPUTED_VALUE"""),"#VALUE!")</f>
        <v>#VALUE!</v>
      </c>
      <c r="BE1425" t="str">
        <f ca="1">IFERROR(__xludf.DUMMYFUNCTION("""COMPUTED_VALUE"""),"#VALUE!")</f>
        <v>#VALUE!</v>
      </c>
      <c r="BG1425" t="str">
        <f ca="1">IFERROR(__xludf.DUMMYFUNCTION("""COMPUTED_VALUE"""),"#VALUE!")</f>
        <v>#VALUE!</v>
      </c>
      <c r="BI1425" t="str">
        <f ca="1">IFERROR(__xludf.DUMMYFUNCTION("""COMPUTED_VALUE"""),"#VALUE!")</f>
        <v>#VALUE!</v>
      </c>
      <c r="BK1425" t="str">
        <f ca="1">IFERROR(__xludf.DUMMYFUNCTION("""COMPUTED_VALUE"""),"#VALUE!")</f>
        <v>#VALUE!</v>
      </c>
      <c r="BM1425" t="str">
        <f ca="1">IFERROR(__xludf.DUMMYFUNCTION("""COMPUTED_VALUE"""),"#VALUE!")</f>
        <v>#VALUE!</v>
      </c>
      <c r="CS1425" t="str">
        <f ca="1">IFERROR(__xludf.DUMMYFUNCTION("""COMPUTED_VALUE"""),"#VALUE!")</f>
        <v>#VALUE!</v>
      </c>
      <c r="CU1425" t="str">
        <f ca="1">IFERROR(__xludf.DUMMYFUNCTION("""COMPUTED_VALUE"""),"#VALUE!")</f>
        <v>#VALUE!</v>
      </c>
      <c r="CW1425" t="str">
        <f ca="1">IFERROR(__xludf.DUMMYFUNCTION("""COMPUTED_VALUE"""),"#VALUE!")</f>
        <v>#VALUE!</v>
      </c>
      <c r="CY1425" t="str">
        <f ca="1">IFERROR(__xludf.DUMMYFUNCTION("""COMPUTED_VALUE"""),"#VALUE!")</f>
        <v>#VALUE!</v>
      </c>
      <c r="DC1425" t="str">
        <f ca="1">IFERROR(__xludf.DUMMYFUNCTION("""COMPUTED_VALUE"""),"#VALUE!")</f>
        <v>#VALUE!</v>
      </c>
      <c r="DE1425" t="str">
        <f ca="1">IFERROR(__xludf.DUMMYFUNCTION("""COMPUTED_VALUE"""),"#VALUE!")</f>
        <v>#VALUE!</v>
      </c>
    </row>
    <row r="1426" spans="1:109" ht="13.2" x14ac:dyDescent="0.25">
      <c r="A1426" t="str">
        <f ca="1">IFERROR(__xludf.DUMMYFUNCTION("""COMPUTED_VALUE"""),"P1435")</f>
        <v>P1435</v>
      </c>
      <c r="BC1426" t="str">
        <f ca="1">IFERROR(__xludf.DUMMYFUNCTION("""COMPUTED_VALUE"""),"#VALUE!")</f>
        <v>#VALUE!</v>
      </c>
      <c r="BE1426" t="str">
        <f ca="1">IFERROR(__xludf.DUMMYFUNCTION("""COMPUTED_VALUE"""),"#VALUE!")</f>
        <v>#VALUE!</v>
      </c>
      <c r="BG1426" t="str">
        <f ca="1">IFERROR(__xludf.DUMMYFUNCTION("""COMPUTED_VALUE"""),"#VALUE!")</f>
        <v>#VALUE!</v>
      </c>
      <c r="BI1426" t="str">
        <f ca="1">IFERROR(__xludf.DUMMYFUNCTION("""COMPUTED_VALUE"""),"#VALUE!")</f>
        <v>#VALUE!</v>
      </c>
      <c r="BK1426" t="str">
        <f ca="1">IFERROR(__xludf.DUMMYFUNCTION("""COMPUTED_VALUE"""),"#VALUE!")</f>
        <v>#VALUE!</v>
      </c>
      <c r="BM1426" t="str">
        <f ca="1">IFERROR(__xludf.DUMMYFUNCTION("""COMPUTED_VALUE"""),"#VALUE!")</f>
        <v>#VALUE!</v>
      </c>
      <c r="CS1426" t="str">
        <f ca="1">IFERROR(__xludf.DUMMYFUNCTION("""COMPUTED_VALUE"""),"#VALUE!")</f>
        <v>#VALUE!</v>
      </c>
      <c r="CU1426" t="str">
        <f ca="1">IFERROR(__xludf.DUMMYFUNCTION("""COMPUTED_VALUE"""),"#VALUE!")</f>
        <v>#VALUE!</v>
      </c>
      <c r="CW1426" t="str">
        <f ca="1">IFERROR(__xludf.DUMMYFUNCTION("""COMPUTED_VALUE"""),"#VALUE!")</f>
        <v>#VALUE!</v>
      </c>
      <c r="CY1426" t="str">
        <f ca="1">IFERROR(__xludf.DUMMYFUNCTION("""COMPUTED_VALUE"""),"#VALUE!")</f>
        <v>#VALUE!</v>
      </c>
      <c r="DC1426" t="str">
        <f ca="1">IFERROR(__xludf.DUMMYFUNCTION("""COMPUTED_VALUE"""),"#VALUE!")</f>
        <v>#VALUE!</v>
      </c>
      <c r="DE1426" t="str">
        <f ca="1">IFERROR(__xludf.DUMMYFUNCTION("""COMPUTED_VALUE"""),"#VALUE!")</f>
        <v>#VALUE!</v>
      </c>
    </row>
    <row r="1427" spans="1:109" ht="13.2" x14ac:dyDescent="0.25">
      <c r="A1427" t="str">
        <f ca="1">IFERROR(__xludf.DUMMYFUNCTION("""COMPUTED_VALUE"""),"P1436")</f>
        <v>P1436</v>
      </c>
      <c r="BC1427" t="str">
        <f ca="1">IFERROR(__xludf.DUMMYFUNCTION("""COMPUTED_VALUE"""),"#VALUE!")</f>
        <v>#VALUE!</v>
      </c>
      <c r="BE1427" t="str">
        <f ca="1">IFERROR(__xludf.DUMMYFUNCTION("""COMPUTED_VALUE"""),"#VALUE!")</f>
        <v>#VALUE!</v>
      </c>
      <c r="BG1427" t="str">
        <f ca="1">IFERROR(__xludf.DUMMYFUNCTION("""COMPUTED_VALUE"""),"#VALUE!")</f>
        <v>#VALUE!</v>
      </c>
      <c r="BI1427" t="str">
        <f ca="1">IFERROR(__xludf.DUMMYFUNCTION("""COMPUTED_VALUE"""),"#VALUE!")</f>
        <v>#VALUE!</v>
      </c>
      <c r="BK1427" t="str">
        <f ca="1">IFERROR(__xludf.DUMMYFUNCTION("""COMPUTED_VALUE"""),"#VALUE!")</f>
        <v>#VALUE!</v>
      </c>
      <c r="BM1427" t="str">
        <f ca="1">IFERROR(__xludf.DUMMYFUNCTION("""COMPUTED_VALUE"""),"#VALUE!")</f>
        <v>#VALUE!</v>
      </c>
      <c r="CS1427" t="str">
        <f ca="1">IFERROR(__xludf.DUMMYFUNCTION("""COMPUTED_VALUE"""),"#VALUE!")</f>
        <v>#VALUE!</v>
      </c>
      <c r="CU1427" t="str">
        <f ca="1">IFERROR(__xludf.DUMMYFUNCTION("""COMPUTED_VALUE"""),"#VALUE!")</f>
        <v>#VALUE!</v>
      </c>
      <c r="CW1427" t="str">
        <f ca="1">IFERROR(__xludf.DUMMYFUNCTION("""COMPUTED_VALUE"""),"#VALUE!")</f>
        <v>#VALUE!</v>
      </c>
      <c r="CY1427" t="str">
        <f ca="1">IFERROR(__xludf.DUMMYFUNCTION("""COMPUTED_VALUE"""),"#VALUE!")</f>
        <v>#VALUE!</v>
      </c>
      <c r="DC1427" t="str">
        <f ca="1">IFERROR(__xludf.DUMMYFUNCTION("""COMPUTED_VALUE"""),"#VALUE!")</f>
        <v>#VALUE!</v>
      </c>
      <c r="DE1427" t="str">
        <f ca="1">IFERROR(__xludf.DUMMYFUNCTION("""COMPUTED_VALUE"""),"#VALUE!")</f>
        <v>#VALUE!</v>
      </c>
    </row>
    <row r="1428" spans="1:109" ht="13.2" x14ac:dyDescent="0.25">
      <c r="A1428" t="str">
        <f ca="1">IFERROR(__xludf.DUMMYFUNCTION("""COMPUTED_VALUE"""),"P1437")</f>
        <v>P1437</v>
      </c>
      <c r="BC1428" t="str">
        <f ca="1">IFERROR(__xludf.DUMMYFUNCTION("""COMPUTED_VALUE"""),"#VALUE!")</f>
        <v>#VALUE!</v>
      </c>
      <c r="BE1428" t="str">
        <f ca="1">IFERROR(__xludf.DUMMYFUNCTION("""COMPUTED_VALUE"""),"#VALUE!")</f>
        <v>#VALUE!</v>
      </c>
      <c r="BG1428" t="str">
        <f ca="1">IFERROR(__xludf.DUMMYFUNCTION("""COMPUTED_VALUE"""),"#VALUE!")</f>
        <v>#VALUE!</v>
      </c>
      <c r="BI1428" t="str">
        <f ca="1">IFERROR(__xludf.DUMMYFUNCTION("""COMPUTED_VALUE"""),"#VALUE!")</f>
        <v>#VALUE!</v>
      </c>
      <c r="BK1428" t="str">
        <f ca="1">IFERROR(__xludf.DUMMYFUNCTION("""COMPUTED_VALUE"""),"#VALUE!")</f>
        <v>#VALUE!</v>
      </c>
      <c r="BM1428" t="str">
        <f ca="1">IFERROR(__xludf.DUMMYFUNCTION("""COMPUTED_VALUE"""),"#VALUE!")</f>
        <v>#VALUE!</v>
      </c>
      <c r="CS1428" t="str">
        <f ca="1">IFERROR(__xludf.DUMMYFUNCTION("""COMPUTED_VALUE"""),"#VALUE!")</f>
        <v>#VALUE!</v>
      </c>
      <c r="CU1428" t="str">
        <f ca="1">IFERROR(__xludf.DUMMYFUNCTION("""COMPUTED_VALUE"""),"#VALUE!")</f>
        <v>#VALUE!</v>
      </c>
      <c r="CW1428" t="str">
        <f ca="1">IFERROR(__xludf.DUMMYFUNCTION("""COMPUTED_VALUE"""),"#VALUE!")</f>
        <v>#VALUE!</v>
      </c>
      <c r="CY1428" t="str">
        <f ca="1">IFERROR(__xludf.DUMMYFUNCTION("""COMPUTED_VALUE"""),"#VALUE!")</f>
        <v>#VALUE!</v>
      </c>
      <c r="DC1428" t="str">
        <f ca="1">IFERROR(__xludf.DUMMYFUNCTION("""COMPUTED_VALUE"""),"#VALUE!")</f>
        <v>#VALUE!</v>
      </c>
      <c r="DE1428" t="str">
        <f ca="1">IFERROR(__xludf.DUMMYFUNCTION("""COMPUTED_VALUE"""),"#VALUE!")</f>
        <v>#VALUE!</v>
      </c>
    </row>
    <row r="1429" spans="1:109" ht="13.2" x14ac:dyDescent="0.25">
      <c r="A1429" t="str">
        <f ca="1">IFERROR(__xludf.DUMMYFUNCTION("""COMPUTED_VALUE"""),"P1438")</f>
        <v>P1438</v>
      </c>
      <c r="BC1429" t="str">
        <f ca="1">IFERROR(__xludf.DUMMYFUNCTION("""COMPUTED_VALUE"""),"#VALUE!")</f>
        <v>#VALUE!</v>
      </c>
      <c r="BE1429" t="str">
        <f ca="1">IFERROR(__xludf.DUMMYFUNCTION("""COMPUTED_VALUE"""),"#VALUE!")</f>
        <v>#VALUE!</v>
      </c>
      <c r="BG1429" t="str">
        <f ca="1">IFERROR(__xludf.DUMMYFUNCTION("""COMPUTED_VALUE"""),"#VALUE!")</f>
        <v>#VALUE!</v>
      </c>
      <c r="BI1429" t="str">
        <f ca="1">IFERROR(__xludf.DUMMYFUNCTION("""COMPUTED_VALUE"""),"#VALUE!")</f>
        <v>#VALUE!</v>
      </c>
      <c r="BK1429" t="str">
        <f ca="1">IFERROR(__xludf.DUMMYFUNCTION("""COMPUTED_VALUE"""),"#VALUE!")</f>
        <v>#VALUE!</v>
      </c>
      <c r="BM1429" t="str">
        <f ca="1">IFERROR(__xludf.DUMMYFUNCTION("""COMPUTED_VALUE"""),"#VALUE!")</f>
        <v>#VALUE!</v>
      </c>
      <c r="CS1429" t="str">
        <f ca="1">IFERROR(__xludf.DUMMYFUNCTION("""COMPUTED_VALUE"""),"#VALUE!")</f>
        <v>#VALUE!</v>
      </c>
      <c r="CU1429" t="str">
        <f ca="1">IFERROR(__xludf.DUMMYFUNCTION("""COMPUTED_VALUE"""),"#VALUE!")</f>
        <v>#VALUE!</v>
      </c>
      <c r="CW1429" t="str">
        <f ca="1">IFERROR(__xludf.DUMMYFUNCTION("""COMPUTED_VALUE"""),"#VALUE!")</f>
        <v>#VALUE!</v>
      </c>
      <c r="CY1429" t="str">
        <f ca="1">IFERROR(__xludf.DUMMYFUNCTION("""COMPUTED_VALUE"""),"#VALUE!")</f>
        <v>#VALUE!</v>
      </c>
      <c r="DC1429" t="str">
        <f ca="1">IFERROR(__xludf.DUMMYFUNCTION("""COMPUTED_VALUE"""),"#VALUE!")</f>
        <v>#VALUE!</v>
      </c>
      <c r="DE1429" t="str">
        <f ca="1">IFERROR(__xludf.DUMMYFUNCTION("""COMPUTED_VALUE"""),"#VALUE!")</f>
        <v>#VALUE!</v>
      </c>
    </row>
    <row r="1430" spans="1:109" ht="13.2" x14ac:dyDescent="0.25">
      <c r="A1430" t="str">
        <f ca="1">IFERROR(__xludf.DUMMYFUNCTION("""COMPUTED_VALUE"""),"P1439")</f>
        <v>P1439</v>
      </c>
      <c r="BC1430" t="str">
        <f ca="1">IFERROR(__xludf.DUMMYFUNCTION("""COMPUTED_VALUE"""),"#VALUE!")</f>
        <v>#VALUE!</v>
      </c>
      <c r="BE1430" t="str">
        <f ca="1">IFERROR(__xludf.DUMMYFUNCTION("""COMPUTED_VALUE"""),"#VALUE!")</f>
        <v>#VALUE!</v>
      </c>
      <c r="BG1430" t="str">
        <f ca="1">IFERROR(__xludf.DUMMYFUNCTION("""COMPUTED_VALUE"""),"#VALUE!")</f>
        <v>#VALUE!</v>
      </c>
      <c r="BI1430" t="str">
        <f ca="1">IFERROR(__xludf.DUMMYFUNCTION("""COMPUTED_VALUE"""),"#VALUE!")</f>
        <v>#VALUE!</v>
      </c>
      <c r="BK1430" t="str">
        <f ca="1">IFERROR(__xludf.DUMMYFUNCTION("""COMPUTED_VALUE"""),"#VALUE!")</f>
        <v>#VALUE!</v>
      </c>
      <c r="BM1430" t="str">
        <f ca="1">IFERROR(__xludf.DUMMYFUNCTION("""COMPUTED_VALUE"""),"#VALUE!")</f>
        <v>#VALUE!</v>
      </c>
      <c r="CS1430" t="str">
        <f ca="1">IFERROR(__xludf.DUMMYFUNCTION("""COMPUTED_VALUE"""),"#VALUE!")</f>
        <v>#VALUE!</v>
      </c>
      <c r="CU1430" t="str">
        <f ca="1">IFERROR(__xludf.DUMMYFUNCTION("""COMPUTED_VALUE"""),"#VALUE!")</f>
        <v>#VALUE!</v>
      </c>
      <c r="CW1430" t="str">
        <f ca="1">IFERROR(__xludf.DUMMYFUNCTION("""COMPUTED_VALUE"""),"#VALUE!")</f>
        <v>#VALUE!</v>
      </c>
      <c r="CY1430" t="str">
        <f ca="1">IFERROR(__xludf.DUMMYFUNCTION("""COMPUTED_VALUE"""),"#VALUE!")</f>
        <v>#VALUE!</v>
      </c>
      <c r="DC1430" t="str">
        <f ca="1">IFERROR(__xludf.DUMMYFUNCTION("""COMPUTED_VALUE"""),"#VALUE!")</f>
        <v>#VALUE!</v>
      </c>
      <c r="DE1430" t="str">
        <f ca="1">IFERROR(__xludf.DUMMYFUNCTION("""COMPUTED_VALUE"""),"#VALUE!")</f>
        <v>#VALUE!</v>
      </c>
    </row>
    <row r="1431" spans="1:109" ht="13.2" x14ac:dyDescent="0.25">
      <c r="A1431" t="str">
        <f ca="1">IFERROR(__xludf.DUMMYFUNCTION("""COMPUTED_VALUE"""),"P1440")</f>
        <v>P1440</v>
      </c>
      <c r="BC1431" t="str">
        <f ca="1">IFERROR(__xludf.DUMMYFUNCTION("""COMPUTED_VALUE"""),"#VALUE!")</f>
        <v>#VALUE!</v>
      </c>
      <c r="BE1431" t="str">
        <f ca="1">IFERROR(__xludf.DUMMYFUNCTION("""COMPUTED_VALUE"""),"#VALUE!")</f>
        <v>#VALUE!</v>
      </c>
      <c r="BG1431" t="str">
        <f ca="1">IFERROR(__xludf.DUMMYFUNCTION("""COMPUTED_VALUE"""),"#VALUE!")</f>
        <v>#VALUE!</v>
      </c>
      <c r="BI1431" t="str">
        <f ca="1">IFERROR(__xludf.DUMMYFUNCTION("""COMPUTED_VALUE"""),"#VALUE!")</f>
        <v>#VALUE!</v>
      </c>
      <c r="BK1431" t="str">
        <f ca="1">IFERROR(__xludf.DUMMYFUNCTION("""COMPUTED_VALUE"""),"#VALUE!")</f>
        <v>#VALUE!</v>
      </c>
      <c r="BM1431" t="str">
        <f ca="1">IFERROR(__xludf.DUMMYFUNCTION("""COMPUTED_VALUE"""),"#VALUE!")</f>
        <v>#VALUE!</v>
      </c>
      <c r="CS1431" t="str">
        <f ca="1">IFERROR(__xludf.DUMMYFUNCTION("""COMPUTED_VALUE"""),"#VALUE!")</f>
        <v>#VALUE!</v>
      </c>
      <c r="CU1431" t="str">
        <f ca="1">IFERROR(__xludf.DUMMYFUNCTION("""COMPUTED_VALUE"""),"#VALUE!")</f>
        <v>#VALUE!</v>
      </c>
      <c r="CW1431" t="str">
        <f ca="1">IFERROR(__xludf.DUMMYFUNCTION("""COMPUTED_VALUE"""),"#VALUE!")</f>
        <v>#VALUE!</v>
      </c>
      <c r="CY1431" t="str">
        <f ca="1">IFERROR(__xludf.DUMMYFUNCTION("""COMPUTED_VALUE"""),"#VALUE!")</f>
        <v>#VALUE!</v>
      </c>
      <c r="DC1431" t="str">
        <f ca="1">IFERROR(__xludf.DUMMYFUNCTION("""COMPUTED_VALUE"""),"#VALUE!")</f>
        <v>#VALUE!</v>
      </c>
      <c r="DE1431" t="str">
        <f ca="1">IFERROR(__xludf.DUMMYFUNCTION("""COMPUTED_VALUE"""),"#VALUE!")</f>
        <v>#VALUE!</v>
      </c>
    </row>
    <row r="1432" spans="1:109" ht="13.2" x14ac:dyDescent="0.25">
      <c r="A1432" t="str">
        <f ca="1">IFERROR(__xludf.DUMMYFUNCTION("""COMPUTED_VALUE"""),"P1441")</f>
        <v>P1441</v>
      </c>
      <c r="BC1432" t="str">
        <f ca="1">IFERROR(__xludf.DUMMYFUNCTION("""COMPUTED_VALUE"""),"#VALUE!")</f>
        <v>#VALUE!</v>
      </c>
      <c r="BE1432" t="str">
        <f ca="1">IFERROR(__xludf.DUMMYFUNCTION("""COMPUTED_VALUE"""),"#VALUE!")</f>
        <v>#VALUE!</v>
      </c>
      <c r="BG1432" t="str">
        <f ca="1">IFERROR(__xludf.DUMMYFUNCTION("""COMPUTED_VALUE"""),"#VALUE!")</f>
        <v>#VALUE!</v>
      </c>
      <c r="BI1432" t="str">
        <f ca="1">IFERROR(__xludf.DUMMYFUNCTION("""COMPUTED_VALUE"""),"#VALUE!")</f>
        <v>#VALUE!</v>
      </c>
      <c r="BK1432" t="str">
        <f ca="1">IFERROR(__xludf.DUMMYFUNCTION("""COMPUTED_VALUE"""),"#VALUE!")</f>
        <v>#VALUE!</v>
      </c>
      <c r="BM1432" t="str">
        <f ca="1">IFERROR(__xludf.DUMMYFUNCTION("""COMPUTED_VALUE"""),"#VALUE!")</f>
        <v>#VALUE!</v>
      </c>
      <c r="CS1432" t="str">
        <f ca="1">IFERROR(__xludf.DUMMYFUNCTION("""COMPUTED_VALUE"""),"#VALUE!")</f>
        <v>#VALUE!</v>
      </c>
      <c r="CU1432" t="str">
        <f ca="1">IFERROR(__xludf.DUMMYFUNCTION("""COMPUTED_VALUE"""),"#VALUE!")</f>
        <v>#VALUE!</v>
      </c>
      <c r="CW1432" t="str">
        <f ca="1">IFERROR(__xludf.DUMMYFUNCTION("""COMPUTED_VALUE"""),"#VALUE!")</f>
        <v>#VALUE!</v>
      </c>
      <c r="CY1432" t="str">
        <f ca="1">IFERROR(__xludf.DUMMYFUNCTION("""COMPUTED_VALUE"""),"#VALUE!")</f>
        <v>#VALUE!</v>
      </c>
      <c r="DC1432" t="str">
        <f ca="1">IFERROR(__xludf.DUMMYFUNCTION("""COMPUTED_VALUE"""),"#VALUE!")</f>
        <v>#VALUE!</v>
      </c>
      <c r="DE1432" t="str">
        <f ca="1">IFERROR(__xludf.DUMMYFUNCTION("""COMPUTED_VALUE"""),"#VALUE!")</f>
        <v>#VALUE!</v>
      </c>
    </row>
    <row r="1433" spans="1:109" ht="13.2" x14ac:dyDescent="0.25">
      <c r="A1433" t="str">
        <f ca="1">IFERROR(__xludf.DUMMYFUNCTION("""COMPUTED_VALUE"""),"P1442")</f>
        <v>P1442</v>
      </c>
      <c r="BC1433" t="str">
        <f ca="1">IFERROR(__xludf.DUMMYFUNCTION("""COMPUTED_VALUE"""),"#VALUE!")</f>
        <v>#VALUE!</v>
      </c>
      <c r="BE1433" t="str">
        <f ca="1">IFERROR(__xludf.DUMMYFUNCTION("""COMPUTED_VALUE"""),"#VALUE!")</f>
        <v>#VALUE!</v>
      </c>
      <c r="BG1433" t="str">
        <f ca="1">IFERROR(__xludf.DUMMYFUNCTION("""COMPUTED_VALUE"""),"#VALUE!")</f>
        <v>#VALUE!</v>
      </c>
      <c r="BI1433" t="str">
        <f ca="1">IFERROR(__xludf.DUMMYFUNCTION("""COMPUTED_VALUE"""),"#VALUE!")</f>
        <v>#VALUE!</v>
      </c>
      <c r="BK1433" t="str">
        <f ca="1">IFERROR(__xludf.DUMMYFUNCTION("""COMPUTED_VALUE"""),"#VALUE!")</f>
        <v>#VALUE!</v>
      </c>
      <c r="BM1433" t="str">
        <f ca="1">IFERROR(__xludf.DUMMYFUNCTION("""COMPUTED_VALUE"""),"#VALUE!")</f>
        <v>#VALUE!</v>
      </c>
      <c r="CS1433" t="str">
        <f ca="1">IFERROR(__xludf.DUMMYFUNCTION("""COMPUTED_VALUE"""),"#VALUE!")</f>
        <v>#VALUE!</v>
      </c>
      <c r="CU1433" t="str">
        <f ca="1">IFERROR(__xludf.DUMMYFUNCTION("""COMPUTED_VALUE"""),"#VALUE!")</f>
        <v>#VALUE!</v>
      </c>
      <c r="CW1433" t="str">
        <f ca="1">IFERROR(__xludf.DUMMYFUNCTION("""COMPUTED_VALUE"""),"#VALUE!")</f>
        <v>#VALUE!</v>
      </c>
      <c r="CY1433" t="str">
        <f ca="1">IFERROR(__xludf.DUMMYFUNCTION("""COMPUTED_VALUE"""),"#VALUE!")</f>
        <v>#VALUE!</v>
      </c>
      <c r="DC1433" t="str">
        <f ca="1">IFERROR(__xludf.DUMMYFUNCTION("""COMPUTED_VALUE"""),"#VALUE!")</f>
        <v>#VALUE!</v>
      </c>
      <c r="DE1433" t="str">
        <f ca="1">IFERROR(__xludf.DUMMYFUNCTION("""COMPUTED_VALUE"""),"#VALUE!")</f>
        <v>#VALUE!</v>
      </c>
    </row>
    <row r="1434" spans="1:109" ht="13.2" x14ac:dyDescent="0.25">
      <c r="A1434" t="str">
        <f ca="1">IFERROR(__xludf.DUMMYFUNCTION("""COMPUTED_VALUE"""),"P1443")</f>
        <v>P1443</v>
      </c>
      <c r="BC1434" t="str">
        <f ca="1">IFERROR(__xludf.DUMMYFUNCTION("""COMPUTED_VALUE"""),"#VALUE!")</f>
        <v>#VALUE!</v>
      </c>
      <c r="BE1434" t="str">
        <f ca="1">IFERROR(__xludf.DUMMYFUNCTION("""COMPUTED_VALUE"""),"#VALUE!")</f>
        <v>#VALUE!</v>
      </c>
      <c r="BG1434" t="str">
        <f ca="1">IFERROR(__xludf.DUMMYFUNCTION("""COMPUTED_VALUE"""),"#VALUE!")</f>
        <v>#VALUE!</v>
      </c>
      <c r="BI1434" t="str">
        <f ca="1">IFERROR(__xludf.DUMMYFUNCTION("""COMPUTED_VALUE"""),"#VALUE!")</f>
        <v>#VALUE!</v>
      </c>
      <c r="BK1434" t="str">
        <f ca="1">IFERROR(__xludf.DUMMYFUNCTION("""COMPUTED_VALUE"""),"#VALUE!")</f>
        <v>#VALUE!</v>
      </c>
      <c r="BM1434" t="str">
        <f ca="1">IFERROR(__xludf.DUMMYFUNCTION("""COMPUTED_VALUE"""),"#VALUE!")</f>
        <v>#VALUE!</v>
      </c>
      <c r="CS1434" t="str">
        <f ca="1">IFERROR(__xludf.DUMMYFUNCTION("""COMPUTED_VALUE"""),"#VALUE!")</f>
        <v>#VALUE!</v>
      </c>
      <c r="CU1434" t="str">
        <f ca="1">IFERROR(__xludf.DUMMYFUNCTION("""COMPUTED_VALUE"""),"#VALUE!")</f>
        <v>#VALUE!</v>
      </c>
      <c r="CW1434" t="str">
        <f ca="1">IFERROR(__xludf.DUMMYFUNCTION("""COMPUTED_VALUE"""),"#VALUE!")</f>
        <v>#VALUE!</v>
      </c>
      <c r="CY1434" t="str">
        <f ca="1">IFERROR(__xludf.DUMMYFUNCTION("""COMPUTED_VALUE"""),"#VALUE!")</f>
        <v>#VALUE!</v>
      </c>
      <c r="DC1434" t="str">
        <f ca="1">IFERROR(__xludf.DUMMYFUNCTION("""COMPUTED_VALUE"""),"#VALUE!")</f>
        <v>#VALUE!</v>
      </c>
      <c r="DE1434" t="str">
        <f ca="1">IFERROR(__xludf.DUMMYFUNCTION("""COMPUTED_VALUE"""),"#VALUE!")</f>
        <v>#VALUE!</v>
      </c>
    </row>
    <row r="1435" spans="1:109" ht="13.2" x14ac:dyDescent="0.25">
      <c r="A1435" t="str">
        <f ca="1">IFERROR(__xludf.DUMMYFUNCTION("""COMPUTED_VALUE"""),"P1444")</f>
        <v>P1444</v>
      </c>
      <c r="BC1435" t="str">
        <f ca="1">IFERROR(__xludf.DUMMYFUNCTION("""COMPUTED_VALUE"""),"#VALUE!")</f>
        <v>#VALUE!</v>
      </c>
      <c r="BE1435" t="str">
        <f ca="1">IFERROR(__xludf.DUMMYFUNCTION("""COMPUTED_VALUE"""),"#VALUE!")</f>
        <v>#VALUE!</v>
      </c>
      <c r="BG1435" t="str">
        <f ca="1">IFERROR(__xludf.DUMMYFUNCTION("""COMPUTED_VALUE"""),"#VALUE!")</f>
        <v>#VALUE!</v>
      </c>
      <c r="BI1435" t="str">
        <f ca="1">IFERROR(__xludf.DUMMYFUNCTION("""COMPUTED_VALUE"""),"#VALUE!")</f>
        <v>#VALUE!</v>
      </c>
      <c r="BK1435" t="str">
        <f ca="1">IFERROR(__xludf.DUMMYFUNCTION("""COMPUTED_VALUE"""),"#VALUE!")</f>
        <v>#VALUE!</v>
      </c>
      <c r="BM1435" t="str">
        <f ca="1">IFERROR(__xludf.DUMMYFUNCTION("""COMPUTED_VALUE"""),"#VALUE!")</f>
        <v>#VALUE!</v>
      </c>
      <c r="CS1435" t="str">
        <f ca="1">IFERROR(__xludf.DUMMYFUNCTION("""COMPUTED_VALUE"""),"#VALUE!")</f>
        <v>#VALUE!</v>
      </c>
      <c r="CU1435" t="str">
        <f ca="1">IFERROR(__xludf.DUMMYFUNCTION("""COMPUTED_VALUE"""),"#VALUE!")</f>
        <v>#VALUE!</v>
      </c>
      <c r="CW1435" t="str">
        <f ca="1">IFERROR(__xludf.DUMMYFUNCTION("""COMPUTED_VALUE"""),"#VALUE!")</f>
        <v>#VALUE!</v>
      </c>
      <c r="CY1435" t="str">
        <f ca="1">IFERROR(__xludf.DUMMYFUNCTION("""COMPUTED_VALUE"""),"#VALUE!")</f>
        <v>#VALUE!</v>
      </c>
      <c r="DC1435" t="str">
        <f ca="1">IFERROR(__xludf.DUMMYFUNCTION("""COMPUTED_VALUE"""),"#VALUE!")</f>
        <v>#VALUE!</v>
      </c>
      <c r="DE1435" t="str">
        <f ca="1">IFERROR(__xludf.DUMMYFUNCTION("""COMPUTED_VALUE"""),"#VALUE!")</f>
        <v>#VALUE!</v>
      </c>
    </row>
    <row r="1436" spans="1:109" ht="13.2" x14ac:dyDescent="0.25">
      <c r="A1436" t="str">
        <f ca="1">IFERROR(__xludf.DUMMYFUNCTION("""COMPUTED_VALUE"""),"P1445")</f>
        <v>P1445</v>
      </c>
      <c r="BC1436" t="str">
        <f ca="1">IFERROR(__xludf.DUMMYFUNCTION("""COMPUTED_VALUE"""),"#VALUE!")</f>
        <v>#VALUE!</v>
      </c>
      <c r="BE1436" t="str">
        <f ca="1">IFERROR(__xludf.DUMMYFUNCTION("""COMPUTED_VALUE"""),"#VALUE!")</f>
        <v>#VALUE!</v>
      </c>
      <c r="BG1436" t="str">
        <f ca="1">IFERROR(__xludf.DUMMYFUNCTION("""COMPUTED_VALUE"""),"#VALUE!")</f>
        <v>#VALUE!</v>
      </c>
      <c r="BI1436" t="str">
        <f ca="1">IFERROR(__xludf.DUMMYFUNCTION("""COMPUTED_VALUE"""),"#VALUE!")</f>
        <v>#VALUE!</v>
      </c>
      <c r="BK1436" t="str">
        <f ca="1">IFERROR(__xludf.DUMMYFUNCTION("""COMPUTED_VALUE"""),"#VALUE!")</f>
        <v>#VALUE!</v>
      </c>
      <c r="BM1436" t="str">
        <f ca="1">IFERROR(__xludf.DUMMYFUNCTION("""COMPUTED_VALUE"""),"#VALUE!")</f>
        <v>#VALUE!</v>
      </c>
      <c r="CS1436" t="str">
        <f ca="1">IFERROR(__xludf.DUMMYFUNCTION("""COMPUTED_VALUE"""),"#VALUE!")</f>
        <v>#VALUE!</v>
      </c>
      <c r="CU1436" t="str">
        <f ca="1">IFERROR(__xludf.DUMMYFUNCTION("""COMPUTED_VALUE"""),"#VALUE!")</f>
        <v>#VALUE!</v>
      </c>
      <c r="CW1436" t="str">
        <f ca="1">IFERROR(__xludf.DUMMYFUNCTION("""COMPUTED_VALUE"""),"#VALUE!")</f>
        <v>#VALUE!</v>
      </c>
      <c r="CY1436" t="str">
        <f ca="1">IFERROR(__xludf.DUMMYFUNCTION("""COMPUTED_VALUE"""),"#VALUE!")</f>
        <v>#VALUE!</v>
      </c>
      <c r="DC1436" t="str">
        <f ca="1">IFERROR(__xludf.DUMMYFUNCTION("""COMPUTED_VALUE"""),"#VALUE!")</f>
        <v>#VALUE!</v>
      </c>
      <c r="DE1436" t="str">
        <f ca="1">IFERROR(__xludf.DUMMYFUNCTION("""COMPUTED_VALUE"""),"#VALUE!")</f>
        <v>#VALUE!</v>
      </c>
    </row>
    <row r="1437" spans="1:109" ht="13.2" x14ac:dyDescent="0.25">
      <c r="A1437" t="str">
        <f ca="1">IFERROR(__xludf.DUMMYFUNCTION("""COMPUTED_VALUE"""),"P1446")</f>
        <v>P1446</v>
      </c>
      <c r="BC1437" t="str">
        <f ca="1">IFERROR(__xludf.DUMMYFUNCTION("""COMPUTED_VALUE"""),"#VALUE!")</f>
        <v>#VALUE!</v>
      </c>
      <c r="BE1437" t="str">
        <f ca="1">IFERROR(__xludf.DUMMYFUNCTION("""COMPUTED_VALUE"""),"#VALUE!")</f>
        <v>#VALUE!</v>
      </c>
      <c r="BG1437" t="str">
        <f ca="1">IFERROR(__xludf.DUMMYFUNCTION("""COMPUTED_VALUE"""),"#VALUE!")</f>
        <v>#VALUE!</v>
      </c>
      <c r="BI1437" t="str">
        <f ca="1">IFERROR(__xludf.DUMMYFUNCTION("""COMPUTED_VALUE"""),"#VALUE!")</f>
        <v>#VALUE!</v>
      </c>
      <c r="BK1437" t="str">
        <f ca="1">IFERROR(__xludf.DUMMYFUNCTION("""COMPUTED_VALUE"""),"#VALUE!")</f>
        <v>#VALUE!</v>
      </c>
      <c r="BM1437" t="str">
        <f ca="1">IFERROR(__xludf.DUMMYFUNCTION("""COMPUTED_VALUE"""),"#VALUE!")</f>
        <v>#VALUE!</v>
      </c>
      <c r="CS1437" t="str">
        <f ca="1">IFERROR(__xludf.DUMMYFUNCTION("""COMPUTED_VALUE"""),"#VALUE!")</f>
        <v>#VALUE!</v>
      </c>
      <c r="CU1437" t="str">
        <f ca="1">IFERROR(__xludf.DUMMYFUNCTION("""COMPUTED_VALUE"""),"#VALUE!")</f>
        <v>#VALUE!</v>
      </c>
      <c r="CW1437" t="str">
        <f ca="1">IFERROR(__xludf.DUMMYFUNCTION("""COMPUTED_VALUE"""),"#VALUE!")</f>
        <v>#VALUE!</v>
      </c>
      <c r="CY1437" t="str">
        <f ca="1">IFERROR(__xludf.DUMMYFUNCTION("""COMPUTED_VALUE"""),"#VALUE!")</f>
        <v>#VALUE!</v>
      </c>
      <c r="DC1437" t="str">
        <f ca="1">IFERROR(__xludf.DUMMYFUNCTION("""COMPUTED_VALUE"""),"#VALUE!")</f>
        <v>#VALUE!</v>
      </c>
      <c r="DE1437" t="str">
        <f ca="1">IFERROR(__xludf.DUMMYFUNCTION("""COMPUTED_VALUE"""),"#VALUE!")</f>
        <v>#VALUE!</v>
      </c>
    </row>
    <row r="1438" spans="1:109" ht="13.2" x14ac:dyDescent="0.25">
      <c r="A1438" t="str">
        <f ca="1">IFERROR(__xludf.DUMMYFUNCTION("""COMPUTED_VALUE"""),"P1447")</f>
        <v>P1447</v>
      </c>
      <c r="BC1438" t="str">
        <f ca="1">IFERROR(__xludf.DUMMYFUNCTION("""COMPUTED_VALUE"""),"#VALUE!")</f>
        <v>#VALUE!</v>
      </c>
      <c r="BE1438" t="str">
        <f ca="1">IFERROR(__xludf.DUMMYFUNCTION("""COMPUTED_VALUE"""),"#VALUE!")</f>
        <v>#VALUE!</v>
      </c>
      <c r="BG1438" t="str">
        <f ca="1">IFERROR(__xludf.DUMMYFUNCTION("""COMPUTED_VALUE"""),"#VALUE!")</f>
        <v>#VALUE!</v>
      </c>
      <c r="BI1438" t="str">
        <f ca="1">IFERROR(__xludf.DUMMYFUNCTION("""COMPUTED_VALUE"""),"#VALUE!")</f>
        <v>#VALUE!</v>
      </c>
      <c r="BK1438" t="str">
        <f ca="1">IFERROR(__xludf.DUMMYFUNCTION("""COMPUTED_VALUE"""),"#VALUE!")</f>
        <v>#VALUE!</v>
      </c>
      <c r="BM1438" t="str">
        <f ca="1">IFERROR(__xludf.DUMMYFUNCTION("""COMPUTED_VALUE"""),"#VALUE!")</f>
        <v>#VALUE!</v>
      </c>
      <c r="CS1438" t="str">
        <f ca="1">IFERROR(__xludf.DUMMYFUNCTION("""COMPUTED_VALUE"""),"#VALUE!")</f>
        <v>#VALUE!</v>
      </c>
      <c r="CU1438" t="str">
        <f ca="1">IFERROR(__xludf.DUMMYFUNCTION("""COMPUTED_VALUE"""),"#VALUE!")</f>
        <v>#VALUE!</v>
      </c>
      <c r="CW1438" t="str">
        <f ca="1">IFERROR(__xludf.DUMMYFUNCTION("""COMPUTED_VALUE"""),"#VALUE!")</f>
        <v>#VALUE!</v>
      </c>
      <c r="CY1438" t="str">
        <f ca="1">IFERROR(__xludf.DUMMYFUNCTION("""COMPUTED_VALUE"""),"#VALUE!")</f>
        <v>#VALUE!</v>
      </c>
      <c r="DC1438" t="str">
        <f ca="1">IFERROR(__xludf.DUMMYFUNCTION("""COMPUTED_VALUE"""),"#VALUE!")</f>
        <v>#VALUE!</v>
      </c>
      <c r="DE1438" t="str">
        <f ca="1">IFERROR(__xludf.DUMMYFUNCTION("""COMPUTED_VALUE"""),"#VALUE!")</f>
        <v>#VALUE!</v>
      </c>
    </row>
    <row r="1439" spans="1:109" ht="13.2" x14ac:dyDescent="0.25">
      <c r="A1439" t="str">
        <f ca="1">IFERROR(__xludf.DUMMYFUNCTION("""COMPUTED_VALUE"""),"P1448")</f>
        <v>P1448</v>
      </c>
      <c r="BC1439" t="str">
        <f ca="1">IFERROR(__xludf.DUMMYFUNCTION("""COMPUTED_VALUE"""),"#VALUE!")</f>
        <v>#VALUE!</v>
      </c>
      <c r="BE1439" t="str">
        <f ca="1">IFERROR(__xludf.DUMMYFUNCTION("""COMPUTED_VALUE"""),"#VALUE!")</f>
        <v>#VALUE!</v>
      </c>
      <c r="BG1439" t="str">
        <f ca="1">IFERROR(__xludf.DUMMYFUNCTION("""COMPUTED_VALUE"""),"#VALUE!")</f>
        <v>#VALUE!</v>
      </c>
      <c r="BI1439" t="str">
        <f ca="1">IFERROR(__xludf.DUMMYFUNCTION("""COMPUTED_VALUE"""),"#VALUE!")</f>
        <v>#VALUE!</v>
      </c>
      <c r="BK1439" t="str">
        <f ca="1">IFERROR(__xludf.DUMMYFUNCTION("""COMPUTED_VALUE"""),"#VALUE!")</f>
        <v>#VALUE!</v>
      </c>
      <c r="BM1439" t="str">
        <f ca="1">IFERROR(__xludf.DUMMYFUNCTION("""COMPUTED_VALUE"""),"#VALUE!")</f>
        <v>#VALUE!</v>
      </c>
      <c r="CS1439" t="str">
        <f ca="1">IFERROR(__xludf.DUMMYFUNCTION("""COMPUTED_VALUE"""),"#VALUE!")</f>
        <v>#VALUE!</v>
      </c>
      <c r="CU1439" t="str">
        <f ca="1">IFERROR(__xludf.DUMMYFUNCTION("""COMPUTED_VALUE"""),"#VALUE!")</f>
        <v>#VALUE!</v>
      </c>
      <c r="CW1439" t="str">
        <f ca="1">IFERROR(__xludf.DUMMYFUNCTION("""COMPUTED_VALUE"""),"#VALUE!")</f>
        <v>#VALUE!</v>
      </c>
      <c r="CY1439" t="str">
        <f ca="1">IFERROR(__xludf.DUMMYFUNCTION("""COMPUTED_VALUE"""),"#VALUE!")</f>
        <v>#VALUE!</v>
      </c>
      <c r="DC1439" t="str">
        <f ca="1">IFERROR(__xludf.DUMMYFUNCTION("""COMPUTED_VALUE"""),"#VALUE!")</f>
        <v>#VALUE!</v>
      </c>
      <c r="DE1439" t="str">
        <f ca="1">IFERROR(__xludf.DUMMYFUNCTION("""COMPUTED_VALUE"""),"#VALUE!")</f>
        <v>#VALUE!</v>
      </c>
    </row>
    <row r="1440" spans="1:109" ht="13.2" x14ac:dyDescent="0.25">
      <c r="A1440" t="str">
        <f ca="1">IFERROR(__xludf.DUMMYFUNCTION("""COMPUTED_VALUE"""),"P1449")</f>
        <v>P1449</v>
      </c>
      <c r="BC1440" t="str">
        <f ca="1">IFERROR(__xludf.DUMMYFUNCTION("""COMPUTED_VALUE"""),"#VALUE!")</f>
        <v>#VALUE!</v>
      </c>
      <c r="BE1440" t="str">
        <f ca="1">IFERROR(__xludf.DUMMYFUNCTION("""COMPUTED_VALUE"""),"#VALUE!")</f>
        <v>#VALUE!</v>
      </c>
      <c r="BG1440" t="str">
        <f ca="1">IFERROR(__xludf.DUMMYFUNCTION("""COMPUTED_VALUE"""),"#VALUE!")</f>
        <v>#VALUE!</v>
      </c>
      <c r="BI1440" t="str">
        <f ca="1">IFERROR(__xludf.DUMMYFUNCTION("""COMPUTED_VALUE"""),"#VALUE!")</f>
        <v>#VALUE!</v>
      </c>
      <c r="BK1440" t="str">
        <f ca="1">IFERROR(__xludf.DUMMYFUNCTION("""COMPUTED_VALUE"""),"#VALUE!")</f>
        <v>#VALUE!</v>
      </c>
      <c r="BM1440" t="str">
        <f ca="1">IFERROR(__xludf.DUMMYFUNCTION("""COMPUTED_VALUE"""),"#VALUE!")</f>
        <v>#VALUE!</v>
      </c>
      <c r="CS1440" t="str">
        <f ca="1">IFERROR(__xludf.DUMMYFUNCTION("""COMPUTED_VALUE"""),"#VALUE!")</f>
        <v>#VALUE!</v>
      </c>
      <c r="CU1440" t="str">
        <f ca="1">IFERROR(__xludf.DUMMYFUNCTION("""COMPUTED_VALUE"""),"#VALUE!")</f>
        <v>#VALUE!</v>
      </c>
      <c r="CW1440" t="str">
        <f ca="1">IFERROR(__xludf.DUMMYFUNCTION("""COMPUTED_VALUE"""),"#VALUE!")</f>
        <v>#VALUE!</v>
      </c>
      <c r="CY1440" t="str">
        <f ca="1">IFERROR(__xludf.DUMMYFUNCTION("""COMPUTED_VALUE"""),"#VALUE!")</f>
        <v>#VALUE!</v>
      </c>
      <c r="DC1440" t="str">
        <f ca="1">IFERROR(__xludf.DUMMYFUNCTION("""COMPUTED_VALUE"""),"#VALUE!")</f>
        <v>#VALUE!</v>
      </c>
      <c r="DE1440" t="str">
        <f ca="1">IFERROR(__xludf.DUMMYFUNCTION("""COMPUTED_VALUE"""),"#VALUE!")</f>
        <v>#VALUE!</v>
      </c>
    </row>
    <row r="1441" spans="1:109" ht="13.2" x14ac:dyDescent="0.25">
      <c r="A1441" t="str">
        <f ca="1">IFERROR(__xludf.DUMMYFUNCTION("""COMPUTED_VALUE"""),"P1450")</f>
        <v>P1450</v>
      </c>
      <c r="BC1441" t="str">
        <f ca="1">IFERROR(__xludf.DUMMYFUNCTION("""COMPUTED_VALUE"""),"#VALUE!")</f>
        <v>#VALUE!</v>
      </c>
      <c r="BE1441" t="str">
        <f ca="1">IFERROR(__xludf.DUMMYFUNCTION("""COMPUTED_VALUE"""),"#VALUE!")</f>
        <v>#VALUE!</v>
      </c>
      <c r="BG1441" t="str">
        <f ca="1">IFERROR(__xludf.DUMMYFUNCTION("""COMPUTED_VALUE"""),"#VALUE!")</f>
        <v>#VALUE!</v>
      </c>
      <c r="BI1441" t="str">
        <f ca="1">IFERROR(__xludf.DUMMYFUNCTION("""COMPUTED_VALUE"""),"#VALUE!")</f>
        <v>#VALUE!</v>
      </c>
      <c r="BK1441" t="str">
        <f ca="1">IFERROR(__xludf.DUMMYFUNCTION("""COMPUTED_VALUE"""),"#VALUE!")</f>
        <v>#VALUE!</v>
      </c>
      <c r="BM1441" t="str">
        <f ca="1">IFERROR(__xludf.DUMMYFUNCTION("""COMPUTED_VALUE"""),"#VALUE!")</f>
        <v>#VALUE!</v>
      </c>
      <c r="CS1441" t="str">
        <f ca="1">IFERROR(__xludf.DUMMYFUNCTION("""COMPUTED_VALUE"""),"#VALUE!")</f>
        <v>#VALUE!</v>
      </c>
      <c r="CU1441" t="str">
        <f ca="1">IFERROR(__xludf.DUMMYFUNCTION("""COMPUTED_VALUE"""),"#VALUE!")</f>
        <v>#VALUE!</v>
      </c>
      <c r="CW1441" t="str">
        <f ca="1">IFERROR(__xludf.DUMMYFUNCTION("""COMPUTED_VALUE"""),"#VALUE!")</f>
        <v>#VALUE!</v>
      </c>
      <c r="CY1441" t="str">
        <f ca="1">IFERROR(__xludf.DUMMYFUNCTION("""COMPUTED_VALUE"""),"#VALUE!")</f>
        <v>#VALUE!</v>
      </c>
      <c r="DC1441" t="str">
        <f ca="1">IFERROR(__xludf.DUMMYFUNCTION("""COMPUTED_VALUE"""),"#VALUE!")</f>
        <v>#VALUE!</v>
      </c>
      <c r="DE1441" t="str">
        <f ca="1">IFERROR(__xludf.DUMMYFUNCTION("""COMPUTED_VALUE"""),"#VALUE!")</f>
        <v>#VALUE!</v>
      </c>
    </row>
    <row r="1442" spans="1:109" ht="13.2" x14ac:dyDescent="0.25">
      <c r="A1442" t="str">
        <f ca="1">IFERROR(__xludf.DUMMYFUNCTION("""COMPUTED_VALUE"""),"P1451")</f>
        <v>P1451</v>
      </c>
      <c r="BC1442" t="str">
        <f ca="1">IFERROR(__xludf.DUMMYFUNCTION("""COMPUTED_VALUE"""),"#VALUE!")</f>
        <v>#VALUE!</v>
      </c>
      <c r="BE1442" t="str">
        <f ca="1">IFERROR(__xludf.DUMMYFUNCTION("""COMPUTED_VALUE"""),"#VALUE!")</f>
        <v>#VALUE!</v>
      </c>
      <c r="BG1442" t="str">
        <f ca="1">IFERROR(__xludf.DUMMYFUNCTION("""COMPUTED_VALUE"""),"#VALUE!")</f>
        <v>#VALUE!</v>
      </c>
      <c r="BI1442" t="str">
        <f ca="1">IFERROR(__xludf.DUMMYFUNCTION("""COMPUTED_VALUE"""),"#VALUE!")</f>
        <v>#VALUE!</v>
      </c>
      <c r="BK1442" t="str">
        <f ca="1">IFERROR(__xludf.DUMMYFUNCTION("""COMPUTED_VALUE"""),"#VALUE!")</f>
        <v>#VALUE!</v>
      </c>
      <c r="BM1442" t="str">
        <f ca="1">IFERROR(__xludf.DUMMYFUNCTION("""COMPUTED_VALUE"""),"#VALUE!")</f>
        <v>#VALUE!</v>
      </c>
      <c r="CS1442" t="str">
        <f ca="1">IFERROR(__xludf.DUMMYFUNCTION("""COMPUTED_VALUE"""),"#VALUE!")</f>
        <v>#VALUE!</v>
      </c>
      <c r="CU1442" t="str">
        <f ca="1">IFERROR(__xludf.DUMMYFUNCTION("""COMPUTED_VALUE"""),"#VALUE!")</f>
        <v>#VALUE!</v>
      </c>
      <c r="CW1442" t="str">
        <f ca="1">IFERROR(__xludf.DUMMYFUNCTION("""COMPUTED_VALUE"""),"#VALUE!")</f>
        <v>#VALUE!</v>
      </c>
      <c r="CY1442" t="str">
        <f ca="1">IFERROR(__xludf.DUMMYFUNCTION("""COMPUTED_VALUE"""),"#VALUE!")</f>
        <v>#VALUE!</v>
      </c>
      <c r="DC1442" t="str">
        <f ca="1">IFERROR(__xludf.DUMMYFUNCTION("""COMPUTED_VALUE"""),"#VALUE!")</f>
        <v>#VALUE!</v>
      </c>
      <c r="DE1442" t="str">
        <f ca="1">IFERROR(__xludf.DUMMYFUNCTION("""COMPUTED_VALUE"""),"#VALUE!")</f>
        <v>#VALUE!</v>
      </c>
    </row>
    <row r="1443" spans="1:109" ht="13.2" x14ac:dyDescent="0.25">
      <c r="A1443" t="str">
        <f ca="1">IFERROR(__xludf.DUMMYFUNCTION("""COMPUTED_VALUE"""),"P1452")</f>
        <v>P1452</v>
      </c>
      <c r="BC1443" t="str">
        <f ca="1">IFERROR(__xludf.DUMMYFUNCTION("""COMPUTED_VALUE"""),"#VALUE!")</f>
        <v>#VALUE!</v>
      </c>
      <c r="BE1443" t="str">
        <f ca="1">IFERROR(__xludf.DUMMYFUNCTION("""COMPUTED_VALUE"""),"#VALUE!")</f>
        <v>#VALUE!</v>
      </c>
      <c r="BG1443" t="str">
        <f ca="1">IFERROR(__xludf.DUMMYFUNCTION("""COMPUTED_VALUE"""),"#VALUE!")</f>
        <v>#VALUE!</v>
      </c>
      <c r="BI1443" t="str">
        <f ca="1">IFERROR(__xludf.DUMMYFUNCTION("""COMPUTED_VALUE"""),"#VALUE!")</f>
        <v>#VALUE!</v>
      </c>
      <c r="BK1443" t="str">
        <f ca="1">IFERROR(__xludf.DUMMYFUNCTION("""COMPUTED_VALUE"""),"#VALUE!")</f>
        <v>#VALUE!</v>
      </c>
      <c r="BM1443" t="str">
        <f ca="1">IFERROR(__xludf.DUMMYFUNCTION("""COMPUTED_VALUE"""),"#VALUE!")</f>
        <v>#VALUE!</v>
      </c>
      <c r="CS1443" t="str">
        <f ca="1">IFERROR(__xludf.DUMMYFUNCTION("""COMPUTED_VALUE"""),"#VALUE!")</f>
        <v>#VALUE!</v>
      </c>
      <c r="CU1443" t="str">
        <f ca="1">IFERROR(__xludf.DUMMYFUNCTION("""COMPUTED_VALUE"""),"#VALUE!")</f>
        <v>#VALUE!</v>
      </c>
      <c r="CW1443" t="str">
        <f ca="1">IFERROR(__xludf.DUMMYFUNCTION("""COMPUTED_VALUE"""),"#VALUE!")</f>
        <v>#VALUE!</v>
      </c>
      <c r="CY1443" t="str">
        <f ca="1">IFERROR(__xludf.DUMMYFUNCTION("""COMPUTED_VALUE"""),"#VALUE!")</f>
        <v>#VALUE!</v>
      </c>
      <c r="DC1443" t="str">
        <f ca="1">IFERROR(__xludf.DUMMYFUNCTION("""COMPUTED_VALUE"""),"#VALUE!")</f>
        <v>#VALUE!</v>
      </c>
      <c r="DE1443" t="str">
        <f ca="1">IFERROR(__xludf.DUMMYFUNCTION("""COMPUTED_VALUE"""),"#VALUE!")</f>
        <v>#VALUE!</v>
      </c>
    </row>
    <row r="1444" spans="1:109" ht="13.2" x14ac:dyDescent="0.25">
      <c r="A1444" t="str">
        <f ca="1">IFERROR(__xludf.DUMMYFUNCTION("""COMPUTED_VALUE"""),"P1453")</f>
        <v>P1453</v>
      </c>
      <c r="BC1444" t="str">
        <f ca="1">IFERROR(__xludf.DUMMYFUNCTION("""COMPUTED_VALUE"""),"#VALUE!")</f>
        <v>#VALUE!</v>
      </c>
      <c r="BE1444" t="str">
        <f ca="1">IFERROR(__xludf.DUMMYFUNCTION("""COMPUTED_VALUE"""),"#VALUE!")</f>
        <v>#VALUE!</v>
      </c>
      <c r="BG1444" t="str">
        <f ca="1">IFERROR(__xludf.DUMMYFUNCTION("""COMPUTED_VALUE"""),"#VALUE!")</f>
        <v>#VALUE!</v>
      </c>
      <c r="BI1444" t="str">
        <f ca="1">IFERROR(__xludf.DUMMYFUNCTION("""COMPUTED_VALUE"""),"#VALUE!")</f>
        <v>#VALUE!</v>
      </c>
      <c r="BK1444" t="str">
        <f ca="1">IFERROR(__xludf.DUMMYFUNCTION("""COMPUTED_VALUE"""),"#VALUE!")</f>
        <v>#VALUE!</v>
      </c>
      <c r="BM1444" t="str">
        <f ca="1">IFERROR(__xludf.DUMMYFUNCTION("""COMPUTED_VALUE"""),"#VALUE!")</f>
        <v>#VALUE!</v>
      </c>
      <c r="CS1444" t="str">
        <f ca="1">IFERROR(__xludf.DUMMYFUNCTION("""COMPUTED_VALUE"""),"#VALUE!")</f>
        <v>#VALUE!</v>
      </c>
      <c r="CU1444" t="str">
        <f ca="1">IFERROR(__xludf.DUMMYFUNCTION("""COMPUTED_VALUE"""),"#VALUE!")</f>
        <v>#VALUE!</v>
      </c>
      <c r="CW1444" t="str">
        <f ca="1">IFERROR(__xludf.DUMMYFUNCTION("""COMPUTED_VALUE"""),"#VALUE!")</f>
        <v>#VALUE!</v>
      </c>
      <c r="CY1444" t="str">
        <f ca="1">IFERROR(__xludf.DUMMYFUNCTION("""COMPUTED_VALUE"""),"#VALUE!")</f>
        <v>#VALUE!</v>
      </c>
      <c r="DC1444" t="str">
        <f ca="1">IFERROR(__xludf.DUMMYFUNCTION("""COMPUTED_VALUE"""),"#VALUE!")</f>
        <v>#VALUE!</v>
      </c>
      <c r="DE1444" t="str">
        <f ca="1">IFERROR(__xludf.DUMMYFUNCTION("""COMPUTED_VALUE"""),"#VALUE!")</f>
        <v>#VALUE!</v>
      </c>
    </row>
    <row r="1445" spans="1:109" ht="13.2" x14ac:dyDescent="0.25">
      <c r="A1445" t="str">
        <f ca="1">IFERROR(__xludf.DUMMYFUNCTION("""COMPUTED_VALUE"""),"P1454")</f>
        <v>P1454</v>
      </c>
      <c r="BC1445" t="str">
        <f ca="1">IFERROR(__xludf.DUMMYFUNCTION("""COMPUTED_VALUE"""),"#VALUE!")</f>
        <v>#VALUE!</v>
      </c>
      <c r="BE1445" t="str">
        <f ca="1">IFERROR(__xludf.DUMMYFUNCTION("""COMPUTED_VALUE"""),"#VALUE!")</f>
        <v>#VALUE!</v>
      </c>
      <c r="BG1445" t="str">
        <f ca="1">IFERROR(__xludf.DUMMYFUNCTION("""COMPUTED_VALUE"""),"#VALUE!")</f>
        <v>#VALUE!</v>
      </c>
      <c r="BI1445" t="str">
        <f ca="1">IFERROR(__xludf.DUMMYFUNCTION("""COMPUTED_VALUE"""),"#VALUE!")</f>
        <v>#VALUE!</v>
      </c>
      <c r="BK1445" t="str">
        <f ca="1">IFERROR(__xludf.DUMMYFUNCTION("""COMPUTED_VALUE"""),"#VALUE!")</f>
        <v>#VALUE!</v>
      </c>
      <c r="BM1445" t="str">
        <f ca="1">IFERROR(__xludf.DUMMYFUNCTION("""COMPUTED_VALUE"""),"#VALUE!")</f>
        <v>#VALUE!</v>
      </c>
      <c r="CS1445" t="str">
        <f ca="1">IFERROR(__xludf.DUMMYFUNCTION("""COMPUTED_VALUE"""),"#VALUE!")</f>
        <v>#VALUE!</v>
      </c>
      <c r="CU1445" t="str">
        <f ca="1">IFERROR(__xludf.DUMMYFUNCTION("""COMPUTED_VALUE"""),"#VALUE!")</f>
        <v>#VALUE!</v>
      </c>
      <c r="CW1445" t="str">
        <f ca="1">IFERROR(__xludf.DUMMYFUNCTION("""COMPUTED_VALUE"""),"#VALUE!")</f>
        <v>#VALUE!</v>
      </c>
      <c r="CY1445" t="str">
        <f ca="1">IFERROR(__xludf.DUMMYFUNCTION("""COMPUTED_VALUE"""),"#VALUE!")</f>
        <v>#VALUE!</v>
      </c>
      <c r="DC1445" t="str">
        <f ca="1">IFERROR(__xludf.DUMMYFUNCTION("""COMPUTED_VALUE"""),"#VALUE!")</f>
        <v>#VALUE!</v>
      </c>
      <c r="DE1445" t="str">
        <f ca="1">IFERROR(__xludf.DUMMYFUNCTION("""COMPUTED_VALUE"""),"#VALUE!")</f>
        <v>#VALUE!</v>
      </c>
    </row>
    <row r="1446" spans="1:109" ht="13.2" x14ac:dyDescent="0.25">
      <c r="A1446" t="str">
        <f ca="1">IFERROR(__xludf.DUMMYFUNCTION("""COMPUTED_VALUE"""),"P1455")</f>
        <v>P1455</v>
      </c>
      <c r="BC1446" t="str">
        <f ca="1">IFERROR(__xludf.DUMMYFUNCTION("""COMPUTED_VALUE"""),"#VALUE!")</f>
        <v>#VALUE!</v>
      </c>
      <c r="BE1446" t="str">
        <f ca="1">IFERROR(__xludf.DUMMYFUNCTION("""COMPUTED_VALUE"""),"#VALUE!")</f>
        <v>#VALUE!</v>
      </c>
      <c r="BG1446" t="str">
        <f ca="1">IFERROR(__xludf.DUMMYFUNCTION("""COMPUTED_VALUE"""),"#VALUE!")</f>
        <v>#VALUE!</v>
      </c>
      <c r="BI1446" t="str">
        <f ca="1">IFERROR(__xludf.DUMMYFUNCTION("""COMPUTED_VALUE"""),"#VALUE!")</f>
        <v>#VALUE!</v>
      </c>
      <c r="BK1446" t="str">
        <f ca="1">IFERROR(__xludf.DUMMYFUNCTION("""COMPUTED_VALUE"""),"#VALUE!")</f>
        <v>#VALUE!</v>
      </c>
      <c r="BM1446" t="str">
        <f ca="1">IFERROR(__xludf.DUMMYFUNCTION("""COMPUTED_VALUE"""),"#VALUE!")</f>
        <v>#VALUE!</v>
      </c>
      <c r="CS1446" t="str">
        <f ca="1">IFERROR(__xludf.DUMMYFUNCTION("""COMPUTED_VALUE"""),"#VALUE!")</f>
        <v>#VALUE!</v>
      </c>
      <c r="CU1446" t="str">
        <f ca="1">IFERROR(__xludf.DUMMYFUNCTION("""COMPUTED_VALUE"""),"#VALUE!")</f>
        <v>#VALUE!</v>
      </c>
      <c r="CW1446" t="str">
        <f ca="1">IFERROR(__xludf.DUMMYFUNCTION("""COMPUTED_VALUE"""),"#VALUE!")</f>
        <v>#VALUE!</v>
      </c>
      <c r="CY1446" t="str">
        <f ca="1">IFERROR(__xludf.DUMMYFUNCTION("""COMPUTED_VALUE"""),"#VALUE!")</f>
        <v>#VALUE!</v>
      </c>
      <c r="DC1446" t="str">
        <f ca="1">IFERROR(__xludf.DUMMYFUNCTION("""COMPUTED_VALUE"""),"#VALUE!")</f>
        <v>#VALUE!</v>
      </c>
      <c r="DE1446" t="str">
        <f ca="1">IFERROR(__xludf.DUMMYFUNCTION("""COMPUTED_VALUE"""),"#VALUE!")</f>
        <v>#VALUE!</v>
      </c>
    </row>
    <row r="1447" spans="1:109" ht="13.2" x14ac:dyDescent="0.25">
      <c r="A1447" t="str">
        <f ca="1">IFERROR(__xludf.DUMMYFUNCTION("""COMPUTED_VALUE"""),"P1456")</f>
        <v>P1456</v>
      </c>
      <c r="BC1447" t="str">
        <f ca="1">IFERROR(__xludf.DUMMYFUNCTION("""COMPUTED_VALUE"""),"#VALUE!")</f>
        <v>#VALUE!</v>
      </c>
      <c r="BE1447" t="str">
        <f ca="1">IFERROR(__xludf.DUMMYFUNCTION("""COMPUTED_VALUE"""),"#VALUE!")</f>
        <v>#VALUE!</v>
      </c>
      <c r="BG1447" t="str">
        <f ca="1">IFERROR(__xludf.DUMMYFUNCTION("""COMPUTED_VALUE"""),"#VALUE!")</f>
        <v>#VALUE!</v>
      </c>
      <c r="BI1447" t="str">
        <f ca="1">IFERROR(__xludf.DUMMYFUNCTION("""COMPUTED_VALUE"""),"#VALUE!")</f>
        <v>#VALUE!</v>
      </c>
      <c r="BK1447" t="str">
        <f ca="1">IFERROR(__xludf.DUMMYFUNCTION("""COMPUTED_VALUE"""),"#VALUE!")</f>
        <v>#VALUE!</v>
      </c>
      <c r="BM1447" t="str">
        <f ca="1">IFERROR(__xludf.DUMMYFUNCTION("""COMPUTED_VALUE"""),"#VALUE!")</f>
        <v>#VALUE!</v>
      </c>
      <c r="CS1447" t="str">
        <f ca="1">IFERROR(__xludf.DUMMYFUNCTION("""COMPUTED_VALUE"""),"#VALUE!")</f>
        <v>#VALUE!</v>
      </c>
      <c r="CU1447" t="str">
        <f ca="1">IFERROR(__xludf.DUMMYFUNCTION("""COMPUTED_VALUE"""),"#VALUE!")</f>
        <v>#VALUE!</v>
      </c>
      <c r="CW1447" t="str">
        <f ca="1">IFERROR(__xludf.DUMMYFUNCTION("""COMPUTED_VALUE"""),"#VALUE!")</f>
        <v>#VALUE!</v>
      </c>
      <c r="CY1447" t="str">
        <f ca="1">IFERROR(__xludf.DUMMYFUNCTION("""COMPUTED_VALUE"""),"#VALUE!")</f>
        <v>#VALUE!</v>
      </c>
      <c r="DC1447" t="str">
        <f ca="1">IFERROR(__xludf.DUMMYFUNCTION("""COMPUTED_VALUE"""),"#VALUE!")</f>
        <v>#VALUE!</v>
      </c>
      <c r="DE1447" t="str">
        <f ca="1">IFERROR(__xludf.DUMMYFUNCTION("""COMPUTED_VALUE"""),"#VALUE!")</f>
        <v>#VALUE!</v>
      </c>
    </row>
    <row r="1448" spans="1:109" ht="13.2" x14ac:dyDescent="0.25">
      <c r="A1448" t="str">
        <f ca="1">IFERROR(__xludf.DUMMYFUNCTION("""COMPUTED_VALUE"""),"P1457")</f>
        <v>P1457</v>
      </c>
      <c r="BC1448" t="str">
        <f ca="1">IFERROR(__xludf.DUMMYFUNCTION("""COMPUTED_VALUE"""),"#VALUE!")</f>
        <v>#VALUE!</v>
      </c>
      <c r="BE1448" t="str">
        <f ca="1">IFERROR(__xludf.DUMMYFUNCTION("""COMPUTED_VALUE"""),"#VALUE!")</f>
        <v>#VALUE!</v>
      </c>
      <c r="BG1448" t="str">
        <f ca="1">IFERROR(__xludf.DUMMYFUNCTION("""COMPUTED_VALUE"""),"#VALUE!")</f>
        <v>#VALUE!</v>
      </c>
      <c r="BI1448" t="str">
        <f ca="1">IFERROR(__xludf.DUMMYFUNCTION("""COMPUTED_VALUE"""),"#VALUE!")</f>
        <v>#VALUE!</v>
      </c>
      <c r="BK1448" t="str">
        <f ca="1">IFERROR(__xludf.DUMMYFUNCTION("""COMPUTED_VALUE"""),"#VALUE!")</f>
        <v>#VALUE!</v>
      </c>
      <c r="BM1448" t="str">
        <f ca="1">IFERROR(__xludf.DUMMYFUNCTION("""COMPUTED_VALUE"""),"#VALUE!")</f>
        <v>#VALUE!</v>
      </c>
      <c r="CS1448" t="str">
        <f ca="1">IFERROR(__xludf.DUMMYFUNCTION("""COMPUTED_VALUE"""),"#VALUE!")</f>
        <v>#VALUE!</v>
      </c>
      <c r="CU1448" t="str">
        <f ca="1">IFERROR(__xludf.DUMMYFUNCTION("""COMPUTED_VALUE"""),"#VALUE!")</f>
        <v>#VALUE!</v>
      </c>
      <c r="CW1448" t="str">
        <f ca="1">IFERROR(__xludf.DUMMYFUNCTION("""COMPUTED_VALUE"""),"#VALUE!")</f>
        <v>#VALUE!</v>
      </c>
      <c r="CY1448" t="str">
        <f ca="1">IFERROR(__xludf.DUMMYFUNCTION("""COMPUTED_VALUE"""),"#VALUE!")</f>
        <v>#VALUE!</v>
      </c>
      <c r="DC1448" t="str">
        <f ca="1">IFERROR(__xludf.DUMMYFUNCTION("""COMPUTED_VALUE"""),"#VALUE!")</f>
        <v>#VALUE!</v>
      </c>
      <c r="DE1448" t="str">
        <f ca="1">IFERROR(__xludf.DUMMYFUNCTION("""COMPUTED_VALUE"""),"#VALUE!")</f>
        <v>#VALUE!</v>
      </c>
    </row>
    <row r="1449" spans="1:109" ht="13.2" x14ac:dyDescent="0.25">
      <c r="A1449" t="str">
        <f ca="1">IFERROR(__xludf.DUMMYFUNCTION("""COMPUTED_VALUE"""),"P1458")</f>
        <v>P1458</v>
      </c>
      <c r="BC1449" t="str">
        <f ca="1">IFERROR(__xludf.DUMMYFUNCTION("""COMPUTED_VALUE"""),"#VALUE!")</f>
        <v>#VALUE!</v>
      </c>
      <c r="BE1449" t="str">
        <f ca="1">IFERROR(__xludf.DUMMYFUNCTION("""COMPUTED_VALUE"""),"#VALUE!")</f>
        <v>#VALUE!</v>
      </c>
      <c r="BG1449" t="str">
        <f ca="1">IFERROR(__xludf.DUMMYFUNCTION("""COMPUTED_VALUE"""),"#VALUE!")</f>
        <v>#VALUE!</v>
      </c>
      <c r="BI1449" t="str">
        <f ca="1">IFERROR(__xludf.DUMMYFUNCTION("""COMPUTED_VALUE"""),"#VALUE!")</f>
        <v>#VALUE!</v>
      </c>
      <c r="BK1449" t="str">
        <f ca="1">IFERROR(__xludf.DUMMYFUNCTION("""COMPUTED_VALUE"""),"#VALUE!")</f>
        <v>#VALUE!</v>
      </c>
      <c r="BM1449" t="str">
        <f ca="1">IFERROR(__xludf.DUMMYFUNCTION("""COMPUTED_VALUE"""),"#VALUE!")</f>
        <v>#VALUE!</v>
      </c>
      <c r="CS1449" t="str">
        <f ca="1">IFERROR(__xludf.DUMMYFUNCTION("""COMPUTED_VALUE"""),"#VALUE!")</f>
        <v>#VALUE!</v>
      </c>
      <c r="CU1449" t="str">
        <f ca="1">IFERROR(__xludf.DUMMYFUNCTION("""COMPUTED_VALUE"""),"#VALUE!")</f>
        <v>#VALUE!</v>
      </c>
      <c r="CW1449" t="str">
        <f ca="1">IFERROR(__xludf.DUMMYFUNCTION("""COMPUTED_VALUE"""),"#VALUE!")</f>
        <v>#VALUE!</v>
      </c>
      <c r="CY1449" t="str">
        <f ca="1">IFERROR(__xludf.DUMMYFUNCTION("""COMPUTED_VALUE"""),"#VALUE!")</f>
        <v>#VALUE!</v>
      </c>
      <c r="DC1449" t="str">
        <f ca="1">IFERROR(__xludf.DUMMYFUNCTION("""COMPUTED_VALUE"""),"#VALUE!")</f>
        <v>#VALUE!</v>
      </c>
      <c r="DE1449" t="str">
        <f ca="1">IFERROR(__xludf.DUMMYFUNCTION("""COMPUTED_VALUE"""),"#VALUE!")</f>
        <v>#VALUE!</v>
      </c>
    </row>
    <row r="1450" spans="1:109" ht="13.2" x14ac:dyDescent="0.25">
      <c r="A1450" t="str">
        <f ca="1">IFERROR(__xludf.DUMMYFUNCTION("""COMPUTED_VALUE"""),"P1459")</f>
        <v>P1459</v>
      </c>
      <c r="BC1450" t="str">
        <f ca="1">IFERROR(__xludf.DUMMYFUNCTION("""COMPUTED_VALUE"""),"#VALUE!")</f>
        <v>#VALUE!</v>
      </c>
      <c r="BE1450" t="str">
        <f ca="1">IFERROR(__xludf.DUMMYFUNCTION("""COMPUTED_VALUE"""),"#VALUE!")</f>
        <v>#VALUE!</v>
      </c>
      <c r="BG1450" t="str">
        <f ca="1">IFERROR(__xludf.DUMMYFUNCTION("""COMPUTED_VALUE"""),"#VALUE!")</f>
        <v>#VALUE!</v>
      </c>
      <c r="BI1450" t="str">
        <f ca="1">IFERROR(__xludf.DUMMYFUNCTION("""COMPUTED_VALUE"""),"#VALUE!")</f>
        <v>#VALUE!</v>
      </c>
      <c r="BK1450" t="str">
        <f ca="1">IFERROR(__xludf.DUMMYFUNCTION("""COMPUTED_VALUE"""),"#VALUE!")</f>
        <v>#VALUE!</v>
      </c>
      <c r="BM1450" t="str">
        <f ca="1">IFERROR(__xludf.DUMMYFUNCTION("""COMPUTED_VALUE"""),"#VALUE!")</f>
        <v>#VALUE!</v>
      </c>
      <c r="CS1450" t="str">
        <f ca="1">IFERROR(__xludf.DUMMYFUNCTION("""COMPUTED_VALUE"""),"#VALUE!")</f>
        <v>#VALUE!</v>
      </c>
      <c r="CU1450" t="str">
        <f ca="1">IFERROR(__xludf.DUMMYFUNCTION("""COMPUTED_VALUE"""),"#VALUE!")</f>
        <v>#VALUE!</v>
      </c>
      <c r="CW1450" t="str">
        <f ca="1">IFERROR(__xludf.DUMMYFUNCTION("""COMPUTED_VALUE"""),"#VALUE!")</f>
        <v>#VALUE!</v>
      </c>
      <c r="CY1450" t="str">
        <f ca="1">IFERROR(__xludf.DUMMYFUNCTION("""COMPUTED_VALUE"""),"#VALUE!")</f>
        <v>#VALUE!</v>
      </c>
      <c r="DC1450" t="str">
        <f ca="1">IFERROR(__xludf.DUMMYFUNCTION("""COMPUTED_VALUE"""),"#VALUE!")</f>
        <v>#VALUE!</v>
      </c>
      <c r="DE1450" t="str">
        <f ca="1">IFERROR(__xludf.DUMMYFUNCTION("""COMPUTED_VALUE"""),"#VALUE!")</f>
        <v>#VALUE!</v>
      </c>
    </row>
    <row r="1451" spans="1:109" ht="13.2" x14ac:dyDescent="0.25">
      <c r="A1451" t="str">
        <f ca="1">IFERROR(__xludf.DUMMYFUNCTION("""COMPUTED_VALUE"""),"P1460")</f>
        <v>P1460</v>
      </c>
      <c r="BC1451" t="str">
        <f ca="1">IFERROR(__xludf.DUMMYFUNCTION("""COMPUTED_VALUE"""),"#VALUE!")</f>
        <v>#VALUE!</v>
      </c>
      <c r="BE1451" t="str">
        <f ca="1">IFERROR(__xludf.DUMMYFUNCTION("""COMPUTED_VALUE"""),"#VALUE!")</f>
        <v>#VALUE!</v>
      </c>
      <c r="BG1451" t="str">
        <f ca="1">IFERROR(__xludf.DUMMYFUNCTION("""COMPUTED_VALUE"""),"#VALUE!")</f>
        <v>#VALUE!</v>
      </c>
      <c r="BI1451" t="str">
        <f ca="1">IFERROR(__xludf.DUMMYFUNCTION("""COMPUTED_VALUE"""),"#VALUE!")</f>
        <v>#VALUE!</v>
      </c>
      <c r="BK1451" t="str">
        <f ca="1">IFERROR(__xludf.DUMMYFUNCTION("""COMPUTED_VALUE"""),"#VALUE!")</f>
        <v>#VALUE!</v>
      </c>
      <c r="BM1451" t="str">
        <f ca="1">IFERROR(__xludf.DUMMYFUNCTION("""COMPUTED_VALUE"""),"#VALUE!")</f>
        <v>#VALUE!</v>
      </c>
      <c r="CS1451" t="str">
        <f ca="1">IFERROR(__xludf.DUMMYFUNCTION("""COMPUTED_VALUE"""),"#VALUE!")</f>
        <v>#VALUE!</v>
      </c>
      <c r="CU1451" t="str">
        <f ca="1">IFERROR(__xludf.DUMMYFUNCTION("""COMPUTED_VALUE"""),"#VALUE!")</f>
        <v>#VALUE!</v>
      </c>
      <c r="CW1451" t="str">
        <f ca="1">IFERROR(__xludf.DUMMYFUNCTION("""COMPUTED_VALUE"""),"#VALUE!")</f>
        <v>#VALUE!</v>
      </c>
      <c r="CY1451" t="str">
        <f ca="1">IFERROR(__xludf.DUMMYFUNCTION("""COMPUTED_VALUE"""),"#VALUE!")</f>
        <v>#VALUE!</v>
      </c>
      <c r="DC1451" t="str">
        <f ca="1">IFERROR(__xludf.DUMMYFUNCTION("""COMPUTED_VALUE"""),"#VALUE!")</f>
        <v>#VALUE!</v>
      </c>
      <c r="DE1451" t="str">
        <f ca="1">IFERROR(__xludf.DUMMYFUNCTION("""COMPUTED_VALUE"""),"#VALUE!")</f>
        <v>#VALUE!</v>
      </c>
    </row>
    <row r="1452" spans="1:109" ht="13.2" x14ac:dyDescent="0.25">
      <c r="A1452" t="str">
        <f ca="1">IFERROR(__xludf.DUMMYFUNCTION("""COMPUTED_VALUE"""),"P1461")</f>
        <v>P1461</v>
      </c>
      <c r="BC1452" t="str">
        <f ca="1">IFERROR(__xludf.DUMMYFUNCTION("""COMPUTED_VALUE"""),"#VALUE!")</f>
        <v>#VALUE!</v>
      </c>
      <c r="BE1452" t="str">
        <f ca="1">IFERROR(__xludf.DUMMYFUNCTION("""COMPUTED_VALUE"""),"#VALUE!")</f>
        <v>#VALUE!</v>
      </c>
      <c r="BG1452" t="str">
        <f ca="1">IFERROR(__xludf.DUMMYFUNCTION("""COMPUTED_VALUE"""),"#VALUE!")</f>
        <v>#VALUE!</v>
      </c>
      <c r="BI1452" t="str">
        <f ca="1">IFERROR(__xludf.DUMMYFUNCTION("""COMPUTED_VALUE"""),"#VALUE!")</f>
        <v>#VALUE!</v>
      </c>
      <c r="BK1452" t="str">
        <f ca="1">IFERROR(__xludf.DUMMYFUNCTION("""COMPUTED_VALUE"""),"#VALUE!")</f>
        <v>#VALUE!</v>
      </c>
      <c r="BM1452" t="str">
        <f ca="1">IFERROR(__xludf.DUMMYFUNCTION("""COMPUTED_VALUE"""),"#VALUE!")</f>
        <v>#VALUE!</v>
      </c>
      <c r="CS1452" t="str">
        <f ca="1">IFERROR(__xludf.DUMMYFUNCTION("""COMPUTED_VALUE"""),"#VALUE!")</f>
        <v>#VALUE!</v>
      </c>
      <c r="CU1452" t="str">
        <f ca="1">IFERROR(__xludf.DUMMYFUNCTION("""COMPUTED_VALUE"""),"#VALUE!")</f>
        <v>#VALUE!</v>
      </c>
      <c r="CW1452" t="str">
        <f ca="1">IFERROR(__xludf.DUMMYFUNCTION("""COMPUTED_VALUE"""),"#VALUE!")</f>
        <v>#VALUE!</v>
      </c>
      <c r="CY1452" t="str">
        <f ca="1">IFERROR(__xludf.DUMMYFUNCTION("""COMPUTED_VALUE"""),"#VALUE!")</f>
        <v>#VALUE!</v>
      </c>
      <c r="DC1452" t="str">
        <f ca="1">IFERROR(__xludf.DUMMYFUNCTION("""COMPUTED_VALUE"""),"#VALUE!")</f>
        <v>#VALUE!</v>
      </c>
      <c r="DE1452" t="str">
        <f ca="1">IFERROR(__xludf.DUMMYFUNCTION("""COMPUTED_VALUE"""),"#VALUE!")</f>
        <v>#VALUE!</v>
      </c>
    </row>
    <row r="1453" spans="1:109" ht="13.2" x14ac:dyDescent="0.25">
      <c r="A1453" t="str">
        <f ca="1">IFERROR(__xludf.DUMMYFUNCTION("""COMPUTED_VALUE"""),"P1462")</f>
        <v>P1462</v>
      </c>
      <c r="BC1453" t="str">
        <f ca="1">IFERROR(__xludf.DUMMYFUNCTION("""COMPUTED_VALUE"""),"#VALUE!")</f>
        <v>#VALUE!</v>
      </c>
      <c r="BE1453" t="str">
        <f ca="1">IFERROR(__xludf.DUMMYFUNCTION("""COMPUTED_VALUE"""),"#VALUE!")</f>
        <v>#VALUE!</v>
      </c>
      <c r="BG1453" t="str">
        <f ca="1">IFERROR(__xludf.DUMMYFUNCTION("""COMPUTED_VALUE"""),"#VALUE!")</f>
        <v>#VALUE!</v>
      </c>
      <c r="BI1453" t="str">
        <f ca="1">IFERROR(__xludf.DUMMYFUNCTION("""COMPUTED_VALUE"""),"#VALUE!")</f>
        <v>#VALUE!</v>
      </c>
      <c r="BK1453" t="str">
        <f ca="1">IFERROR(__xludf.DUMMYFUNCTION("""COMPUTED_VALUE"""),"#VALUE!")</f>
        <v>#VALUE!</v>
      </c>
      <c r="BM1453" t="str">
        <f ca="1">IFERROR(__xludf.DUMMYFUNCTION("""COMPUTED_VALUE"""),"#VALUE!")</f>
        <v>#VALUE!</v>
      </c>
      <c r="CS1453" t="str">
        <f ca="1">IFERROR(__xludf.DUMMYFUNCTION("""COMPUTED_VALUE"""),"#VALUE!")</f>
        <v>#VALUE!</v>
      </c>
      <c r="CU1453" t="str">
        <f ca="1">IFERROR(__xludf.DUMMYFUNCTION("""COMPUTED_VALUE"""),"#VALUE!")</f>
        <v>#VALUE!</v>
      </c>
      <c r="CW1453" t="str">
        <f ca="1">IFERROR(__xludf.DUMMYFUNCTION("""COMPUTED_VALUE"""),"#VALUE!")</f>
        <v>#VALUE!</v>
      </c>
      <c r="CY1453" t="str">
        <f ca="1">IFERROR(__xludf.DUMMYFUNCTION("""COMPUTED_VALUE"""),"#VALUE!")</f>
        <v>#VALUE!</v>
      </c>
      <c r="DC1453" t="str">
        <f ca="1">IFERROR(__xludf.DUMMYFUNCTION("""COMPUTED_VALUE"""),"#VALUE!")</f>
        <v>#VALUE!</v>
      </c>
      <c r="DE1453" t="str">
        <f ca="1">IFERROR(__xludf.DUMMYFUNCTION("""COMPUTED_VALUE"""),"#VALUE!")</f>
        <v>#VALUE!</v>
      </c>
    </row>
    <row r="1454" spans="1:109" ht="13.2" x14ac:dyDescent="0.25">
      <c r="A1454" t="str">
        <f ca="1">IFERROR(__xludf.DUMMYFUNCTION("""COMPUTED_VALUE"""),"P1463")</f>
        <v>P1463</v>
      </c>
      <c r="BC1454" t="str">
        <f ca="1">IFERROR(__xludf.DUMMYFUNCTION("""COMPUTED_VALUE"""),"#VALUE!")</f>
        <v>#VALUE!</v>
      </c>
      <c r="BE1454" t="str">
        <f ca="1">IFERROR(__xludf.DUMMYFUNCTION("""COMPUTED_VALUE"""),"#VALUE!")</f>
        <v>#VALUE!</v>
      </c>
      <c r="BG1454" t="str">
        <f ca="1">IFERROR(__xludf.DUMMYFUNCTION("""COMPUTED_VALUE"""),"#VALUE!")</f>
        <v>#VALUE!</v>
      </c>
      <c r="BI1454" t="str">
        <f ca="1">IFERROR(__xludf.DUMMYFUNCTION("""COMPUTED_VALUE"""),"#VALUE!")</f>
        <v>#VALUE!</v>
      </c>
      <c r="BK1454" t="str">
        <f ca="1">IFERROR(__xludf.DUMMYFUNCTION("""COMPUTED_VALUE"""),"#VALUE!")</f>
        <v>#VALUE!</v>
      </c>
      <c r="BM1454" t="str">
        <f ca="1">IFERROR(__xludf.DUMMYFUNCTION("""COMPUTED_VALUE"""),"#VALUE!")</f>
        <v>#VALUE!</v>
      </c>
      <c r="CS1454" t="str">
        <f ca="1">IFERROR(__xludf.DUMMYFUNCTION("""COMPUTED_VALUE"""),"#VALUE!")</f>
        <v>#VALUE!</v>
      </c>
      <c r="CU1454" t="str">
        <f ca="1">IFERROR(__xludf.DUMMYFUNCTION("""COMPUTED_VALUE"""),"#VALUE!")</f>
        <v>#VALUE!</v>
      </c>
      <c r="CW1454" t="str">
        <f ca="1">IFERROR(__xludf.DUMMYFUNCTION("""COMPUTED_VALUE"""),"#VALUE!")</f>
        <v>#VALUE!</v>
      </c>
      <c r="CY1454" t="str">
        <f ca="1">IFERROR(__xludf.DUMMYFUNCTION("""COMPUTED_VALUE"""),"#VALUE!")</f>
        <v>#VALUE!</v>
      </c>
      <c r="DC1454" t="str">
        <f ca="1">IFERROR(__xludf.DUMMYFUNCTION("""COMPUTED_VALUE"""),"#VALUE!")</f>
        <v>#VALUE!</v>
      </c>
      <c r="DE1454" t="str">
        <f ca="1">IFERROR(__xludf.DUMMYFUNCTION("""COMPUTED_VALUE"""),"#VALUE!")</f>
        <v>#VALUE!</v>
      </c>
    </row>
    <row r="1455" spans="1:109" ht="13.2" x14ac:dyDescent="0.25">
      <c r="A1455" t="str">
        <f ca="1">IFERROR(__xludf.DUMMYFUNCTION("""COMPUTED_VALUE"""),"P1464")</f>
        <v>P1464</v>
      </c>
      <c r="BC1455" t="str">
        <f ca="1">IFERROR(__xludf.DUMMYFUNCTION("""COMPUTED_VALUE"""),"#VALUE!")</f>
        <v>#VALUE!</v>
      </c>
      <c r="BE1455" t="str">
        <f ca="1">IFERROR(__xludf.DUMMYFUNCTION("""COMPUTED_VALUE"""),"#VALUE!")</f>
        <v>#VALUE!</v>
      </c>
      <c r="BG1455" t="str">
        <f ca="1">IFERROR(__xludf.DUMMYFUNCTION("""COMPUTED_VALUE"""),"#VALUE!")</f>
        <v>#VALUE!</v>
      </c>
      <c r="BI1455" t="str">
        <f ca="1">IFERROR(__xludf.DUMMYFUNCTION("""COMPUTED_VALUE"""),"#VALUE!")</f>
        <v>#VALUE!</v>
      </c>
      <c r="BK1455" t="str">
        <f ca="1">IFERROR(__xludf.DUMMYFUNCTION("""COMPUTED_VALUE"""),"#VALUE!")</f>
        <v>#VALUE!</v>
      </c>
      <c r="BM1455" t="str">
        <f ca="1">IFERROR(__xludf.DUMMYFUNCTION("""COMPUTED_VALUE"""),"#VALUE!")</f>
        <v>#VALUE!</v>
      </c>
      <c r="CS1455" t="str">
        <f ca="1">IFERROR(__xludf.DUMMYFUNCTION("""COMPUTED_VALUE"""),"#VALUE!")</f>
        <v>#VALUE!</v>
      </c>
      <c r="CU1455" t="str">
        <f ca="1">IFERROR(__xludf.DUMMYFUNCTION("""COMPUTED_VALUE"""),"#VALUE!")</f>
        <v>#VALUE!</v>
      </c>
      <c r="CW1455" t="str">
        <f ca="1">IFERROR(__xludf.DUMMYFUNCTION("""COMPUTED_VALUE"""),"#VALUE!")</f>
        <v>#VALUE!</v>
      </c>
      <c r="CY1455" t="str">
        <f ca="1">IFERROR(__xludf.DUMMYFUNCTION("""COMPUTED_VALUE"""),"#VALUE!")</f>
        <v>#VALUE!</v>
      </c>
      <c r="DC1455" t="str">
        <f ca="1">IFERROR(__xludf.DUMMYFUNCTION("""COMPUTED_VALUE"""),"#VALUE!")</f>
        <v>#VALUE!</v>
      </c>
      <c r="DE1455" t="str">
        <f ca="1">IFERROR(__xludf.DUMMYFUNCTION("""COMPUTED_VALUE"""),"#VALUE!")</f>
        <v>#VALUE!</v>
      </c>
    </row>
    <row r="1456" spans="1:109" ht="13.2" x14ac:dyDescent="0.25">
      <c r="A1456" t="str">
        <f ca="1">IFERROR(__xludf.DUMMYFUNCTION("""COMPUTED_VALUE"""),"P1465")</f>
        <v>P1465</v>
      </c>
      <c r="BC1456" t="str">
        <f ca="1">IFERROR(__xludf.DUMMYFUNCTION("""COMPUTED_VALUE"""),"#VALUE!")</f>
        <v>#VALUE!</v>
      </c>
      <c r="BE1456" t="str">
        <f ca="1">IFERROR(__xludf.DUMMYFUNCTION("""COMPUTED_VALUE"""),"#VALUE!")</f>
        <v>#VALUE!</v>
      </c>
      <c r="BG1456" t="str">
        <f ca="1">IFERROR(__xludf.DUMMYFUNCTION("""COMPUTED_VALUE"""),"#VALUE!")</f>
        <v>#VALUE!</v>
      </c>
      <c r="BI1456" t="str">
        <f ca="1">IFERROR(__xludf.DUMMYFUNCTION("""COMPUTED_VALUE"""),"#VALUE!")</f>
        <v>#VALUE!</v>
      </c>
      <c r="BK1456" t="str">
        <f ca="1">IFERROR(__xludf.DUMMYFUNCTION("""COMPUTED_VALUE"""),"#VALUE!")</f>
        <v>#VALUE!</v>
      </c>
      <c r="BM1456" t="str">
        <f ca="1">IFERROR(__xludf.DUMMYFUNCTION("""COMPUTED_VALUE"""),"#VALUE!")</f>
        <v>#VALUE!</v>
      </c>
      <c r="CS1456" t="str">
        <f ca="1">IFERROR(__xludf.DUMMYFUNCTION("""COMPUTED_VALUE"""),"#VALUE!")</f>
        <v>#VALUE!</v>
      </c>
      <c r="CU1456" t="str">
        <f ca="1">IFERROR(__xludf.DUMMYFUNCTION("""COMPUTED_VALUE"""),"#VALUE!")</f>
        <v>#VALUE!</v>
      </c>
      <c r="CW1456" t="str">
        <f ca="1">IFERROR(__xludf.DUMMYFUNCTION("""COMPUTED_VALUE"""),"#VALUE!")</f>
        <v>#VALUE!</v>
      </c>
      <c r="CY1456" t="str">
        <f ca="1">IFERROR(__xludf.DUMMYFUNCTION("""COMPUTED_VALUE"""),"#VALUE!")</f>
        <v>#VALUE!</v>
      </c>
      <c r="DC1456" t="str">
        <f ca="1">IFERROR(__xludf.DUMMYFUNCTION("""COMPUTED_VALUE"""),"#VALUE!")</f>
        <v>#VALUE!</v>
      </c>
      <c r="DE1456" t="str">
        <f ca="1">IFERROR(__xludf.DUMMYFUNCTION("""COMPUTED_VALUE"""),"#VALUE!")</f>
        <v>#VALUE!</v>
      </c>
    </row>
    <row r="1457" spans="1:109" ht="13.2" x14ac:dyDescent="0.25">
      <c r="A1457" t="str">
        <f ca="1">IFERROR(__xludf.DUMMYFUNCTION("""COMPUTED_VALUE"""),"P1466")</f>
        <v>P1466</v>
      </c>
      <c r="BC1457" t="str">
        <f ca="1">IFERROR(__xludf.DUMMYFUNCTION("""COMPUTED_VALUE"""),"#VALUE!")</f>
        <v>#VALUE!</v>
      </c>
      <c r="BE1457" t="str">
        <f ca="1">IFERROR(__xludf.DUMMYFUNCTION("""COMPUTED_VALUE"""),"#VALUE!")</f>
        <v>#VALUE!</v>
      </c>
      <c r="BG1457" t="str">
        <f ca="1">IFERROR(__xludf.DUMMYFUNCTION("""COMPUTED_VALUE"""),"#VALUE!")</f>
        <v>#VALUE!</v>
      </c>
      <c r="BI1457" t="str">
        <f ca="1">IFERROR(__xludf.DUMMYFUNCTION("""COMPUTED_VALUE"""),"#VALUE!")</f>
        <v>#VALUE!</v>
      </c>
      <c r="BK1457" t="str">
        <f ca="1">IFERROR(__xludf.DUMMYFUNCTION("""COMPUTED_VALUE"""),"#VALUE!")</f>
        <v>#VALUE!</v>
      </c>
      <c r="BM1457" t="str">
        <f ca="1">IFERROR(__xludf.DUMMYFUNCTION("""COMPUTED_VALUE"""),"#VALUE!")</f>
        <v>#VALUE!</v>
      </c>
      <c r="CS1457" t="str">
        <f ca="1">IFERROR(__xludf.DUMMYFUNCTION("""COMPUTED_VALUE"""),"#VALUE!")</f>
        <v>#VALUE!</v>
      </c>
      <c r="CU1457" t="str">
        <f ca="1">IFERROR(__xludf.DUMMYFUNCTION("""COMPUTED_VALUE"""),"#VALUE!")</f>
        <v>#VALUE!</v>
      </c>
      <c r="CW1457" t="str">
        <f ca="1">IFERROR(__xludf.DUMMYFUNCTION("""COMPUTED_VALUE"""),"#VALUE!")</f>
        <v>#VALUE!</v>
      </c>
      <c r="CY1457" t="str">
        <f ca="1">IFERROR(__xludf.DUMMYFUNCTION("""COMPUTED_VALUE"""),"#VALUE!")</f>
        <v>#VALUE!</v>
      </c>
      <c r="DC1457" t="str">
        <f ca="1">IFERROR(__xludf.DUMMYFUNCTION("""COMPUTED_VALUE"""),"#VALUE!")</f>
        <v>#VALUE!</v>
      </c>
      <c r="DE1457" t="str">
        <f ca="1">IFERROR(__xludf.DUMMYFUNCTION("""COMPUTED_VALUE"""),"#VALUE!")</f>
        <v>#VALUE!</v>
      </c>
    </row>
    <row r="1458" spans="1:109" ht="13.2" x14ac:dyDescent="0.25">
      <c r="A1458" t="str">
        <f ca="1">IFERROR(__xludf.DUMMYFUNCTION("""COMPUTED_VALUE"""),"P1467")</f>
        <v>P1467</v>
      </c>
      <c r="BC1458" t="str">
        <f ca="1">IFERROR(__xludf.DUMMYFUNCTION("""COMPUTED_VALUE"""),"#VALUE!")</f>
        <v>#VALUE!</v>
      </c>
      <c r="BE1458" t="str">
        <f ca="1">IFERROR(__xludf.DUMMYFUNCTION("""COMPUTED_VALUE"""),"#VALUE!")</f>
        <v>#VALUE!</v>
      </c>
      <c r="BG1458" t="str">
        <f ca="1">IFERROR(__xludf.DUMMYFUNCTION("""COMPUTED_VALUE"""),"#VALUE!")</f>
        <v>#VALUE!</v>
      </c>
      <c r="BI1458" t="str">
        <f ca="1">IFERROR(__xludf.DUMMYFUNCTION("""COMPUTED_VALUE"""),"#VALUE!")</f>
        <v>#VALUE!</v>
      </c>
      <c r="BK1458" t="str">
        <f ca="1">IFERROR(__xludf.DUMMYFUNCTION("""COMPUTED_VALUE"""),"#VALUE!")</f>
        <v>#VALUE!</v>
      </c>
      <c r="BM1458" t="str">
        <f ca="1">IFERROR(__xludf.DUMMYFUNCTION("""COMPUTED_VALUE"""),"#VALUE!")</f>
        <v>#VALUE!</v>
      </c>
      <c r="CS1458" t="str">
        <f ca="1">IFERROR(__xludf.DUMMYFUNCTION("""COMPUTED_VALUE"""),"#VALUE!")</f>
        <v>#VALUE!</v>
      </c>
      <c r="CU1458" t="str">
        <f ca="1">IFERROR(__xludf.DUMMYFUNCTION("""COMPUTED_VALUE"""),"#VALUE!")</f>
        <v>#VALUE!</v>
      </c>
      <c r="CW1458" t="str">
        <f ca="1">IFERROR(__xludf.DUMMYFUNCTION("""COMPUTED_VALUE"""),"#VALUE!")</f>
        <v>#VALUE!</v>
      </c>
      <c r="CY1458" t="str">
        <f ca="1">IFERROR(__xludf.DUMMYFUNCTION("""COMPUTED_VALUE"""),"#VALUE!")</f>
        <v>#VALUE!</v>
      </c>
      <c r="DC1458" t="str">
        <f ca="1">IFERROR(__xludf.DUMMYFUNCTION("""COMPUTED_VALUE"""),"#VALUE!")</f>
        <v>#VALUE!</v>
      </c>
      <c r="DE1458" t="str">
        <f ca="1">IFERROR(__xludf.DUMMYFUNCTION("""COMPUTED_VALUE"""),"#VALUE!")</f>
        <v>#VALUE!</v>
      </c>
    </row>
    <row r="1459" spans="1:109" ht="13.2" x14ac:dyDescent="0.25">
      <c r="A1459" t="str">
        <f ca="1">IFERROR(__xludf.DUMMYFUNCTION("""COMPUTED_VALUE"""),"P1468")</f>
        <v>P1468</v>
      </c>
      <c r="BC1459" t="str">
        <f ca="1">IFERROR(__xludf.DUMMYFUNCTION("""COMPUTED_VALUE"""),"#VALUE!")</f>
        <v>#VALUE!</v>
      </c>
      <c r="BE1459" t="str">
        <f ca="1">IFERROR(__xludf.DUMMYFUNCTION("""COMPUTED_VALUE"""),"#VALUE!")</f>
        <v>#VALUE!</v>
      </c>
      <c r="BG1459" t="str">
        <f ca="1">IFERROR(__xludf.DUMMYFUNCTION("""COMPUTED_VALUE"""),"#VALUE!")</f>
        <v>#VALUE!</v>
      </c>
      <c r="BI1459" t="str">
        <f ca="1">IFERROR(__xludf.DUMMYFUNCTION("""COMPUTED_VALUE"""),"#VALUE!")</f>
        <v>#VALUE!</v>
      </c>
      <c r="BK1459" t="str">
        <f ca="1">IFERROR(__xludf.DUMMYFUNCTION("""COMPUTED_VALUE"""),"#VALUE!")</f>
        <v>#VALUE!</v>
      </c>
      <c r="BM1459" t="str">
        <f ca="1">IFERROR(__xludf.DUMMYFUNCTION("""COMPUTED_VALUE"""),"#VALUE!")</f>
        <v>#VALUE!</v>
      </c>
      <c r="CS1459" t="str">
        <f ca="1">IFERROR(__xludf.DUMMYFUNCTION("""COMPUTED_VALUE"""),"#VALUE!")</f>
        <v>#VALUE!</v>
      </c>
      <c r="CU1459" t="str">
        <f ca="1">IFERROR(__xludf.DUMMYFUNCTION("""COMPUTED_VALUE"""),"#VALUE!")</f>
        <v>#VALUE!</v>
      </c>
      <c r="CW1459" t="str">
        <f ca="1">IFERROR(__xludf.DUMMYFUNCTION("""COMPUTED_VALUE"""),"#VALUE!")</f>
        <v>#VALUE!</v>
      </c>
      <c r="CY1459" t="str">
        <f ca="1">IFERROR(__xludf.DUMMYFUNCTION("""COMPUTED_VALUE"""),"#VALUE!")</f>
        <v>#VALUE!</v>
      </c>
      <c r="DC1459" t="str">
        <f ca="1">IFERROR(__xludf.DUMMYFUNCTION("""COMPUTED_VALUE"""),"#VALUE!")</f>
        <v>#VALUE!</v>
      </c>
      <c r="DE1459" t="str">
        <f ca="1">IFERROR(__xludf.DUMMYFUNCTION("""COMPUTED_VALUE"""),"#VALUE!")</f>
        <v>#VALUE!</v>
      </c>
    </row>
    <row r="1460" spans="1:109" ht="13.2" x14ac:dyDescent="0.25">
      <c r="A1460" t="str">
        <f ca="1">IFERROR(__xludf.DUMMYFUNCTION("""COMPUTED_VALUE"""),"P1469")</f>
        <v>P1469</v>
      </c>
      <c r="BC1460" t="str">
        <f ca="1">IFERROR(__xludf.DUMMYFUNCTION("""COMPUTED_VALUE"""),"#VALUE!")</f>
        <v>#VALUE!</v>
      </c>
      <c r="BE1460" t="str">
        <f ca="1">IFERROR(__xludf.DUMMYFUNCTION("""COMPUTED_VALUE"""),"#VALUE!")</f>
        <v>#VALUE!</v>
      </c>
      <c r="BG1460" t="str">
        <f ca="1">IFERROR(__xludf.DUMMYFUNCTION("""COMPUTED_VALUE"""),"#VALUE!")</f>
        <v>#VALUE!</v>
      </c>
      <c r="BI1460" t="str">
        <f ca="1">IFERROR(__xludf.DUMMYFUNCTION("""COMPUTED_VALUE"""),"#VALUE!")</f>
        <v>#VALUE!</v>
      </c>
      <c r="BK1460" t="str">
        <f ca="1">IFERROR(__xludf.DUMMYFUNCTION("""COMPUTED_VALUE"""),"#VALUE!")</f>
        <v>#VALUE!</v>
      </c>
      <c r="BM1460" t="str">
        <f ca="1">IFERROR(__xludf.DUMMYFUNCTION("""COMPUTED_VALUE"""),"#VALUE!")</f>
        <v>#VALUE!</v>
      </c>
      <c r="CS1460" t="str">
        <f ca="1">IFERROR(__xludf.DUMMYFUNCTION("""COMPUTED_VALUE"""),"#VALUE!")</f>
        <v>#VALUE!</v>
      </c>
      <c r="CU1460" t="str">
        <f ca="1">IFERROR(__xludf.DUMMYFUNCTION("""COMPUTED_VALUE"""),"#VALUE!")</f>
        <v>#VALUE!</v>
      </c>
      <c r="CW1460" t="str">
        <f ca="1">IFERROR(__xludf.DUMMYFUNCTION("""COMPUTED_VALUE"""),"#VALUE!")</f>
        <v>#VALUE!</v>
      </c>
      <c r="CY1460" t="str">
        <f ca="1">IFERROR(__xludf.DUMMYFUNCTION("""COMPUTED_VALUE"""),"#VALUE!")</f>
        <v>#VALUE!</v>
      </c>
      <c r="DC1460" t="str">
        <f ca="1">IFERROR(__xludf.DUMMYFUNCTION("""COMPUTED_VALUE"""),"#VALUE!")</f>
        <v>#VALUE!</v>
      </c>
      <c r="DE1460" t="str">
        <f ca="1">IFERROR(__xludf.DUMMYFUNCTION("""COMPUTED_VALUE"""),"#VALUE!")</f>
        <v>#VALUE!</v>
      </c>
    </row>
    <row r="1461" spans="1:109" ht="13.2" x14ac:dyDescent="0.25">
      <c r="A1461" t="str">
        <f ca="1">IFERROR(__xludf.DUMMYFUNCTION("""COMPUTED_VALUE"""),"P1470")</f>
        <v>P1470</v>
      </c>
      <c r="BC1461" t="str">
        <f ca="1">IFERROR(__xludf.DUMMYFUNCTION("""COMPUTED_VALUE"""),"#VALUE!")</f>
        <v>#VALUE!</v>
      </c>
      <c r="BE1461" t="str">
        <f ca="1">IFERROR(__xludf.DUMMYFUNCTION("""COMPUTED_VALUE"""),"#VALUE!")</f>
        <v>#VALUE!</v>
      </c>
      <c r="BG1461" t="str">
        <f ca="1">IFERROR(__xludf.DUMMYFUNCTION("""COMPUTED_VALUE"""),"#VALUE!")</f>
        <v>#VALUE!</v>
      </c>
      <c r="BI1461" t="str">
        <f ca="1">IFERROR(__xludf.DUMMYFUNCTION("""COMPUTED_VALUE"""),"#VALUE!")</f>
        <v>#VALUE!</v>
      </c>
      <c r="BK1461" t="str">
        <f ca="1">IFERROR(__xludf.DUMMYFUNCTION("""COMPUTED_VALUE"""),"#VALUE!")</f>
        <v>#VALUE!</v>
      </c>
      <c r="BM1461" t="str">
        <f ca="1">IFERROR(__xludf.DUMMYFUNCTION("""COMPUTED_VALUE"""),"#VALUE!")</f>
        <v>#VALUE!</v>
      </c>
      <c r="CS1461" t="str">
        <f ca="1">IFERROR(__xludf.DUMMYFUNCTION("""COMPUTED_VALUE"""),"#VALUE!")</f>
        <v>#VALUE!</v>
      </c>
      <c r="CU1461" t="str">
        <f ca="1">IFERROR(__xludf.DUMMYFUNCTION("""COMPUTED_VALUE"""),"#VALUE!")</f>
        <v>#VALUE!</v>
      </c>
      <c r="CW1461" t="str">
        <f ca="1">IFERROR(__xludf.DUMMYFUNCTION("""COMPUTED_VALUE"""),"#VALUE!")</f>
        <v>#VALUE!</v>
      </c>
      <c r="CY1461" t="str">
        <f ca="1">IFERROR(__xludf.DUMMYFUNCTION("""COMPUTED_VALUE"""),"#VALUE!")</f>
        <v>#VALUE!</v>
      </c>
      <c r="DC1461" t="str">
        <f ca="1">IFERROR(__xludf.DUMMYFUNCTION("""COMPUTED_VALUE"""),"#VALUE!")</f>
        <v>#VALUE!</v>
      </c>
      <c r="DE1461" t="str">
        <f ca="1">IFERROR(__xludf.DUMMYFUNCTION("""COMPUTED_VALUE"""),"#VALUE!")</f>
        <v>#VALUE!</v>
      </c>
    </row>
    <row r="1462" spans="1:109" ht="13.2" x14ac:dyDescent="0.25">
      <c r="A1462" t="str">
        <f ca="1">IFERROR(__xludf.DUMMYFUNCTION("""COMPUTED_VALUE"""),"P1471")</f>
        <v>P1471</v>
      </c>
      <c r="BC1462" t="str">
        <f ca="1">IFERROR(__xludf.DUMMYFUNCTION("""COMPUTED_VALUE"""),"#VALUE!")</f>
        <v>#VALUE!</v>
      </c>
      <c r="BE1462" t="str">
        <f ca="1">IFERROR(__xludf.DUMMYFUNCTION("""COMPUTED_VALUE"""),"#VALUE!")</f>
        <v>#VALUE!</v>
      </c>
      <c r="BG1462" t="str">
        <f ca="1">IFERROR(__xludf.DUMMYFUNCTION("""COMPUTED_VALUE"""),"#VALUE!")</f>
        <v>#VALUE!</v>
      </c>
      <c r="BI1462" t="str">
        <f ca="1">IFERROR(__xludf.DUMMYFUNCTION("""COMPUTED_VALUE"""),"#VALUE!")</f>
        <v>#VALUE!</v>
      </c>
      <c r="BK1462" t="str">
        <f ca="1">IFERROR(__xludf.DUMMYFUNCTION("""COMPUTED_VALUE"""),"#VALUE!")</f>
        <v>#VALUE!</v>
      </c>
      <c r="BM1462" t="str">
        <f ca="1">IFERROR(__xludf.DUMMYFUNCTION("""COMPUTED_VALUE"""),"#VALUE!")</f>
        <v>#VALUE!</v>
      </c>
      <c r="CS1462" t="str">
        <f ca="1">IFERROR(__xludf.DUMMYFUNCTION("""COMPUTED_VALUE"""),"#VALUE!")</f>
        <v>#VALUE!</v>
      </c>
      <c r="CU1462" t="str">
        <f ca="1">IFERROR(__xludf.DUMMYFUNCTION("""COMPUTED_VALUE"""),"#VALUE!")</f>
        <v>#VALUE!</v>
      </c>
      <c r="CW1462" t="str">
        <f ca="1">IFERROR(__xludf.DUMMYFUNCTION("""COMPUTED_VALUE"""),"#VALUE!")</f>
        <v>#VALUE!</v>
      </c>
      <c r="CY1462" t="str">
        <f ca="1">IFERROR(__xludf.DUMMYFUNCTION("""COMPUTED_VALUE"""),"#VALUE!")</f>
        <v>#VALUE!</v>
      </c>
      <c r="DC1462" t="str">
        <f ca="1">IFERROR(__xludf.DUMMYFUNCTION("""COMPUTED_VALUE"""),"#VALUE!")</f>
        <v>#VALUE!</v>
      </c>
      <c r="DE1462" t="str">
        <f ca="1">IFERROR(__xludf.DUMMYFUNCTION("""COMPUTED_VALUE"""),"#VALUE!")</f>
        <v>#VALUE!</v>
      </c>
    </row>
    <row r="1463" spans="1:109" ht="13.2" x14ac:dyDescent="0.25">
      <c r="A1463" t="str">
        <f ca="1">IFERROR(__xludf.DUMMYFUNCTION("""COMPUTED_VALUE"""),"P1472")</f>
        <v>P1472</v>
      </c>
      <c r="BC1463" t="str">
        <f ca="1">IFERROR(__xludf.DUMMYFUNCTION("""COMPUTED_VALUE"""),"#VALUE!")</f>
        <v>#VALUE!</v>
      </c>
      <c r="BE1463" t="str">
        <f ca="1">IFERROR(__xludf.DUMMYFUNCTION("""COMPUTED_VALUE"""),"#VALUE!")</f>
        <v>#VALUE!</v>
      </c>
      <c r="BG1463" t="str">
        <f ca="1">IFERROR(__xludf.DUMMYFUNCTION("""COMPUTED_VALUE"""),"#VALUE!")</f>
        <v>#VALUE!</v>
      </c>
      <c r="BI1463" t="str">
        <f ca="1">IFERROR(__xludf.DUMMYFUNCTION("""COMPUTED_VALUE"""),"#VALUE!")</f>
        <v>#VALUE!</v>
      </c>
      <c r="BK1463" t="str">
        <f ca="1">IFERROR(__xludf.DUMMYFUNCTION("""COMPUTED_VALUE"""),"#VALUE!")</f>
        <v>#VALUE!</v>
      </c>
      <c r="BM1463" t="str">
        <f ca="1">IFERROR(__xludf.DUMMYFUNCTION("""COMPUTED_VALUE"""),"#VALUE!")</f>
        <v>#VALUE!</v>
      </c>
      <c r="CS1463" t="str">
        <f ca="1">IFERROR(__xludf.DUMMYFUNCTION("""COMPUTED_VALUE"""),"#VALUE!")</f>
        <v>#VALUE!</v>
      </c>
      <c r="CU1463" t="str">
        <f ca="1">IFERROR(__xludf.DUMMYFUNCTION("""COMPUTED_VALUE"""),"#VALUE!")</f>
        <v>#VALUE!</v>
      </c>
      <c r="CW1463" t="str">
        <f ca="1">IFERROR(__xludf.DUMMYFUNCTION("""COMPUTED_VALUE"""),"#VALUE!")</f>
        <v>#VALUE!</v>
      </c>
      <c r="CY1463" t="str">
        <f ca="1">IFERROR(__xludf.DUMMYFUNCTION("""COMPUTED_VALUE"""),"#VALUE!")</f>
        <v>#VALUE!</v>
      </c>
      <c r="DC1463" t="str">
        <f ca="1">IFERROR(__xludf.DUMMYFUNCTION("""COMPUTED_VALUE"""),"#VALUE!")</f>
        <v>#VALUE!</v>
      </c>
      <c r="DE1463" t="str">
        <f ca="1">IFERROR(__xludf.DUMMYFUNCTION("""COMPUTED_VALUE"""),"#VALUE!")</f>
        <v>#VALUE!</v>
      </c>
    </row>
    <row r="1464" spans="1:109" ht="13.2" x14ac:dyDescent="0.25">
      <c r="A1464" t="str">
        <f ca="1">IFERROR(__xludf.DUMMYFUNCTION("""COMPUTED_VALUE"""),"P1473")</f>
        <v>P1473</v>
      </c>
      <c r="BC1464" t="str">
        <f ca="1">IFERROR(__xludf.DUMMYFUNCTION("""COMPUTED_VALUE"""),"#VALUE!")</f>
        <v>#VALUE!</v>
      </c>
      <c r="BE1464" t="str">
        <f ca="1">IFERROR(__xludf.DUMMYFUNCTION("""COMPUTED_VALUE"""),"#VALUE!")</f>
        <v>#VALUE!</v>
      </c>
      <c r="BG1464" t="str">
        <f ca="1">IFERROR(__xludf.DUMMYFUNCTION("""COMPUTED_VALUE"""),"#VALUE!")</f>
        <v>#VALUE!</v>
      </c>
      <c r="BI1464" t="str">
        <f ca="1">IFERROR(__xludf.DUMMYFUNCTION("""COMPUTED_VALUE"""),"#VALUE!")</f>
        <v>#VALUE!</v>
      </c>
      <c r="BK1464" t="str">
        <f ca="1">IFERROR(__xludf.DUMMYFUNCTION("""COMPUTED_VALUE"""),"#VALUE!")</f>
        <v>#VALUE!</v>
      </c>
      <c r="BM1464" t="str">
        <f ca="1">IFERROR(__xludf.DUMMYFUNCTION("""COMPUTED_VALUE"""),"#VALUE!")</f>
        <v>#VALUE!</v>
      </c>
      <c r="CS1464" t="str">
        <f ca="1">IFERROR(__xludf.DUMMYFUNCTION("""COMPUTED_VALUE"""),"#VALUE!")</f>
        <v>#VALUE!</v>
      </c>
      <c r="CU1464" t="str">
        <f ca="1">IFERROR(__xludf.DUMMYFUNCTION("""COMPUTED_VALUE"""),"#VALUE!")</f>
        <v>#VALUE!</v>
      </c>
      <c r="CW1464" t="str">
        <f ca="1">IFERROR(__xludf.DUMMYFUNCTION("""COMPUTED_VALUE"""),"#VALUE!")</f>
        <v>#VALUE!</v>
      </c>
      <c r="CY1464" t="str">
        <f ca="1">IFERROR(__xludf.DUMMYFUNCTION("""COMPUTED_VALUE"""),"#VALUE!")</f>
        <v>#VALUE!</v>
      </c>
      <c r="DC1464" t="str">
        <f ca="1">IFERROR(__xludf.DUMMYFUNCTION("""COMPUTED_VALUE"""),"#VALUE!")</f>
        <v>#VALUE!</v>
      </c>
      <c r="DE1464" t="str">
        <f ca="1">IFERROR(__xludf.DUMMYFUNCTION("""COMPUTED_VALUE"""),"#VALUE!")</f>
        <v>#VALUE!</v>
      </c>
    </row>
    <row r="1465" spans="1:109" ht="13.2" x14ac:dyDescent="0.25">
      <c r="A1465" t="str">
        <f ca="1">IFERROR(__xludf.DUMMYFUNCTION("""COMPUTED_VALUE"""),"P1474")</f>
        <v>P1474</v>
      </c>
      <c r="BC1465" t="str">
        <f ca="1">IFERROR(__xludf.DUMMYFUNCTION("""COMPUTED_VALUE"""),"#VALUE!")</f>
        <v>#VALUE!</v>
      </c>
      <c r="BE1465" t="str">
        <f ca="1">IFERROR(__xludf.DUMMYFUNCTION("""COMPUTED_VALUE"""),"#VALUE!")</f>
        <v>#VALUE!</v>
      </c>
      <c r="BG1465" t="str">
        <f ca="1">IFERROR(__xludf.DUMMYFUNCTION("""COMPUTED_VALUE"""),"#VALUE!")</f>
        <v>#VALUE!</v>
      </c>
      <c r="BI1465" t="str">
        <f ca="1">IFERROR(__xludf.DUMMYFUNCTION("""COMPUTED_VALUE"""),"#VALUE!")</f>
        <v>#VALUE!</v>
      </c>
      <c r="BK1465" t="str">
        <f ca="1">IFERROR(__xludf.DUMMYFUNCTION("""COMPUTED_VALUE"""),"#VALUE!")</f>
        <v>#VALUE!</v>
      </c>
      <c r="BM1465" t="str">
        <f ca="1">IFERROR(__xludf.DUMMYFUNCTION("""COMPUTED_VALUE"""),"#VALUE!")</f>
        <v>#VALUE!</v>
      </c>
      <c r="CS1465" t="str">
        <f ca="1">IFERROR(__xludf.DUMMYFUNCTION("""COMPUTED_VALUE"""),"#VALUE!")</f>
        <v>#VALUE!</v>
      </c>
      <c r="CU1465" t="str">
        <f ca="1">IFERROR(__xludf.DUMMYFUNCTION("""COMPUTED_VALUE"""),"#VALUE!")</f>
        <v>#VALUE!</v>
      </c>
      <c r="CW1465" t="str">
        <f ca="1">IFERROR(__xludf.DUMMYFUNCTION("""COMPUTED_VALUE"""),"#VALUE!")</f>
        <v>#VALUE!</v>
      </c>
      <c r="CY1465" t="str">
        <f ca="1">IFERROR(__xludf.DUMMYFUNCTION("""COMPUTED_VALUE"""),"#VALUE!")</f>
        <v>#VALUE!</v>
      </c>
      <c r="DC1465" t="str">
        <f ca="1">IFERROR(__xludf.DUMMYFUNCTION("""COMPUTED_VALUE"""),"#VALUE!")</f>
        <v>#VALUE!</v>
      </c>
      <c r="DE1465" t="str">
        <f ca="1">IFERROR(__xludf.DUMMYFUNCTION("""COMPUTED_VALUE"""),"#VALUE!")</f>
        <v>#VALUE!</v>
      </c>
    </row>
    <row r="1466" spans="1:109" ht="13.2" x14ac:dyDescent="0.25">
      <c r="A1466" t="str">
        <f ca="1">IFERROR(__xludf.DUMMYFUNCTION("""COMPUTED_VALUE"""),"P1475")</f>
        <v>P1475</v>
      </c>
      <c r="BC1466" t="str">
        <f ca="1">IFERROR(__xludf.DUMMYFUNCTION("""COMPUTED_VALUE"""),"#VALUE!")</f>
        <v>#VALUE!</v>
      </c>
      <c r="BE1466" t="str">
        <f ca="1">IFERROR(__xludf.DUMMYFUNCTION("""COMPUTED_VALUE"""),"#VALUE!")</f>
        <v>#VALUE!</v>
      </c>
      <c r="BG1466" t="str">
        <f ca="1">IFERROR(__xludf.DUMMYFUNCTION("""COMPUTED_VALUE"""),"#VALUE!")</f>
        <v>#VALUE!</v>
      </c>
      <c r="BI1466" t="str">
        <f ca="1">IFERROR(__xludf.DUMMYFUNCTION("""COMPUTED_VALUE"""),"#VALUE!")</f>
        <v>#VALUE!</v>
      </c>
      <c r="BK1466" t="str">
        <f ca="1">IFERROR(__xludf.DUMMYFUNCTION("""COMPUTED_VALUE"""),"#VALUE!")</f>
        <v>#VALUE!</v>
      </c>
      <c r="BM1466" t="str">
        <f ca="1">IFERROR(__xludf.DUMMYFUNCTION("""COMPUTED_VALUE"""),"#VALUE!")</f>
        <v>#VALUE!</v>
      </c>
      <c r="CS1466" t="str">
        <f ca="1">IFERROR(__xludf.DUMMYFUNCTION("""COMPUTED_VALUE"""),"#VALUE!")</f>
        <v>#VALUE!</v>
      </c>
      <c r="CU1466" t="str">
        <f ca="1">IFERROR(__xludf.DUMMYFUNCTION("""COMPUTED_VALUE"""),"#VALUE!")</f>
        <v>#VALUE!</v>
      </c>
      <c r="CW1466" t="str">
        <f ca="1">IFERROR(__xludf.DUMMYFUNCTION("""COMPUTED_VALUE"""),"#VALUE!")</f>
        <v>#VALUE!</v>
      </c>
      <c r="CY1466" t="str">
        <f ca="1">IFERROR(__xludf.DUMMYFUNCTION("""COMPUTED_VALUE"""),"#VALUE!")</f>
        <v>#VALUE!</v>
      </c>
      <c r="DC1466" t="str">
        <f ca="1">IFERROR(__xludf.DUMMYFUNCTION("""COMPUTED_VALUE"""),"#VALUE!")</f>
        <v>#VALUE!</v>
      </c>
      <c r="DE1466" t="str">
        <f ca="1">IFERROR(__xludf.DUMMYFUNCTION("""COMPUTED_VALUE"""),"#VALUE!")</f>
        <v>#VALUE!</v>
      </c>
    </row>
    <row r="1467" spans="1:109" ht="13.2" x14ac:dyDescent="0.25">
      <c r="A1467" t="str">
        <f ca="1">IFERROR(__xludf.DUMMYFUNCTION("""COMPUTED_VALUE"""),"P1476")</f>
        <v>P1476</v>
      </c>
      <c r="BC1467" t="str">
        <f ca="1">IFERROR(__xludf.DUMMYFUNCTION("""COMPUTED_VALUE"""),"#VALUE!")</f>
        <v>#VALUE!</v>
      </c>
      <c r="BE1467" t="str">
        <f ca="1">IFERROR(__xludf.DUMMYFUNCTION("""COMPUTED_VALUE"""),"#VALUE!")</f>
        <v>#VALUE!</v>
      </c>
      <c r="BG1467" t="str">
        <f ca="1">IFERROR(__xludf.DUMMYFUNCTION("""COMPUTED_VALUE"""),"#VALUE!")</f>
        <v>#VALUE!</v>
      </c>
      <c r="BI1467" t="str">
        <f ca="1">IFERROR(__xludf.DUMMYFUNCTION("""COMPUTED_VALUE"""),"#VALUE!")</f>
        <v>#VALUE!</v>
      </c>
      <c r="BK1467" t="str">
        <f ca="1">IFERROR(__xludf.DUMMYFUNCTION("""COMPUTED_VALUE"""),"#VALUE!")</f>
        <v>#VALUE!</v>
      </c>
      <c r="BM1467" t="str">
        <f ca="1">IFERROR(__xludf.DUMMYFUNCTION("""COMPUTED_VALUE"""),"#VALUE!")</f>
        <v>#VALUE!</v>
      </c>
      <c r="CS1467" t="str">
        <f ca="1">IFERROR(__xludf.DUMMYFUNCTION("""COMPUTED_VALUE"""),"#VALUE!")</f>
        <v>#VALUE!</v>
      </c>
      <c r="CU1467" t="str">
        <f ca="1">IFERROR(__xludf.DUMMYFUNCTION("""COMPUTED_VALUE"""),"#VALUE!")</f>
        <v>#VALUE!</v>
      </c>
      <c r="CW1467" t="str">
        <f ca="1">IFERROR(__xludf.DUMMYFUNCTION("""COMPUTED_VALUE"""),"#VALUE!")</f>
        <v>#VALUE!</v>
      </c>
      <c r="CY1467" t="str">
        <f ca="1">IFERROR(__xludf.DUMMYFUNCTION("""COMPUTED_VALUE"""),"#VALUE!")</f>
        <v>#VALUE!</v>
      </c>
      <c r="DC1467" t="str">
        <f ca="1">IFERROR(__xludf.DUMMYFUNCTION("""COMPUTED_VALUE"""),"#VALUE!")</f>
        <v>#VALUE!</v>
      </c>
      <c r="DE1467" t="str">
        <f ca="1">IFERROR(__xludf.DUMMYFUNCTION("""COMPUTED_VALUE"""),"#VALUE!")</f>
        <v>#VALUE!</v>
      </c>
    </row>
    <row r="1468" spans="1:109" ht="13.2" x14ac:dyDescent="0.25">
      <c r="A1468" t="str">
        <f ca="1">IFERROR(__xludf.DUMMYFUNCTION("""COMPUTED_VALUE"""),"P1477")</f>
        <v>P1477</v>
      </c>
      <c r="BC1468" t="str">
        <f ca="1">IFERROR(__xludf.DUMMYFUNCTION("""COMPUTED_VALUE"""),"#VALUE!")</f>
        <v>#VALUE!</v>
      </c>
      <c r="BE1468" t="str">
        <f ca="1">IFERROR(__xludf.DUMMYFUNCTION("""COMPUTED_VALUE"""),"#VALUE!")</f>
        <v>#VALUE!</v>
      </c>
      <c r="BG1468" t="str">
        <f ca="1">IFERROR(__xludf.DUMMYFUNCTION("""COMPUTED_VALUE"""),"#VALUE!")</f>
        <v>#VALUE!</v>
      </c>
      <c r="BI1468" t="str">
        <f ca="1">IFERROR(__xludf.DUMMYFUNCTION("""COMPUTED_VALUE"""),"#VALUE!")</f>
        <v>#VALUE!</v>
      </c>
      <c r="BK1468" t="str">
        <f ca="1">IFERROR(__xludf.DUMMYFUNCTION("""COMPUTED_VALUE"""),"#VALUE!")</f>
        <v>#VALUE!</v>
      </c>
      <c r="BM1468" t="str">
        <f ca="1">IFERROR(__xludf.DUMMYFUNCTION("""COMPUTED_VALUE"""),"#VALUE!")</f>
        <v>#VALUE!</v>
      </c>
      <c r="CS1468" t="str">
        <f ca="1">IFERROR(__xludf.DUMMYFUNCTION("""COMPUTED_VALUE"""),"#VALUE!")</f>
        <v>#VALUE!</v>
      </c>
      <c r="CU1468" t="str">
        <f ca="1">IFERROR(__xludf.DUMMYFUNCTION("""COMPUTED_VALUE"""),"#VALUE!")</f>
        <v>#VALUE!</v>
      </c>
      <c r="CW1468" t="str">
        <f ca="1">IFERROR(__xludf.DUMMYFUNCTION("""COMPUTED_VALUE"""),"#VALUE!")</f>
        <v>#VALUE!</v>
      </c>
      <c r="CY1468" t="str">
        <f ca="1">IFERROR(__xludf.DUMMYFUNCTION("""COMPUTED_VALUE"""),"#VALUE!")</f>
        <v>#VALUE!</v>
      </c>
      <c r="DC1468" t="str">
        <f ca="1">IFERROR(__xludf.DUMMYFUNCTION("""COMPUTED_VALUE"""),"#VALUE!")</f>
        <v>#VALUE!</v>
      </c>
      <c r="DE1468" t="str">
        <f ca="1">IFERROR(__xludf.DUMMYFUNCTION("""COMPUTED_VALUE"""),"#VALUE!")</f>
        <v>#VALUE!</v>
      </c>
    </row>
    <row r="1469" spans="1:109" ht="13.2" x14ac:dyDescent="0.25">
      <c r="A1469" t="str">
        <f ca="1">IFERROR(__xludf.DUMMYFUNCTION("""COMPUTED_VALUE"""),"P1478")</f>
        <v>P1478</v>
      </c>
      <c r="BC1469" t="str">
        <f ca="1">IFERROR(__xludf.DUMMYFUNCTION("""COMPUTED_VALUE"""),"#VALUE!")</f>
        <v>#VALUE!</v>
      </c>
      <c r="BE1469" t="str">
        <f ca="1">IFERROR(__xludf.DUMMYFUNCTION("""COMPUTED_VALUE"""),"#VALUE!")</f>
        <v>#VALUE!</v>
      </c>
      <c r="BG1469" t="str">
        <f ca="1">IFERROR(__xludf.DUMMYFUNCTION("""COMPUTED_VALUE"""),"#VALUE!")</f>
        <v>#VALUE!</v>
      </c>
      <c r="BI1469" t="str">
        <f ca="1">IFERROR(__xludf.DUMMYFUNCTION("""COMPUTED_VALUE"""),"#VALUE!")</f>
        <v>#VALUE!</v>
      </c>
      <c r="BK1469" t="str">
        <f ca="1">IFERROR(__xludf.DUMMYFUNCTION("""COMPUTED_VALUE"""),"#VALUE!")</f>
        <v>#VALUE!</v>
      </c>
      <c r="BM1469" t="str">
        <f ca="1">IFERROR(__xludf.DUMMYFUNCTION("""COMPUTED_VALUE"""),"#VALUE!")</f>
        <v>#VALUE!</v>
      </c>
      <c r="CS1469" t="str">
        <f ca="1">IFERROR(__xludf.DUMMYFUNCTION("""COMPUTED_VALUE"""),"#VALUE!")</f>
        <v>#VALUE!</v>
      </c>
      <c r="CU1469" t="str">
        <f ca="1">IFERROR(__xludf.DUMMYFUNCTION("""COMPUTED_VALUE"""),"#VALUE!")</f>
        <v>#VALUE!</v>
      </c>
      <c r="CW1469" t="str">
        <f ca="1">IFERROR(__xludf.DUMMYFUNCTION("""COMPUTED_VALUE"""),"#VALUE!")</f>
        <v>#VALUE!</v>
      </c>
      <c r="CY1469" t="str">
        <f ca="1">IFERROR(__xludf.DUMMYFUNCTION("""COMPUTED_VALUE"""),"#VALUE!")</f>
        <v>#VALUE!</v>
      </c>
      <c r="DC1469" t="str">
        <f ca="1">IFERROR(__xludf.DUMMYFUNCTION("""COMPUTED_VALUE"""),"#VALUE!")</f>
        <v>#VALUE!</v>
      </c>
      <c r="DE1469" t="str">
        <f ca="1">IFERROR(__xludf.DUMMYFUNCTION("""COMPUTED_VALUE"""),"#VALUE!")</f>
        <v>#VALUE!</v>
      </c>
    </row>
    <row r="1470" spans="1:109" ht="13.2" x14ac:dyDescent="0.25">
      <c r="A1470" t="str">
        <f ca="1">IFERROR(__xludf.DUMMYFUNCTION("""COMPUTED_VALUE"""),"P1479")</f>
        <v>P1479</v>
      </c>
      <c r="BC1470" t="str">
        <f ca="1">IFERROR(__xludf.DUMMYFUNCTION("""COMPUTED_VALUE"""),"#VALUE!")</f>
        <v>#VALUE!</v>
      </c>
      <c r="BE1470" t="str">
        <f ca="1">IFERROR(__xludf.DUMMYFUNCTION("""COMPUTED_VALUE"""),"#VALUE!")</f>
        <v>#VALUE!</v>
      </c>
      <c r="BG1470" t="str">
        <f ca="1">IFERROR(__xludf.DUMMYFUNCTION("""COMPUTED_VALUE"""),"#VALUE!")</f>
        <v>#VALUE!</v>
      </c>
      <c r="BI1470" t="str">
        <f ca="1">IFERROR(__xludf.DUMMYFUNCTION("""COMPUTED_VALUE"""),"#VALUE!")</f>
        <v>#VALUE!</v>
      </c>
      <c r="BK1470" t="str">
        <f ca="1">IFERROR(__xludf.DUMMYFUNCTION("""COMPUTED_VALUE"""),"#VALUE!")</f>
        <v>#VALUE!</v>
      </c>
      <c r="BM1470" t="str">
        <f ca="1">IFERROR(__xludf.DUMMYFUNCTION("""COMPUTED_VALUE"""),"#VALUE!")</f>
        <v>#VALUE!</v>
      </c>
      <c r="CS1470" t="str">
        <f ca="1">IFERROR(__xludf.DUMMYFUNCTION("""COMPUTED_VALUE"""),"#VALUE!")</f>
        <v>#VALUE!</v>
      </c>
      <c r="CU1470" t="str">
        <f ca="1">IFERROR(__xludf.DUMMYFUNCTION("""COMPUTED_VALUE"""),"#VALUE!")</f>
        <v>#VALUE!</v>
      </c>
      <c r="CW1470" t="str">
        <f ca="1">IFERROR(__xludf.DUMMYFUNCTION("""COMPUTED_VALUE"""),"#VALUE!")</f>
        <v>#VALUE!</v>
      </c>
      <c r="CY1470" t="str">
        <f ca="1">IFERROR(__xludf.DUMMYFUNCTION("""COMPUTED_VALUE"""),"#VALUE!")</f>
        <v>#VALUE!</v>
      </c>
      <c r="DC1470" t="str">
        <f ca="1">IFERROR(__xludf.DUMMYFUNCTION("""COMPUTED_VALUE"""),"#VALUE!")</f>
        <v>#VALUE!</v>
      </c>
      <c r="DE1470" t="str">
        <f ca="1">IFERROR(__xludf.DUMMYFUNCTION("""COMPUTED_VALUE"""),"#VALUE!")</f>
        <v>#VALUE!</v>
      </c>
    </row>
    <row r="1471" spans="1:109" ht="13.2" x14ac:dyDescent="0.25">
      <c r="A1471" t="str">
        <f ca="1">IFERROR(__xludf.DUMMYFUNCTION("""COMPUTED_VALUE"""),"P1480")</f>
        <v>P1480</v>
      </c>
      <c r="BC1471" t="str">
        <f ca="1">IFERROR(__xludf.DUMMYFUNCTION("""COMPUTED_VALUE"""),"#VALUE!")</f>
        <v>#VALUE!</v>
      </c>
      <c r="BE1471" t="str">
        <f ca="1">IFERROR(__xludf.DUMMYFUNCTION("""COMPUTED_VALUE"""),"#VALUE!")</f>
        <v>#VALUE!</v>
      </c>
      <c r="BG1471" t="str">
        <f ca="1">IFERROR(__xludf.DUMMYFUNCTION("""COMPUTED_VALUE"""),"#VALUE!")</f>
        <v>#VALUE!</v>
      </c>
      <c r="BI1471" t="str">
        <f ca="1">IFERROR(__xludf.DUMMYFUNCTION("""COMPUTED_VALUE"""),"#VALUE!")</f>
        <v>#VALUE!</v>
      </c>
      <c r="BK1471" t="str">
        <f ca="1">IFERROR(__xludf.DUMMYFUNCTION("""COMPUTED_VALUE"""),"#VALUE!")</f>
        <v>#VALUE!</v>
      </c>
      <c r="BM1471" t="str">
        <f ca="1">IFERROR(__xludf.DUMMYFUNCTION("""COMPUTED_VALUE"""),"#VALUE!")</f>
        <v>#VALUE!</v>
      </c>
      <c r="CS1471" t="str">
        <f ca="1">IFERROR(__xludf.DUMMYFUNCTION("""COMPUTED_VALUE"""),"#VALUE!")</f>
        <v>#VALUE!</v>
      </c>
      <c r="CU1471" t="str">
        <f ca="1">IFERROR(__xludf.DUMMYFUNCTION("""COMPUTED_VALUE"""),"#VALUE!")</f>
        <v>#VALUE!</v>
      </c>
      <c r="CW1471" t="str">
        <f ca="1">IFERROR(__xludf.DUMMYFUNCTION("""COMPUTED_VALUE"""),"#VALUE!")</f>
        <v>#VALUE!</v>
      </c>
      <c r="CY1471" t="str">
        <f ca="1">IFERROR(__xludf.DUMMYFUNCTION("""COMPUTED_VALUE"""),"#VALUE!")</f>
        <v>#VALUE!</v>
      </c>
      <c r="DC1471" t="str">
        <f ca="1">IFERROR(__xludf.DUMMYFUNCTION("""COMPUTED_VALUE"""),"#VALUE!")</f>
        <v>#VALUE!</v>
      </c>
      <c r="DE1471" t="str">
        <f ca="1">IFERROR(__xludf.DUMMYFUNCTION("""COMPUTED_VALUE"""),"#VALUE!")</f>
        <v>#VALUE!</v>
      </c>
    </row>
    <row r="1472" spans="1:109" ht="13.2" x14ac:dyDescent="0.25">
      <c r="A1472" t="str">
        <f ca="1">IFERROR(__xludf.DUMMYFUNCTION("""COMPUTED_VALUE"""),"P1481")</f>
        <v>P1481</v>
      </c>
      <c r="BC1472" t="str">
        <f ca="1">IFERROR(__xludf.DUMMYFUNCTION("""COMPUTED_VALUE"""),"#VALUE!")</f>
        <v>#VALUE!</v>
      </c>
      <c r="BE1472" t="str">
        <f ca="1">IFERROR(__xludf.DUMMYFUNCTION("""COMPUTED_VALUE"""),"#VALUE!")</f>
        <v>#VALUE!</v>
      </c>
      <c r="BG1472" t="str">
        <f ca="1">IFERROR(__xludf.DUMMYFUNCTION("""COMPUTED_VALUE"""),"#VALUE!")</f>
        <v>#VALUE!</v>
      </c>
      <c r="BI1472" t="str">
        <f ca="1">IFERROR(__xludf.DUMMYFUNCTION("""COMPUTED_VALUE"""),"#VALUE!")</f>
        <v>#VALUE!</v>
      </c>
      <c r="BK1472" t="str">
        <f ca="1">IFERROR(__xludf.DUMMYFUNCTION("""COMPUTED_VALUE"""),"#VALUE!")</f>
        <v>#VALUE!</v>
      </c>
      <c r="BM1472" t="str">
        <f ca="1">IFERROR(__xludf.DUMMYFUNCTION("""COMPUTED_VALUE"""),"#VALUE!")</f>
        <v>#VALUE!</v>
      </c>
      <c r="CS1472" t="str">
        <f ca="1">IFERROR(__xludf.DUMMYFUNCTION("""COMPUTED_VALUE"""),"#VALUE!")</f>
        <v>#VALUE!</v>
      </c>
      <c r="CU1472" t="str">
        <f ca="1">IFERROR(__xludf.DUMMYFUNCTION("""COMPUTED_VALUE"""),"#VALUE!")</f>
        <v>#VALUE!</v>
      </c>
      <c r="CW1472" t="str">
        <f ca="1">IFERROR(__xludf.DUMMYFUNCTION("""COMPUTED_VALUE"""),"#VALUE!")</f>
        <v>#VALUE!</v>
      </c>
      <c r="CY1472" t="str">
        <f ca="1">IFERROR(__xludf.DUMMYFUNCTION("""COMPUTED_VALUE"""),"#VALUE!")</f>
        <v>#VALUE!</v>
      </c>
      <c r="DC1472" t="str">
        <f ca="1">IFERROR(__xludf.DUMMYFUNCTION("""COMPUTED_VALUE"""),"#VALUE!")</f>
        <v>#VALUE!</v>
      </c>
      <c r="DE1472" t="str">
        <f ca="1">IFERROR(__xludf.DUMMYFUNCTION("""COMPUTED_VALUE"""),"#VALUE!")</f>
        <v>#VALUE!</v>
      </c>
    </row>
    <row r="1473" spans="1:109" ht="13.2" x14ac:dyDescent="0.25">
      <c r="A1473" t="str">
        <f ca="1">IFERROR(__xludf.DUMMYFUNCTION("""COMPUTED_VALUE"""),"P1482")</f>
        <v>P1482</v>
      </c>
      <c r="BC1473" t="str">
        <f ca="1">IFERROR(__xludf.DUMMYFUNCTION("""COMPUTED_VALUE"""),"#VALUE!")</f>
        <v>#VALUE!</v>
      </c>
      <c r="BE1473" t="str">
        <f ca="1">IFERROR(__xludf.DUMMYFUNCTION("""COMPUTED_VALUE"""),"#VALUE!")</f>
        <v>#VALUE!</v>
      </c>
      <c r="BG1473" t="str">
        <f ca="1">IFERROR(__xludf.DUMMYFUNCTION("""COMPUTED_VALUE"""),"#VALUE!")</f>
        <v>#VALUE!</v>
      </c>
      <c r="BI1473" t="str">
        <f ca="1">IFERROR(__xludf.DUMMYFUNCTION("""COMPUTED_VALUE"""),"#VALUE!")</f>
        <v>#VALUE!</v>
      </c>
      <c r="BK1473" t="str">
        <f ca="1">IFERROR(__xludf.DUMMYFUNCTION("""COMPUTED_VALUE"""),"#VALUE!")</f>
        <v>#VALUE!</v>
      </c>
      <c r="BM1473" t="str">
        <f ca="1">IFERROR(__xludf.DUMMYFUNCTION("""COMPUTED_VALUE"""),"#VALUE!")</f>
        <v>#VALUE!</v>
      </c>
      <c r="CS1473" t="str">
        <f ca="1">IFERROR(__xludf.DUMMYFUNCTION("""COMPUTED_VALUE"""),"#VALUE!")</f>
        <v>#VALUE!</v>
      </c>
      <c r="CU1473" t="str">
        <f ca="1">IFERROR(__xludf.DUMMYFUNCTION("""COMPUTED_VALUE"""),"#VALUE!")</f>
        <v>#VALUE!</v>
      </c>
      <c r="CW1473" t="str">
        <f ca="1">IFERROR(__xludf.DUMMYFUNCTION("""COMPUTED_VALUE"""),"#VALUE!")</f>
        <v>#VALUE!</v>
      </c>
      <c r="CY1473" t="str">
        <f ca="1">IFERROR(__xludf.DUMMYFUNCTION("""COMPUTED_VALUE"""),"#VALUE!")</f>
        <v>#VALUE!</v>
      </c>
      <c r="DC1473" t="str">
        <f ca="1">IFERROR(__xludf.DUMMYFUNCTION("""COMPUTED_VALUE"""),"#VALUE!")</f>
        <v>#VALUE!</v>
      </c>
      <c r="DE1473" t="str">
        <f ca="1">IFERROR(__xludf.DUMMYFUNCTION("""COMPUTED_VALUE"""),"#VALUE!")</f>
        <v>#VALUE!</v>
      </c>
    </row>
    <row r="1474" spans="1:109" ht="13.2" x14ac:dyDescent="0.25">
      <c r="A1474" t="str">
        <f ca="1">IFERROR(__xludf.DUMMYFUNCTION("""COMPUTED_VALUE"""),"P1483")</f>
        <v>P1483</v>
      </c>
      <c r="BC1474" t="str">
        <f ca="1">IFERROR(__xludf.DUMMYFUNCTION("""COMPUTED_VALUE"""),"#VALUE!")</f>
        <v>#VALUE!</v>
      </c>
      <c r="BE1474" t="str">
        <f ca="1">IFERROR(__xludf.DUMMYFUNCTION("""COMPUTED_VALUE"""),"#VALUE!")</f>
        <v>#VALUE!</v>
      </c>
      <c r="BG1474" t="str">
        <f ca="1">IFERROR(__xludf.DUMMYFUNCTION("""COMPUTED_VALUE"""),"#VALUE!")</f>
        <v>#VALUE!</v>
      </c>
      <c r="BI1474" t="str">
        <f ca="1">IFERROR(__xludf.DUMMYFUNCTION("""COMPUTED_VALUE"""),"#VALUE!")</f>
        <v>#VALUE!</v>
      </c>
      <c r="BK1474" t="str">
        <f ca="1">IFERROR(__xludf.DUMMYFUNCTION("""COMPUTED_VALUE"""),"#VALUE!")</f>
        <v>#VALUE!</v>
      </c>
      <c r="BM1474" t="str">
        <f ca="1">IFERROR(__xludf.DUMMYFUNCTION("""COMPUTED_VALUE"""),"#VALUE!")</f>
        <v>#VALUE!</v>
      </c>
      <c r="CS1474" t="str">
        <f ca="1">IFERROR(__xludf.DUMMYFUNCTION("""COMPUTED_VALUE"""),"#VALUE!")</f>
        <v>#VALUE!</v>
      </c>
      <c r="CU1474" t="str">
        <f ca="1">IFERROR(__xludf.DUMMYFUNCTION("""COMPUTED_VALUE"""),"#VALUE!")</f>
        <v>#VALUE!</v>
      </c>
      <c r="CW1474" t="str">
        <f ca="1">IFERROR(__xludf.DUMMYFUNCTION("""COMPUTED_VALUE"""),"#VALUE!")</f>
        <v>#VALUE!</v>
      </c>
      <c r="CY1474" t="str">
        <f ca="1">IFERROR(__xludf.DUMMYFUNCTION("""COMPUTED_VALUE"""),"#VALUE!")</f>
        <v>#VALUE!</v>
      </c>
      <c r="DC1474" t="str">
        <f ca="1">IFERROR(__xludf.DUMMYFUNCTION("""COMPUTED_VALUE"""),"#VALUE!")</f>
        <v>#VALUE!</v>
      </c>
      <c r="DE1474" t="str">
        <f ca="1">IFERROR(__xludf.DUMMYFUNCTION("""COMPUTED_VALUE"""),"#VALUE!")</f>
        <v>#VALUE!</v>
      </c>
    </row>
    <row r="1475" spans="1:109" ht="13.2" x14ac:dyDescent="0.25">
      <c r="A1475" t="str">
        <f ca="1">IFERROR(__xludf.DUMMYFUNCTION("""COMPUTED_VALUE"""),"P1484")</f>
        <v>P1484</v>
      </c>
      <c r="BC1475" t="str">
        <f ca="1">IFERROR(__xludf.DUMMYFUNCTION("""COMPUTED_VALUE"""),"#VALUE!")</f>
        <v>#VALUE!</v>
      </c>
      <c r="BE1475" t="str">
        <f ca="1">IFERROR(__xludf.DUMMYFUNCTION("""COMPUTED_VALUE"""),"#VALUE!")</f>
        <v>#VALUE!</v>
      </c>
      <c r="BG1475" t="str">
        <f ca="1">IFERROR(__xludf.DUMMYFUNCTION("""COMPUTED_VALUE"""),"#VALUE!")</f>
        <v>#VALUE!</v>
      </c>
      <c r="BI1475" t="str">
        <f ca="1">IFERROR(__xludf.DUMMYFUNCTION("""COMPUTED_VALUE"""),"#VALUE!")</f>
        <v>#VALUE!</v>
      </c>
      <c r="BK1475" t="str">
        <f ca="1">IFERROR(__xludf.DUMMYFUNCTION("""COMPUTED_VALUE"""),"#VALUE!")</f>
        <v>#VALUE!</v>
      </c>
      <c r="BM1475" t="str">
        <f ca="1">IFERROR(__xludf.DUMMYFUNCTION("""COMPUTED_VALUE"""),"#VALUE!")</f>
        <v>#VALUE!</v>
      </c>
      <c r="CS1475" t="str">
        <f ca="1">IFERROR(__xludf.DUMMYFUNCTION("""COMPUTED_VALUE"""),"#VALUE!")</f>
        <v>#VALUE!</v>
      </c>
      <c r="CU1475" t="str">
        <f ca="1">IFERROR(__xludf.DUMMYFUNCTION("""COMPUTED_VALUE"""),"#VALUE!")</f>
        <v>#VALUE!</v>
      </c>
      <c r="CW1475" t="str">
        <f ca="1">IFERROR(__xludf.DUMMYFUNCTION("""COMPUTED_VALUE"""),"#VALUE!")</f>
        <v>#VALUE!</v>
      </c>
      <c r="CY1475" t="str">
        <f ca="1">IFERROR(__xludf.DUMMYFUNCTION("""COMPUTED_VALUE"""),"#VALUE!")</f>
        <v>#VALUE!</v>
      </c>
      <c r="DC1475" t="str">
        <f ca="1">IFERROR(__xludf.DUMMYFUNCTION("""COMPUTED_VALUE"""),"#VALUE!")</f>
        <v>#VALUE!</v>
      </c>
      <c r="DE1475" t="str">
        <f ca="1">IFERROR(__xludf.DUMMYFUNCTION("""COMPUTED_VALUE"""),"#VALUE!")</f>
        <v>#VALUE!</v>
      </c>
    </row>
    <row r="1476" spans="1:109" ht="13.2" x14ac:dyDescent="0.25">
      <c r="A1476" t="str">
        <f ca="1">IFERROR(__xludf.DUMMYFUNCTION("""COMPUTED_VALUE"""),"P1485")</f>
        <v>P1485</v>
      </c>
      <c r="BC1476" t="str">
        <f ca="1">IFERROR(__xludf.DUMMYFUNCTION("""COMPUTED_VALUE"""),"#VALUE!")</f>
        <v>#VALUE!</v>
      </c>
      <c r="BE1476" t="str">
        <f ca="1">IFERROR(__xludf.DUMMYFUNCTION("""COMPUTED_VALUE"""),"#VALUE!")</f>
        <v>#VALUE!</v>
      </c>
      <c r="BG1476" t="str">
        <f ca="1">IFERROR(__xludf.DUMMYFUNCTION("""COMPUTED_VALUE"""),"#VALUE!")</f>
        <v>#VALUE!</v>
      </c>
      <c r="BI1476" t="str">
        <f ca="1">IFERROR(__xludf.DUMMYFUNCTION("""COMPUTED_VALUE"""),"#VALUE!")</f>
        <v>#VALUE!</v>
      </c>
      <c r="BK1476" t="str">
        <f ca="1">IFERROR(__xludf.DUMMYFUNCTION("""COMPUTED_VALUE"""),"#VALUE!")</f>
        <v>#VALUE!</v>
      </c>
      <c r="BM1476" t="str">
        <f ca="1">IFERROR(__xludf.DUMMYFUNCTION("""COMPUTED_VALUE"""),"#VALUE!")</f>
        <v>#VALUE!</v>
      </c>
      <c r="CS1476" t="str">
        <f ca="1">IFERROR(__xludf.DUMMYFUNCTION("""COMPUTED_VALUE"""),"#VALUE!")</f>
        <v>#VALUE!</v>
      </c>
      <c r="CU1476" t="str">
        <f ca="1">IFERROR(__xludf.DUMMYFUNCTION("""COMPUTED_VALUE"""),"#VALUE!")</f>
        <v>#VALUE!</v>
      </c>
      <c r="CW1476" t="str">
        <f ca="1">IFERROR(__xludf.DUMMYFUNCTION("""COMPUTED_VALUE"""),"#VALUE!")</f>
        <v>#VALUE!</v>
      </c>
      <c r="CY1476" t="str">
        <f ca="1">IFERROR(__xludf.DUMMYFUNCTION("""COMPUTED_VALUE"""),"#VALUE!")</f>
        <v>#VALUE!</v>
      </c>
      <c r="DC1476" t="str">
        <f ca="1">IFERROR(__xludf.DUMMYFUNCTION("""COMPUTED_VALUE"""),"#VALUE!")</f>
        <v>#VALUE!</v>
      </c>
      <c r="DE1476" t="str">
        <f ca="1">IFERROR(__xludf.DUMMYFUNCTION("""COMPUTED_VALUE"""),"#VALUE!")</f>
        <v>#VALUE!</v>
      </c>
    </row>
    <row r="1477" spans="1:109" ht="13.2" x14ac:dyDescent="0.25">
      <c r="A1477" t="str">
        <f ca="1">IFERROR(__xludf.DUMMYFUNCTION("""COMPUTED_VALUE"""),"P1486")</f>
        <v>P1486</v>
      </c>
      <c r="BC1477" t="str">
        <f ca="1">IFERROR(__xludf.DUMMYFUNCTION("""COMPUTED_VALUE"""),"#VALUE!")</f>
        <v>#VALUE!</v>
      </c>
      <c r="BE1477" t="str">
        <f ca="1">IFERROR(__xludf.DUMMYFUNCTION("""COMPUTED_VALUE"""),"#VALUE!")</f>
        <v>#VALUE!</v>
      </c>
      <c r="BG1477" t="str">
        <f ca="1">IFERROR(__xludf.DUMMYFUNCTION("""COMPUTED_VALUE"""),"#VALUE!")</f>
        <v>#VALUE!</v>
      </c>
      <c r="BI1477" t="str">
        <f ca="1">IFERROR(__xludf.DUMMYFUNCTION("""COMPUTED_VALUE"""),"#VALUE!")</f>
        <v>#VALUE!</v>
      </c>
      <c r="BK1477" t="str">
        <f ca="1">IFERROR(__xludf.DUMMYFUNCTION("""COMPUTED_VALUE"""),"#VALUE!")</f>
        <v>#VALUE!</v>
      </c>
      <c r="BM1477" t="str">
        <f ca="1">IFERROR(__xludf.DUMMYFUNCTION("""COMPUTED_VALUE"""),"#VALUE!")</f>
        <v>#VALUE!</v>
      </c>
      <c r="CS1477" t="str">
        <f ca="1">IFERROR(__xludf.DUMMYFUNCTION("""COMPUTED_VALUE"""),"#VALUE!")</f>
        <v>#VALUE!</v>
      </c>
      <c r="CU1477" t="str">
        <f ca="1">IFERROR(__xludf.DUMMYFUNCTION("""COMPUTED_VALUE"""),"#VALUE!")</f>
        <v>#VALUE!</v>
      </c>
      <c r="CW1477" t="str">
        <f ca="1">IFERROR(__xludf.DUMMYFUNCTION("""COMPUTED_VALUE"""),"#VALUE!")</f>
        <v>#VALUE!</v>
      </c>
      <c r="CY1477" t="str">
        <f ca="1">IFERROR(__xludf.DUMMYFUNCTION("""COMPUTED_VALUE"""),"#VALUE!")</f>
        <v>#VALUE!</v>
      </c>
      <c r="DC1477" t="str">
        <f ca="1">IFERROR(__xludf.DUMMYFUNCTION("""COMPUTED_VALUE"""),"#VALUE!")</f>
        <v>#VALUE!</v>
      </c>
      <c r="DE1477" t="str">
        <f ca="1">IFERROR(__xludf.DUMMYFUNCTION("""COMPUTED_VALUE"""),"#VALUE!")</f>
        <v>#VALUE!</v>
      </c>
    </row>
    <row r="1478" spans="1:109" ht="13.2" x14ac:dyDescent="0.25">
      <c r="A1478" t="str">
        <f ca="1">IFERROR(__xludf.DUMMYFUNCTION("""COMPUTED_VALUE"""),"P1487")</f>
        <v>P1487</v>
      </c>
      <c r="BC1478" t="str">
        <f ca="1">IFERROR(__xludf.DUMMYFUNCTION("""COMPUTED_VALUE"""),"#VALUE!")</f>
        <v>#VALUE!</v>
      </c>
      <c r="BE1478" t="str">
        <f ca="1">IFERROR(__xludf.DUMMYFUNCTION("""COMPUTED_VALUE"""),"#VALUE!")</f>
        <v>#VALUE!</v>
      </c>
      <c r="BG1478" t="str">
        <f ca="1">IFERROR(__xludf.DUMMYFUNCTION("""COMPUTED_VALUE"""),"#VALUE!")</f>
        <v>#VALUE!</v>
      </c>
      <c r="BI1478" t="str">
        <f ca="1">IFERROR(__xludf.DUMMYFUNCTION("""COMPUTED_VALUE"""),"#VALUE!")</f>
        <v>#VALUE!</v>
      </c>
      <c r="BK1478" t="str">
        <f ca="1">IFERROR(__xludf.DUMMYFUNCTION("""COMPUTED_VALUE"""),"#VALUE!")</f>
        <v>#VALUE!</v>
      </c>
      <c r="BM1478" t="str">
        <f ca="1">IFERROR(__xludf.DUMMYFUNCTION("""COMPUTED_VALUE"""),"#VALUE!")</f>
        <v>#VALUE!</v>
      </c>
      <c r="CS1478" t="str">
        <f ca="1">IFERROR(__xludf.DUMMYFUNCTION("""COMPUTED_VALUE"""),"#VALUE!")</f>
        <v>#VALUE!</v>
      </c>
      <c r="CU1478" t="str">
        <f ca="1">IFERROR(__xludf.DUMMYFUNCTION("""COMPUTED_VALUE"""),"#VALUE!")</f>
        <v>#VALUE!</v>
      </c>
      <c r="CW1478" t="str">
        <f ca="1">IFERROR(__xludf.DUMMYFUNCTION("""COMPUTED_VALUE"""),"#VALUE!")</f>
        <v>#VALUE!</v>
      </c>
      <c r="CY1478" t="str">
        <f ca="1">IFERROR(__xludf.DUMMYFUNCTION("""COMPUTED_VALUE"""),"#VALUE!")</f>
        <v>#VALUE!</v>
      </c>
      <c r="DC1478" t="str">
        <f ca="1">IFERROR(__xludf.DUMMYFUNCTION("""COMPUTED_VALUE"""),"#VALUE!")</f>
        <v>#VALUE!</v>
      </c>
      <c r="DE1478" t="str">
        <f ca="1">IFERROR(__xludf.DUMMYFUNCTION("""COMPUTED_VALUE"""),"#VALUE!")</f>
        <v>#VALUE!</v>
      </c>
    </row>
    <row r="1479" spans="1:109" ht="13.2" x14ac:dyDescent="0.25">
      <c r="A1479" t="str">
        <f ca="1">IFERROR(__xludf.DUMMYFUNCTION("""COMPUTED_VALUE"""),"P1488")</f>
        <v>P1488</v>
      </c>
      <c r="BC1479" t="str">
        <f ca="1">IFERROR(__xludf.DUMMYFUNCTION("""COMPUTED_VALUE"""),"#VALUE!")</f>
        <v>#VALUE!</v>
      </c>
      <c r="BE1479" t="str">
        <f ca="1">IFERROR(__xludf.DUMMYFUNCTION("""COMPUTED_VALUE"""),"#VALUE!")</f>
        <v>#VALUE!</v>
      </c>
      <c r="BG1479" t="str">
        <f ca="1">IFERROR(__xludf.DUMMYFUNCTION("""COMPUTED_VALUE"""),"#VALUE!")</f>
        <v>#VALUE!</v>
      </c>
      <c r="BI1479" t="str">
        <f ca="1">IFERROR(__xludf.DUMMYFUNCTION("""COMPUTED_VALUE"""),"#VALUE!")</f>
        <v>#VALUE!</v>
      </c>
      <c r="BK1479" t="str">
        <f ca="1">IFERROR(__xludf.DUMMYFUNCTION("""COMPUTED_VALUE"""),"#VALUE!")</f>
        <v>#VALUE!</v>
      </c>
      <c r="BM1479" t="str">
        <f ca="1">IFERROR(__xludf.DUMMYFUNCTION("""COMPUTED_VALUE"""),"#VALUE!")</f>
        <v>#VALUE!</v>
      </c>
      <c r="CS1479" t="str">
        <f ca="1">IFERROR(__xludf.DUMMYFUNCTION("""COMPUTED_VALUE"""),"#VALUE!")</f>
        <v>#VALUE!</v>
      </c>
      <c r="CU1479" t="str">
        <f ca="1">IFERROR(__xludf.DUMMYFUNCTION("""COMPUTED_VALUE"""),"#VALUE!")</f>
        <v>#VALUE!</v>
      </c>
      <c r="CW1479" t="str">
        <f ca="1">IFERROR(__xludf.DUMMYFUNCTION("""COMPUTED_VALUE"""),"#VALUE!")</f>
        <v>#VALUE!</v>
      </c>
      <c r="CY1479" t="str">
        <f ca="1">IFERROR(__xludf.DUMMYFUNCTION("""COMPUTED_VALUE"""),"#VALUE!")</f>
        <v>#VALUE!</v>
      </c>
      <c r="DC1479" t="str">
        <f ca="1">IFERROR(__xludf.DUMMYFUNCTION("""COMPUTED_VALUE"""),"#VALUE!")</f>
        <v>#VALUE!</v>
      </c>
      <c r="DE1479" t="str">
        <f ca="1">IFERROR(__xludf.DUMMYFUNCTION("""COMPUTED_VALUE"""),"#VALUE!")</f>
        <v>#VALUE!</v>
      </c>
    </row>
    <row r="1480" spans="1:109" ht="13.2" x14ac:dyDescent="0.25">
      <c r="A1480" t="str">
        <f ca="1">IFERROR(__xludf.DUMMYFUNCTION("""COMPUTED_VALUE"""),"P1489")</f>
        <v>P1489</v>
      </c>
      <c r="BC1480" t="str">
        <f ca="1">IFERROR(__xludf.DUMMYFUNCTION("""COMPUTED_VALUE"""),"#VALUE!")</f>
        <v>#VALUE!</v>
      </c>
      <c r="BE1480" t="str">
        <f ca="1">IFERROR(__xludf.DUMMYFUNCTION("""COMPUTED_VALUE"""),"#VALUE!")</f>
        <v>#VALUE!</v>
      </c>
      <c r="BG1480" t="str">
        <f ca="1">IFERROR(__xludf.DUMMYFUNCTION("""COMPUTED_VALUE"""),"#VALUE!")</f>
        <v>#VALUE!</v>
      </c>
      <c r="BI1480" t="str">
        <f ca="1">IFERROR(__xludf.DUMMYFUNCTION("""COMPUTED_VALUE"""),"#VALUE!")</f>
        <v>#VALUE!</v>
      </c>
      <c r="BK1480" t="str">
        <f ca="1">IFERROR(__xludf.DUMMYFUNCTION("""COMPUTED_VALUE"""),"#VALUE!")</f>
        <v>#VALUE!</v>
      </c>
      <c r="BM1480" t="str">
        <f ca="1">IFERROR(__xludf.DUMMYFUNCTION("""COMPUTED_VALUE"""),"#VALUE!")</f>
        <v>#VALUE!</v>
      </c>
      <c r="CS1480" t="str">
        <f ca="1">IFERROR(__xludf.DUMMYFUNCTION("""COMPUTED_VALUE"""),"#VALUE!")</f>
        <v>#VALUE!</v>
      </c>
      <c r="CU1480" t="str">
        <f ca="1">IFERROR(__xludf.DUMMYFUNCTION("""COMPUTED_VALUE"""),"#VALUE!")</f>
        <v>#VALUE!</v>
      </c>
      <c r="CW1480" t="str">
        <f ca="1">IFERROR(__xludf.DUMMYFUNCTION("""COMPUTED_VALUE"""),"#VALUE!")</f>
        <v>#VALUE!</v>
      </c>
      <c r="CY1480" t="str">
        <f ca="1">IFERROR(__xludf.DUMMYFUNCTION("""COMPUTED_VALUE"""),"#VALUE!")</f>
        <v>#VALUE!</v>
      </c>
      <c r="DC1480" t="str">
        <f ca="1">IFERROR(__xludf.DUMMYFUNCTION("""COMPUTED_VALUE"""),"#VALUE!")</f>
        <v>#VALUE!</v>
      </c>
      <c r="DE1480" t="str">
        <f ca="1">IFERROR(__xludf.DUMMYFUNCTION("""COMPUTED_VALUE"""),"#VALUE!")</f>
        <v>#VALUE!</v>
      </c>
    </row>
    <row r="1481" spans="1:109" ht="13.2" x14ac:dyDescent="0.25">
      <c r="A1481" t="str">
        <f ca="1">IFERROR(__xludf.DUMMYFUNCTION("""COMPUTED_VALUE"""),"P1490")</f>
        <v>P1490</v>
      </c>
      <c r="BC1481" t="str">
        <f ca="1">IFERROR(__xludf.DUMMYFUNCTION("""COMPUTED_VALUE"""),"#VALUE!")</f>
        <v>#VALUE!</v>
      </c>
      <c r="BE1481" t="str">
        <f ca="1">IFERROR(__xludf.DUMMYFUNCTION("""COMPUTED_VALUE"""),"#VALUE!")</f>
        <v>#VALUE!</v>
      </c>
      <c r="BG1481" t="str">
        <f ca="1">IFERROR(__xludf.DUMMYFUNCTION("""COMPUTED_VALUE"""),"#VALUE!")</f>
        <v>#VALUE!</v>
      </c>
      <c r="BI1481" t="str">
        <f ca="1">IFERROR(__xludf.DUMMYFUNCTION("""COMPUTED_VALUE"""),"#VALUE!")</f>
        <v>#VALUE!</v>
      </c>
      <c r="BK1481" t="str">
        <f ca="1">IFERROR(__xludf.DUMMYFUNCTION("""COMPUTED_VALUE"""),"#VALUE!")</f>
        <v>#VALUE!</v>
      </c>
      <c r="BM1481" t="str">
        <f ca="1">IFERROR(__xludf.DUMMYFUNCTION("""COMPUTED_VALUE"""),"#VALUE!")</f>
        <v>#VALUE!</v>
      </c>
      <c r="CS1481" t="str">
        <f ca="1">IFERROR(__xludf.DUMMYFUNCTION("""COMPUTED_VALUE"""),"#VALUE!")</f>
        <v>#VALUE!</v>
      </c>
      <c r="CU1481" t="str">
        <f ca="1">IFERROR(__xludf.DUMMYFUNCTION("""COMPUTED_VALUE"""),"#VALUE!")</f>
        <v>#VALUE!</v>
      </c>
      <c r="CW1481" t="str">
        <f ca="1">IFERROR(__xludf.DUMMYFUNCTION("""COMPUTED_VALUE"""),"#VALUE!")</f>
        <v>#VALUE!</v>
      </c>
      <c r="CY1481" t="str">
        <f ca="1">IFERROR(__xludf.DUMMYFUNCTION("""COMPUTED_VALUE"""),"#VALUE!")</f>
        <v>#VALUE!</v>
      </c>
      <c r="DC1481" t="str">
        <f ca="1">IFERROR(__xludf.DUMMYFUNCTION("""COMPUTED_VALUE"""),"#VALUE!")</f>
        <v>#VALUE!</v>
      </c>
      <c r="DE1481" t="str">
        <f ca="1">IFERROR(__xludf.DUMMYFUNCTION("""COMPUTED_VALUE"""),"#VALUE!")</f>
        <v>#VALUE!</v>
      </c>
    </row>
    <row r="1482" spans="1:109" ht="13.2" x14ac:dyDescent="0.25">
      <c r="A1482" t="str">
        <f ca="1">IFERROR(__xludf.DUMMYFUNCTION("""COMPUTED_VALUE"""),"P1491")</f>
        <v>P1491</v>
      </c>
      <c r="BC1482" t="str">
        <f ca="1">IFERROR(__xludf.DUMMYFUNCTION("""COMPUTED_VALUE"""),"#VALUE!")</f>
        <v>#VALUE!</v>
      </c>
      <c r="BE1482" t="str">
        <f ca="1">IFERROR(__xludf.DUMMYFUNCTION("""COMPUTED_VALUE"""),"#VALUE!")</f>
        <v>#VALUE!</v>
      </c>
      <c r="BG1482" t="str">
        <f ca="1">IFERROR(__xludf.DUMMYFUNCTION("""COMPUTED_VALUE"""),"#VALUE!")</f>
        <v>#VALUE!</v>
      </c>
      <c r="BI1482" t="str">
        <f ca="1">IFERROR(__xludf.DUMMYFUNCTION("""COMPUTED_VALUE"""),"#VALUE!")</f>
        <v>#VALUE!</v>
      </c>
      <c r="BK1482" t="str">
        <f ca="1">IFERROR(__xludf.DUMMYFUNCTION("""COMPUTED_VALUE"""),"#VALUE!")</f>
        <v>#VALUE!</v>
      </c>
      <c r="BM1482" t="str">
        <f ca="1">IFERROR(__xludf.DUMMYFUNCTION("""COMPUTED_VALUE"""),"#VALUE!")</f>
        <v>#VALUE!</v>
      </c>
      <c r="CS1482" t="str">
        <f ca="1">IFERROR(__xludf.DUMMYFUNCTION("""COMPUTED_VALUE"""),"#VALUE!")</f>
        <v>#VALUE!</v>
      </c>
      <c r="CU1482" t="str">
        <f ca="1">IFERROR(__xludf.DUMMYFUNCTION("""COMPUTED_VALUE"""),"#VALUE!")</f>
        <v>#VALUE!</v>
      </c>
      <c r="CW1482" t="str">
        <f ca="1">IFERROR(__xludf.DUMMYFUNCTION("""COMPUTED_VALUE"""),"#VALUE!")</f>
        <v>#VALUE!</v>
      </c>
      <c r="CY1482" t="str">
        <f ca="1">IFERROR(__xludf.DUMMYFUNCTION("""COMPUTED_VALUE"""),"#VALUE!")</f>
        <v>#VALUE!</v>
      </c>
      <c r="DC1482" t="str">
        <f ca="1">IFERROR(__xludf.DUMMYFUNCTION("""COMPUTED_VALUE"""),"#VALUE!")</f>
        <v>#VALUE!</v>
      </c>
      <c r="DE1482" t="str">
        <f ca="1">IFERROR(__xludf.DUMMYFUNCTION("""COMPUTED_VALUE"""),"#VALUE!")</f>
        <v>#VALUE!</v>
      </c>
    </row>
    <row r="1483" spans="1:109" ht="13.2" x14ac:dyDescent="0.25">
      <c r="A1483" t="str">
        <f ca="1">IFERROR(__xludf.DUMMYFUNCTION("""COMPUTED_VALUE"""),"P1492")</f>
        <v>P1492</v>
      </c>
      <c r="BC1483" t="str">
        <f ca="1">IFERROR(__xludf.DUMMYFUNCTION("""COMPUTED_VALUE"""),"#VALUE!")</f>
        <v>#VALUE!</v>
      </c>
      <c r="BE1483" t="str">
        <f ca="1">IFERROR(__xludf.DUMMYFUNCTION("""COMPUTED_VALUE"""),"#VALUE!")</f>
        <v>#VALUE!</v>
      </c>
      <c r="BG1483" t="str">
        <f ca="1">IFERROR(__xludf.DUMMYFUNCTION("""COMPUTED_VALUE"""),"#VALUE!")</f>
        <v>#VALUE!</v>
      </c>
      <c r="BI1483" t="str">
        <f ca="1">IFERROR(__xludf.DUMMYFUNCTION("""COMPUTED_VALUE"""),"#VALUE!")</f>
        <v>#VALUE!</v>
      </c>
      <c r="BK1483" t="str">
        <f ca="1">IFERROR(__xludf.DUMMYFUNCTION("""COMPUTED_VALUE"""),"#VALUE!")</f>
        <v>#VALUE!</v>
      </c>
      <c r="BM1483" t="str">
        <f ca="1">IFERROR(__xludf.DUMMYFUNCTION("""COMPUTED_VALUE"""),"#VALUE!")</f>
        <v>#VALUE!</v>
      </c>
      <c r="CS1483" t="str">
        <f ca="1">IFERROR(__xludf.DUMMYFUNCTION("""COMPUTED_VALUE"""),"#VALUE!")</f>
        <v>#VALUE!</v>
      </c>
      <c r="CU1483" t="str">
        <f ca="1">IFERROR(__xludf.DUMMYFUNCTION("""COMPUTED_VALUE"""),"#VALUE!")</f>
        <v>#VALUE!</v>
      </c>
      <c r="CW1483" t="str">
        <f ca="1">IFERROR(__xludf.DUMMYFUNCTION("""COMPUTED_VALUE"""),"#VALUE!")</f>
        <v>#VALUE!</v>
      </c>
      <c r="CY1483" t="str">
        <f ca="1">IFERROR(__xludf.DUMMYFUNCTION("""COMPUTED_VALUE"""),"#VALUE!")</f>
        <v>#VALUE!</v>
      </c>
      <c r="DC1483" t="str">
        <f ca="1">IFERROR(__xludf.DUMMYFUNCTION("""COMPUTED_VALUE"""),"#VALUE!")</f>
        <v>#VALUE!</v>
      </c>
      <c r="DE1483" t="str">
        <f ca="1">IFERROR(__xludf.DUMMYFUNCTION("""COMPUTED_VALUE"""),"#VALUE!")</f>
        <v>#VALUE!</v>
      </c>
    </row>
    <row r="1484" spans="1:109" ht="13.2" x14ac:dyDescent="0.25">
      <c r="A1484" t="str">
        <f ca="1">IFERROR(__xludf.DUMMYFUNCTION("""COMPUTED_VALUE"""),"P1493")</f>
        <v>P1493</v>
      </c>
      <c r="BC1484" t="str">
        <f ca="1">IFERROR(__xludf.DUMMYFUNCTION("""COMPUTED_VALUE"""),"#VALUE!")</f>
        <v>#VALUE!</v>
      </c>
      <c r="BE1484" t="str">
        <f ca="1">IFERROR(__xludf.DUMMYFUNCTION("""COMPUTED_VALUE"""),"#VALUE!")</f>
        <v>#VALUE!</v>
      </c>
      <c r="BG1484" t="str">
        <f ca="1">IFERROR(__xludf.DUMMYFUNCTION("""COMPUTED_VALUE"""),"#VALUE!")</f>
        <v>#VALUE!</v>
      </c>
      <c r="BI1484" t="str">
        <f ca="1">IFERROR(__xludf.DUMMYFUNCTION("""COMPUTED_VALUE"""),"#VALUE!")</f>
        <v>#VALUE!</v>
      </c>
      <c r="BK1484" t="str">
        <f ca="1">IFERROR(__xludf.DUMMYFUNCTION("""COMPUTED_VALUE"""),"#VALUE!")</f>
        <v>#VALUE!</v>
      </c>
      <c r="BM1484" t="str">
        <f ca="1">IFERROR(__xludf.DUMMYFUNCTION("""COMPUTED_VALUE"""),"#VALUE!")</f>
        <v>#VALUE!</v>
      </c>
      <c r="CS1484" t="str">
        <f ca="1">IFERROR(__xludf.DUMMYFUNCTION("""COMPUTED_VALUE"""),"#VALUE!")</f>
        <v>#VALUE!</v>
      </c>
      <c r="CU1484" t="str">
        <f ca="1">IFERROR(__xludf.DUMMYFUNCTION("""COMPUTED_VALUE"""),"#VALUE!")</f>
        <v>#VALUE!</v>
      </c>
      <c r="CW1484" t="str">
        <f ca="1">IFERROR(__xludf.DUMMYFUNCTION("""COMPUTED_VALUE"""),"#VALUE!")</f>
        <v>#VALUE!</v>
      </c>
      <c r="CY1484" t="str">
        <f ca="1">IFERROR(__xludf.DUMMYFUNCTION("""COMPUTED_VALUE"""),"#VALUE!")</f>
        <v>#VALUE!</v>
      </c>
      <c r="DC1484" t="str">
        <f ca="1">IFERROR(__xludf.DUMMYFUNCTION("""COMPUTED_VALUE"""),"#VALUE!")</f>
        <v>#VALUE!</v>
      </c>
      <c r="DE1484" t="str">
        <f ca="1">IFERROR(__xludf.DUMMYFUNCTION("""COMPUTED_VALUE"""),"#VALUE!")</f>
        <v>#VALUE!</v>
      </c>
    </row>
    <row r="1485" spans="1:109" ht="13.2" x14ac:dyDescent="0.25">
      <c r="A1485" t="str">
        <f ca="1">IFERROR(__xludf.DUMMYFUNCTION("""COMPUTED_VALUE"""),"P1494")</f>
        <v>P1494</v>
      </c>
      <c r="BC1485" t="str">
        <f ca="1">IFERROR(__xludf.DUMMYFUNCTION("""COMPUTED_VALUE"""),"#VALUE!")</f>
        <v>#VALUE!</v>
      </c>
      <c r="BE1485" t="str">
        <f ca="1">IFERROR(__xludf.DUMMYFUNCTION("""COMPUTED_VALUE"""),"#VALUE!")</f>
        <v>#VALUE!</v>
      </c>
      <c r="BG1485" t="str">
        <f ca="1">IFERROR(__xludf.DUMMYFUNCTION("""COMPUTED_VALUE"""),"#VALUE!")</f>
        <v>#VALUE!</v>
      </c>
      <c r="BI1485" t="str">
        <f ca="1">IFERROR(__xludf.DUMMYFUNCTION("""COMPUTED_VALUE"""),"#VALUE!")</f>
        <v>#VALUE!</v>
      </c>
      <c r="BK1485" t="str">
        <f ca="1">IFERROR(__xludf.DUMMYFUNCTION("""COMPUTED_VALUE"""),"#VALUE!")</f>
        <v>#VALUE!</v>
      </c>
      <c r="BM1485" t="str">
        <f ca="1">IFERROR(__xludf.DUMMYFUNCTION("""COMPUTED_VALUE"""),"#VALUE!")</f>
        <v>#VALUE!</v>
      </c>
      <c r="CS1485" t="str">
        <f ca="1">IFERROR(__xludf.DUMMYFUNCTION("""COMPUTED_VALUE"""),"#VALUE!")</f>
        <v>#VALUE!</v>
      </c>
      <c r="CU1485" t="str">
        <f ca="1">IFERROR(__xludf.DUMMYFUNCTION("""COMPUTED_VALUE"""),"#VALUE!")</f>
        <v>#VALUE!</v>
      </c>
      <c r="CW1485" t="str">
        <f ca="1">IFERROR(__xludf.DUMMYFUNCTION("""COMPUTED_VALUE"""),"#VALUE!")</f>
        <v>#VALUE!</v>
      </c>
      <c r="CY1485" t="str">
        <f ca="1">IFERROR(__xludf.DUMMYFUNCTION("""COMPUTED_VALUE"""),"#VALUE!")</f>
        <v>#VALUE!</v>
      </c>
      <c r="DC1485" t="str">
        <f ca="1">IFERROR(__xludf.DUMMYFUNCTION("""COMPUTED_VALUE"""),"#VALUE!")</f>
        <v>#VALUE!</v>
      </c>
      <c r="DE1485" t="str">
        <f ca="1">IFERROR(__xludf.DUMMYFUNCTION("""COMPUTED_VALUE"""),"#VALUE!")</f>
        <v>#VALUE!</v>
      </c>
    </row>
    <row r="1486" spans="1:109" ht="13.2" x14ac:dyDescent="0.25">
      <c r="A1486" t="str">
        <f ca="1">IFERROR(__xludf.DUMMYFUNCTION("""COMPUTED_VALUE"""),"P1495")</f>
        <v>P1495</v>
      </c>
      <c r="BC1486" t="str">
        <f ca="1">IFERROR(__xludf.DUMMYFUNCTION("""COMPUTED_VALUE"""),"#VALUE!")</f>
        <v>#VALUE!</v>
      </c>
      <c r="BE1486" t="str">
        <f ca="1">IFERROR(__xludf.DUMMYFUNCTION("""COMPUTED_VALUE"""),"#VALUE!")</f>
        <v>#VALUE!</v>
      </c>
      <c r="BG1486" t="str">
        <f ca="1">IFERROR(__xludf.DUMMYFUNCTION("""COMPUTED_VALUE"""),"#VALUE!")</f>
        <v>#VALUE!</v>
      </c>
      <c r="BI1486" t="str">
        <f ca="1">IFERROR(__xludf.DUMMYFUNCTION("""COMPUTED_VALUE"""),"#VALUE!")</f>
        <v>#VALUE!</v>
      </c>
      <c r="BK1486" t="str">
        <f ca="1">IFERROR(__xludf.DUMMYFUNCTION("""COMPUTED_VALUE"""),"#VALUE!")</f>
        <v>#VALUE!</v>
      </c>
      <c r="BM1486" t="str">
        <f ca="1">IFERROR(__xludf.DUMMYFUNCTION("""COMPUTED_VALUE"""),"#VALUE!")</f>
        <v>#VALUE!</v>
      </c>
      <c r="CS1486" t="str">
        <f ca="1">IFERROR(__xludf.DUMMYFUNCTION("""COMPUTED_VALUE"""),"#VALUE!")</f>
        <v>#VALUE!</v>
      </c>
      <c r="CU1486" t="str">
        <f ca="1">IFERROR(__xludf.DUMMYFUNCTION("""COMPUTED_VALUE"""),"#VALUE!")</f>
        <v>#VALUE!</v>
      </c>
      <c r="CW1486" t="str">
        <f ca="1">IFERROR(__xludf.DUMMYFUNCTION("""COMPUTED_VALUE"""),"#VALUE!")</f>
        <v>#VALUE!</v>
      </c>
      <c r="CY1486" t="str">
        <f ca="1">IFERROR(__xludf.DUMMYFUNCTION("""COMPUTED_VALUE"""),"#VALUE!")</f>
        <v>#VALUE!</v>
      </c>
      <c r="DC1486" t="str">
        <f ca="1">IFERROR(__xludf.DUMMYFUNCTION("""COMPUTED_VALUE"""),"#VALUE!")</f>
        <v>#VALUE!</v>
      </c>
      <c r="DE1486" t="str">
        <f ca="1">IFERROR(__xludf.DUMMYFUNCTION("""COMPUTED_VALUE"""),"#VALUE!")</f>
        <v>#VALUE!</v>
      </c>
    </row>
    <row r="1487" spans="1:109" ht="13.2" x14ac:dyDescent="0.25">
      <c r="A1487" t="str">
        <f ca="1">IFERROR(__xludf.DUMMYFUNCTION("""COMPUTED_VALUE"""),"P1496")</f>
        <v>P1496</v>
      </c>
      <c r="BC1487" t="str">
        <f ca="1">IFERROR(__xludf.DUMMYFUNCTION("""COMPUTED_VALUE"""),"#VALUE!")</f>
        <v>#VALUE!</v>
      </c>
      <c r="BE1487" t="str">
        <f ca="1">IFERROR(__xludf.DUMMYFUNCTION("""COMPUTED_VALUE"""),"#VALUE!")</f>
        <v>#VALUE!</v>
      </c>
      <c r="BG1487" t="str">
        <f ca="1">IFERROR(__xludf.DUMMYFUNCTION("""COMPUTED_VALUE"""),"#VALUE!")</f>
        <v>#VALUE!</v>
      </c>
      <c r="BI1487" t="str">
        <f ca="1">IFERROR(__xludf.DUMMYFUNCTION("""COMPUTED_VALUE"""),"#VALUE!")</f>
        <v>#VALUE!</v>
      </c>
      <c r="BK1487" t="str">
        <f ca="1">IFERROR(__xludf.DUMMYFUNCTION("""COMPUTED_VALUE"""),"#VALUE!")</f>
        <v>#VALUE!</v>
      </c>
      <c r="BM1487" t="str">
        <f ca="1">IFERROR(__xludf.DUMMYFUNCTION("""COMPUTED_VALUE"""),"#VALUE!")</f>
        <v>#VALUE!</v>
      </c>
      <c r="CS1487" t="str">
        <f ca="1">IFERROR(__xludf.DUMMYFUNCTION("""COMPUTED_VALUE"""),"#VALUE!")</f>
        <v>#VALUE!</v>
      </c>
      <c r="CU1487" t="str">
        <f ca="1">IFERROR(__xludf.DUMMYFUNCTION("""COMPUTED_VALUE"""),"#VALUE!")</f>
        <v>#VALUE!</v>
      </c>
      <c r="CW1487" t="str">
        <f ca="1">IFERROR(__xludf.DUMMYFUNCTION("""COMPUTED_VALUE"""),"#VALUE!")</f>
        <v>#VALUE!</v>
      </c>
      <c r="CY1487" t="str">
        <f ca="1">IFERROR(__xludf.DUMMYFUNCTION("""COMPUTED_VALUE"""),"#VALUE!")</f>
        <v>#VALUE!</v>
      </c>
      <c r="DC1487" t="str">
        <f ca="1">IFERROR(__xludf.DUMMYFUNCTION("""COMPUTED_VALUE"""),"#VALUE!")</f>
        <v>#VALUE!</v>
      </c>
      <c r="DE1487" t="str">
        <f ca="1">IFERROR(__xludf.DUMMYFUNCTION("""COMPUTED_VALUE"""),"#VALUE!")</f>
        <v>#VALUE!</v>
      </c>
    </row>
    <row r="1488" spans="1:109" ht="13.2" x14ac:dyDescent="0.25">
      <c r="A1488" t="str">
        <f ca="1">IFERROR(__xludf.DUMMYFUNCTION("""COMPUTED_VALUE"""),"P1497")</f>
        <v>P1497</v>
      </c>
      <c r="BC1488" t="str">
        <f ca="1">IFERROR(__xludf.DUMMYFUNCTION("""COMPUTED_VALUE"""),"#VALUE!")</f>
        <v>#VALUE!</v>
      </c>
      <c r="BE1488" t="str">
        <f ca="1">IFERROR(__xludf.DUMMYFUNCTION("""COMPUTED_VALUE"""),"#VALUE!")</f>
        <v>#VALUE!</v>
      </c>
      <c r="BG1488" t="str">
        <f ca="1">IFERROR(__xludf.DUMMYFUNCTION("""COMPUTED_VALUE"""),"#VALUE!")</f>
        <v>#VALUE!</v>
      </c>
      <c r="BI1488" t="str">
        <f ca="1">IFERROR(__xludf.DUMMYFUNCTION("""COMPUTED_VALUE"""),"#VALUE!")</f>
        <v>#VALUE!</v>
      </c>
      <c r="BK1488" t="str">
        <f ca="1">IFERROR(__xludf.DUMMYFUNCTION("""COMPUTED_VALUE"""),"#VALUE!")</f>
        <v>#VALUE!</v>
      </c>
      <c r="BM1488" t="str">
        <f ca="1">IFERROR(__xludf.DUMMYFUNCTION("""COMPUTED_VALUE"""),"#VALUE!")</f>
        <v>#VALUE!</v>
      </c>
      <c r="CS1488" t="str">
        <f ca="1">IFERROR(__xludf.DUMMYFUNCTION("""COMPUTED_VALUE"""),"#VALUE!")</f>
        <v>#VALUE!</v>
      </c>
      <c r="CU1488" t="str">
        <f ca="1">IFERROR(__xludf.DUMMYFUNCTION("""COMPUTED_VALUE"""),"#VALUE!")</f>
        <v>#VALUE!</v>
      </c>
      <c r="CW1488" t="str">
        <f ca="1">IFERROR(__xludf.DUMMYFUNCTION("""COMPUTED_VALUE"""),"#VALUE!")</f>
        <v>#VALUE!</v>
      </c>
      <c r="CY1488" t="str">
        <f ca="1">IFERROR(__xludf.DUMMYFUNCTION("""COMPUTED_VALUE"""),"#VALUE!")</f>
        <v>#VALUE!</v>
      </c>
      <c r="DC1488" t="str">
        <f ca="1">IFERROR(__xludf.DUMMYFUNCTION("""COMPUTED_VALUE"""),"#VALUE!")</f>
        <v>#VALUE!</v>
      </c>
      <c r="DE1488" t="str">
        <f ca="1">IFERROR(__xludf.DUMMYFUNCTION("""COMPUTED_VALUE"""),"#VALUE!")</f>
        <v>#VALUE!</v>
      </c>
    </row>
    <row r="1489" spans="1:109" ht="13.2" x14ac:dyDescent="0.25">
      <c r="A1489" t="str">
        <f ca="1">IFERROR(__xludf.DUMMYFUNCTION("""COMPUTED_VALUE"""),"P1498")</f>
        <v>P1498</v>
      </c>
      <c r="BC1489" t="str">
        <f ca="1">IFERROR(__xludf.DUMMYFUNCTION("""COMPUTED_VALUE"""),"#VALUE!")</f>
        <v>#VALUE!</v>
      </c>
      <c r="BE1489" t="str">
        <f ca="1">IFERROR(__xludf.DUMMYFUNCTION("""COMPUTED_VALUE"""),"#VALUE!")</f>
        <v>#VALUE!</v>
      </c>
      <c r="BG1489" t="str">
        <f ca="1">IFERROR(__xludf.DUMMYFUNCTION("""COMPUTED_VALUE"""),"#VALUE!")</f>
        <v>#VALUE!</v>
      </c>
      <c r="BI1489" t="str">
        <f ca="1">IFERROR(__xludf.DUMMYFUNCTION("""COMPUTED_VALUE"""),"#VALUE!")</f>
        <v>#VALUE!</v>
      </c>
      <c r="BK1489" t="str">
        <f ca="1">IFERROR(__xludf.DUMMYFUNCTION("""COMPUTED_VALUE"""),"#VALUE!")</f>
        <v>#VALUE!</v>
      </c>
      <c r="BM1489" t="str">
        <f ca="1">IFERROR(__xludf.DUMMYFUNCTION("""COMPUTED_VALUE"""),"#VALUE!")</f>
        <v>#VALUE!</v>
      </c>
      <c r="CS1489" t="str">
        <f ca="1">IFERROR(__xludf.DUMMYFUNCTION("""COMPUTED_VALUE"""),"#VALUE!")</f>
        <v>#VALUE!</v>
      </c>
      <c r="CU1489" t="str">
        <f ca="1">IFERROR(__xludf.DUMMYFUNCTION("""COMPUTED_VALUE"""),"#VALUE!")</f>
        <v>#VALUE!</v>
      </c>
      <c r="CW1489" t="str">
        <f ca="1">IFERROR(__xludf.DUMMYFUNCTION("""COMPUTED_VALUE"""),"#VALUE!")</f>
        <v>#VALUE!</v>
      </c>
      <c r="CY1489" t="str">
        <f ca="1">IFERROR(__xludf.DUMMYFUNCTION("""COMPUTED_VALUE"""),"#VALUE!")</f>
        <v>#VALUE!</v>
      </c>
      <c r="DC1489" t="str">
        <f ca="1">IFERROR(__xludf.DUMMYFUNCTION("""COMPUTED_VALUE"""),"#VALUE!")</f>
        <v>#VALUE!</v>
      </c>
      <c r="DE1489" t="str">
        <f ca="1">IFERROR(__xludf.DUMMYFUNCTION("""COMPUTED_VALUE"""),"#VALUE!")</f>
        <v>#VALUE!</v>
      </c>
    </row>
    <row r="1490" spans="1:109" ht="13.2" x14ac:dyDescent="0.25">
      <c r="A1490" t="str">
        <f ca="1">IFERROR(__xludf.DUMMYFUNCTION("""COMPUTED_VALUE"""),"P1499")</f>
        <v>P1499</v>
      </c>
      <c r="BC1490" t="str">
        <f ca="1">IFERROR(__xludf.DUMMYFUNCTION("""COMPUTED_VALUE"""),"#VALUE!")</f>
        <v>#VALUE!</v>
      </c>
      <c r="BE1490" t="str">
        <f ca="1">IFERROR(__xludf.DUMMYFUNCTION("""COMPUTED_VALUE"""),"#VALUE!")</f>
        <v>#VALUE!</v>
      </c>
      <c r="BG1490" t="str">
        <f ca="1">IFERROR(__xludf.DUMMYFUNCTION("""COMPUTED_VALUE"""),"#VALUE!")</f>
        <v>#VALUE!</v>
      </c>
      <c r="BI1490" t="str">
        <f ca="1">IFERROR(__xludf.DUMMYFUNCTION("""COMPUTED_VALUE"""),"#VALUE!")</f>
        <v>#VALUE!</v>
      </c>
      <c r="BK1490" t="str">
        <f ca="1">IFERROR(__xludf.DUMMYFUNCTION("""COMPUTED_VALUE"""),"#VALUE!")</f>
        <v>#VALUE!</v>
      </c>
      <c r="BM1490" t="str">
        <f ca="1">IFERROR(__xludf.DUMMYFUNCTION("""COMPUTED_VALUE"""),"#VALUE!")</f>
        <v>#VALUE!</v>
      </c>
      <c r="CS1490" t="str">
        <f ca="1">IFERROR(__xludf.DUMMYFUNCTION("""COMPUTED_VALUE"""),"#VALUE!")</f>
        <v>#VALUE!</v>
      </c>
      <c r="CU1490" t="str">
        <f ca="1">IFERROR(__xludf.DUMMYFUNCTION("""COMPUTED_VALUE"""),"#VALUE!")</f>
        <v>#VALUE!</v>
      </c>
      <c r="CW1490" t="str">
        <f ca="1">IFERROR(__xludf.DUMMYFUNCTION("""COMPUTED_VALUE"""),"#VALUE!")</f>
        <v>#VALUE!</v>
      </c>
      <c r="CY1490" t="str">
        <f ca="1">IFERROR(__xludf.DUMMYFUNCTION("""COMPUTED_VALUE"""),"#VALUE!")</f>
        <v>#VALUE!</v>
      </c>
      <c r="DC1490" t="str">
        <f ca="1">IFERROR(__xludf.DUMMYFUNCTION("""COMPUTED_VALUE"""),"#VALUE!")</f>
        <v>#VALUE!</v>
      </c>
      <c r="DE1490" t="str">
        <f ca="1">IFERROR(__xludf.DUMMYFUNCTION("""COMPUTED_VALUE"""),"#VALUE!")</f>
        <v>#VALUE!</v>
      </c>
    </row>
    <row r="1491" spans="1:109" ht="13.2" x14ac:dyDescent="0.25">
      <c r="A1491" t="str">
        <f ca="1">IFERROR(__xludf.DUMMYFUNCTION("""COMPUTED_VALUE"""),"P1500")</f>
        <v>P1500</v>
      </c>
      <c r="BC1491" t="str">
        <f ca="1">IFERROR(__xludf.DUMMYFUNCTION("""COMPUTED_VALUE"""),"#VALUE!")</f>
        <v>#VALUE!</v>
      </c>
      <c r="BE1491" t="str">
        <f ca="1">IFERROR(__xludf.DUMMYFUNCTION("""COMPUTED_VALUE"""),"#VALUE!")</f>
        <v>#VALUE!</v>
      </c>
      <c r="BG1491" t="str">
        <f ca="1">IFERROR(__xludf.DUMMYFUNCTION("""COMPUTED_VALUE"""),"#VALUE!")</f>
        <v>#VALUE!</v>
      </c>
      <c r="BI1491" t="str">
        <f ca="1">IFERROR(__xludf.DUMMYFUNCTION("""COMPUTED_VALUE"""),"#VALUE!")</f>
        <v>#VALUE!</v>
      </c>
      <c r="BK1491" t="str">
        <f ca="1">IFERROR(__xludf.DUMMYFUNCTION("""COMPUTED_VALUE"""),"#VALUE!")</f>
        <v>#VALUE!</v>
      </c>
      <c r="BM1491" t="str">
        <f ca="1">IFERROR(__xludf.DUMMYFUNCTION("""COMPUTED_VALUE"""),"#VALUE!")</f>
        <v>#VALUE!</v>
      </c>
      <c r="CS1491" t="str">
        <f ca="1">IFERROR(__xludf.DUMMYFUNCTION("""COMPUTED_VALUE"""),"#VALUE!")</f>
        <v>#VALUE!</v>
      </c>
      <c r="CU1491" t="str">
        <f ca="1">IFERROR(__xludf.DUMMYFUNCTION("""COMPUTED_VALUE"""),"#VALUE!")</f>
        <v>#VALUE!</v>
      </c>
      <c r="CW1491" t="str">
        <f ca="1">IFERROR(__xludf.DUMMYFUNCTION("""COMPUTED_VALUE"""),"#VALUE!")</f>
        <v>#VALUE!</v>
      </c>
      <c r="CY1491" t="str">
        <f ca="1">IFERROR(__xludf.DUMMYFUNCTION("""COMPUTED_VALUE"""),"#VALUE!")</f>
        <v>#VALUE!</v>
      </c>
      <c r="DC1491" t="str">
        <f ca="1">IFERROR(__xludf.DUMMYFUNCTION("""COMPUTED_VALUE"""),"#VALUE!")</f>
        <v>#VALUE!</v>
      </c>
      <c r="DE1491" t="str">
        <f ca="1">IFERROR(__xludf.DUMMYFUNCTION("""COMPUTED_VALUE"""),"#VALUE!")</f>
        <v>#VALUE!</v>
      </c>
    </row>
    <row r="1492" spans="1:109" ht="13.2" x14ac:dyDescent="0.25">
      <c r="A1492" t="str">
        <f ca="1">IFERROR(__xludf.DUMMYFUNCTION("""COMPUTED_VALUE"""),"P1501")</f>
        <v>P1501</v>
      </c>
      <c r="BC1492" t="str">
        <f ca="1">IFERROR(__xludf.DUMMYFUNCTION("""COMPUTED_VALUE"""),"#VALUE!")</f>
        <v>#VALUE!</v>
      </c>
      <c r="BE1492" t="str">
        <f ca="1">IFERROR(__xludf.DUMMYFUNCTION("""COMPUTED_VALUE"""),"#VALUE!")</f>
        <v>#VALUE!</v>
      </c>
      <c r="BG1492" t="str">
        <f ca="1">IFERROR(__xludf.DUMMYFUNCTION("""COMPUTED_VALUE"""),"#VALUE!")</f>
        <v>#VALUE!</v>
      </c>
      <c r="BI1492" t="str">
        <f ca="1">IFERROR(__xludf.DUMMYFUNCTION("""COMPUTED_VALUE"""),"#VALUE!")</f>
        <v>#VALUE!</v>
      </c>
      <c r="BK1492" t="str">
        <f ca="1">IFERROR(__xludf.DUMMYFUNCTION("""COMPUTED_VALUE"""),"#VALUE!")</f>
        <v>#VALUE!</v>
      </c>
      <c r="BM1492" t="str">
        <f ca="1">IFERROR(__xludf.DUMMYFUNCTION("""COMPUTED_VALUE"""),"#VALUE!")</f>
        <v>#VALUE!</v>
      </c>
      <c r="CS1492" t="str">
        <f ca="1">IFERROR(__xludf.DUMMYFUNCTION("""COMPUTED_VALUE"""),"#VALUE!")</f>
        <v>#VALUE!</v>
      </c>
      <c r="CU1492" t="str">
        <f ca="1">IFERROR(__xludf.DUMMYFUNCTION("""COMPUTED_VALUE"""),"#VALUE!")</f>
        <v>#VALUE!</v>
      </c>
      <c r="CW1492" t="str">
        <f ca="1">IFERROR(__xludf.DUMMYFUNCTION("""COMPUTED_VALUE"""),"#VALUE!")</f>
        <v>#VALUE!</v>
      </c>
      <c r="CY1492" t="str">
        <f ca="1">IFERROR(__xludf.DUMMYFUNCTION("""COMPUTED_VALUE"""),"#VALUE!")</f>
        <v>#VALUE!</v>
      </c>
      <c r="DC1492" t="str">
        <f ca="1">IFERROR(__xludf.DUMMYFUNCTION("""COMPUTED_VALUE"""),"#VALUE!")</f>
        <v>#VALUE!</v>
      </c>
      <c r="DE1492" t="str">
        <f ca="1">IFERROR(__xludf.DUMMYFUNCTION("""COMPUTED_VALUE"""),"#VALUE!")</f>
        <v>#VALUE!</v>
      </c>
    </row>
    <row r="1493" spans="1:109" ht="13.2" x14ac:dyDescent="0.25">
      <c r="A1493" t="str">
        <f ca="1">IFERROR(__xludf.DUMMYFUNCTION("""COMPUTED_VALUE"""),"P1502")</f>
        <v>P1502</v>
      </c>
      <c r="BC1493" t="str">
        <f ca="1">IFERROR(__xludf.DUMMYFUNCTION("""COMPUTED_VALUE"""),"#VALUE!")</f>
        <v>#VALUE!</v>
      </c>
      <c r="BE1493" t="str">
        <f ca="1">IFERROR(__xludf.DUMMYFUNCTION("""COMPUTED_VALUE"""),"#VALUE!")</f>
        <v>#VALUE!</v>
      </c>
      <c r="BG1493" t="str">
        <f ca="1">IFERROR(__xludf.DUMMYFUNCTION("""COMPUTED_VALUE"""),"#VALUE!")</f>
        <v>#VALUE!</v>
      </c>
      <c r="BI1493" t="str">
        <f ca="1">IFERROR(__xludf.DUMMYFUNCTION("""COMPUTED_VALUE"""),"#VALUE!")</f>
        <v>#VALUE!</v>
      </c>
      <c r="BK1493" t="str">
        <f ca="1">IFERROR(__xludf.DUMMYFUNCTION("""COMPUTED_VALUE"""),"#VALUE!")</f>
        <v>#VALUE!</v>
      </c>
      <c r="BM1493" t="str">
        <f ca="1">IFERROR(__xludf.DUMMYFUNCTION("""COMPUTED_VALUE"""),"#VALUE!")</f>
        <v>#VALUE!</v>
      </c>
      <c r="CS1493" t="str">
        <f ca="1">IFERROR(__xludf.DUMMYFUNCTION("""COMPUTED_VALUE"""),"#VALUE!")</f>
        <v>#VALUE!</v>
      </c>
      <c r="CU1493" t="str">
        <f ca="1">IFERROR(__xludf.DUMMYFUNCTION("""COMPUTED_VALUE"""),"#VALUE!")</f>
        <v>#VALUE!</v>
      </c>
      <c r="CW1493" t="str">
        <f ca="1">IFERROR(__xludf.DUMMYFUNCTION("""COMPUTED_VALUE"""),"#VALUE!")</f>
        <v>#VALUE!</v>
      </c>
      <c r="CY1493" t="str">
        <f ca="1">IFERROR(__xludf.DUMMYFUNCTION("""COMPUTED_VALUE"""),"#VALUE!")</f>
        <v>#VALUE!</v>
      </c>
      <c r="DC1493" t="str">
        <f ca="1">IFERROR(__xludf.DUMMYFUNCTION("""COMPUTED_VALUE"""),"#VALUE!")</f>
        <v>#VALUE!</v>
      </c>
      <c r="DE1493" t="str">
        <f ca="1">IFERROR(__xludf.DUMMYFUNCTION("""COMPUTED_VALUE"""),"#VALUE!")</f>
        <v>#VALUE!</v>
      </c>
    </row>
    <row r="1494" spans="1:109" ht="13.2" x14ac:dyDescent="0.25">
      <c r="A1494" t="str">
        <f ca="1">IFERROR(__xludf.DUMMYFUNCTION("""COMPUTED_VALUE"""),"P1503")</f>
        <v>P1503</v>
      </c>
      <c r="BC1494" t="str">
        <f ca="1">IFERROR(__xludf.DUMMYFUNCTION("""COMPUTED_VALUE"""),"#VALUE!")</f>
        <v>#VALUE!</v>
      </c>
      <c r="BE1494" t="str">
        <f ca="1">IFERROR(__xludf.DUMMYFUNCTION("""COMPUTED_VALUE"""),"#VALUE!")</f>
        <v>#VALUE!</v>
      </c>
      <c r="BG1494" t="str">
        <f ca="1">IFERROR(__xludf.DUMMYFUNCTION("""COMPUTED_VALUE"""),"#VALUE!")</f>
        <v>#VALUE!</v>
      </c>
      <c r="BI1494" t="str">
        <f ca="1">IFERROR(__xludf.DUMMYFUNCTION("""COMPUTED_VALUE"""),"#VALUE!")</f>
        <v>#VALUE!</v>
      </c>
      <c r="BK1494" t="str">
        <f ca="1">IFERROR(__xludf.DUMMYFUNCTION("""COMPUTED_VALUE"""),"#VALUE!")</f>
        <v>#VALUE!</v>
      </c>
      <c r="BM1494" t="str">
        <f ca="1">IFERROR(__xludf.DUMMYFUNCTION("""COMPUTED_VALUE"""),"#VALUE!")</f>
        <v>#VALUE!</v>
      </c>
      <c r="CS1494" t="str">
        <f ca="1">IFERROR(__xludf.DUMMYFUNCTION("""COMPUTED_VALUE"""),"#VALUE!")</f>
        <v>#VALUE!</v>
      </c>
      <c r="CU1494" t="str">
        <f ca="1">IFERROR(__xludf.DUMMYFUNCTION("""COMPUTED_VALUE"""),"#VALUE!")</f>
        <v>#VALUE!</v>
      </c>
      <c r="CW1494" t="str">
        <f ca="1">IFERROR(__xludf.DUMMYFUNCTION("""COMPUTED_VALUE"""),"#VALUE!")</f>
        <v>#VALUE!</v>
      </c>
      <c r="CY1494" t="str">
        <f ca="1">IFERROR(__xludf.DUMMYFUNCTION("""COMPUTED_VALUE"""),"#VALUE!")</f>
        <v>#VALUE!</v>
      </c>
      <c r="DC1494" t="str">
        <f ca="1">IFERROR(__xludf.DUMMYFUNCTION("""COMPUTED_VALUE"""),"#VALUE!")</f>
        <v>#VALUE!</v>
      </c>
      <c r="DE1494" t="str">
        <f ca="1">IFERROR(__xludf.DUMMYFUNCTION("""COMPUTED_VALUE"""),"#VALUE!")</f>
        <v>#VALUE!</v>
      </c>
    </row>
    <row r="1495" spans="1:109" ht="13.2" x14ac:dyDescent="0.25">
      <c r="A1495" t="str">
        <f ca="1">IFERROR(__xludf.DUMMYFUNCTION("""COMPUTED_VALUE"""),"P1504")</f>
        <v>P1504</v>
      </c>
      <c r="BC1495" t="str">
        <f ca="1">IFERROR(__xludf.DUMMYFUNCTION("""COMPUTED_VALUE"""),"#VALUE!")</f>
        <v>#VALUE!</v>
      </c>
      <c r="BE1495" t="str">
        <f ca="1">IFERROR(__xludf.DUMMYFUNCTION("""COMPUTED_VALUE"""),"#VALUE!")</f>
        <v>#VALUE!</v>
      </c>
      <c r="BG1495" t="str">
        <f ca="1">IFERROR(__xludf.DUMMYFUNCTION("""COMPUTED_VALUE"""),"#VALUE!")</f>
        <v>#VALUE!</v>
      </c>
      <c r="BI1495" t="str">
        <f ca="1">IFERROR(__xludf.DUMMYFUNCTION("""COMPUTED_VALUE"""),"#VALUE!")</f>
        <v>#VALUE!</v>
      </c>
      <c r="BK1495" t="str">
        <f ca="1">IFERROR(__xludf.DUMMYFUNCTION("""COMPUTED_VALUE"""),"#VALUE!")</f>
        <v>#VALUE!</v>
      </c>
      <c r="BM1495" t="str">
        <f ca="1">IFERROR(__xludf.DUMMYFUNCTION("""COMPUTED_VALUE"""),"#VALUE!")</f>
        <v>#VALUE!</v>
      </c>
      <c r="CS1495" t="str">
        <f ca="1">IFERROR(__xludf.DUMMYFUNCTION("""COMPUTED_VALUE"""),"#VALUE!")</f>
        <v>#VALUE!</v>
      </c>
      <c r="CU1495" t="str">
        <f ca="1">IFERROR(__xludf.DUMMYFUNCTION("""COMPUTED_VALUE"""),"#VALUE!")</f>
        <v>#VALUE!</v>
      </c>
      <c r="CW1495" t="str">
        <f ca="1">IFERROR(__xludf.DUMMYFUNCTION("""COMPUTED_VALUE"""),"#VALUE!")</f>
        <v>#VALUE!</v>
      </c>
      <c r="CY1495" t="str">
        <f ca="1">IFERROR(__xludf.DUMMYFUNCTION("""COMPUTED_VALUE"""),"#VALUE!")</f>
        <v>#VALUE!</v>
      </c>
      <c r="DC1495" t="str">
        <f ca="1">IFERROR(__xludf.DUMMYFUNCTION("""COMPUTED_VALUE"""),"#VALUE!")</f>
        <v>#VALUE!</v>
      </c>
      <c r="DE1495" t="str">
        <f ca="1">IFERROR(__xludf.DUMMYFUNCTION("""COMPUTED_VALUE"""),"#VALUE!")</f>
        <v>#VALUE!</v>
      </c>
    </row>
    <row r="1496" spans="1:109" ht="13.2" x14ac:dyDescent="0.25">
      <c r="A1496" t="str">
        <f ca="1">IFERROR(__xludf.DUMMYFUNCTION("""COMPUTED_VALUE"""),"P1505")</f>
        <v>P1505</v>
      </c>
      <c r="BC1496" t="str">
        <f ca="1">IFERROR(__xludf.DUMMYFUNCTION("""COMPUTED_VALUE"""),"#VALUE!")</f>
        <v>#VALUE!</v>
      </c>
      <c r="BE1496" t="str">
        <f ca="1">IFERROR(__xludf.DUMMYFUNCTION("""COMPUTED_VALUE"""),"#VALUE!")</f>
        <v>#VALUE!</v>
      </c>
      <c r="BG1496" t="str">
        <f ca="1">IFERROR(__xludf.DUMMYFUNCTION("""COMPUTED_VALUE"""),"#VALUE!")</f>
        <v>#VALUE!</v>
      </c>
      <c r="BI1496" t="str">
        <f ca="1">IFERROR(__xludf.DUMMYFUNCTION("""COMPUTED_VALUE"""),"#VALUE!")</f>
        <v>#VALUE!</v>
      </c>
      <c r="BK1496" t="str">
        <f ca="1">IFERROR(__xludf.DUMMYFUNCTION("""COMPUTED_VALUE"""),"#VALUE!")</f>
        <v>#VALUE!</v>
      </c>
      <c r="BM1496" t="str">
        <f ca="1">IFERROR(__xludf.DUMMYFUNCTION("""COMPUTED_VALUE"""),"#VALUE!")</f>
        <v>#VALUE!</v>
      </c>
      <c r="CS1496" t="str">
        <f ca="1">IFERROR(__xludf.DUMMYFUNCTION("""COMPUTED_VALUE"""),"#VALUE!")</f>
        <v>#VALUE!</v>
      </c>
      <c r="CU1496" t="str">
        <f ca="1">IFERROR(__xludf.DUMMYFUNCTION("""COMPUTED_VALUE"""),"#VALUE!")</f>
        <v>#VALUE!</v>
      </c>
      <c r="CW1496" t="str">
        <f ca="1">IFERROR(__xludf.DUMMYFUNCTION("""COMPUTED_VALUE"""),"#VALUE!")</f>
        <v>#VALUE!</v>
      </c>
      <c r="CY1496" t="str">
        <f ca="1">IFERROR(__xludf.DUMMYFUNCTION("""COMPUTED_VALUE"""),"#VALUE!")</f>
        <v>#VALUE!</v>
      </c>
      <c r="DC1496" t="str">
        <f ca="1">IFERROR(__xludf.DUMMYFUNCTION("""COMPUTED_VALUE"""),"#VALUE!")</f>
        <v>#VALUE!</v>
      </c>
      <c r="DE1496" t="str">
        <f ca="1">IFERROR(__xludf.DUMMYFUNCTION("""COMPUTED_VALUE"""),"#VALUE!")</f>
        <v>#VALUE!</v>
      </c>
    </row>
    <row r="1497" spans="1:109" ht="13.2" x14ac:dyDescent="0.25">
      <c r="A1497" t="str">
        <f ca="1">IFERROR(__xludf.DUMMYFUNCTION("""COMPUTED_VALUE"""),"P1506")</f>
        <v>P1506</v>
      </c>
      <c r="BC1497" t="str">
        <f ca="1">IFERROR(__xludf.DUMMYFUNCTION("""COMPUTED_VALUE"""),"#VALUE!")</f>
        <v>#VALUE!</v>
      </c>
      <c r="BE1497" t="str">
        <f ca="1">IFERROR(__xludf.DUMMYFUNCTION("""COMPUTED_VALUE"""),"#VALUE!")</f>
        <v>#VALUE!</v>
      </c>
      <c r="BG1497" t="str">
        <f ca="1">IFERROR(__xludf.DUMMYFUNCTION("""COMPUTED_VALUE"""),"#VALUE!")</f>
        <v>#VALUE!</v>
      </c>
      <c r="BI1497" t="str">
        <f ca="1">IFERROR(__xludf.DUMMYFUNCTION("""COMPUTED_VALUE"""),"#VALUE!")</f>
        <v>#VALUE!</v>
      </c>
      <c r="BK1497" t="str">
        <f ca="1">IFERROR(__xludf.DUMMYFUNCTION("""COMPUTED_VALUE"""),"#VALUE!")</f>
        <v>#VALUE!</v>
      </c>
      <c r="BM1497" t="str">
        <f ca="1">IFERROR(__xludf.DUMMYFUNCTION("""COMPUTED_VALUE"""),"#VALUE!")</f>
        <v>#VALUE!</v>
      </c>
      <c r="CS1497" t="str">
        <f ca="1">IFERROR(__xludf.DUMMYFUNCTION("""COMPUTED_VALUE"""),"#VALUE!")</f>
        <v>#VALUE!</v>
      </c>
      <c r="CU1497" t="str">
        <f ca="1">IFERROR(__xludf.DUMMYFUNCTION("""COMPUTED_VALUE"""),"#VALUE!")</f>
        <v>#VALUE!</v>
      </c>
      <c r="CW1497" t="str">
        <f ca="1">IFERROR(__xludf.DUMMYFUNCTION("""COMPUTED_VALUE"""),"#VALUE!")</f>
        <v>#VALUE!</v>
      </c>
      <c r="CY1497" t="str">
        <f ca="1">IFERROR(__xludf.DUMMYFUNCTION("""COMPUTED_VALUE"""),"#VALUE!")</f>
        <v>#VALUE!</v>
      </c>
      <c r="DC1497" t="str">
        <f ca="1">IFERROR(__xludf.DUMMYFUNCTION("""COMPUTED_VALUE"""),"#VALUE!")</f>
        <v>#VALUE!</v>
      </c>
      <c r="DE1497" t="str">
        <f ca="1">IFERROR(__xludf.DUMMYFUNCTION("""COMPUTED_VALUE"""),"#VALUE!")</f>
        <v>#VALUE!</v>
      </c>
    </row>
    <row r="1498" spans="1:109" ht="13.2" x14ac:dyDescent="0.25">
      <c r="A1498" t="str">
        <f ca="1">IFERROR(__xludf.DUMMYFUNCTION("""COMPUTED_VALUE"""),"P1507")</f>
        <v>P1507</v>
      </c>
      <c r="BC1498" t="str">
        <f ca="1">IFERROR(__xludf.DUMMYFUNCTION("""COMPUTED_VALUE"""),"#VALUE!")</f>
        <v>#VALUE!</v>
      </c>
      <c r="BE1498" t="str">
        <f ca="1">IFERROR(__xludf.DUMMYFUNCTION("""COMPUTED_VALUE"""),"#VALUE!")</f>
        <v>#VALUE!</v>
      </c>
      <c r="BG1498" t="str">
        <f ca="1">IFERROR(__xludf.DUMMYFUNCTION("""COMPUTED_VALUE"""),"#VALUE!")</f>
        <v>#VALUE!</v>
      </c>
      <c r="BI1498" t="str">
        <f ca="1">IFERROR(__xludf.DUMMYFUNCTION("""COMPUTED_VALUE"""),"#VALUE!")</f>
        <v>#VALUE!</v>
      </c>
      <c r="BK1498" t="str">
        <f ca="1">IFERROR(__xludf.DUMMYFUNCTION("""COMPUTED_VALUE"""),"#VALUE!")</f>
        <v>#VALUE!</v>
      </c>
      <c r="BM1498" t="str">
        <f ca="1">IFERROR(__xludf.DUMMYFUNCTION("""COMPUTED_VALUE"""),"#VALUE!")</f>
        <v>#VALUE!</v>
      </c>
      <c r="CS1498" t="str">
        <f ca="1">IFERROR(__xludf.DUMMYFUNCTION("""COMPUTED_VALUE"""),"#VALUE!")</f>
        <v>#VALUE!</v>
      </c>
      <c r="CU1498" t="str">
        <f ca="1">IFERROR(__xludf.DUMMYFUNCTION("""COMPUTED_VALUE"""),"#VALUE!")</f>
        <v>#VALUE!</v>
      </c>
      <c r="CW1498" t="str">
        <f ca="1">IFERROR(__xludf.DUMMYFUNCTION("""COMPUTED_VALUE"""),"#VALUE!")</f>
        <v>#VALUE!</v>
      </c>
      <c r="CY1498" t="str">
        <f ca="1">IFERROR(__xludf.DUMMYFUNCTION("""COMPUTED_VALUE"""),"#VALUE!")</f>
        <v>#VALUE!</v>
      </c>
      <c r="DC1498" t="str">
        <f ca="1">IFERROR(__xludf.DUMMYFUNCTION("""COMPUTED_VALUE"""),"#VALUE!")</f>
        <v>#VALUE!</v>
      </c>
      <c r="DE1498" t="str">
        <f ca="1">IFERROR(__xludf.DUMMYFUNCTION("""COMPUTED_VALUE"""),"#VALUE!")</f>
        <v>#VALUE!</v>
      </c>
    </row>
    <row r="1499" spans="1:109" ht="13.2" x14ac:dyDescent="0.25">
      <c r="A1499" t="str">
        <f ca="1">IFERROR(__xludf.DUMMYFUNCTION("""COMPUTED_VALUE"""),"P1508")</f>
        <v>P1508</v>
      </c>
      <c r="BC1499" t="str">
        <f ca="1">IFERROR(__xludf.DUMMYFUNCTION("""COMPUTED_VALUE"""),"#VALUE!")</f>
        <v>#VALUE!</v>
      </c>
      <c r="BE1499" t="str">
        <f ca="1">IFERROR(__xludf.DUMMYFUNCTION("""COMPUTED_VALUE"""),"#VALUE!")</f>
        <v>#VALUE!</v>
      </c>
      <c r="BG1499" t="str">
        <f ca="1">IFERROR(__xludf.DUMMYFUNCTION("""COMPUTED_VALUE"""),"#VALUE!")</f>
        <v>#VALUE!</v>
      </c>
      <c r="BI1499" t="str">
        <f ca="1">IFERROR(__xludf.DUMMYFUNCTION("""COMPUTED_VALUE"""),"#VALUE!")</f>
        <v>#VALUE!</v>
      </c>
      <c r="BK1499" t="str">
        <f ca="1">IFERROR(__xludf.DUMMYFUNCTION("""COMPUTED_VALUE"""),"#VALUE!")</f>
        <v>#VALUE!</v>
      </c>
      <c r="BM1499" t="str">
        <f ca="1">IFERROR(__xludf.DUMMYFUNCTION("""COMPUTED_VALUE"""),"#VALUE!")</f>
        <v>#VALUE!</v>
      </c>
      <c r="CS1499" t="str">
        <f ca="1">IFERROR(__xludf.DUMMYFUNCTION("""COMPUTED_VALUE"""),"#VALUE!")</f>
        <v>#VALUE!</v>
      </c>
      <c r="CU1499" t="str">
        <f ca="1">IFERROR(__xludf.DUMMYFUNCTION("""COMPUTED_VALUE"""),"#VALUE!")</f>
        <v>#VALUE!</v>
      </c>
      <c r="CW1499" t="str">
        <f ca="1">IFERROR(__xludf.DUMMYFUNCTION("""COMPUTED_VALUE"""),"#VALUE!")</f>
        <v>#VALUE!</v>
      </c>
      <c r="CY1499" t="str">
        <f ca="1">IFERROR(__xludf.DUMMYFUNCTION("""COMPUTED_VALUE"""),"#VALUE!")</f>
        <v>#VALUE!</v>
      </c>
      <c r="DC1499" t="str">
        <f ca="1">IFERROR(__xludf.DUMMYFUNCTION("""COMPUTED_VALUE"""),"#VALUE!")</f>
        <v>#VALUE!</v>
      </c>
      <c r="DE1499" t="str">
        <f ca="1">IFERROR(__xludf.DUMMYFUNCTION("""COMPUTED_VALUE"""),"#VALUE!")</f>
        <v>#VALUE!</v>
      </c>
    </row>
    <row r="1500" spans="1:109" ht="13.2" x14ac:dyDescent="0.25">
      <c r="A1500" t="str">
        <f ca="1">IFERROR(__xludf.DUMMYFUNCTION("""COMPUTED_VALUE"""),"P1509")</f>
        <v>P1509</v>
      </c>
      <c r="BC1500" t="str">
        <f ca="1">IFERROR(__xludf.DUMMYFUNCTION("""COMPUTED_VALUE"""),"#VALUE!")</f>
        <v>#VALUE!</v>
      </c>
      <c r="BE1500" t="str">
        <f ca="1">IFERROR(__xludf.DUMMYFUNCTION("""COMPUTED_VALUE"""),"#VALUE!")</f>
        <v>#VALUE!</v>
      </c>
      <c r="BG1500" t="str">
        <f ca="1">IFERROR(__xludf.DUMMYFUNCTION("""COMPUTED_VALUE"""),"#VALUE!")</f>
        <v>#VALUE!</v>
      </c>
      <c r="BI1500" t="str">
        <f ca="1">IFERROR(__xludf.DUMMYFUNCTION("""COMPUTED_VALUE"""),"#VALUE!")</f>
        <v>#VALUE!</v>
      </c>
      <c r="BK1500" t="str">
        <f ca="1">IFERROR(__xludf.DUMMYFUNCTION("""COMPUTED_VALUE"""),"#VALUE!")</f>
        <v>#VALUE!</v>
      </c>
      <c r="BM1500" t="str">
        <f ca="1">IFERROR(__xludf.DUMMYFUNCTION("""COMPUTED_VALUE"""),"#VALUE!")</f>
        <v>#VALUE!</v>
      </c>
      <c r="CS1500" t="str">
        <f ca="1">IFERROR(__xludf.DUMMYFUNCTION("""COMPUTED_VALUE"""),"#VALUE!")</f>
        <v>#VALUE!</v>
      </c>
      <c r="CU1500" t="str">
        <f ca="1">IFERROR(__xludf.DUMMYFUNCTION("""COMPUTED_VALUE"""),"#VALUE!")</f>
        <v>#VALUE!</v>
      </c>
      <c r="CW1500" t="str">
        <f ca="1">IFERROR(__xludf.DUMMYFUNCTION("""COMPUTED_VALUE"""),"#VALUE!")</f>
        <v>#VALUE!</v>
      </c>
      <c r="CY1500" t="str">
        <f ca="1">IFERROR(__xludf.DUMMYFUNCTION("""COMPUTED_VALUE"""),"#VALUE!")</f>
        <v>#VALUE!</v>
      </c>
      <c r="DC1500" t="str">
        <f ca="1">IFERROR(__xludf.DUMMYFUNCTION("""COMPUTED_VALUE"""),"#VALUE!")</f>
        <v>#VALUE!</v>
      </c>
      <c r="DE1500" t="str">
        <f ca="1">IFERROR(__xludf.DUMMYFUNCTION("""COMPUTED_VALUE"""),"#VALUE!")</f>
        <v>#VALUE!</v>
      </c>
    </row>
    <row r="1501" spans="1:109" ht="13.2" x14ac:dyDescent="0.25">
      <c r="A1501" t="str">
        <f ca="1">IFERROR(__xludf.DUMMYFUNCTION("""COMPUTED_VALUE"""),"P1510")</f>
        <v>P1510</v>
      </c>
      <c r="BC1501" t="str">
        <f ca="1">IFERROR(__xludf.DUMMYFUNCTION("""COMPUTED_VALUE"""),"#VALUE!")</f>
        <v>#VALUE!</v>
      </c>
      <c r="BE1501" t="str">
        <f ca="1">IFERROR(__xludf.DUMMYFUNCTION("""COMPUTED_VALUE"""),"#VALUE!")</f>
        <v>#VALUE!</v>
      </c>
      <c r="BG1501" t="str">
        <f ca="1">IFERROR(__xludf.DUMMYFUNCTION("""COMPUTED_VALUE"""),"#VALUE!")</f>
        <v>#VALUE!</v>
      </c>
      <c r="BI1501" t="str">
        <f ca="1">IFERROR(__xludf.DUMMYFUNCTION("""COMPUTED_VALUE"""),"#VALUE!")</f>
        <v>#VALUE!</v>
      </c>
      <c r="BK1501" t="str">
        <f ca="1">IFERROR(__xludf.DUMMYFUNCTION("""COMPUTED_VALUE"""),"#VALUE!")</f>
        <v>#VALUE!</v>
      </c>
      <c r="BM1501" t="str">
        <f ca="1">IFERROR(__xludf.DUMMYFUNCTION("""COMPUTED_VALUE"""),"#VALUE!")</f>
        <v>#VALUE!</v>
      </c>
      <c r="CS1501" t="str">
        <f ca="1">IFERROR(__xludf.DUMMYFUNCTION("""COMPUTED_VALUE"""),"#VALUE!")</f>
        <v>#VALUE!</v>
      </c>
      <c r="CU1501" t="str">
        <f ca="1">IFERROR(__xludf.DUMMYFUNCTION("""COMPUTED_VALUE"""),"#VALUE!")</f>
        <v>#VALUE!</v>
      </c>
      <c r="CW1501" t="str">
        <f ca="1">IFERROR(__xludf.DUMMYFUNCTION("""COMPUTED_VALUE"""),"#VALUE!")</f>
        <v>#VALUE!</v>
      </c>
      <c r="CY1501" t="str">
        <f ca="1">IFERROR(__xludf.DUMMYFUNCTION("""COMPUTED_VALUE"""),"#VALUE!")</f>
        <v>#VALUE!</v>
      </c>
      <c r="DC1501" t="str">
        <f ca="1">IFERROR(__xludf.DUMMYFUNCTION("""COMPUTED_VALUE"""),"#VALUE!")</f>
        <v>#VALUE!</v>
      </c>
      <c r="DE1501" t="str">
        <f ca="1">IFERROR(__xludf.DUMMYFUNCTION("""COMPUTED_VALUE"""),"#VALUE!")</f>
        <v>#VALUE!</v>
      </c>
    </row>
    <row r="1502" spans="1:109" ht="13.2" x14ac:dyDescent="0.25">
      <c r="A1502" t="str">
        <f ca="1">IFERROR(__xludf.DUMMYFUNCTION("""COMPUTED_VALUE"""),"P1511")</f>
        <v>P1511</v>
      </c>
      <c r="BC1502" t="str">
        <f ca="1">IFERROR(__xludf.DUMMYFUNCTION("""COMPUTED_VALUE"""),"#VALUE!")</f>
        <v>#VALUE!</v>
      </c>
      <c r="BE1502" t="str">
        <f ca="1">IFERROR(__xludf.DUMMYFUNCTION("""COMPUTED_VALUE"""),"#VALUE!")</f>
        <v>#VALUE!</v>
      </c>
      <c r="BG1502" t="str">
        <f ca="1">IFERROR(__xludf.DUMMYFUNCTION("""COMPUTED_VALUE"""),"#VALUE!")</f>
        <v>#VALUE!</v>
      </c>
      <c r="BI1502" t="str">
        <f ca="1">IFERROR(__xludf.DUMMYFUNCTION("""COMPUTED_VALUE"""),"#VALUE!")</f>
        <v>#VALUE!</v>
      </c>
      <c r="BK1502" t="str">
        <f ca="1">IFERROR(__xludf.DUMMYFUNCTION("""COMPUTED_VALUE"""),"#VALUE!")</f>
        <v>#VALUE!</v>
      </c>
      <c r="BM1502" t="str">
        <f ca="1">IFERROR(__xludf.DUMMYFUNCTION("""COMPUTED_VALUE"""),"#VALUE!")</f>
        <v>#VALUE!</v>
      </c>
      <c r="CS1502" t="str">
        <f ca="1">IFERROR(__xludf.DUMMYFUNCTION("""COMPUTED_VALUE"""),"#VALUE!")</f>
        <v>#VALUE!</v>
      </c>
      <c r="CU1502" t="str">
        <f ca="1">IFERROR(__xludf.DUMMYFUNCTION("""COMPUTED_VALUE"""),"#VALUE!")</f>
        <v>#VALUE!</v>
      </c>
      <c r="CW1502" t="str">
        <f ca="1">IFERROR(__xludf.DUMMYFUNCTION("""COMPUTED_VALUE"""),"#VALUE!")</f>
        <v>#VALUE!</v>
      </c>
      <c r="CY1502" t="str">
        <f ca="1">IFERROR(__xludf.DUMMYFUNCTION("""COMPUTED_VALUE"""),"#VALUE!")</f>
        <v>#VALUE!</v>
      </c>
      <c r="DC1502" t="str">
        <f ca="1">IFERROR(__xludf.DUMMYFUNCTION("""COMPUTED_VALUE"""),"#VALUE!")</f>
        <v>#VALUE!</v>
      </c>
      <c r="DE1502" t="str">
        <f ca="1">IFERROR(__xludf.DUMMYFUNCTION("""COMPUTED_VALUE"""),"#VALUE!")</f>
        <v>#VALUE!</v>
      </c>
    </row>
    <row r="1503" spans="1:109" ht="13.2" x14ac:dyDescent="0.25">
      <c r="A1503" t="str">
        <f ca="1">IFERROR(__xludf.DUMMYFUNCTION("""COMPUTED_VALUE"""),"P1512")</f>
        <v>P1512</v>
      </c>
      <c r="BC1503" t="str">
        <f ca="1">IFERROR(__xludf.DUMMYFUNCTION("""COMPUTED_VALUE"""),"#VALUE!")</f>
        <v>#VALUE!</v>
      </c>
      <c r="BE1503" t="str">
        <f ca="1">IFERROR(__xludf.DUMMYFUNCTION("""COMPUTED_VALUE"""),"#VALUE!")</f>
        <v>#VALUE!</v>
      </c>
      <c r="BG1503" t="str">
        <f ca="1">IFERROR(__xludf.DUMMYFUNCTION("""COMPUTED_VALUE"""),"#VALUE!")</f>
        <v>#VALUE!</v>
      </c>
      <c r="BI1503" t="str">
        <f ca="1">IFERROR(__xludf.DUMMYFUNCTION("""COMPUTED_VALUE"""),"#VALUE!")</f>
        <v>#VALUE!</v>
      </c>
      <c r="BK1503" t="str">
        <f ca="1">IFERROR(__xludf.DUMMYFUNCTION("""COMPUTED_VALUE"""),"#VALUE!")</f>
        <v>#VALUE!</v>
      </c>
      <c r="BM1503" t="str">
        <f ca="1">IFERROR(__xludf.DUMMYFUNCTION("""COMPUTED_VALUE"""),"#VALUE!")</f>
        <v>#VALUE!</v>
      </c>
      <c r="CS1503" t="str">
        <f ca="1">IFERROR(__xludf.DUMMYFUNCTION("""COMPUTED_VALUE"""),"#VALUE!")</f>
        <v>#VALUE!</v>
      </c>
      <c r="CU1503" t="str">
        <f ca="1">IFERROR(__xludf.DUMMYFUNCTION("""COMPUTED_VALUE"""),"#VALUE!")</f>
        <v>#VALUE!</v>
      </c>
      <c r="CW1503" t="str">
        <f ca="1">IFERROR(__xludf.DUMMYFUNCTION("""COMPUTED_VALUE"""),"#VALUE!")</f>
        <v>#VALUE!</v>
      </c>
      <c r="CY1503" t="str">
        <f ca="1">IFERROR(__xludf.DUMMYFUNCTION("""COMPUTED_VALUE"""),"#VALUE!")</f>
        <v>#VALUE!</v>
      </c>
      <c r="DC1503" t="str">
        <f ca="1">IFERROR(__xludf.DUMMYFUNCTION("""COMPUTED_VALUE"""),"#VALUE!")</f>
        <v>#VALUE!</v>
      </c>
      <c r="DE1503" t="str">
        <f ca="1">IFERROR(__xludf.DUMMYFUNCTION("""COMPUTED_VALUE"""),"#VALUE!")</f>
        <v>#VALUE!</v>
      </c>
    </row>
    <row r="1504" spans="1:109" ht="13.2" x14ac:dyDescent="0.25">
      <c r="A1504" t="str">
        <f ca="1">IFERROR(__xludf.DUMMYFUNCTION("""COMPUTED_VALUE"""),"P1513")</f>
        <v>P1513</v>
      </c>
      <c r="BC1504" t="str">
        <f ca="1">IFERROR(__xludf.DUMMYFUNCTION("""COMPUTED_VALUE"""),"#VALUE!")</f>
        <v>#VALUE!</v>
      </c>
      <c r="BE1504" t="str">
        <f ca="1">IFERROR(__xludf.DUMMYFUNCTION("""COMPUTED_VALUE"""),"#VALUE!")</f>
        <v>#VALUE!</v>
      </c>
      <c r="BG1504" t="str">
        <f ca="1">IFERROR(__xludf.DUMMYFUNCTION("""COMPUTED_VALUE"""),"#VALUE!")</f>
        <v>#VALUE!</v>
      </c>
      <c r="BI1504" t="str">
        <f ca="1">IFERROR(__xludf.DUMMYFUNCTION("""COMPUTED_VALUE"""),"#VALUE!")</f>
        <v>#VALUE!</v>
      </c>
      <c r="BK1504" t="str">
        <f ca="1">IFERROR(__xludf.DUMMYFUNCTION("""COMPUTED_VALUE"""),"#VALUE!")</f>
        <v>#VALUE!</v>
      </c>
      <c r="BM1504" t="str">
        <f ca="1">IFERROR(__xludf.DUMMYFUNCTION("""COMPUTED_VALUE"""),"#VALUE!")</f>
        <v>#VALUE!</v>
      </c>
      <c r="CS1504" t="str">
        <f ca="1">IFERROR(__xludf.DUMMYFUNCTION("""COMPUTED_VALUE"""),"#VALUE!")</f>
        <v>#VALUE!</v>
      </c>
      <c r="CU1504" t="str">
        <f ca="1">IFERROR(__xludf.DUMMYFUNCTION("""COMPUTED_VALUE"""),"#VALUE!")</f>
        <v>#VALUE!</v>
      </c>
      <c r="CW1504" t="str">
        <f ca="1">IFERROR(__xludf.DUMMYFUNCTION("""COMPUTED_VALUE"""),"#VALUE!")</f>
        <v>#VALUE!</v>
      </c>
      <c r="CY1504" t="str">
        <f ca="1">IFERROR(__xludf.DUMMYFUNCTION("""COMPUTED_VALUE"""),"#VALUE!")</f>
        <v>#VALUE!</v>
      </c>
      <c r="DC1504" t="str">
        <f ca="1">IFERROR(__xludf.DUMMYFUNCTION("""COMPUTED_VALUE"""),"#VALUE!")</f>
        <v>#VALUE!</v>
      </c>
      <c r="DE1504" t="str">
        <f ca="1">IFERROR(__xludf.DUMMYFUNCTION("""COMPUTED_VALUE"""),"#VALUE!")</f>
        <v>#VALUE!</v>
      </c>
    </row>
    <row r="1505" spans="1:109" ht="13.2" x14ac:dyDescent="0.25">
      <c r="A1505" t="str">
        <f ca="1">IFERROR(__xludf.DUMMYFUNCTION("""COMPUTED_VALUE"""),"P1514")</f>
        <v>P1514</v>
      </c>
      <c r="BC1505" t="str">
        <f ca="1">IFERROR(__xludf.DUMMYFUNCTION("""COMPUTED_VALUE"""),"#VALUE!")</f>
        <v>#VALUE!</v>
      </c>
      <c r="BE1505" t="str">
        <f ca="1">IFERROR(__xludf.DUMMYFUNCTION("""COMPUTED_VALUE"""),"#VALUE!")</f>
        <v>#VALUE!</v>
      </c>
      <c r="BG1505" t="str">
        <f ca="1">IFERROR(__xludf.DUMMYFUNCTION("""COMPUTED_VALUE"""),"#VALUE!")</f>
        <v>#VALUE!</v>
      </c>
      <c r="BI1505" t="str">
        <f ca="1">IFERROR(__xludf.DUMMYFUNCTION("""COMPUTED_VALUE"""),"#VALUE!")</f>
        <v>#VALUE!</v>
      </c>
      <c r="BK1505" t="str">
        <f ca="1">IFERROR(__xludf.DUMMYFUNCTION("""COMPUTED_VALUE"""),"#VALUE!")</f>
        <v>#VALUE!</v>
      </c>
      <c r="BM1505" t="str">
        <f ca="1">IFERROR(__xludf.DUMMYFUNCTION("""COMPUTED_VALUE"""),"#VALUE!")</f>
        <v>#VALUE!</v>
      </c>
      <c r="CS1505" t="str">
        <f ca="1">IFERROR(__xludf.DUMMYFUNCTION("""COMPUTED_VALUE"""),"#VALUE!")</f>
        <v>#VALUE!</v>
      </c>
      <c r="CU1505" t="str">
        <f ca="1">IFERROR(__xludf.DUMMYFUNCTION("""COMPUTED_VALUE"""),"#VALUE!")</f>
        <v>#VALUE!</v>
      </c>
      <c r="CW1505" t="str">
        <f ca="1">IFERROR(__xludf.DUMMYFUNCTION("""COMPUTED_VALUE"""),"#VALUE!")</f>
        <v>#VALUE!</v>
      </c>
      <c r="CY1505" t="str">
        <f ca="1">IFERROR(__xludf.DUMMYFUNCTION("""COMPUTED_VALUE"""),"#VALUE!")</f>
        <v>#VALUE!</v>
      </c>
      <c r="DC1505" t="str">
        <f ca="1">IFERROR(__xludf.DUMMYFUNCTION("""COMPUTED_VALUE"""),"#VALUE!")</f>
        <v>#VALUE!</v>
      </c>
      <c r="DE1505" t="str">
        <f ca="1">IFERROR(__xludf.DUMMYFUNCTION("""COMPUTED_VALUE"""),"#VALUE!")</f>
        <v>#VALUE!</v>
      </c>
    </row>
    <row r="1506" spans="1:109" ht="13.2" x14ac:dyDescent="0.25">
      <c r="A1506" t="str">
        <f ca="1">IFERROR(__xludf.DUMMYFUNCTION("""COMPUTED_VALUE"""),"P1515")</f>
        <v>P1515</v>
      </c>
      <c r="BC1506" t="str">
        <f ca="1">IFERROR(__xludf.DUMMYFUNCTION("""COMPUTED_VALUE"""),"#VALUE!")</f>
        <v>#VALUE!</v>
      </c>
      <c r="BE1506" t="str">
        <f ca="1">IFERROR(__xludf.DUMMYFUNCTION("""COMPUTED_VALUE"""),"#VALUE!")</f>
        <v>#VALUE!</v>
      </c>
      <c r="BG1506" t="str">
        <f ca="1">IFERROR(__xludf.DUMMYFUNCTION("""COMPUTED_VALUE"""),"#VALUE!")</f>
        <v>#VALUE!</v>
      </c>
      <c r="BI1506" t="str">
        <f ca="1">IFERROR(__xludf.DUMMYFUNCTION("""COMPUTED_VALUE"""),"#VALUE!")</f>
        <v>#VALUE!</v>
      </c>
      <c r="BK1506" t="str">
        <f ca="1">IFERROR(__xludf.DUMMYFUNCTION("""COMPUTED_VALUE"""),"#VALUE!")</f>
        <v>#VALUE!</v>
      </c>
      <c r="BM1506" t="str">
        <f ca="1">IFERROR(__xludf.DUMMYFUNCTION("""COMPUTED_VALUE"""),"#VALUE!")</f>
        <v>#VALUE!</v>
      </c>
      <c r="CS1506" t="str">
        <f ca="1">IFERROR(__xludf.DUMMYFUNCTION("""COMPUTED_VALUE"""),"#VALUE!")</f>
        <v>#VALUE!</v>
      </c>
      <c r="CU1506" t="str">
        <f ca="1">IFERROR(__xludf.DUMMYFUNCTION("""COMPUTED_VALUE"""),"#VALUE!")</f>
        <v>#VALUE!</v>
      </c>
      <c r="CW1506" t="str">
        <f ca="1">IFERROR(__xludf.DUMMYFUNCTION("""COMPUTED_VALUE"""),"#VALUE!")</f>
        <v>#VALUE!</v>
      </c>
      <c r="CY1506" t="str">
        <f ca="1">IFERROR(__xludf.DUMMYFUNCTION("""COMPUTED_VALUE"""),"#VALUE!")</f>
        <v>#VALUE!</v>
      </c>
      <c r="DC1506" t="str">
        <f ca="1">IFERROR(__xludf.DUMMYFUNCTION("""COMPUTED_VALUE"""),"#VALUE!")</f>
        <v>#VALUE!</v>
      </c>
      <c r="DE1506" t="str">
        <f ca="1">IFERROR(__xludf.DUMMYFUNCTION("""COMPUTED_VALUE"""),"#VALUE!")</f>
        <v>#VALUE!</v>
      </c>
    </row>
    <row r="1507" spans="1:109" ht="13.2" x14ac:dyDescent="0.25">
      <c r="A1507" t="str">
        <f ca="1">IFERROR(__xludf.DUMMYFUNCTION("""COMPUTED_VALUE"""),"P1516")</f>
        <v>P1516</v>
      </c>
      <c r="BC1507" t="str">
        <f ca="1">IFERROR(__xludf.DUMMYFUNCTION("""COMPUTED_VALUE"""),"#VALUE!")</f>
        <v>#VALUE!</v>
      </c>
      <c r="BE1507" t="str">
        <f ca="1">IFERROR(__xludf.DUMMYFUNCTION("""COMPUTED_VALUE"""),"#VALUE!")</f>
        <v>#VALUE!</v>
      </c>
      <c r="BG1507" t="str">
        <f ca="1">IFERROR(__xludf.DUMMYFUNCTION("""COMPUTED_VALUE"""),"#VALUE!")</f>
        <v>#VALUE!</v>
      </c>
      <c r="BI1507" t="str">
        <f ca="1">IFERROR(__xludf.DUMMYFUNCTION("""COMPUTED_VALUE"""),"#VALUE!")</f>
        <v>#VALUE!</v>
      </c>
      <c r="BK1507" t="str">
        <f ca="1">IFERROR(__xludf.DUMMYFUNCTION("""COMPUTED_VALUE"""),"#VALUE!")</f>
        <v>#VALUE!</v>
      </c>
      <c r="BM1507" t="str">
        <f ca="1">IFERROR(__xludf.DUMMYFUNCTION("""COMPUTED_VALUE"""),"#VALUE!")</f>
        <v>#VALUE!</v>
      </c>
      <c r="CS1507" t="str">
        <f ca="1">IFERROR(__xludf.DUMMYFUNCTION("""COMPUTED_VALUE"""),"#VALUE!")</f>
        <v>#VALUE!</v>
      </c>
      <c r="CU1507" t="str">
        <f ca="1">IFERROR(__xludf.DUMMYFUNCTION("""COMPUTED_VALUE"""),"#VALUE!")</f>
        <v>#VALUE!</v>
      </c>
      <c r="CW1507" t="str">
        <f ca="1">IFERROR(__xludf.DUMMYFUNCTION("""COMPUTED_VALUE"""),"#VALUE!")</f>
        <v>#VALUE!</v>
      </c>
      <c r="CY1507" t="str">
        <f ca="1">IFERROR(__xludf.DUMMYFUNCTION("""COMPUTED_VALUE"""),"#VALUE!")</f>
        <v>#VALUE!</v>
      </c>
      <c r="DC1507" t="str">
        <f ca="1">IFERROR(__xludf.DUMMYFUNCTION("""COMPUTED_VALUE"""),"#VALUE!")</f>
        <v>#VALUE!</v>
      </c>
      <c r="DE1507" t="str">
        <f ca="1">IFERROR(__xludf.DUMMYFUNCTION("""COMPUTED_VALUE"""),"#VALUE!")</f>
        <v>#VALUE!</v>
      </c>
    </row>
    <row r="1508" spans="1:109" ht="13.2" x14ac:dyDescent="0.25">
      <c r="A1508" t="str">
        <f ca="1">IFERROR(__xludf.DUMMYFUNCTION("""COMPUTED_VALUE"""),"P1517")</f>
        <v>P1517</v>
      </c>
      <c r="BC1508" t="str">
        <f ca="1">IFERROR(__xludf.DUMMYFUNCTION("""COMPUTED_VALUE"""),"#VALUE!")</f>
        <v>#VALUE!</v>
      </c>
      <c r="BE1508" t="str">
        <f ca="1">IFERROR(__xludf.DUMMYFUNCTION("""COMPUTED_VALUE"""),"#VALUE!")</f>
        <v>#VALUE!</v>
      </c>
      <c r="BG1508" t="str">
        <f ca="1">IFERROR(__xludf.DUMMYFUNCTION("""COMPUTED_VALUE"""),"#VALUE!")</f>
        <v>#VALUE!</v>
      </c>
      <c r="BI1508" t="str">
        <f ca="1">IFERROR(__xludf.DUMMYFUNCTION("""COMPUTED_VALUE"""),"#VALUE!")</f>
        <v>#VALUE!</v>
      </c>
      <c r="BK1508" t="str">
        <f ca="1">IFERROR(__xludf.DUMMYFUNCTION("""COMPUTED_VALUE"""),"#VALUE!")</f>
        <v>#VALUE!</v>
      </c>
      <c r="BM1508" t="str">
        <f ca="1">IFERROR(__xludf.DUMMYFUNCTION("""COMPUTED_VALUE"""),"#VALUE!")</f>
        <v>#VALUE!</v>
      </c>
      <c r="CS1508" t="str">
        <f ca="1">IFERROR(__xludf.DUMMYFUNCTION("""COMPUTED_VALUE"""),"#VALUE!")</f>
        <v>#VALUE!</v>
      </c>
      <c r="CU1508" t="str">
        <f ca="1">IFERROR(__xludf.DUMMYFUNCTION("""COMPUTED_VALUE"""),"#VALUE!")</f>
        <v>#VALUE!</v>
      </c>
      <c r="CW1508" t="str">
        <f ca="1">IFERROR(__xludf.DUMMYFUNCTION("""COMPUTED_VALUE"""),"#VALUE!")</f>
        <v>#VALUE!</v>
      </c>
      <c r="CY1508" t="str">
        <f ca="1">IFERROR(__xludf.DUMMYFUNCTION("""COMPUTED_VALUE"""),"#VALUE!")</f>
        <v>#VALUE!</v>
      </c>
      <c r="DC1508" t="str">
        <f ca="1">IFERROR(__xludf.DUMMYFUNCTION("""COMPUTED_VALUE"""),"#VALUE!")</f>
        <v>#VALUE!</v>
      </c>
      <c r="DE1508" t="str">
        <f ca="1">IFERROR(__xludf.DUMMYFUNCTION("""COMPUTED_VALUE"""),"#VALUE!")</f>
        <v>#VALUE!</v>
      </c>
    </row>
    <row r="1509" spans="1:109" ht="13.2" x14ac:dyDescent="0.25">
      <c r="A1509" t="str">
        <f ca="1">IFERROR(__xludf.DUMMYFUNCTION("""COMPUTED_VALUE"""),"P1518")</f>
        <v>P1518</v>
      </c>
      <c r="BC1509" t="str">
        <f ca="1">IFERROR(__xludf.DUMMYFUNCTION("""COMPUTED_VALUE"""),"#VALUE!")</f>
        <v>#VALUE!</v>
      </c>
      <c r="BE1509" t="str">
        <f ca="1">IFERROR(__xludf.DUMMYFUNCTION("""COMPUTED_VALUE"""),"#VALUE!")</f>
        <v>#VALUE!</v>
      </c>
      <c r="BG1509" t="str">
        <f ca="1">IFERROR(__xludf.DUMMYFUNCTION("""COMPUTED_VALUE"""),"#VALUE!")</f>
        <v>#VALUE!</v>
      </c>
      <c r="BI1509" t="str">
        <f ca="1">IFERROR(__xludf.DUMMYFUNCTION("""COMPUTED_VALUE"""),"#VALUE!")</f>
        <v>#VALUE!</v>
      </c>
      <c r="BK1509" t="str">
        <f ca="1">IFERROR(__xludf.DUMMYFUNCTION("""COMPUTED_VALUE"""),"#VALUE!")</f>
        <v>#VALUE!</v>
      </c>
      <c r="BM1509" t="str">
        <f ca="1">IFERROR(__xludf.DUMMYFUNCTION("""COMPUTED_VALUE"""),"#VALUE!")</f>
        <v>#VALUE!</v>
      </c>
      <c r="CS1509" t="str">
        <f ca="1">IFERROR(__xludf.DUMMYFUNCTION("""COMPUTED_VALUE"""),"#VALUE!")</f>
        <v>#VALUE!</v>
      </c>
      <c r="CU1509" t="str">
        <f ca="1">IFERROR(__xludf.DUMMYFUNCTION("""COMPUTED_VALUE"""),"#VALUE!")</f>
        <v>#VALUE!</v>
      </c>
      <c r="CW1509" t="str">
        <f ca="1">IFERROR(__xludf.DUMMYFUNCTION("""COMPUTED_VALUE"""),"#VALUE!")</f>
        <v>#VALUE!</v>
      </c>
      <c r="CY1509" t="str">
        <f ca="1">IFERROR(__xludf.DUMMYFUNCTION("""COMPUTED_VALUE"""),"#VALUE!")</f>
        <v>#VALUE!</v>
      </c>
      <c r="DC1509" t="str">
        <f ca="1">IFERROR(__xludf.DUMMYFUNCTION("""COMPUTED_VALUE"""),"#VALUE!")</f>
        <v>#VALUE!</v>
      </c>
      <c r="DE1509" t="str">
        <f ca="1">IFERROR(__xludf.DUMMYFUNCTION("""COMPUTED_VALUE"""),"#VALUE!")</f>
        <v>#VALUE!</v>
      </c>
    </row>
    <row r="1510" spans="1:109" ht="13.2" x14ac:dyDescent="0.25">
      <c r="A1510" t="str">
        <f ca="1">IFERROR(__xludf.DUMMYFUNCTION("""COMPUTED_VALUE"""),"P1519")</f>
        <v>P1519</v>
      </c>
      <c r="BC1510" t="str">
        <f ca="1">IFERROR(__xludf.DUMMYFUNCTION("""COMPUTED_VALUE"""),"#VALUE!")</f>
        <v>#VALUE!</v>
      </c>
      <c r="BE1510" t="str">
        <f ca="1">IFERROR(__xludf.DUMMYFUNCTION("""COMPUTED_VALUE"""),"#VALUE!")</f>
        <v>#VALUE!</v>
      </c>
      <c r="BG1510" t="str">
        <f ca="1">IFERROR(__xludf.DUMMYFUNCTION("""COMPUTED_VALUE"""),"#VALUE!")</f>
        <v>#VALUE!</v>
      </c>
      <c r="BI1510" t="str">
        <f ca="1">IFERROR(__xludf.DUMMYFUNCTION("""COMPUTED_VALUE"""),"#VALUE!")</f>
        <v>#VALUE!</v>
      </c>
      <c r="BK1510" t="str">
        <f ca="1">IFERROR(__xludf.DUMMYFUNCTION("""COMPUTED_VALUE"""),"#VALUE!")</f>
        <v>#VALUE!</v>
      </c>
      <c r="BM1510" t="str">
        <f ca="1">IFERROR(__xludf.DUMMYFUNCTION("""COMPUTED_VALUE"""),"#VALUE!")</f>
        <v>#VALUE!</v>
      </c>
      <c r="CS1510" t="str">
        <f ca="1">IFERROR(__xludf.DUMMYFUNCTION("""COMPUTED_VALUE"""),"#VALUE!")</f>
        <v>#VALUE!</v>
      </c>
      <c r="CU1510" t="str">
        <f ca="1">IFERROR(__xludf.DUMMYFUNCTION("""COMPUTED_VALUE"""),"#VALUE!")</f>
        <v>#VALUE!</v>
      </c>
      <c r="CW1510" t="str">
        <f ca="1">IFERROR(__xludf.DUMMYFUNCTION("""COMPUTED_VALUE"""),"#VALUE!")</f>
        <v>#VALUE!</v>
      </c>
      <c r="CY1510" t="str">
        <f ca="1">IFERROR(__xludf.DUMMYFUNCTION("""COMPUTED_VALUE"""),"#VALUE!")</f>
        <v>#VALUE!</v>
      </c>
      <c r="DC1510" t="str">
        <f ca="1">IFERROR(__xludf.DUMMYFUNCTION("""COMPUTED_VALUE"""),"#VALUE!")</f>
        <v>#VALUE!</v>
      </c>
      <c r="DE1510" t="str">
        <f ca="1">IFERROR(__xludf.DUMMYFUNCTION("""COMPUTED_VALUE"""),"#VALUE!")</f>
        <v>#VALUE!</v>
      </c>
    </row>
    <row r="1511" spans="1:109" ht="13.2" x14ac:dyDescent="0.25">
      <c r="A1511" t="str">
        <f ca="1">IFERROR(__xludf.DUMMYFUNCTION("""COMPUTED_VALUE"""),"P1520")</f>
        <v>P1520</v>
      </c>
      <c r="BC1511" t="str">
        <f ca="1">IFERROR(__xludf.DUMMYFUNCTION("""COMPUTED_VALUE"""),"#VALUE!")</f>
        <v>#VALUE!</v>
      </c>
      <c r="BE1511" t="str">
        <f ca="1">IFERROR(__xludf.DUMMYFUNCTION("""COMPUTED_VALUE"""),"#VALUE!")</f>
        <v>#VALUE!</v>
      </c>
      <c r="BG1511" t="str">
        <f ca="1">IFERROR(__xludf.DUMMYFUNCTION("""COMPUTED_VALUE"""),"#VALUE!")</f>
        <v>#VALUE!</v>
      </c>
      <c r="BI1511" t="str">
        <f ca="1">IFERROR(__xludf.DUMMYFUNCTION("""COMPUTED_VALUE"""),"#VALUE!")</f>
        <v>#VALUE!</v>
      </c>
      <c r="BK1511" t="str">
        <f ca="1">IFERROR(__xludf.DUMMYFUNCTION("""COMPUTED_VALUE"""),"#VALUE!")</f>
        <v>#VALUE!</v>
      </c>
      <c r="BM1511" t="str">
        <f ca="1">IFERROR(__xludf.DUMMYFUNCTION("""COMPUTED_VALUE"""),"#VALUE!")</f>
        <v>#VALUE!</v>
      </c>
      <c r="CS1511" t="str">
        <f ca="1">IFERROR(__xludf.DUMMYFUNCTION("""COMPUTED_VALUE"""),"#VALUE!")</f>
        <v>#VALUE!</v>
      </c>
      <c r="CU1511" t="str">
        <f ca="1">IFERROR(__xludf.DUMMYFUNCTION("""COMPUTED_VALUE"""),"#VALUE!")</f>
        <v>#VALUE!</v>
      </c>
      <c r="CW1511" t="str">
        <f ca="1">IFERROR(__xludf.DUMMYFUNCTION("""COMPUTED_VALUE"""),"#VALUE!")</f>
        <v>#VALUE!</v>
      </c>
      <c r="CY1511" t="str">
        <f ca="1">IFERROR(__xludf.DUMMYFUNCTION("""COMPUTED_VALUE"""),"#VALUE!")</f>
        <v>#VALUE!</v>
      </c>
      <c r="DC1511" t="str">
        <f ca="1">IFERROR(__xludf.DUMMYFUNCTION("""COMPUTED_VALUE"""),"#VALUE!")</f>
        <v>#VALUE!</v>
      </c>
      <c r="DE1511" t="str">
        <f ca="1">IFERROR(__xludf.DUMMYFUNCTION("""COMPUTED_VALUE"""),"#VALUE!")</f>
        <v>#VALUE!</v>
      </c>
    </row>
    <row r="1512" spans="1:109" ht="13.2" x14ac:dyDescent="0.25">
      <c r="A1512" t="str">
        <f ca="1">IFERROR(__xludf.DUMMYFUNCTION("""COMPUTED_VALUE"""),"P1521")</f>
        <v>P1521</v>
      </c>
      <c r="BC1512" t="str">
        <f ca="1">IFERROR(__xludf.DUMMYFUNCTION("""COMPUTED_VALUE"""),"#VALUE!")</f>
        <v>#VALUE!</v>
      </c>
      <c r="BE1512" t="str">
        <f ca="1">IFERROR(__xludf.DUMMYFUNCTION("""COMPUTED_VALUE"""),"#VALUE!")</f>
        <v>#VALUE!</v>
      </c>
      <c r="BG1512" t="str">
        <f ca="1">IFERROR(__xludf.DUMMYFUNCTION("""COMPUTED_VALUE"""),"#VALUE!")</f>
        <v>#VALUE!</v>
      </c>
      <c r="BI1512" t="str">
        <f ca="1">IFERROR(__xludf.DUMMYFUNCTION("""COMPUTED_VALUE"""),"#VALUE!")</f>
        <v>#VALUE!</v>
      </c>
      <c r="BK1512" t="str">
        <f ca="1">IFERROR(__xludf.DUMMYFUNCTION("""COMPUTED_VALUE"""),"#VALUE!")</f>
        <v>#VALUE!</v>
      </c>
      <c r="BM1512" t="str">
        <f ca="1">IFERROR(__xludf.DUMMYFUNCTION("""COMPUTED_VALUE"""),"#VALUE!")</f>
        <v>#VALUE!</v>
      </c>
      <c r="CS1512" t="str">
        <f ca="1">IFERROR(__xludf.DUMMYFUNCTION("""COMPUTED_VALUE"""),"#VALUE!")</f>
        <v>#VALUE!</v>
      </c>
      <c r="CU1512" t="str">
        <f ca="1">IFERROR(__xludf.DUMMYFUNCTION("""COMPUTED_VALUE"""),"#VALUE!")</f>
        <v>#VALUE!</v>
      </c>
      <c r="CW1512" t="str">
        <f ca="1">IFERROR(__xludf.DUMMYFUNCTION("""COMPUTED_VALUE"""),"#VALUE!")</f>
        <v>#VALUE!</v>
      </c>
      <c r="CY1512" t="str">
        <f ca="1">IFERROR(__xludf.DUMMYFUNCTION("""COMPUTED_VALUE"""),"#VALUE!")</f>
        <v>#VALUE!</v>
      </c>
      <c r="DC1512" t="str">
        <f ca="1">IFERROR(__xludf.DUMMYFUNCTION("""COMPUTED_VALUE"""),"#VALUE!")</f>
        <v>#VALUE!</v>
      </c>
      <c r="DE1512" t="str">
        <f ca="1">IFERROR(__xludf.DUMMYFUNCTION("""COMPUTED_VALUE"""),"#VALUE!")</f>
        <v>#VALUE!</v>
      </c>
    </row>
    <row r="1513" spans="1:109" ht="13.2" x14ac:dyDescent="0.25">
      <c r="A1513" t="str">
        <f ca="1">IFERROR(__xludf.DUMMYFUNCTION("""COMPUTED_VALUE"""),"P1522")</f>
        <v>P1522</v>
      </c>
      <c r="BC1513" t="str">
        <f ca="1">IFERROR(__xludf.DUMMYFUNCTION("""COMPUTED_VALUE"""),"#VALUE!")</f>
        <v>#VALUE!</v>
      </c>
      <c r="BE1513" t="str">
        <f ca="1">IFERROR(__xludf.DUMMYFUNCTION("""COMPUTED_VALUE"""),"#VALUE!")</f>
        <v>#VALUE!</v>
      </c>
      <c r="BG1513" t="str">
        <f ca="1">IFERROR(__xludf.DUMMYFUNCTION("""COMPUTED_VALUE"""),"#VALUE!")</f>
        <v>#VALUE!</v>
      </c>
      <c r="BI1513" t="str">
        <f ca="1">IFERROR(__xludf.DUMMYFUNCTION("""COMPUTED_VALUE"""),"#VALUE!")</f>
        <v>#VALUE!</v>
      </c>
      <c r="BK1513" t="str">
        <f ca="1">IFERROR(__xludf.DUMMYFUNCTION("""COMPUTED_VALUE"""),"#VALUE!")</f>
        <v>#VALUE!</v>
      </c>
      <c r="BM1513" t="str">
        <f ca="1">IFERROR(__xludf.DUMMYFUNCTION("""COMPUTED_VALUE"""),"#VALUE!")</f>
        <v>#VALUE!</v>
      </c>
      <c r="CS1513" t="str">
        <f ca="1">IFERROR(__xludf.DUMMYFUNCTION("""COMPUTED_VALUE"""),"#VALUE!")</f>
        <v>#VALUE!</v>
      </c>
      <c r="CU1513" t="str">
        <f ca="1">IFERROR(__xludf.DUMMYFUNCTION("""COMPUTED_VALUE"""),"#VALUE!")</f>
        <v>#VALUE!</v>
      </c>
      <c r="CW1513" t="str">
        <f ca="1">IFERROR(__xludf.DUMMYFUNCTION("""COMPUTED_VALUE"""),"#VALUE!")</f>
        <v>#VALUE!</v>
      </c>
      <c r="CY1513" t="str">
        <f ca="1">IFERROR(__xludf.DUMMYFUNCTION("""COMPUTED_VALUE"""),"#VALUE!")</f>
        <v>#VALUE!</v>
      </c>
      <c r="DC1513" t="str">
        <f ca="1">IFERROR(__xludf.DUMMYFUNCTION("""COMPUTED_VALUE"""),"#VALUE!")</f>
        <v>#VALUE!</v>
      </c>
      <c r="DE1513" t="str">
        <f ca="1">IFERROR(__xludf.DUMMYFUNCTION("""COMPUTED_VALUE"""),"#VALUE!")</f>
        <v>#VALUE!</v>
      </c>
    </row>
    <row r="1514" spans="1:109" ht="13.2" x14ac:dyDescent="0.25">
      <c r="A1514" t="str">
        <f ca="1">IFERROR(__xludf.DUMMYFUNCTION("""COMPUTED_VALUE"""),"P1523")</f>
        <v>P1523</v>
      </c>
      <c r="BC1514" t="str">
        <f ca="1">IFERROR(__xludf.DUMMYFUNCTION("""COMPUTED_VALUE"""),"#VALUE!")</f>
        <v>#VALUE!</v>
      </c>
      <c r="BE1514" t="str">
        <f ca="1">IFERROR(__xludf.DUMMYFUNCTION("""COMPUTED_VALUE"""),"#VALUE!")</f>
        <v>#VALUE!</v>
      </c>
      <c r="BG1514" t="str">
        <f ca="1">IFERROR(__xludf.DUMMYFUNCTION("""COMPUTED_VALUE"""),"#VALUE!")</f>
        <v>#VALUE!</v>
      </c>
      <c r="BI1514" t="str">
        <f ca="1">IFERROR(__xludf.DUMMYFUNCTION("""COMPUTED_VALUE"""),"#VALUE!")</f>
        <v>#VALUE!</v>
      </c>
      <c r="BK1514" t="str">
        <f ca="1">IFERROR(__xludf.DUMMYFUNCTION("""COMPUTED_VALUE"""),"#VALUE!")</f>
        <v>#VALUE!</v>
      </c>
      <c r="BM1514" t="str">
        <f ca="1">IFERROR(__xludf.DUMMYFUNCTION("""COMPUTED_VALUE"""),"#VALUE!")</f>
        <v>#VALUE!</v>
      </c>
      <c r="CS1514" t="str">
        <f ca="1">IFERROR(__xludf.DUMMYFUNCTION("""COMPUTED_VALUE"""),"#VALUE!")</f>
        <v>#VALUE!</v>
      </c>
      <c r="CU1514" t="str">
        <f ca="1">IFERROR(__xludf.DUMMYFUNCTION("""COMPUTED_VALUE"""),"#VALUE!")</f>
        <v>#VALUE!</v>
      </c>
      <c r="CW1514" t="str">
        <f ca="1">IFERROR(__xludf.DUMMYFUNCTION("""COMPUTED_VALUE"""),"#VALUE!")</f>
        <v>#VALUE!</v>
      </c>
      <c r="CY1514" t="str">
        <f ca="1">IFERROR(__xludf.DUMMYFUNCTION("""COMPUTED_VALUE"""),"#VALUE!")</f>
        <v>#VALUE!</v>
      </c>
      <c r="DC1514" t="str">
        <f ca="1">IFERROR(__xludf.DUMMYFUNCTION("""COMPUTED_VALUE"""),"#VALUE!")</f>
        <v>#VALUE!</v>
      </c>
      <c r="DE1514" t="str">
        <f ca="1">IFERROR(__xludf.DUMMYFUNCTION("""COMPUTED_VALUE"""),"#VALUE!")</f>
        <v>#VALUE!</v>
      </c>
    </row>
    <row r="1515" spans="1:109" ht="13.2" x14ac:dyDescent="0.25">
      <c r="A1515" t="str">
        <f ca="1">IFERROR(__xludf.DUMMYFUNCTION("""COMPUTED_VALUE"""),"P1524")</f>
        <v>P1524</v>
      </c>
      <c r="BC1515" t="str">
        <f ca="1">IFERROR(__xludf.DUMMYFUNCTION("""COMPUTED_VALUE"""),"#VALUE!")</f>
        <v>#VALUE!</v>
      </c>
      <c r="BE1515" t="str">
        <f ca="1">IFERROR(__xludf.DUMMYFUNCTION("""COMPUTED_VALUE"""),"#VALUE!")</f>
        <v>#VALUE!</v>
      </c>
      <c r="BG1515" t="str">
        <f ca="1">IFERROR(__xludf.DUMMYFUNCTION("""COMPUTED_VALUE"""),"#VALUE!")</f>
        <v>#VALUE!</v>
      </c>
      <c r="BI1515" t="str">
        <f ca="1">IFERROR(__xludf.DUMMYFUNCTION("""COMPUTED_VALUE"""),"#VALUE!")</f>
        <v>#VALUE!</v>
      </c>
      <c r="BK1515" t="str">
        <f ca="1">IFERROR(__xludf.DUMMYFUNCTION("""COMPUTED_VALUE"""),"#VALUE!")</f>
        <v>#VALUE!</v>
      </c>
      <c r="BM1515" t="str">
        <f ca="1">IFERROR(__xludf.DUMMYFUNCTION("""COMPUTED_VALUE"""),"#VALUE!")</f>
        <v>#VALUE!</v>
      </c>
      <c r="CS1515" t="str">
        <f ca="1">IFERROR(__xludf.DUMMYFUNCTION("""COMPUTED_VALUE"""),"#VALUE!")</f>
        <v>#VALUE!</v>
      </c>
      <c r="CU1515" t="str">
        <f ca="1">IFERROR(__xludf.DUMMYFUNCTION("""COMPUTED_VALUE"""),"#VALUE!")</f>
        <v>#VALUE!</v>
      </c>
      <c r="CW1515" t="str">
        <f ca="1">IFERROR(__xludf.DUMMYFUNCTION("""COMPUTED_VALUE"""),"#VALUE!")</f>
        <v>#VALUE!</v>
      </c>
      <c r="CY1515" t="str">
        <f ca="1">IFERROR(__xludf.DUMMYFUNCTION("""COMPUTED_VALUE"""),"#VALUE!")</f>
        <v>#VALUE!</v>
      </c>
      <c r="DC1515" t="str">
        <f ca="1">IFERROR(__xludf.DUMMYFUNCTION("""COMPUTED_VALUE"""),"#VALUE!")</f>
        <v>#VALUE!</v>
      </c>
      <c r="DE1515" t="str">
        <f ca="1">IFERROR(__xludf.DUMMYFUNCTION("""COMPUTED_VALUE"""),"#VALUE!")</f>
        <v>#VALUE!</v>
      </c>
    </row>
    <row r="1516" spans="1:109" ht="13.2" x14ac:dyDescent="0.25">
      <c r="A1516" t="str">
        <f ca="1">IFERROR(__xludf.DUMMYFUNCTION("""COMPUTED_VALUE"""),"P1525")</f>
        <v>P1525</v>
      </c>
      <c r="BC1516" t="str">
        <f ca="1">IFERROR(__xludf.DUMMYFUNCTION("""COMPUTED_VALUE"""),"#VALUE!")</f>
        <v>#VALUE!</v>
      </c>
      <c r="BE1516" t="str">
        <f ca="1">IFERROR(__xludf.DUMMYFUNCTION("""COMPUTED_VALUE"""),"#VALUE!")</f>
        <v>#VALUE!</v>
      </c>
      <c r="BG1516" t="str">
        <f ca="1">IFERROR(__xludf.DUMMYFUNCTION("""COMPUTED_VALUE"""),"#VALUE!")</f>
        <v>#VALUE!</v>
      </c>
      <c r="BI1516" t="str">
        <f ca="1">IFERROR(__xludf.DUMMYFUNCTION("""COMPUTED_VALUE"""),"#VALUE!")</f>
        <v>#VALUE!</v>
      </c>
      <c r="BK1516" t="str">
        <f ca="1">IFERROR(__xludf.DUMMYFUNCTION("""COMPUTED_VALUE"""),"#VALUE!")</f>
        <v>#VALUE!</v>
      </c>
      <c r="BM1516" t="str">
        <f ca="1">IFERROR(__xludf.DUMMYFUNCTION("""COMPUTED_VALUE"""),"#VALUE!")</f>
        <v>#VALUE!</v>
      </c>
      <c r="CS1516" t="str">
        <f ca="1">IFERROR(__xludf.DUMMYFUNCTION("""COMPUTED_VALUE"""),"#VALUE!")</f>
        <v>#VALUE!</v>
      </c>
      <c r="CU1516" t="str">
        <f ca="1">IFERROR(__xludf.DUMMYFUNCTION("""COMPUTED_VALUE"""),"#VALUE!")</f>
        <v>#VALUE!</v>
      </c>
      <c r="CW1516" t="str">
        <f ca="1">IFERROR(__xludf.DUMMYFUNCTION("""COMPUTED_VALUE"""),"#VALUE!")</f>
        <v>#VALUE!</v>
      </c>
      <c r="CY1516" t="str">
        <f ca="1">IFERROR(__xludf.DUMMYFUNCTION("""COMPUTED_VALUE"""),"#VALUE!")</f>
        <v>#VALUE!</v>
      </c>
      <c r="DC1516" t="str">
        <f ca="1">IFERROR(__xludf.DUMMYFUNCTION("""COMPUTED_VALUE"""),"#VALUE!")</f>
        <v>#VALUE!</v>
      </c>
      <c r="DE1516" t="str">
        <f ca="1">IFERROR(__xludf.DUMMYFUNCTION("""COMPUTED_VALUE"""),"#VALUE!")</f>
        <v>#VALUE!</v>
      </c>
    </row>
    <row r="1517" spans="1:109" ht="13.2" x14ac:dyDescent="0.25">
      <c r="A1517" t="str">
        <f ca="1">IFERROR(__xludf.DUMMYFUNCTION("""COMPUTED_VALUE"""),"P1526")</f>
        <v>P1526</v>
      </c>
      <c r="BC1517" t="str">
        <f ca="1">IFERROR(__xludf.DUMMYFUNCTION("""COMPUTED_VALUE"""),"#VALUE!")</f>
        <v>#VALUE!</v>
      </c>
      <c r="BE1517" t="str">
        <f ca="1">IFERROR(__xludf.DUMMYFUNCTION("""COMPUTED_VALUE"""),"#VALUE!")</f>
        <v>#VALUE!</v>
      </c>
      <c r="BG1517" t="str">
        <f ca="1">IFERROR(__xludf.DUMMYFUNCTION("""COMPUTED_VALUE"""),"#VALUE!")</f>
        <v>#VALUE!</v>
      </c>
      <c r="BI1517" t="str">
        <f ca="1">IFERROR(__xludf.DUMMYFUNCTION("""COMPUTED_VALUE"""),"#VALUE!")</f>
        <v>#VALUE!</v>
      </c>
      <c r="BK1517" t="str">
        <f ca="1">IFERROR(__xludf.DUMMYFUNCTION("""COMPUTED_VALUE"""),"#VALUE!")</f>
        <v>#VALUE!</v>
      </c>
      <c r="BM1517" t="str">
        <f ca="1">IFERROR(__xludf.DUMMYFUNCTION("""COMPUTED_VALUE"""),"#VALUE!")</f>
        <v>#VALUE!</v>
      </c>
      <c r="CS1517" t="str">
        <f ca="1">IFERROR(__xludf.DUMMYFUNCTION("""COMPUTED_VALUE"""),"#VALUE!")</f>
        <v>#VALUE!</v>
      </c>
      <c r="CU1517" t="str">
        <f ca="1">IFERROR(__xludf.DUMMYFUNCTION("""COMPUTED_VALUE"""),"#VALUE!")</f>
        <v>#VALUE!</v>
      </c>
      <c r="CW1517" t="str">
        <f ca="1">IFERROR(__xludf.DUMMYFUNCTION("""COMPUTED_VALUE"""),"#VALUE!")</f>
        <v>#VALUE!</v>
      </c>
      <c r="CY1517" t="str">
        <f ca="1">IFERROR(__xludf.DUMMYFUNCTION("""COMPUTED_VALUE"""),"#VALUE!")</f>
        <v>#VALUE!</v>
      </c>
      <c r="DC1517" t="str">
        <f ca="1">IFERROR(__xludf.DUMMYFUNCTION("""COMPUTED_VALUE"""),"#VALUE!")</f>
        <v>#VALUE!</v>
      </c>
      <c r="DE1517" t="str">
        <f ca="1">IFERROR(__xludf.DUMMYFUNCTION("""COMPUTED_VALUE"""),"#VALUE!")</f>
        <v>#VALUE!</v>
      </c>
    </row>
    <row r="1518" spans="1:109" ht="13.2" x14ac:dyDescent="0.25">
      <c r="A1518" t="str">
        <f ca="1">IFERROR(__xludf.DUMMYFUNCTION("""COMPUTED_VALUE"""),"P1527")</f>
        <v>P1527</v>
      </c>
      <c r="BC1518" t="str">
        <f ca="1">IFERROR(__xludf.DUMMYFUNCTION("""COMPUTED_VALUE"""),"#VALUE!")</f>
        <v>#VALUE!</v>
      </c>
      <c r="BE1518" t="str">
        <f ca="1">IFERROR(__xludf.DUMMYFUNCTION("""COMPUTED_VALUE"""),"#VALUE!")</f>
        <v>#VALUE!</v>
      </c>
      <c r="BG1518" t="str">
        <f ca="1">IFERROR(__xludf.DUMMYFUNCTION("""COMPUTED_VALUE"""),"#VALUE!")</f>
        <v>#VALUE!</v>
      </c>
      <c r="BI1518" t="str">
        <f ca="1">IFERROR(__xludf.DUMMYFUNCTION("""COMPUTED_VALUE"""),"#VALUE!")</f>
        <v>#VALUE!</v>
      </c>
      <c r="BK1518" t="str">
        <f ca="1">IFERROR(__xludf.DUMMYFUNCTION("""COMPUTED_VALUE"""),"#VALUE!")</f>
        <v>#VALUE!</v>
      </c>
      <c r="BM1518" t="str">
        <f ca="1">IFERROR(__xludf.DUMMYFUNCTION("""COMPUTED_VALUE"""),"#VALUE!")</f>
        <v>#VALUE!</v>
      </c>
      <c r="CS1518" t="str">
        <f ca="1">IFERROR(__xludf.DUMMYFUNCTION("""COMPUTED_VALUE"""),"#VALUE!")</f>
        <v>#VALUE!</v>
      </c>
      <c r="CU1518" t="str">
        <f ca="1">IFERROR(__xludf.DUMMYFUNCTION("""COMPUTED_VALUE"""),"#VALUE!")</f>
        <v>#VALUE!</v>
      </c>
      <c r="CW1518" t="str">
        <f ca="1">IFERROR(__xludf.DUMMYFUNCTION("""COMPUTED_VALUE"""),"#VALUE!")</f>
        <v>#VALUE!</v>
      </c>
      <c r="CY1518" t="str">
        <f ca="1">IFERROR(__xludf.DUMMYFUNCTION("""COMPUTED_VALUE"""),"#VALUE!")</f>
        <v>#VALUE!</v>
      </c>
      <c r="DC1518" t="str">
        <f ca="1">IFERROR(__xludf.DUMMYFUNCTION("""COMPUTED_VALUE"""),"#VALUE!")</f>
        <v>#VALUE!</v>
      </c>
      <c r="DE1518" t="str">
        <f ca="1">IFERROR(__xludf.DUMMYFUNCTION("""COMPUTED_VALUE"""),"#VALUE!")</f>
        <v>#VALUE!</v>
      </c>
    </row>
    <row r="1519" spans="1:109" ht="13.2" x14ac:dyDescent="0.25">
      <c r="A1519" t="str">
        <f ca="1">IFERROR(__xludf.DUMMYFUNCTION("""COMPUTED_VALUE"""),"P1528")</f>
        <v>P1528</v>
      </c>
      <c r="BC1519" t="str">
        <f ca="1">IFERROR(__xludf.DUMMYFUNCTION("""COMPUTED_VALUE"""),"#VALUE!")</f>
        <v>#VALUE!</v>
      </c>
      <c r="BE1519" t="str">
        <f ca="1">IFERROR(__xludf.DUMMYFUNCTION("""COMPUTED_VALUE"""),"#VALUE!")</f>
        <v>#VALUE!</v>
      </c>
      <c r="BG1519" t="str">
        <f ca="1">IFERROR(__xludf.DUMMYFUNCTION("""COMPUTED_VALUE"""),"#VALUE!")</f>
        <v>#VALUE!</v>
      </c>
      <c r="BI1519" t="str">
        <f ca="1">IFERROR(__xludf.DUMMYFUNCTION("""COMPUTED_VALUE"""),"#VALUE!")</f>
        <v>#VALUE!</v>
      </c>
      <c r="BK1519" t="str">
        <f ca="1">IFERROR(__xludf.DUMMYFUNCTION("""COMPUTED_VALUE"""),"#VALUE!")</f>
        <v>#VALUE!</v>
      </c>
      <c r="BM1519" t="str">
        <f ca="1">IFERROR(__xludf.DUMMYFUNCTION("""COMPUTED_VALUE"""),"#VALUE!")</f>
        <v>#VALUE!</v>
      </c>
      <c r="CS1519" t="str">
        <f ca="1">IFERROR(__xludf.DUMMYFUNCTION("""COMPUTED_VALUE"""),"#VALUE!")</f>
        <v>#VALUE!</v>
      </c>
      <c r="CU1519" t="str">
        <f ca="1">IFERROR(__xludf.DUMMYFUNCTION("""COMPUTED_VALUE"""),"#VALUE!")</f>
        <v>#VALUE!</v>
      </c>
      <c r="CW1519" t="str">
        <f ca="1">IFERROR(__xludf.DUMMYFUNCTION("""COMPUTED_VALUE"""),"#VALUE!")</f>
        <v>#VALUE!</v>
      </c>
      <c r="CY1519" t="str">
        <f ca="1">IFERROR(__xludf.DUMMYFUNCTION("""COMPUTED_VALUE"""),"#VALUE!")</f>
        <v>#VALUE!</v>
      </c>
      <c r="DC1519" t="str">
        <f ca="1">IFERROR(__xludf.DUMMYFUNCTION("""COMPUTED_VALUE"""),"#VALUE!")</f>
        <v>#VALUE!</v>
      </c>
      <c r="DE1519" t="str">
        <f ca="1">IFERROR(__xludf.DUMMYFUNCTION("""COMPUTED_VALUE"""),"#VALUE!")</f>
        <v>#VALUE!</v>
      </c>
    </row>
    <row r="1520" spans="1:109" ht="13.2" x14ac:dyDescent="0.25">
      <c r="A1520" t="str">
        <f ca="1">IFERROR(__xludf.DUMMYFUNCTION("""COMPUTED_VALUE"""),"P1529")</f>
        <v>P1529</v>
      </c>
      <c r="BC1520" t="str">
        <f ca="1">IFERROR(__xludf.DUMMYFUNCTION("""COMPUTED_VALUE"""),"#VALUE!")</f>
        <v>#VALUE!</v>
      </c>
      <c r="BE1520" t="str">
        <f ca="1">IFERROR(__xludf.DUMMYFUNCTION("""COMPUTED_VALUE"""),"#VALUE!")</f>
        <v>#VALUE!</v>
      </c>
      <c r="BG1520" t="str">
        <f ca="1">IFERROR(__xludf.DUMMYFUNCTION("""COMPUTED_VALUE"""),"#VALUE!")</f>
        <v>#VALUE!</v>
      </c>
      <c r="BI1520" t="str">
        <f ca="1">IFERROR(__xludf.DUMMYFUNCTION("""COMPUTED_VALUE"""),"#VALUE!")</f>
        <v>#VALUE!</v>
      </c>
      <c r="BK1520" t="str">
        <f ca="1">IFERROR(__xludf.DUMMYFUNCTION("""COMPUTED_VALUE"""),"#VALUE!")</f>
        <v>#VALUE!</v>
      </c>
      <c r="BM1520" t="str">
        <f ca="1">IFERROR(__xludf.DUMMYFUNCTION("""COMPUTED_VALUE"""),"#VALUE!")</f>
        <v>#VALUE!</v>
      </c>
      <c r="CS1520" t="str">
        <f ca="1">IFERROR(__xludf.DUMMYFUNCTION("""COMPUTED_VALUE"""),"#VALUE!")</f>
        <v>#VALUE!</v>
      </c>
      <c r="CU1520" t="str">
        <f ca="1">IFERROR(__xludf.DUMMYFUNCTION("""COMPUTED_VALUE"""),"#VALUE!")</f>
        <v>#VALUE!</v>
      </c>
      <c r="CW1520" t="str">
        <f ca="1">IFERROR(__xludf.DUMMYFUNCTION("""COMPUTED_VALUE"""),"#VALUE!")</f>
        <v>#VALUE!</v>
      </c>
      <c r="CY1520" t="str">
        <f ca="1">IFERROR(__xludf.DUMMYFUNCTION("""COMPUTED_VALUE"""),"#VALUE!")</f>
        <v>#VALUE!</v>
      </c>
      <c r="DC1520" t="str">
        <f ca="1">IFERROR(__xludf.DUMMYFUNCTION("""COMPUTED_VALUE"""),"#VALUE!")</f>
        <v>#VALUE!</v>
      </c>
      <c r="DE1520" t="str">
        <f ca="1">IFERROR(__xludf.DUMMYFUNCTION("""COMPUTED_VALUE"""),"#VALUE!")</f>
        <v>#VALUE!</v>
      </c>
    </row>
    <row r="1521" spans="1:109" ht="13.2" x14ac:dyDescent="0.25">
      <c r="A1521" t="str">
        <f ca="1">IFERROR(__xludf.DUMMYFUNCTION("""COMPUTED_VALUE"""),"P1530")</f>
        <v>P1530</v>
      </c>
      <c r="BC1521" t="str">
        <f ca="1">IFERROR(__xludf.DUMMYFUNCTION("""COMPUTED_VALUE"""),"#VALUE!")</f>
        <v>#VALUE!</v>
      </c>
      <c r="BE1521" t="str">
        <f ca="1">IFERROR(__xludf.DUMMYFUNCTION("""COMPUTED_VALUE"""),"#VALUE!")</f>
        <v>#VALUE!</v>
      </c>
      <c r="BG1521" t="str">
        <f ca="1">IFERROR(__xludf.DUMMYFUNCTION("""COMPUTED_VALUE"""),"#VALUE!")</f>
        <v>#VALUE!</v>
      </c>
      <c r="BI1521" t="str">
        <f ca="1">IFERROR(__xludf.DUMMYFUNCTION("""COMPUTED_VALUE"""),"#VALUE!")</f>
        <v>#VALUE!</v>
      </c>
      <c r="BK1521" t="str">
        <f ca="1">IFERROR(__xludf.DUMMYFUNCTION("""COMPUTED_VALUE"""),"#VALUE!")</f>
        <v>#VALUE!</v>
      </c>
      <c r="BM1521" t="str">
        <f ca="1">IFERROR(__xludf.DUMMYFUNCTION("""COMPUTED_VALUE"""),"#VALUE!")</f>
        <v>#VALUE!</v>
      </c>
      <c r="CS1521" t="str">
        <f ca="1">IFERROR(__xludf.DUMMYFUNCTION("""COMPUTED_VALUE"""),"#VALUE!")</f>
        <v>#VALUE!</v>
      </c>
      <c r="CU1521" t="str">
        <f ca="1">IFERROR(__xludf.DUMMYFUNCTION("""COMPUTED_VALUE"""),"#VALUE!")</f>
        <v>#VALUE!</v>
      </c>
      <c r="CW1521" t="str">
        <f ca="1">IFERROR(__xludf.DUMMYFUNCTION("""COMPUTED_VALUE"""),"#VALUE!")</f>
        <v>#VALUE!</v>
      </c>
      <c r="CY1521" t="str">
        <f ca="1">IFERROR(__xludf.DUMMYFUNCTION("""COMPUTED_VALUE"""),"#VALUE!")</f>
        <v>#VALUE!</v>
      </c>
      <c r="DC1521" t="str">
        <f ca="1">IFERROR(__xludf.DUMMYFUNCTION("""COMPUTED_VALUE"""),"#VALUE!")</f>
        <v>#VALUE!</v>
      </c>
      <c r="DE1521" t="str">
        <f ca="1">IFERROR(__xludf.DUMMYFUNCTION("""COMPUTED_VALUE"""),"#VALUE!")</f>
        <v>#VALUE!</v>
      </c>
    </row>
    <row r="1522" spans="1:109" ht="13.2" x14ac:dyDescent="0.25">
      <c r="A1522" t="str">
        <f ca="1">IFERROR(__xludf.DUMMYFUNCTION("""COMPUTED_VALUE"""),"P1531")</f>
        <v>P1531</v>
      </c>
      <c r="BC1522" t="str">
        <f ca="1">IFERROR(__xludf.DUMMYFUNCTION("""COMPUTED_VALUE"""),"#VALUE!")</f>
        <v>#VALUE!</v>
      </c>
      <c r="BE1522" t="str">
        <f ca="1">IFERROR(__xludf.DUMMYFUNCTION("""COMPUTED_VALUE"""),"#VALUE!")</f>
        <v>#VALUE!</v>
      </c>
      <c r="BG1522" t="str">
        <f ca="1">IFERROR(__xludf.DUMMYFUNCTION("""COMPUTED_VALUE"""),"#VALUE!")</f>
        <v>#VALUE!</v>
      </c>
      <c r="BI1522" t="str">
        <f ca="1">IFERROR(__xludf.DUMMYFUNCTION("""COMPUTED_VALUE"""),"#VALUE!")</f>
        <v>#VALUE!</v>
      </c>
      <c r="BK1522" t="str">
        <f ca="1">IFERROR(__xludf.DUMMYFUNCTION("""COMPUTED_VALUE"""),"#VALUE!")</f>
        <v>#VALUE!</v>
      </c>
      <c r="BM1522" t="str">
        <f ca="1">IFERROR(__xludf.DUMMYFUNCTION("""COMPUTED_VALUE"""),"#VALUE!")</f>
        <v>#VALUE!</v>
      </c>
      <c r="CS1522" t="str">
        <f ca="1">IFERROR(__xludf.DUMMYFUNCTION("""COMPUTED_VALUE"""),"#VALUE!")</f>
        <v>#VALUE!</v>
      </c>
      <c r="CU1522" t="str">
        <f ca="1">IFERROR(__xludf.DUMMYFUNCTION("""COMPUTED_VALUE"""),"#VALUE!")</f>
        <v>#VALUE!</v>
      </c>
      <c r="CW1522" t="str">
        <f ca="1">IFERROR(__xludf.DUMMYFUNCTION("""COMPUTED_VALUE"""),"#VALUE!")</f>
        <v>#VALUE!</v>
      </c>
      <c r="CY1522" t="str">
        <f ca="1">IFERROR(__xludf.DUMMYFUNCTION("""COMPUTED_VALUE"""),"#VALUE!")</f>
        <v>#VALUE!</v>
      </c>
      <c r="DC1522" t="str">
        <f ca="1">IFERROR(__xludf.DUMMYFUNCTION("""COMPUTED_VALUE"""),"#VALUE!")</f>
        <v>#VALUE!</v>
      </c>
      <c r="DE1522" t="str">
        <f ca="1">IFERROR(__xludf.DUMMYFUNCTION("""COMPUTED_VALUE"""),"#VALUE!")</f>
        <v>#VALUE!</v>
      </c>
    </row>
    <row r="1523" spans="1:109" ht="13.2" x14ac:dyDescent="0.25">
      <c r="A1523" t="str">
        <f ca="1">IFERROR(__xludf.DUMMYFUNCTION("""COMPUTED_VALUE"""),"P1532")</f>
        <v>P1532</v>
      </c>
      <c r="BC1523" t="str">
        <f ca="1">IFERROR(__xludf.DUMMYFUNCTION("""COMPUTED_VALUE"""),"#VALUE!")</f>
        <v>#VALUE!</v>
      </c>
      <c r="BE1523" t="str">
        <f ca="1">IFERROR(__xludf.DUMMYFUNCTION("""COMPUTED_VALUE"""),"#VALUE!")</f>
        <v>#VALUE!</v>
      </c>
      <c r="BG1523" t="str">
        <f ca="1">IFERROR(__xludf.DUMMYFUNCTION("""COMPUTED_VALUE"""),"#VALUE!")</f>
        <v>#VALUE!</v>
      </c>
      <c r="BI1523" t="str">
        <f ca="1">IFERROR(__xludf.DUMMYFUNCTION("""COMPUTED_VALUE"""),"#VALUE!")</f>
        <v>#VALUE!</v>
      </c>
      <c r="BK1523" t="str">
        <f ca="1">IFERROR(__xludf.DUMMYFUNCTION("""COMPUTED_VALUE"""),"#VALUE!")</f>
        <v>#VALUE!</v>
      </c>
      <c r="BM1523" t="str">
        <f ca="1">IFERROR(__xludf.DUMMYFUNCTION("""COMPUTED_VALUE"""),"#VALUE!")</f>
        <v>#VALUE!</v>
      </c>
      <c r="CS1523" t="str">
        <f ca="1">IFERROR(__xludf.DUMMYFUNCTION("""COMPUTED_VALUE"""),"#VALUE!")</f>
        <v>#VALUE!</v>
      </c>
      <c r="CU1523" t="str">
        <f ca="1">IFERROR(__xludf.DUMMYFUNCTION("""COMPUTED_VALUE"""),"#VALUE!")</f>
        <v>#VALUE!</v>
      </c>
      <c r="CW1523" t="str">
        <f ca="1">IFERROR(__xludf.DUMMYFUNCTION("""COMPUTED_VALUE"""),"#VALUE!")</f>
        <v>#VALUE!</v>
      </c>
      <c r="CY1523" t="str">
        <f ca="1">IFERROR(__xludf.DUMMYFUNCTION("""COMPUTED_VALUE"""),"#VALUE!")</f>
        <v>#VALUE!</v>
      </c>
      <c r="DC1523" t="str">
        <f ca="1">IFERROR(__xludf.DUMMYFUNCTION("""COMPUTED_VALUE"""),"#VALUE!")</f>
        <v>#VALUE!</v>
      </c>
      <c r="DE1523" t="str">
        <f ca="1">IFERROR(__xludf.DUMMYFUNCTION("""COMPUTED_VALUE"""),"#VALUE!")</f>
        <v>#VALUE!</v>
      </c>
    </row>
    <row r="1524" spans="1:109" ht="13.2" x14ac:dyDescent="0.25">
      <c r="A1524" t="str">
        <f ca="1">IFERROR(__xludf.DUMMYFUNCTION("""COMPUTED_VALUE"""),"P1533")</f>
        <v>P1533</v>
      </c>
      <c r="BC1524" t="str">
        <f ca="1">IFERROR(__xludf.DUMMYFUNCTION("""COMPUTED_VALUE"""),"#VALUE!")</f>
        <v>#VALUE!</v>
      </c>
      <c r="BE1524" t="str">
        <f ca="1">IFERROR(__xludf.DUMMYFUNCTION("""COMPUTED_VALUE"""),"#VALUE!")</f>
        <v>#VALUE!</v>
      </c>
      <c r="BG1524" t="str">
        <f ca="1">IFERROR(__xludf.DUMMYFUNCTION("""COMPUTED_VALUE"""),"#VALUE!")</f>
        <v>#VALUE!</v>
      </c>
      <c r="BI1524" t="str">
        <f ca="1">IFERROR(__xludf.DUMMYFUNCTION("""COMPUTED_VALUE"""),"#VALUE!")</f>
        <v>#VALUE!</v>
      </c>
      <c r="BK1524" t="str">
        <f ca="1">IFERROR(__xludf.DUMMYFUNCTION("""COMPUTED_VALUE"""),"#VALUE!")</f>
        <v>#VALUE!</v>
      </c>
      <c r="BM1524" t="str">
        <f ca="1">IFERROR(__xludf.DUMMYFUNCTION("""COMPUTED_VALUE"""),"#VALUE!")</f>
        <v>#VALUE!</v>
      </c>
      <c r="CS1524" t="str">
        <f ca="1">IFERROR(__xludf.DUMMYFUNCTION("""COMPUTED_VALUE"""),"#VALUE!")</f>
        <v>#VALUE!</v>
      </c>
      <c r="CU1524" t="str">
        <f ca="1">IFERROR(__xludf.DUMMYFUNCTION("""COMPUTED_VALUE"""),"#VALUE!")</f>
        <v>#VALUE!</v>
      </c>
      <c r="CW1524" t="str">
        <f ca="1">IFERROR(__xludf.DUMMYFUNCTION("""COMPUTED_VALUE"""),"#VALUE!")</f>
        <v>#VALUE!</v>
      </c>
      <c r="CY1524" t="str">
        <f ca="1">IFERROR(__xludf.DUMMYFUNCTION("""COMPUTED_VALUE"""),"#VALUE!")</f>
        <v>#VALUE!</v>
      </c>
      <c r="DC1524" t="str">
        <f ca="1">IFERROR(__xludf.DUMMYFUNCTION("""COMPUTED_VALUE"""),"#VALUE!")</f>
        <v>#VALUE!</v>
      </c>
      <c r="DE1524" t="str">
        <f ca="1">IFERROR(__xludf.DUMMYFUNCTION("""COMPUTED_VALUE"""),"#VALUE!")</f>
        <v>#VALUE!</v>
      </c>
    </row>
    <row r="1525" spans="1:109" ht="13.2" x14ac:dyDescent="0.25">
      <c r="A1525" t="str">
        <f ca="1">IFERROR(__xludf.DUMMYFUNCTION("""COMPUTED_VALUE"""),"P1534")</f>
        <v>P1534</v>
      </c>
      <c r="BC1525" t="str">
        <f ca="1">IFERROR(__xludf.DUMMYFUNCTION("""COMPUTED_VALUE"""),"#VALUE!")</f>
        <v>#VALUE!</v>
      </c>
      <c r="BE1525" t="str">
        <f ca="1">IFERROR(__xludf.DUMMYFUNCTION("""COMPUTED_VALUE"""),"#VALUE!")</f>
        <v>#VALUE!</v>
      </c>
      <c r="BG1525" t="str">
        <f ca="1">IFERROR(__xludf.DUMMYFUNCTION("""COMPUTED_VALUE"""),"#VALUE!")</f>
        <v>#VALUE!</v>
      </c>
      <c r="BI1525" t="str">
        <f ca="1">IFERROR(__xludf.DUMMYFUNCTION("""COMPUTED_VALUE"""),"#VALUE!")</f>
        <v>#VALUE!</v>
      </c>
      <c r="BK1525" t="str">
        <f ca="1">IFERROR(__xludf.DUMMYFUNCTION("""COMPUTED_VALUE"""),"#VALUE!")</f>
        <v>#VALUE!</v>
      </c>
      <c r="BM1525" t="str">
        <f ca="1">IFERROR(__xludf.DUMMYFUNCTION("""COMPUTED_VALUE"""),"#VALUE!")</f>
        <v>#VALUE!</v>
      </c>
      <c r="CS1525" t="str">
        <f ca="1">IFERROR(__xludf.DUMMYFUNCTION("""COMPUTED_VALUE"""),"#VALUE!")</f>
        <v>#VALUE!</v>
      </c>
      <c r="CU1525" t="str">
        <f ca="1">IFERROR(__xludf.DUMMYFUNCTION("""COMPUTED_VALUE"""),"#VALUE!")</f>
        <v>#VALUE!</v>
      </c>
      <c r="CW1525" t="str">
        <f ca="1">IFERROR(__xludf.DUMMYFUNCTION("""COMPUTED_VALUE"""),"#VALUE!")</f>
        <v>#VALUE!</v>
      </c>
      <c r="CY1525" t="str">
        <f ca="1">IFERROR(__xludf.DUMMYFUNCTION("""COMPUTED_VALUE"""),"#VALUE!")</f>
        <v>#VALUE!</v>
      </c>
      <c r="DC1525" t="str">
        <f ca="1">IFERROR(__xludf.DUMMYFUNCTION("""COMPUTED_VALUE"""),"#VALUE!")</f>
        <v>#VALUE!</v>
      </c>
      <c r="DE1525" t="str">
        <f ca="1">IFERROR(__xludf.DUMMYFUNCTION("""COMPUTED_VALUE"""),"#VALUE!")</f>
        <v>#VALUE!</v>
      </c>
    </row>
    <row r="1526" spans="1:109" ht="13.2" x14ac:dyDescent="0.25">
      <c r="A1526" t="str">
        <f ca="1">IFERROR(__xludf.DUMMYFUNCTION("""COMPUTED_VALUE"""),"P1535")</f>
        <v>P1535</v>
      </c>
      <c r="BC1526" t="str">
        <f ca="1">IFERROR(__xludf.DUMMYFUNCTION("""COMPUTED_VALUE"""),"#VALUE!")</f>
        <v>#VALUE!</v>
      </c>
      <c r="BE1526" t="str">
        <f ca="1">IFERROR(__xludf.DUMMYFUNCTION("""COMPUTED_VALUE"""),"#VALUE!")</f>
        <v>#VALUE!</v>
      </c>
      <c r="BG1526" t="str">
        <f ca="1">IFERROR(__xludf.DUMMYFUNCTION("""COMPUTED_VALUE"""),"#VALUE!")</f>
        <v>#VALUE!</v>
      </c>
      <c r="BI1526" t="str">
        <f ca="1">IFERROR(__xludf.DUMMYFUNCTION("""COMPUTED_VALUE"""),"#VALUE!")</f>
        <v>#VALUE!</v>
      </c>
      <c r="BK1526" t="str">
        <f ca="1">IFERROR(__xludf.DUMMYFUNCTION("""COMPUTED_VALUE"""),"#VALUE!")</f>
        <v>#VALUE!</v>
      </c>
      <c r="BM1526" t="str">
        <f ca="1">IFERROR(__xludf.DUMMYFUNCTION("""COMPUTED_VALUE"""),"#VALUE!")</f>
        <v>#VALUE!</v>
      </c>
      <c r="CS1526" t="str">
        <f ca="1">IFERROR(__xludf.DUMMYFUNCTION("""COMPUTED_VALUE"""),"#VALUE!")</f>
        <v>#VALUE!</v>
      </c>
      <c r="CU1526" t="str">
        <f ca="1">IFERROR(__xludf.DUMMYFUNCTION("""COMPUTED_VALUE"""),"#VALUE!")</f>
        <v>#VALUE!</v>
      </c>
      <c r="CW1526" t="str">
        <f ca="1">IFERROR(__xludf.DUMMYFUNCTION("""COMPUTED_VALUE"""),"#VALUE!")</f>
        <v>#VALUE!</v>
      </c>
      <c r="CY1526" t="str">
        <f ca="1">IFERROR(__xludf.DUMMYFUNCTION("""COMPUTED_VALUE"""),"#VALUE!")</f>
        <v>#VALUE!</v>
      </c>
      <c r="DC1526" t="str">
        <f ca="1">IFERROR(__xludf.DUMMYFUNCTION("""COMPUTED_VALUE"""),"#VALUE!")</f>
        <v>#VALUE!</v>
      </c>
      <c r="DE1526" t="str">
        <f ca="1">IFERROR(__xludf.DUMMYFUNCTION("""COMPUTED_VALUE"""),"#VALUE!")</f>
        <v>#VALUE!</v>
      </c>
    </row>
    <row r="1527" spans="1:109" ht="13.2" x14ac:dyDescent="0.25">
      <c r="A1527" t="str">
        <f ca="1">IFERROR(__xludf.DUMMYFUNCTION("""COMPUTED_VALUE"""),"P1536")</f>
        <v>P1536</v>
      </c>
      <c r="BC1527" t="str">
        <f ca="1">IFERROR(__xludf.DUMMYFUNCTION("""COMPUTED_VALUE"""),"#VALUE!")</f>
        <v>#VALUE!</v>
      </c>
      <c r="BE1527" t="str">
        <f ca="1">IFERROR(__xludf.DUMMYFUNCTION("""COMPUTED_VALUE"""),"#VALUE!")</f>
        <v>#VALUE!</v>
      </c>
      <c r="BG1527" t="str">
        <f ca="1">IFERROR(__xludf.DUMMYFUNCTION("""COMPUTED_VALUE"""),"#VALUE!")</f>
        <v>#VALUE!</v>
      </c>
      <c r="BI1527" t="str">
        <f ca="1">IFERROR(__xludf.DUMMYFUNCTION("""COMPUTED_VALUE"""),"#VALUE!")</f>
        <v>#VALUE!</v>
      </c>
      <c r="BK1527" t="str">
        <f ca="1">IFERROR(__xludf.DUMMYFUNCTION("""COMPUTED_VALUE"""),"#VALUE!")</f>
        <v>#VALUE!</v>
      </c>
      <c r="BM1527" t="str">
        <f ca="1">IFERROR(__xludf.DUMMYFUNCTION("""COMPUTED_VALUE"""),"#VALUE!")</f>
        <v>#VALUE!</v>
      </c>
      <c r="CS1527" t="str">
        <f ca="1">IFERROR(__xludf.DUMMYFUNCTION("""COMPUTED_VALUE"""),"#VALUE!")</f>
        <v>#VALUE!</v>
      </c>
      <c r="CU1527" t="str">
        <f ca="1">IFERROR(__xludf.DUMMYFUNCTION("""COMPUTED_VALUE"""),"#VALUE!")</f>
        <v>#VALUE!</v>
      </c>
      <c r="CW1527" t="str">
        <f ca="1">IFERROR(__xludf.DUMMYFUNCTION("""COMPUTED_VALUE"""),"#VALUE!")</f>
        <v>#VALUE!</v>
      </c>
      <c r="CY1527" t="str">
        <f ca="1">IFERROR(__xludf.DUMMYFUNCTION("""COMPUTED_VALUE"""),"#VALUE!")</f>
        <v>#VALUE!</v>
      </c>
      <c r="DC1527" t="str">
        <f ca="1">IFERROR(__xludf.DUMMYFUNCTION("""COMPUTED_VALUE"""),"#VALUE!")</f>
        <v>#VALUE!</v>
      </c>
      <c r="DE1527" t="str">
        <f ca="1">IFERROR(__xludf.DUMMYFUNCTION("""COMPUTED_VALUE"""),"#VALUE!")</f>
        <v>#VALUE!</v>
      </c>
    </row>
    <row r="1528" spans="1:109" ht="13.2" x14ac:dyDescent="0.25">
      <c r="A1528" t="str">
        <f ca="1">IFERROR(__xludf.DUMMYFUNCTION("""COMPUTED_VALUE"""),"P1537")</f>
        <v>P1537</v>
      </c>
      <c r="BC1528" t="str">
        <f ca="1">IFERROR(__xludf.DUMMYFUNCTION("""COMPUTED_VALUE"""),"#VALUE!")</f>
        <v>#VALUE!</v>
      </c>
      <c r="BE1528" t="str">
        <f ca="1">IFERROR(__xludf.DUMMYFUNCTION("""COMPUTED_VALUE"""),"#VALUE!")</f>
        <v>#VALUE!</v>
      </c>
      <c r="BG1528" t="str">
        <f ca="1">IFERROR(__xludf.DUMMYFUNCTION("""COMPUTED_VALUE"""),"#VALUE!")</f>
        <v>#VALUE!</v>
      </c>
      <c r="BI1528" t="str">
        <f ca="1">IFERROR(__xludf.DUMMYFUNCTION("""COMPUTED_VALUE"""),"#VALUE!")</f>
        <v>#VALUE!</v>
      </c>
      <c r="BK1528" t="str">
        <f ca="1">IFERROR(__xludf.DUMMYFUNCTION("""COMPUTED_VALUE"""),"#VALUE!")</f>
        <v>#VALUE!</v>
      </c>
      <c r="BM1528" t="str">
        <f ca="1">IFERROR(__xludf.DUMMYFUNCTION("""COMPUTED_VALUE"""),"#VALUE!")</f>
        <v>#VALUE!</v>
      </c>
      <c r="CS1528" t="str">
        <f ca="1">IFERROR(__xludf.DUMMYFUNCTION("""COMPUTED_VALUE"""),"#VALUE!")</f>
        <v>#VALUE!</v>
      </c>
      <c r="CU1528" t="str">
        <f ca="1">IFERROR(__xludf.DUMMYFUNCTION("""COMPUTED_VALUE"""),"#VALUE!")</f>
        <v>#VALUE!</v>
      </c>
      <c r="CW1528" t="str">
        <f ca="1">IFERROR(__xludf.DUMMYFUNCTION("""COMPUTED_VALUE"""),"#VALUE!")</f>
        <v>#VALUE!</v>
      </c>
      <c r="CY1528" t="str">
        <f ca="1">IFERROR(__xludf.DUMMYFUNCTION("""COMPUTED_VALUE"""),"#VALUE!")</f>
        <v>#VALUE!</v>
      </c>
      <c r="DC1528" t="str">
        <f ca="1">IFERROR(__xludf.DUMMYFUNCTION("""COMPUTED_VALUE"""),"#VALUE!")</f>
        <v>#VALUE!</v>
      </c>
      <c r="DE1528" t="str">
        <f ca="1">IFERROR(__xludf.DUMMYFUNCTION("""COMPUTED_VALUE"""),"#VALUE!")</f>
        <v>#VALUE!</v>
      </c>
    </row>
    <row r="1529" spans="1:109" ht="13.2" x14ac:dyDescent="0.25">
      <c r="A1529" t="str">
        <f ca="1">IFERROR(__xludf.DUMMYFUNCTION("""COMPUTED_VALUE"""),"P1538")</f>
        <v>P1538</v>
      </c>
      <c r="BC1529" t="str">
        <f ca="1">IFERROR(__xludf.DUMMYFUNCTION("""COMPUTED_VALUE"""),"#VALUE!")</f>
        <v>#VALUE!</v>
      </c>
      <c r="BE1529" t="str">
        <f ca="1">IFERROR(__xludf.DUMMYFUNCTION("""COMPUTED_VALUE"""),"#VALUE!")</f>
        <v>#VALUE!</v>
      </c>
      <c r="BG1529" t="str">
        <f ca="1">IFERROR(__xludf.DUMMYFUNCTION("""COMPUTED_VALUE"""),"#VALUE!")</f>
        <v>#VALUE!</v>
      </c>
      <c r="BI1529" t="str">
        <f ca="1">IFERROR(__xludf.DUMMYFUNCTION("""COMPUTED_VALUE"""),"#VALUE!")</f>
        <v>#VALUE!</v>
      </c>
      <c r="BK1529" t="str">
        <f ca="1">IFERROR(__xludf.DUMMYFUNCTION("""COMPUTED_VALUE"""),"#VALUE!")</f>
        <v>#VALUE!</v>
      </c>
      <c r="BM1529" t="str">
        <f ca="1">IFERROR(__xludf.DUMMYFUNCTION("""COMPUTED_VALUE"""),"#VALUE!")</f>
        <v>#VALUE!</v>
      </c>
      <c r="CS1529" t="str">
        <f ca="1">IFERROR(__xludf.DUMMYFUNCTION("""COMPUTED_VALUE"""),"#VALUE!")</f>
        <v>#VALUE!</v>
      </c>
      <c r="CU1529" t="str">
        <f ca="1">IFERROR(__xludf.DUMMYFUNCTION("""COMPUTED_VALUE"""),"#VALUE!")</f>
        <v>#VALUE!</v>
      </c>
      <c r="CW1529" t="str">
        <f ca="1">IFERROR(__xludf.DUMMYFUNCTION("""COMPUTED_VALUE"""),"#VALUE!")</f>
        <v>#VALUE!</v>
      </c>
      <c r="CY1529" t="str">
        <f ca="1">IFERROR(__xludf.DUMMYFUNCTION("""COMPUTED_VALUE"""),"#VALUE!")</f>
        <v>#VALUE!</v>
      </c>
      <c r="DC1529" t="str">
        <f ca="1">IFERROR(__xludf.DUMMYFUNCTION("""COMPUTED_VALUE"""),"#VALUE!")</f>
        <v>#VALUE!</v>
      </c>
      <c r="DE1529" t="str">
        <f ca="1">IFERROR(__xludf.DUMMYFUNCTION("""COMPUTED_VALUE"""),"#VALUE!")</f>
        <v>#VALUE!</v>
      </c>
    </row>
    <row r="1530" spans="1:109" ht="13.2" x14ac:dyDescent="0.25">
      <c r="A1530" t="str">
        <f ca="1">IFERROR(__xludf.DUMMYFUNCTION("""COMPUTED_VALUE"""),"P1539")</f>
        <v>P1539</v>
      </c>
      <c r="BC1530" t="str">
        <f ca="1">IFERROR(__xludf.DUMMYFUNCTION("""COMPUTED_VALUE"""),"#VALUE!")</f>
        <v>#VALUE!</v>
      </c>
      <c r="BE1530" t="str">
        <f ca="1">IFERROR(__xludf.DUMMYFUNCTION("""COMPUTED_VALUE"""),"#VALUE!")</f>
        <v>#VALUE!</v>
      </c>
      <c r="BG1530" t="str">
        <f ca="1">IFERROR(__xludf.DUMMYFUNCTION("""COMPUTED_VALUE"""),"#VALUE!")</f>
        <v>#VALUE!</v>
      </c>
      <c r="BI1530" t="str">
        <f ca="1">IFERROR(__xludf.DUMMYFUNCTION("""COMPUTED_VALUE"""),"#VALUE!")</f>
        <v>#VALUE!</v>
      </c>
      <c r="BK1530" t="str">
        <f ca="1">IFERROR(__xludf.DUMMYFUNCTION("""COMPUTED_VALUE"""),"#VALUE!")</f>
        <v>#VALUE!</v>
      </c>
      <c r="BM1530" t="str">
        <f ca="1">IFERROR(__xludf.DUMMYFUNCTION("""COMPUTED_VALUE"""),"#VALUE!")</f>
        <v>#VALUE!</v>
      </c>
      <c r="CS1530" t="str">
        <f ca="1">IFERROR(__xludf.DUMMYFUNCTION("""COMPUTED_VALUE"""),"#VALUE!")</f>
        <v>#VALUE!</v>
      </c>
      <c r="CU1530" t="str">
        <f ca="1">IFERROR(__xludf.DUMMYFUNCTION("""COMPUTED_VALUE"""),"#VALUE!")</f>
        <v>#VALUE!</v>
      </c>
      <c r="CW1530" t="str">
        <f ca="1">IFERROR(__xludf.DUMMYFUNCTION("""COMPUTED_VALUE"""),"#VALUE!")</f>
        <v>#VALUE!</v>
      </c>
      <c r="CY1530" t="str">
        <f ca="1">IFERROR(__xludf.DUMMYFUNCTION("""COMPUTED_VALUE"""),"#VALUE!")</f>
        <v>#VALUE!</v>
      </c>
      <c r="DC1530" t="str">
        <f ca="1">IFERROR(__xludf.DUMMYFUNCTION("""COMPUTED_VALUE"""),"#VALUE!")</f>
        <v>#VALUE!</v>
      </c>
      <c r="DE1530" t="str">
        <f ca="1">IFERROR(__xludf.DUMMYFUNCTION("""COMPUTED_VALUE"""),"#VALUE!")</f>
        <v>#VALUE!</v>
      </c>
    </row>
    <row r="1531" spans="1:109" ht="13.2" x14ac:dyDescent="0.25">
      <c r="A1531" t="str">
        <f ca="1">IFERROR(__xludf.DUMMYFUNCTION("""COMPUTED_VALUE"""),"P1540")</f>
        <v>P1540</v>
      </c>
      <c r="BC1531" t="str">
        <f ca="1">IFERROR(__xludf.DUMMYFUNCTION("""COMPUTED_VALUE"""),"#VALUE!")</f>
        <v>#VALUE!</v>
      </c>
      <c r="BE1531" t="str">
        <f ca="1">IFERROR(__xludf.DUMMYFUNCTION("""COMPUTED_VALUE"""),"#VALUE!")</f>
        <v>#VALUE!</v>
      </c>
      <c r="BG1531" t="str">
        <f ca="1">IFERROR(__xludf.DUMMYFUNCTION("""COMPUTED_VALUE"""),"#VALUE!")</f>
        <v>#VALUE!</v>
      </c>
      <c r="BI1531" t="str">
        <f ca="1">IFERROR(__xludf.DUMMYFUNCTION("""COMPUTED_VALUE"""),"#VALUE!")</f>
        <v>#VALUE!</v>
      </c>
      <c r="BK1531" t="str">
        <f ca="1">IFERROR(__xludf.DUMMYFUNCTION("""COMPUTED_VALUE"""),"#VALUE!")</f>
        <v>#VALUE!</v>
      </c>
      <c r="BM1531" t="str">
        <f ca="1">IFERROR(__xludf.DUMMYFUNCTION("""COMPUTED_VALUE"""),"#VALUE!")</f>
        <v>#VALUE!</v>
      </c>
      <c r="CS1531" t="str">
        <f ca="1">IFERROR(__xludf.DUMMYFUNCTION("""COMPUTED_VALUE"""),"#VALUE!")</f>
        <v>#VALUE!</v>
      </c>
      <c r="CU1531" t="str">
        <f ca="1">IFERROR(__xludf.DUMMYFUNCTION("""COMPUTED_VALUE"""),"#VALUE!")</f>
        <v>#VALUE!</v>
      </c>
      <c r="CW1531" t="str">
        <f ca="1">IFERROR(__xludf.DUMMYFUNCTION("""COMPUTED_VALUE"""),"#VALUE!")</f>
        <v>#VALUE!</v>
      </c>
      <c r="CY1531" t="str">
        <f ca="1">IFERROR(__xludf.DUMMYFUNCTION("""COMPUTED_VALUE"""),"#VALUE!")</f>
        <v>#VALUE!</v>
      </c>
      <c r="DC1531" t="str">
        <f ca="1">IFERROR(__xludf.DUMMYFUNCTION("""COMPUTED_VALUE"""),"#VALUE!")</f>
        <v>#VALUE!</v>
      </c>
      <c r="DE1531" t="str">
        <f ca="1">IFERROR(__xludf.DUMMYFUNCTION("""COMPUTED_VALUE"""),"#VALUE!")</f>
        <v>#VALUE!</v>
      </c>
    </row>
    <row r="1532" spans="1:109" ht="13.2" x14ac:dyDescent="0.25">
      <c r="A1532" t="str">
        <f ca="1">IFERROR(__xludf.DUMMYFUNCTION("""COMPUTED_VALUE"""),"P1541")</f>
        <v>P1541</v>
      </c>
      <c r="BC1532" t="str">
        <f ca="1">IFERROR(__xludf.DUMMYFUNCTION("""COMPUTED_VALUE"""),"#VALUE!")</f>
        <v>#VALUE!</v>
      </c>
      <c r="BE1532" t="str">
        <f ca="1">IFERROR(__xludf.DUMMYFUNCTION("""COMPUTED_VALUE"""),"#VALUE!")</f>
        <v>#VALUE!</v>
      </c>
      <c r="BG1532" t="str">
        <f ca="1">IFERROR(__xludf.DUMMYFUNCTION("""COMPUTED_VALUE"""),"#VALUE!")</f>
        <v>#VALUE!</v>
      </c>
      <c r="BI1532" t="str">
        <f ca="1">IFERROR(__xludf.DUMMYFUNCTION("""COMPUTED_VALUE"""),"#VALUE!")</f>
        <v>#VALUE!</v>
      </c>
      <c r="BK1532" t="str">
        <f ca="1">IFERROR(__xludf.DUMMYFUNCTION("""COMPUTED_VALUE"""),"#VALUE!")</f>
        <v>#VALUE!</v>
      </c>
      <c r="BM1532" t="str">
        <f ca="1">IFERROR(__xludf.DUMMYFUNCTION("""COMPUTED_VALUE"""),"#VALUE!")</f>
        <v>#VALUE!</v>
      </c>
      <c r="CS1532" t="str">
        <f ca="1">IFERROR(__xludf.DUMMYFUNCTION("""COMPUTED_VALUE"""),"#VALUE!")</f>
        <v>#VALUE!</v>
      </c>
      <c r="CU1532" t="str">
        <f ca="1">IFERROR(__xludf.DUMMYFUNCTION("""COMPUTED_VALUE"""),"#VALUE!")</f>
        <v>#VALUE!</v>
      </c>
      <c r="CW1532" t="str">
        <f ca="1">IFERROR(__xludf.DUMMYFUNCTION("""COMPUTED_VALUE"""),"#VALUE!")</f>
        <v>#VALUE!</v>
      </c>
      <c r="CY1532" t="str">
        <f ca="1">IFERROR(__xludf.DUMMYFUNCTION("""COMPUTED_VALUE"""),"#VALUE!")</f>
        <v>#VALUE!</v>
      </c>
      <c r="DC1532" t="str">
        <f ca="1">IFERROR(__xludf.DUMMYFUNCTION("""COMPUTED_VALUE"""),"#VALUE!")</f>
        <v>#VALUE!</v>
      </c>
      <c r="DE1532" t="str">
        <f ca="1">IFERROR(__xludf.DUMMYFUNCTION("""COMPUTED_VALUE"""),"#VALUE!")</f>
        <v>#VALUE!</v>
      </c>
    </row>
    <row r="1533" spans="1:109" ht="13.2" x14ac:dyDescent="0.25">
      <c r="A1533" t="str">
        <f ca="1">IFERROR(__xludf.DUMMYFUNCTION("""COMPUTED_VALUE"""),"P1542")</f>
        <v>P1542</v>
      </c>
      <c r="BC1533" t="str">
        <f ca="1">IFERROR(__xludf.DUMMYFUNCTION("""COMPUTED_VALUE"""),"#VALUE!")</f>
        <v>#VALUE!</v>
      </c>
      <c r="BE1533" t="str">
        <f ca="1">IFERROR(__xludf.DUMMYFUNCTION("""COMPUTED_VALUE"""),"#VALUE!")</f>
        <v>#VALUE!</v>
      </c>
      <c r="BG1533" t="str">
        <f ca="1">IFERROR(__xludf.DUMMYFUNCTION("""COMPUTED_VALUE"""),"#VALUE!")</f>
        <v>#VALUE!</v>
      </c>
      <c r="BI1533" t="str">
        <f ca="1">IFERROR(__xludf.DUMMYFUNCTION("""COMPUTED_VALUE"""),"#VALUE!")</f>
        <v>#VALUE!</v>
      </c>
      <c r="BK1533" t="str">
        <f ca="1">IFERROR(__xludf.DUMMYFUNCTION("""COMPUTED_VALUE"""),"#VALUE!")</f>
        <v>#VALUE!</v>
      </c>
      <c r="BM1533" t="str">
        <f ca="1">IFERROR(__xludf.DUMMYFUNCTION("""COMPUTED_VALUE"""),"#VALUE!")</f>
        <v>#VALUE!</v>
      </c>
      <c r="CS1533" t="str">
        <f ca="1">IFERROR(__xludf.DUMMYFUNCTION("""COMPUTED_VALUE"""),"#VALUE!")</f>
        <v>#VALUE!</v>
      </c>
      <c r="CU1533" t="str">
        <f ca="1">IFERROR(__xludf.DUMMYFUNCTION("""COMPUTED_VALUE"""),"#VALUE!")</f>
        <v>#VALUE!</v>
      </c>
      <c r="CW1533" t="str">
        <f ca="1">IFERROR(__xludf.DUMMYFUNCTION("""COMPUTED_VALUE"""),"#VALUE!")</f>
        <v>#VALUE!</v>
      </c>
      <c r="CY1533" t="str">
        <f ca="1">IFERROR(__xludf.DUMMYFUNCTION("""COMPUTED_VALUE"""),"#VALUE!")</f>
        <v>#VALUE!</v>
      </c>
      <c r="DC1533" t="str">
        <f ca="1">IFERROR(__xludf.DUMMYFUNCTION("""COMPUTED_VALUE"""),"#VALUE!")</f>
        <v>#VALUE!</v>
      </c>
      <c r="DE1533" t="str">
        <f ca="1">IFERROR(__xludf.DUMMYFUNCTION("""COMPUTED_VALUE"""),"#VALUE!")</f>
        <v>#VALUE!</v>
      </c>
    </row>
    <row r="1534" spans="1:109" ht="13.2" x14ac:dyDescent="0.25">
      <c r="A1534" t="str">
        <f ca="1">IFERROR(__xludf.DUMMYFUNCTION("""COMPUTED_VALUE"""),"P1543")</f>
        <v>P1543</v>
      </c>
      <c r="BC1534" t="str">
        <f ca="1">IFERROR(__xludf.DUMMYFUNCTION("""COMPUTED_VALUE"""),"#VALUE!")</f>
        <v>#VALUE!</v>
      </c>
      <c r="BE1534" t="str">
        <f ca="1">IFERROR(__xludf.DUMMYFUNCTION("""COMPUTED_VALUE"""),"#VALUE!")</f>
        <v>#VALUE!</v>
      </c>
      <c r="BG1534" t="str">
        <f ca="1">IFERROR(__xludf.DUMMYFUNCTION("""COMPUTED_VALUE"""),"#VALUE!")</f>
        <v>#VALUE!</v>
      </c>
      <c r="BI1534" t="str">
        <f ca="1">IFERROR(__xludf.DUMMYFUNCTION("""COMPUTED_VALUE"""),"#VALUE!")</f>
        <v>#VALUE!</v>
      </c>
      <c r="BK1534" t="str">
        <f ca="1">IFERROR(__xludf.DUMMYFUNCTION("""COMPUTED_VALUE"""),"#VALUE!")</f>
        <v>#VALUE!</v>
      </c>
      <c r="BM1534" t="str">
        <f ca="1">IFERROR(__xludf.DUMMYFUNCTION("""COMPUTED_VALUE"""),"#VALUE!")</f>
        <v>#VALUE!</v>
      </c>
      <c r="CS1534" t="str">
        <f ca="1">IFERROR(__xludf.DUMMYFUNCTION("""COMPUTED_VALUE"""),"#VALUE!")</f>
        <v>#VALUE!</v>
      </c>
      <c r="CU1534" t="str">
        <f ca="1">IFERROR(__xludf.DUMMYFUNCTION("""COMPUTED_VALUE"""),"#VALUE!")</f>
        <v>#VALUE!</v>
      </c>
      <c r="CW1534" t="str">
        <f ca="1">IFERROR(__xludf.DUMMYFUNCTION("""COMPUTED_VALUE"""),"#VALUE!")</f>
        <v>#VALUE!</v>
      </c>
      <c r="CY1534" t="str">
        <f ca="1">IFERROR(__xludf.DUMMYFUNCTION("""COMPUTED_VALUE"""),"#VALUE!")</f>
        <v>#VALUE!</v>
      </c>
      <c r="DC1534" t="str">
        <f ca="1">IFERROR(__xludf.DUMMYFUNCTION("""COMPUTED_VALUE"""),"#VALUE!")</f>
        <v>#VALUE!</v>
      </c>
      <c r="DE1534" t="str">
        <f ca="1">IFERROR(__xludf.DUMMYFUNCTION("""COMPUTED_VALUE"""),"#VALUE!")</f>
        <v>#VALUE!</v>
      </c>
    </row>
    <row r="1535" spans="1:109" ht="13.2" x14ac:dyDescent="0.25">
      <c r="A1535" t="str">
        <f ca="1">IFERROR(__xludf.DUMMYFUNCTION("""COMPUTED_VALUE"""),"P1544")</f>
        <v>P1544</v>
      </c>
      <c r="BC1535" t="str">
        <f ca="1">IFERROR(__xludf.DUMMYFUNCTION("""COMPUTED_VALUE"""),"#VALUE!")</f>
        <v>#VALUE!</v>
      </c>
      <c r="BE1535" t="str">
        <f ca="1">IFERROR(__xludf.DUMMYFUNCTION("""COMPUTED_VALUE"""),"#VALUE!")</f>
        <v>#VALUE!</v>
      </c>
      <c r="BG1535" t="str">
        <f ca="1">IFERROR(__xludf.DUMMYFUNCTION("""COMPUTED_VALUE"""),"#VALUE!")</f>
        <v>#VALUE!</v>
      </c>
      <c r="BI1535" t="str">
        <f ca="1">IFERROR(__xludf.DUMMYFUNCTION("""COMPUTED_VALUE"""),"#VALUE!")</f>
        <v>#VALUE!</v>
      </c>
      <c r="BK1535" t="str">
        <f ca="1">IFERROR(__xludf.DUMMYFUNCTION("""COMPUTED_VALUE"""),"#VALUE!")</f>
        <v>#VALUE!</v>
      </c>
      <c r="BM1535" t="str">
        <f ca="1">IFERROR(__xludf.DUMMYFUNCTION("""COMPUTED_VALUE"""),"#VALUE!")</f>
        <v>#VALUE!</v>
      </c>
      <c r="CS1535" t="str">
        <f ca="1">IFERROR(__xludf.DUMMYFUNCTION("""COMPUTED_VALUE"""),"#VALUE!")</f>
        <v>#VALUE!</v>
      </c>
      <c r="CU1535" t="str">
        <f ca="1">IFERROR(__xludf.DUMMYFUNCTION("""COMPUTED_VALUE"""),"#VALUE!")</f>
        <v>#VALUE!</v>
      </c>
      <c r="CW1535" t="str">
        <f ca="1">IFERROR(__xludf.DUMMYFUNCTION("""COMPUTED_VALUE"""),"#VALUE!")</f>
        <v>#VALUE!</v>
      </c>
      <c r="CY1535" t="str">
        <f ca="1">IFERROR(__xludf.DUMMYFUNCTION("""COMPUTED_VALUE"""),"#VALUE!")</f>
        <v>#VALUE!</v>
      </c>
      <c r="DC1535" t="str">
        <f ca="1">IFERROR(__xludf.DUMMYFUNCTION("""COMPUTED_VALUE"""),"#VALUE!")</f>
        <v>#VALUE!</v>
      </c>
      <c r="DE1535" t="str">
        <f ca="1">IFERROR(__xludf.DUMMYFUNCTION("""COMPUTED_VALUE"""),"#VALUE!")</f>
        <v>#VALUE!</v>
      </c>
    </row>
    <row r="1536" spans="1:109" ht="13.2" x14ac:dyDescent="0.25">
      <c r="A1536" t="str">
        <f ca="1">IFERROR(__xludf.DUMMYFUNCTION("""COMPUTED_VALUE"""),"P1545")</f>
        <v>P1545</v>
      </c>
      <c r="BC1536" t="str">
        <f ca="1">IFERROR(__xludf.DUMMYFUNCTION("""COMPUTED_VALUE"""),"#VALUE!")</f>
        <v>#VALUE!</v>
      </c>
      <c r="BE1536" t="str">
        <f ca="1">IFERROR(__xludf.DUMMYFUNCTION("""COMPUTED_VALUE"""),"#VALUE!")</f>
        <v>#VALUE!</v>
      </c>
      <c r="BG1536" t="str">
        <f ca="1">IFERROR(__xludf.DUMMYFUNCTION("""COMPUTED_VALUE"""),"#VALUE!")</f>
        <v>#VALUE!</v>
      </c>
      <c r="BI1536" t="str">
        <f ca="1">IFERROR(__xludf.DUMMYFUNCTION("""COMPUTED_VALUE"""),"#VALUE!")</f>
        <v>#VALUE!</v>
      </c>
      <c r="BK1536" t="str">
        <f ca="1">IFERROR(__xludf.DUMMYFUNCTION("""COMPUTED_VALUE"""),"#VALUE!")</f>
        <v>#VALUE!</v>
      </c>
      <c r="BM1536" t="str">
        <f ca="1">IFERROR(__xludf.DUMMYFUNCTION("""COMPUTED_VALUE"""),"#VALUE!")</f>
        <v>#VALUE!</v>
      </c>
      <c r="CS1536" t="str">
        <f ca="1">IFERROR(__xludf.DUMMYFUNCTION("""COMPUTED_VALUE"""),"#VALUE!")</f>
        <v>#VALUE!</v>
      </c>
      <c r="CU1536" t="str">
        <f ca="1">IFERROR(__xludf.DUMMYFUNCTION("""COMPUTED_VALUE"""),"#VALUE!")</f>
        <v>#VALUE!</v>
      </c>
      <c r="CW1536" t="str">
        <f ca="1">IFERROR(__xludf.DUMMYFUNCTION("""COMPUTED_VALUE"""),"#VALUE!")</f>
        <v>#VALUE!</v>
      </c>
      <c r="CY1536" t="str">
        <f ca="1">IFERROR(__xludf.DUMMYFUNCTION("""COMPUTED_VALUE"""),"#VALUE!")</f>
        <v>#VALUE!</v>
      </c>
      <c r="DC1536" t="str">
        <f ca="1">IFERROR(__xludf.DUMMYFUNCTION("""COMPUTED_VALUE"""),"#VALUE!")</f>
        <v>#VALUE!</v>
      </c>
      <c r="DE1536" t="str">
        <f ca="1">IFERROR(__xludf.DUMMYFUNCTION("""COMPUTED_VALUE"""),"#VALUE!")</f>
        <v>#VALUE!</v>
      </c>
    </row>
    <row r="1537" spans="1:109" ht="13.2" x14ac:dyDescent="0.25">
      <c r="A1537" t="str">
        <f ca="1">IFERROR(__xludf.DUMMYFUNCTION("""COMPUTED_VALUE"""),"P1546")</f>
        <v>P1546</v>
      </c>
      <c r="BC1537" t="str">
        <f ca="1">IFERROR(__xludf.DUMMYFUNCTION("""COMPUTED_VALUE"""),"#VALUE!")</f>
        <v>#VALUE!</v>
      </c>
      <c r="BE1537" t="str">
        <f ca="1">IFERROR(__xludf.DUMMYFUNCTION("""COMPUTED_VALUE"""),"#VALUE!")</f>
        <v>#VALUE!</v>
      </c>
      <c r="BG1537" t="str">
        <f ca="1">IFERROR(__xludf.DUMMYFUNCTION("""COMPUTED_VALUE"""),"#VALUE!")</f>
        <v>#VALUE!</v>
      </c>
      <c r="BI1537" t="str">
        <f ca="1">IFERROR(__xludf.DUMMYFUNCTION("""COMPUTED_VALUE"""),"#VALUE!")</f>
        <v>#VALUE!</v>
      </c>
      <c r="BK1537" t="str">
        <f ca="1">IFERROR(__xludf.DUMMYFUNCTION("""COMPUTED_VALUE"""),"#VALUE!")</f>
        <v>#VALUE!</v>
      </c>
      <c r="BM1537" t="str">
        <f ca="1">IFERROR(__xludf.DUMMYFUNCTION("""COMPUTED_VALUE"""),"#VALUE!")</f>
        <v>#VALUE!</v>
      </c>
      <c r="CS1537" t="str">
        <f ca="1">IFERROR(__xludf.DUMMYFUNCTION("""COMPUTED_VALUE"""),"#VALUE!")</f>
        <v>#VALUE!</v>
      </c>
      <c r="CU1537" t="str">
        <f ca="1">IFERROR(__xludf.DUMMYFUNCTION("""COMPUTED_VALUE"""),"#VALUE!")</f>
        <v>#VALUE!</v>
      </c>
      <c r="CW1537" t="str">
        <f ca="1">IFERROR(__xludf.DUMMYFUNCTION("""COMPUTED_VALUE"""),"#VALUE!")</f>
        <v>#VALUE!</v>
      </c>
      <c r="CY1537" t="str">
        <f ca="1">IFERROR(__xludf.DUMMYFUNCTION("""COMPUTED_VALUE"""),"#VALUE!")</f>
        <v>#VALUE!</v>
      </c>
      <c r="DC1537" t="str">
        <f ca="1">IFERROR(__xludf.DUMMYFUNCTION("""COMPUTED_VALUE"""),"#VALUE!")</f>
        <v>#VALUE!</v>
      </c>
      <c r="DE1537" t="str">
        <f ca="1">IFERROR(__xludf.DUMMYFUNCTION("""COMPUTED_VALUE"""),"#VALUE!")</f>
        <v>#VALUE!</v>
      </c>
    </row>
    <row r="1538" spans="1:109" ht="13.2" x14ac:dyDescent="0.25">
      <c r="A1538" t="str">
        <f ca="1">IFERROR(__xludf.DUMMYFUNCTION("""COMPUTED_VALUE"""),"P1547")</f>
        <v>P1547</v>
      </c>
      <c r="BC1538" t="str">
        <f ca="1">IFERROR(__xludf.DUMMYFUNCTION("""COMPUTED_VALUE"""),"#VALUE!")</f>
        <v>#VALUE!</v>
      </c>
      <c r="BE1538" t="str">
        <f ca="1">IFERROR(__xludf.DUMMYFUNCTION("""COMPUTED_VALUE"""),"#VALUE!")</f>
        <v>#VALUE!</v>
      </c>
      <c r="BG1538" t="str">
        <f ca="1">IFERROR(__xludf.DUMMYFUNCTION("""COMPUTED_VALUE"""),"#VALUE!")</f>
        <v>#VALUE!</v>
      </c>
      <c r="BI1538" t="str">
        <f ca="1">IFERROR(__xludf.DUMMYFUNCTION("""COMPUTED_VALUE"""),"#VALUE!")</f>
        <v>#VALUE!</v>
      </c>
      <c r="BK1538" t="str">
        <f ca="1">IFERROR(__xludf.DUMMYFUNCTION("""COMPUTED_VALUE"""),"#VALUE!")</f>
        <v>#VALUE!</v>
      </c>
      <c r="BM1538" t="str">
        <f ca="1">IFERROR(__xludf.DUMMYFUNCTION("""COMPUTED_VALUE"""),"#VALUE!")</f>
        <v>#VALUE!</v>
      </c>
      <c r="CS1538" t="str">
        <f ca="1">IFERROR(__xludf.DUMMYFUNCTION("""COMPUTED_VALUE"""),"#VALUE!")</f>
        <v>#VALUE!</v>
      </c>
      <c r="CU1538" t="str">
        <f ca="1">IFERROR(__xludf.DUMMYFUNCTION("""COMPUTED_VALUE"""),"#VALUE!")</f>
        <v>#VALUE!</v>
      </c>
      <c r="CW1538" t="str">
        <f ca="1">IFERROR(__xludf.DUMMYFUNCTION("""COMPUTED_VALUE"""),"#VALUE!")</f>
        <v>#VALUE!</v>
      </c>
      <c r="CY1538" t="str">
        <f ca="1">IFERROR(__xludf.DUMMYFUNCTION("""COMPUTED_VALUE"""),"#VALUE!")</f>
        <v>#VALUE!</v>
      </c>
      <c r="DC1538" t="str">
        <f ca="1">IFERROR(__xludf.DUMMYFUNCTION("""COMPUTED_VALUE"""),"#VALUE!")</f>
        <v>#VALUE!</v>
      </c>
      <c r="DE1538" t="str">
        <f ca="1">IFERROR(__xludf.DUMMYFUNCTION("""COMPUTED_VALUE"""),"#VALUE!")</f>
        <v>#VALUE!</v>
      </c>
    </row>
    <row r="1539" spans="1:109" ht="13.2" x14ac:dyDescent="0.25">
      <c r="A1539" t="str">
        <f ca="1">IFERROR(__xludf.DUMMYFUNCTION("""COMPUTED_VALUE"""),"P1548")</f>
        <v>P1548</v>
      </c>
      <c r="BC1539" t="str">
        <f ca="1">IFERROR(__xludf.DUMMYFUNCTION("""COMPUTED_VALUE"""),"#VALUE!")</f>
        <v>#VALUE!</v>
      </c>
      <c r="BE1539" t="str">
        <f ca="1">IFERROR(__xludf.DUMMYFUNCTION("""COMPUTED_VALUE"""),"#VALUE!")</f>
        <v>#VALUE!</v>
      </c>
      <c r="BG1539" t="str">
        <f ca="1">IFERROR(__xludf.DUMMYFUNCTION("""COMPUTED_VALUE"""),"#VALUE!")</f>
        <v>#VALUE!</v>
      </c>
      <c r="BI1539" t="str">
        <f ca="1">IFERROR(__xludf.DUMMYFUNCTION("""COMPUTED_VALUE"""),"#VALUE!")</f>
        <v>#VALUE!</v>
      </c>
      <c r="BK1539" t="str">
        <f ca="1">IFERROR(__xludf.DUMMYFUNCTION("""COMPUTED_VALUE"""),"#VALUE!")</f>
        <v>#VALUE!</v>
      </c>
      <c r="BM1539" t="str">
        <f ca="1">IFERROR(__xludf.DUMMYFUNCTION("""COMPUTED_VALUE"""),"#VALUE!")</f>
        <v>#VALUE!</v>
      </c>
      <c r="CS1539" t="str">
        <f ca="1">IFERROR(__xludf.DUMMYFUNCTION("""COMPUTED_VALUE"""),"#VALUE!")</f>
        <v>#VALUE!</v>
      </c>
      <c r="CU1539" t="str">
        <f ca="1">IFERROR(__xludf.DUMMYFUNCTION("""COMPUTED_VALUE"""),"#VALUE!")</f>
        <v>#VALUE!</v>
      </c>
      <c r="CW1539" t="str">
        <f ca="1">IFERROR(__xludf.DUMMYFUNCTION("""COMPUTED_VALUE"""),"#VALUE!")</f>
        <v>#VALUE!</v>
      </c>
      <c r="CY1539" t="str">
        <f ca="1">IFERROR(__xludf.DUMMYFUNCTION("""COMPUTED_VALUE"""),"#VALUE!")</f>
        <v>#VALUE!</v>
      </c>
      <c r="DC1539" t="str">
        <f ca="1">IFERROR(__xludf.DUMMYFUNCTION("""COMPUTED_VALUE"""),"#VALUE!")</f>
        <v>#VALUE!</v>
      </c>
      <c r="DE1539" t="str">
        <f ca="1">IFERROR(__xludf.DUMMYFUNCTION("""COMPUTED_VALUE"""),"#VALUE!")</f>
        <v>#VALUE!</v>
      </c>
    </row>
    <row r="1540" spans="1:109" ht="13.2" x14ac:dyDescent="0.25">
      <c r="A1540" t="str">
        <f ca="1">IFERROR(__xludf.DUMMYFUNCTION("""COMPUTED_VALUE"""),"P1549")</f>
        <v>P1549</v>
      </c>
      <c r="BC1540" t="str">
        <f ca="1">IFERROR(__xludf.DUMMYFUNCTION("""COMPUTED_VALUE"""),"#VALUE!")</f>
        <v>#VALUE!</v>
      </c>
      <c r="BE1540" t="str">
        <f ca="1">IFERROR(__xludf.DUMMYFUNCTION("""COMPUTED_VALUE"""),"#VALUE!")</f>
        <v>#VALUE!</v>
      </c>
      <c r="BG1540" t="str">
        <f ca="1">IFERROR(__xludf.DUMMYFUNCTION("""COMPUTED_VALUE"""),"#VALUE!")</f>
        <v>#VALUE!</v>
      </c>
      <c r="BI1540" t="str">
        <f ca="1">IFERROR(__xludf.DUMMYFUNCTION("""COMPUTED_VALUE"""),"#VALUE!")</f>
        <v>#VALUE!</v>
      </c>
      <c r="BK1540" t="str">
        <f ca="1">IFERROR(__xludf.DUMMYFUNCTION("""COMPUTED_VALUE"""),"#VALUE!")</f>
        <v>#VALUE!</v>
      </c>
      <c r="BM1540" t="str">
        <f ca="1">IFERROR(__xludf.DUMMYFUNCTION("""COMPUTED_VALUE"""),"#VALUE!")</f>
        <v>#VALUE!</v>
      </c>
      <c r="CS1540" t="str">
        <f ca="1">IFERROR(__xludf.DUMMYFUNCTION("""COMPUTED_VALUE"""),"#VALUE!")</f>
        <v>#VALUE!</v>
      </c>
      <c r="CU1540" t="str">
        <f ca="1">IFERROR(__xludf.DUMMYFUNCTION("""COMPUTED_VALUE"""),"#VALUE!")</f>
        <v>#VALUE!</v>
      </c>
      <c r="CW1540" t="str">
        <f ca="1">IFERROR(__xludf.DUMMYFUNCTION("""COMPUTED_VALUE"""),"#VALUE!")</f>
        <v>#VALUE!</v>
      </c>
      <c r="CY1540" t="str">
        <f ca="1">IFERROR(__xludf.DUMMYFUNCTION("""COMPUTED_VALUE"""),"#VALUE!")</f>
        <v>#VALUE!</v>
      </c>
      <c r="DC1540" t="str">
        <f ca="1">IFERROR(__xludf.DUMMYFUNCTION("""COMPUTED_VALUE"""),"#VALUE!")</f>
        <v>#VALUE!</v>
      </c>
      <c r="DE1540" t="str">
        <f ca="1">IFERROR(__xludf.DUMMYFUNCTION("""COMPUTED_VALUE"""),"#VALUE!")</f>
        <v>#VALUE!</v>
      </c>
    </row>
    <row r="1541" spans="1:109" ht="13.2" x14ac:dyDescent="0.25">
      <c r="A1541" t="str">
        <f ca="1">IFERROR(__xludf.DUMMYFUNCTION("""COMPUTED_VALUE"""),"P1550")</f>
        <v>P1550</v>
      </c>
      <c r="BC1541" t="str">
        <f ca="1">IFERROR(__xludf.DUMMYFUNCTION("""COMPUTED_VALUE"""),"#VALUE!")</f>
        <v>#VALUE!</v>
      </c>
      <c r="BE1541" t="str">
        <f ca="1">IFERROR(__xludf.DUMMYFUNCTION("""COMPUTED_VALUE"""),"#VALUE!")</f>
        <v>#VALUE!</v>
      </c>
      <c r="BG1541" t="str">
        <f ca="1">IFERROR(__xludf.DUMMYFUNCTION("""COMPUTED_VALUE"""),"#VALUE!")</f>
        <v>#VALUE!</v>
      </c>
      <c r="BI1541" t="str">
        <f ca="1">IFERROR(__xludf.DUMMYFUNCTION("""COMPUTED_VALUE"""),"#VALUE!")</f>
        <v>#VALUE!</v>
      </c>
      <c r="BK1541" t="str">
        <f ca="1">IFERROR(__xludf.DUMMYFUNCTION("""COMPUTED_VALUE"""),"#VALUE!")</f>
        <v>#VALUE!</v>
      </c>
      <c r="BM1541" t="str">
        <f ca="1">IFERROR(__xludf.DUMMYFUNCTION("""COMPUTED_VALUE"""),"#VALUE!")</f>
        <v>#VALUE!</v>
      </c>
      <c r="CS1541" t="str">
        <f ca="1">IFERROR(__xludf.DUMMYFUNCTION("""COMPUTED_VALUE"""),"#VALUE!")</f>
        <v>#VALUE!</v>
      </c>
      <c r="CU1541" t="str">
        <f ca="1">IFERROR(__xludf.DUMMYFUNCTION("""COMPUTED_VALUE"""),"#VALUE!")</f>
        <v>#VALUE!</v>
      </c>
      <c r="CW1541" t="str">
        <f ca="1">IFERROR(__xludf.DUMMYFUNCTION("""COMPUTED_VALUE"""),"#VALUE!")</f>
        <v>#VALUE!</v>
      </c>
      <c r="CY1541" t="str">
        <f ca="1">IFERROR(__xludf.DUMMYFUNCTION("""COMPUTED_VALUE"""),"#VALUE!")</f>
        <v>#VALUE!</v>
      </c>
      <c r="DC1541" t="str">
        <f ca="1">IFERROR(__xludf.DUMMYFUNCTION("""COMPUTED_VALUE"""),"#VALUE!")</f>
        <v>#VALUE!</v>
      </c>
      <c r="DE1541" t="str">
        <f ca="1">IFERROR(__xludf.DUMMYFUNCTION("""COMPUTED_VALUE"""),"#VALUE!")</f>
        <v>#VALUE!</v>
      </c>
    </row>
    <row r="1542" spans="1:109" ht="13.2" x14ac:dyDescent="0.25">
      <c r="A1542" t="str">
        <f ca="1">IFERROR(__xludf.DUMMYFUNCTION("""COMPUTED_VALUE"""),"P1551")</f>
        <v>P1551</v>
      </c>
      <c r="BC1542" t="str">
        <f ca="1">IFERROR(__xludf.DUMMYFUNCTION("""COMPUTED_VALUE"""),"#VALUE!")</f>
        <v>#VALUE!</v>
      </c>
      <c r="BE1542" t="str">
        <f ca="1">IFERROR(__xludf.DUMMYFUNCTION("""COMPUTED_VALUE"""),"#VALUE!")</f>
        <v>#VALUE!</v>
      </c>
      <c r="BG1542" t="str">
        <f ca="1">IFERROR(__xludf.DUMMYFUNCTION("""COMPUTED_VALUE"""),"#VALUE!")</f>
        <v>#VALUE!</v>
      </c>
      <c r="BI1542" t="str">
        <f ca="1">IFERROR(__xludf.DUMMYFUNCTION("""COMPUTED_VALUE"""),"#VALUE!")</f>
        <v>#VALUE!</v>
      </c>
      <c r="BK1542" t="str">
        <f ca="1">IFERROR(__xludf.DUMMYFUNCTION("""COMPUTED_VALUE"""),"#VALUE!")</f>
        <v>#VALUE!</v>
      </c>
      <c r="BM1542" t="str">
        <f ca="1">IFERROR(__xludf.DUMMYFUNCTION("""COMPUTED_VALUE"""),"#VALUE!")</f>
        <v>#VALUE!</v>
      </c>
      <c r="CS1542" t="str">
        <f ca="1">IFERROR(__xludf.DUMMYFUNCTION("""COMPUTED_VALUE"""),"#VALUE!")</f>
        <v>#VALUE!</v>
      </c>
      <c r="CU1542" t="str">
        <f ca="1">IFERROR(__xludf.DUMMYFUNCTION("""COMPUTED_VALUE"""),"#VALUE!")</f>
        <v>#VALUE!</v>
      </c>
      <c r="CW1542" t="str">
        <f ca="1">IFERROR(__xludf.DUMMYFUNCTION("""COMPUTED_VALUE"""),"#VALUE!")</f>
        <v>#VALUE!</v>
      </c>
      <c r="CY1542" t="str">
        <f ca="1">IFERROR(__xludf.DUMMYFUNCTION("""COMPUTED_VALUE"""),"#VALUE!")</f>
        <v>#VALUE!</v>
      </c>
      <c r="DC1542" t="str">
        <f ca="1">IFERROR(__xludf.DUMMYFUNCTION("""COMPUTED_VALUE"""),"#VALUE!")</f>
        <v>#VALUE!</v>
      </c>
      <c r="DE1542" t="str">
        <f ca="1">IFERROR(__xludf.DUMMYFUNCTION("""COMPUTED_VALUE"""),"#VALUE!")</f>
        <v>#VALUE!</v>
      </c>
    </row>
    <row r="1543" spans="1:109" ht="13.2" x14ac:dyDescent="0.25">
      <c r="A1543" t="str">
        <f ca="1">IFERROR(__xludf.DUMMYFUNCTION("""COMPUTED_VALUE"""),"P1552")</f>
        <v>P1552</v>
      </c>
      <c r="BC1543" t="str">
        <f ca="1">IFERROR(__xludf.DUMMYFUNCTION("""COMPUTED_VALUE"""),"#VALUE!")</f>
        <v>#VALUE!</v>
      </c>
      <c r="BE1543" t="str">
        <f ca="1">IFERROR(__xludf.DUMMYFUNCTION("""COMPUTED_VALUE"""),"#VALUE!")</f>
        <v>#VALUE!</v>
      </c>
      <c r="BG1543" t="str">
        <f ca="1">IFERROR(__xludf.DUMMYFUNCTION("""COMPUTED_VALUE"""),"#VALUE!")</f>
        <v>#VALUE!</v>
      </c>
      <c r="BI1543" t="str">
        <f ca="1">IFERROR(__xludf.DUMMYFUNCTION("""COMPUTED_VALUE"""),"#VALUE!")</f>
        <v>#VALUE!</v>
      </c>
      <c r="BK1543" t="str">
        <f ca="1">IFERROR(__xludf.DUMMYFUNCTION("""COMPUTED_VALUE"""),"#VALUE!")</f>
        <v>#VALUE!</v>
      </c>
      <c r="BM1543" t="str">
        <f ca="1">IFERROR(__xludf.DUMMYFUNCTION("""COMPUTED_VALUE"""),"#VALUE!")</f>
        <v>#VALUE!</v>
      </c>
      <c r="CS1543" t="str">
        <f ca="1">IFERROR(__xludf.DUMMYFUNCTION("""COMPUTED_VALUE"""),"#VALUE!")</f>
        <v>#VALUE!</v>
      </c>
      <c r="CU1543" t="str">
        <f ca="1">IFERROR(__xludf.DUMMYFUNCTION("""COMPUTED_VALUE"""),"#VALUE!")</f>
        <v>#VALUE!</v>
      </c>
      <c r="CW1543" t="str">
        <f ca="1">IFERROR(__xludf.DUMMYFUNCTION("""COMPUTED_VALUE"""),"#VALUE!")</f>
        <v>#VALUE!</v>
      </c>
      <c r="CY1543" t="str">
        <f ca="1">IFERROR(__xludf.DUMMYFUNCTION("""COMPUTED_VALUE"""),"#VALUE!")</f>
        <v>#VALUE!</v>
      </c>
      <c r="DC1543" t="str">
        <f ca="1">IFERROR(__xludf.DUMMYFUNCTION("""COMPUTED_VALUE"""),"#VALUE!")</f>
        <v>#VALUE!</v>
      </c>
      <c r="DE1543" t="str">
        <f ca="1">IFERROR(__xludf.DUMMYFUNCTION("""COMPUTED_VALUE"""),"#VALUE!")</f>
        <v>#VALUE!</v>
      </c>
    </row>
    <row r="1544" spans="1:109" ht="13.2" x14ac:dyDescent="0.25">
      <c r="A1544" t="str">
        <f ca="1">IFERROR(__xludf.DUMMYFUNCTION("""COMPUTED_VALUE"""),"P1553")</f>
        <v>P1553</v>
      </c>
      <c r="BC1544" t="str">
        <f ca="1">IFERROR(__xludf.DUMMYFUNCTION("""COMPUTED_VALUE"""),"#VALUE!")</f>
        <v>#VALUE!</v>
      </c>
      <c r="BE1544" t="str">
        <f ca="1">IFERROR(__xludf.DUMMYFUNCTION("""COMPUTED_VALUE"""),"#VALUE!")</f>
        <v>#VALUE!</v>
      </c>
      <c r="BG1544" t="str">
        <f ca="1">IFERROR(__xludf.DUMMYFUNCTION("""COMPUTED_VALUE"""),"#VALUE!")</f>
        <v>#VALUE!</v>
      </c>
      <c r="BI1544" t="str">
        <f ca="1">IFERROR(__xludf.DUMMYFUNCTION("""COMPUTED_VALUE"""),"#VALUE!")</f>
        <v>#VALUE!</v>
      </c>
      <c r="BK1544" t="str">
        <f ca="1">IFERROR(__xludf.DUMMYFUNCTION("""COMPUTED_VALUE"""),"#VALUE!")</f>
        <v>#VALUE!</v>
      </c>
      <c r="BM1544" t="str">
        <f ca="1">IFERROR(__xludf.DUMMYFUNCTION("""COMPUTED_VALUE"""),"#VALUE!")</f>
        <v>#VALUE!</v>
      </c>
      <c r="CS1544" t="str">
        <f ca="1">IFERROR(__xludf.DUMMYFUNCTION("""COMPUTED_VALUE"""),"#VALUE!")</f>
        <v>#VALUE!</v>
      </c>
      <c r="CU1544" t="str">
        <f ca="1">IFERROR(__xludf.DUMMYFUNCTION("""COMPUTED_VALUE"""),"#VALUE!")</f>
        <v>#VALUE!</v>
      </c>
      <c r="CW1544" t="str">
        <f ca="1">IFERROR(__xludf.DUMMYFUNCTION("""COMPUTED_VALUE"""),"#VALUE!")</f>
        <v>#VALUE!</v>
      </c>
      <c r="CY1544" t="str">
        <f ca="1">IFERROR(__xludf.DUMMYFUNCTION("""COMPUTED_VALUE"""),"#VALUE!")</f>
        <v>#VALUE!</v>
      </c>
      <c r="DC1544" t="str">
        <f ca="1">IFERROR(__xludf.DUMMYFUNCTION("""COMPUTED_VALUE"""),"#VALUE!")</f>
        <v>#VALUE!</v>
      </c>
      <c r="DE1544" t="str">
        <f ca="1">IFERROR(__xludf.DUMMYFUNCTION("""COMPUTED_VALUE"""),"#VALUE!")</f>
        <v>#VALUE!</v>
      </c>
    </row>
    <row r="1545" spans="1:109" ht="13.2" x14ac:dyDescent="0.25">
      <c r="A1545" t="str">
        <f ca="1">IFERROR(__xludf.DUMMYFUNCTION("""COMPUTED_VALUE"""),"P1554")</f>
        <v>P1554</v>
      </c>
      <c r="BC1545" t="str">
        <f ca="1">IFERROR(__xludf.DUMMYFUNCTION("""COMPUTED_VALUE"""),"#VALUE!")</f>
        <v>#VALUE!</v>
      </c>
      <c r="BE1545" t="str">
        <f ca="1">IFERROR(__xludf.DUMMYFUNCTION("""COMPUTED_VALUE"""),"#VALUE!")</f>
        <v>#VALUE!</v>
      </c>
      <c r="BG1545" t="str">
        <f ca="1">IFERROR(__xludf.DUMMYFUNCTION("""COMPUTED_VALUE"""),"#VALUE!")</f>
        <v>#VALUE!</v>
      </c>
      <c r="BI1545" t="str">
        <f ca="1">IFERROR(__xludf.DUMMYFUNCTION("""COMPUTED_VALUE"""),"#VALUE!")</f>
        <v>#VALUE!</v>
      </c>
      <c r="BK1545" t="str">
        <f ca="1">IFERROR(__xludf.DUMMYFUNCTION("""COMPUTED_VALUE"""),"#VALUE!")</f>
        <v>#VALUE!</v>
      </c>
      <c r="BM1545" t="str">
        <f ca="1">IFERROR(__xludf.DUMMYFUNCTION("""COMPUTED_VALUE"""),"#VALUE!")</f>
        <v>#VALUE!</v>
      </c>
      <c r="CS1545" t="str">
        <f ca="1">IFERROR(__xludf.DUMMYFUNCTION("""COMPUTED_VALUE"""),"#VALUE!")</f>
        <v>#VALUE!</v>
      </c>
      <c r="CU1545" t="str">
        <f ca="1">IFERROR(__xludf.DUMMYFUNCTION("""COMPUTED_VALUE"""),"#VALUE!")</f>
        <v>#VALUE!</v>
      </c>
      <c r="CW1545" t="str">
        <f ca="1">IFERROR(__xludf.DUMMYFUNCTION("""COMPUTED_VALUE"""),"#VALUE!")</f>
        <v>#VALUE!</v>
      </c>
      <c r="CY1545" t="str">
        <f ca="1">IFERROR(__xludf.DUMMYFUNCTION("""COMPUTED_VALUE"""),"#VALUE!")</f>
        <v>#VALUE!</v>
      </c>
      <c r="DC1545" t="str">
        <f ca="1">IFERROR(__xludf.DUMMYFUNCTION("""COMPUTED_VALUE"""),"#VALUE!")</f>
        <v>#VALUE!</v>
      </c>
      <c r="DE1545" t="str">
        <f ca="1">IFERROR(__xludf.DUMMYFUNCTION("""COMPUTED_VALUE"""),"#VALUE!")</f>
        <v>#VALUE!</v>
      </c>
    </row>
    <row r="1546" spans="1:109" ht="13.2" x14ac:dyDescent="0.25">
      <c r="A1546" t="str">
        <f ca="1">IFERROR(__xludf.DUMMYFUNCTION("""COMPUTED_VALUE"""),"P1555")</f>
        <v>P1555</v>
      </c>
      <c r="BC1546" t="str">
        <f ca="1">IFERROR(__xludf.DUMMYFUNCTION("""COMPUTED_VALUE"""),"#VALUE!")</f>
        <v>#VALUE!</v>
      </c>
      <c r="BE1546" t="str">
        <f ca="1">IFERROR(__xludf.DUMMYFUNCTION("""COMPUTED_VALUE"""),"#VALUE!")</f>
        <v>#VALUE!</v>
      </c>
      <c r="BG1546" t="str">
        <f ca="1">IFERROR(__xludf.DUMMYFUNCTION("""COMPUTED_VALUE"""),"#VALUE!")</f>
        <v>#VALUE!</v>
      </c>
      <c r="BI1546" t="str">
        <f ca="1">IFERROR(__xludf.DUMMYFUNCTION("""COMPUTED_VALUE"""),"#VALUE!")</f>
        <v>#VALUE!</v>
      </c>
      <c r="BK1546" t="str">
        <f ca="1">IFERROR(__xludf.DUMMYFUNCTION("""COMPUTED_VALUE"""),"#VALUE!")</f>
        <v>#VALUE!</v>
      </c>
      <c r="BM1546" t="str">
        <f ca="1">IFERROR(__xludf.DUMMYFUNCTION("""COMPUTED_VALUE"""),"#VALUE!")</f>
        <v>#VALUE!</v>
      </c>
      <c r="CS1546" t="str">
        <f ca="1">IFERROR(__xludf.DUMMYFUNCTION("""COMPUTED_VALUE"""),"#VALUE!")</f>
        <v>#VALUE!</v>
      </c>
      <c r="CU1546" t="str">
        <f ca="1">IFERROR(__xludf.DUMMYFUNCTION("""COMPUTED_VALUE"""),"#VALUE!")</f>
        <v>#VALUE!</v>
      </c>
      <c r="CW1546" t="str">
        <f ca="1">IFERROR(__xludf.DUMMYFUNCTION("""COMPUTED_VALUE"""),"#VALUE!")</f>
        <v>#VALUE!</v>
      </c>
      <c r="CY1546" t="str">
        <f ca="1">IFERROR(__xludf.DUMMYFUNCTION("""COMPUTED_VALUE"""),"#VALUE!")</f>
        <v>#VALUE!</v>
      </c>
      <c r="DC1546" t="str">
        <f ca="1">IFERROR(__xludf.DUMMYFUNCTION("""COMPUTED_VALUE"""),"#VALUE!")</f>
        <v>#VALUE!</v>
      </c>
      <c r="DE1546" t="str">
        <f ca="1">IFERROR(__xludf.DUMMYFUNCTION("""COMPUTED_VALUE"""),"#VALUE!")</f>
        <v>#VALUE!</v>
      </c>
    </row>
    <row r="1547" spans="1:109" ht="13.2" x14ac:dyDescent="0.25">
      <c r="A1547" t="str">
        <f ca="1">IFERROR(__xludf.DUMMYFUNCTION("""COMPUTED_VALUE"""),"P1556")</f>
        <v>P1556</v>
      </c>
      <c r="BC1547" t="str">
        <f ca="1">IFERROR(__xludf.DUMMYFUNCTION("""COMPUTED_VALUE"""),"#VALUE!")</f>
        <v>#VALUE!</v>
      </c>
      <c r="BE1547" t="str">
        <f ca="1">IFERROR(__xludf.DUMMYFUNCTION("""COMPUTED_VALUE"""),"#VALUE!")</f>
        <v>#VALUE!</v>
      </c>
      <c r="BG1547" t="str">
        <f ca="1">IFERROR(__xludf.DUMMYFUNCTION("""COMPUTED_VALUE"""),"#VALUE!")</f>
        <v>#VALUE!</v>
      </c>
      <c r="BI1547" t="str">
        <f ca="1">IFERROR(__xludf.DUMMYFUNCTION("""COMPUTED_VALUE"""),"#VALUE!")</f>
        <v>#VALUE!</v>
      </c>
      <c r="BK1547" t="str">
        <f ca="1">IFERROR(__xludf.DUMMYFUNCTION("""COMPUTED_VALUE"""),"#VALUE!")</f>
        <v>#VALUE!</v>
      </c>
      <c r="BM1547" t="str">
        <f ca="1">IFERROR(__xludf.DUMMYFUNCTION("""COMPUTED_VALUE"""),"#VALUE!")</f>
        <v>#VALUE!</v>
      </c>
      <c r="CS1547" t="str">
        <f ca="1">IFERROR(__xludf.DUMMYFUNCTION("""COMPUTED_VALUE"""),"#VALUE!")</f>
        <v>#VALUE!</v>
      </c>
      <c r="CU1547" t="str">
        <f ca="1">IFERROR(__xludf.DUMMYFUNCTION("""COMPUTED_VALUE"""),"#VALUE!")</f>
        <v>#VALUE!</v>
      </c>
      <c r="CW1547" t="str">
        <f ca="1">IFERROR(__xludf.DUMMYFUNCTION("""COMPUTED_VALUE"""),"#VALUE!")</f>
        <v>#VALUE!</v>
      </c>
      <c r="CY1547" t="str">
        <f ca="1">IFERROR(__xludf.DUMMYFUNCTION("""COMPUTED_VALUE"""),"#VALUE!")</f>
        <v>#VALUE!</v>
      </c>
      <c r="DC1547" t="str">
        <f ca="1">IFERROR(__xludf.DUMMYFUNCTION("""COMPUTED_VALUE"""),"#VALUE!")</f>
        <v>#VALUE!</v>
      </c>
      <c r="DE1547" t="str">
        <f ca="1">IFERROR(__xludf.DUMMYFUNCTION("""COMPUTED_VALUE"""),"#VALUE!")</f>
        <v>#VALUE!</v>
      </c>
    </row>
    <row r="1548" spans="1:109" ht="13.2" x14ac:dyDescent="0.25">
      <c r="A1548" t="str">
        <f ca="1">IFERROR(__xludf.DUMMYFUNCTION("""COMPUTED_VALUE"""),"P1557")</f>
        <v>P1557</v>
      </c>
      <c r="BC1548" t="str">
        <f ca="1">IFERROR(__xludf.DUMMYFUNCTION("""COMPUTED_VALUE"""),"#VALUE!")</f>
        <v>#VALUE!</v>
      </c>
      <c r="BE1548" t="str">
        <f ca="1">IFERROR(__xludf.DUMMYFUNCTION("""COMPUTED_VALUE"""),"#VALUE!")</f>
        <v>#VALUE!</v>
      </c>
      <c r="BG1548" t="str">
        <f ca="1">IFERROR(__xludf.DUMMYFUNCTION("""COMPUTED_VALUE"""),"#VALUE!")</f>
        <v>#VALUE!</v>
      </c>
      <c r="BI1548" t="str">
        <f ca="1">IFERROR(__xludf.DUMMYFUNCTION("""COMPUTED_VALUE"""),"#VALUE!")</f>
        <v>#VALUE!</v>
      </c>
      <c r="BK1548" t="str">
        <f ca="1">IFERROR(__xludf.DUMMYFUNCTION("""COMPUTED_VALUE"""),"#VALUE!")</f>
        <v>#VALUE!</v>
      </c>
      <c r="BM1548" t="str">
        <f ca="1">IFERROR(__xludf.DUMMYFUNCTION("""COMPUTED_VALUE"""),"#VALUE!")</f>
        <v>#VALUE!</v>
      </c>
      <c r="CS1548" t="str">
        <f ca="1">IFERROR(__xludf.DUMMYFUNCTION("""COMPUTED_VALUE"""),"#VALUE!")</f>
        <v>#VALUE!</v>
      </c>
      <c r="CU1548" t="str">
        <f ca="1">IFERROR(__xludf.DUMMYFUNCTION("""COMPUTED_VALUE"""),"#VALUE!")</f>
        <v>#VALUE!</v>
      </c>
      <c r="CW1548" t="str">
        <f ca="1">IFERROR(__xludf.DUMMYFUNCTION("""COMPUTED_VALUE"""),"#VALUE!")</f>
        <v>#VALUE!</v>
      </c>
      <c r="CY1548" t="str">
        <f ca="1">IFERROR(__xludf.DUMMYFUNCTION("""COMPUTED_VALUE"""),"#VALUE!")</f>
        <v>#VALUE!</v>
      </c>
      <c r="DC1548" t="str">
        <f ca="1">IFERROR(__xludf.DUMMYFUNCTION("""COMPUTED_VALUE"""),"#VALUE!")</f>
        <v>#VALUE!</v>
      </c>
      <c r="DE1548" t="str">
        <f ca="1">IFERROR(__xludf.DUMMYFUNCTION("""COMPUTED_VALUE"""),"#VALUE!")</f>
        <v>#VALUE!</v>
      </c>
    </row>
    <row r="1549" spans="1:109" ht="13.2" x14ac:dyDescent="0.25">
      <c r="A1549" t="str">
        <f ca="1">IFERROR(__xludf.DUMMYFUNCTION("""COMPUTED_VALUE"""),"P1558")</f>
        <v>P1558</v>
      </c>
      <c r="BC1549" t="str">
        <f ca="1">IFERROR(__xludf.DUMMYFUNCTION("""COMPUTED_VALUE"""),"#VALUE!")</f>
        <v>#VALUE!</v>
      </c>
      <c r="BE1549" t="str">
        <f ca="1">IFERROR(__xludf.DUMMYFUNCTION("""COMPUTED_VALUE"""),"#VALUE!")</f>
        <v>#VALUE!</v>
      </c>
      <c r="BG1549" t="str">
        <f ca="1">IFERROR(__xludf.DUMMYFUNCTION("""COMPUTED_VALUE"""),"#VALUE!")</f>
        <v>#VALUE!</v>
      </c>
      <c r="BI1549" t="str">
        <f ca="1">IFERROR(__xludf.DUMMYFUNCTION("""COMPUTED_VALUE"""),"#VALUE!")</f>
        <v>#VALUE!</v>
      </c>
      <c r="BK1549" t="str">
        <f ca="1">IFERROR(__xludf.DUMMYFUNCTION("""COMPUTED_VALUE"""),"#VALUE!")</f>
        <v>#VALUE!</v>
      </c>
      <c r="BM1549" t="str">
        <f ca="1">IFERROR(__xludf.DUMMYFUNCTION("""COMPUTED_VALUE"""),"#VALUE!")</f>
        <v>#VALUE!</v>
      </c>
      <c r="CS1549" t="str">
        <f ca="1">IFERROR(__xludf.DUMMYFUNCTION("""COMPUTED_VALUE"""),"#VALUE!")</f>
        <v>#VALUE!</v>
      </c>
      <c r="CU1549" t="str">
        <f ca="1">IFERROR(__xludf.DUMMYFUNCTION("""COMPUTED_VALUE"""),"#VALUE!")</f>
        <v>#VALUE!</v>
      </c>
      <c r="CW1549" t="str">
        <f ca="1">IFERROR(__xludf.DUMMYFUNCTION("""COMPUTED_VALUE"""),"#VALUE!")</f>
        <v>#VALUE!</v>
      </c>
      <c r="CY1549" t="str">
        <f ca="1">IFERROR(__xludf.DUMMYFUNCTION("""COMPUTED_VALUE"""),"#VALUE!")</f>
        <v>#VALUE!</v>
      </c>
      <c r="DC1549" t="str">
        <f ca="1">IFERROR(__xludf.DUMMYFUNCTION("""COMPUTED_VALUE"""),"#VALUE!")</f>
        <v>#VALUE!</v>
      </c>
      <c r="DE1549" t="str">
        <f ca="1">IFERROR(__xludf.DUMMYFUNCTION("""COMPUTED_VALUE"""),"#VALUE!")</f>
        <v>#VALUE!</v>
      </c>
    </row>
    <row r="1550" spans="1:109" ht="13.2" x14ac:dyDescent="0.25">
      <c r="A1550" t="str">
        <f ca="1">IFERROR(__xludf.DUMMYFUNCTION("""COMPUTED_VALUE"""),"P1559")</f>
        <v>P1559</v>
      </c>
      <c r="BC1550" t="str">
        <f ca="1">IFERROR(__xludf.DUMMYFUNCTION("""COMPUTED_VALUE"""),"#VALUE!")</f>
        <v>#VALUE!</v>
      </c>
      <c r="BE1550" t="str">
        <f ca="1">IFERROR(__xludf.DUMMYFUNCTION("""COMPUTED_VALUE"""),"#VALUE!")</f>
        <v>#VALUE!</v>
      </c>
      <c r="BG1550" t="str">
        <f ca="1">IFERROR(__xludf.DUMMYFUNCTION("""COMPUTED_VALUE"""),"#VALUE!")</f>
        <v>#VALUE!</v>
      </c>
      <c r="BI1550" t="str">
        <f ca="1">IFERROR(__xludf.DUMMYFUNCTION("""COMPUTED_VALUE"""),"#VALUE!")</f>
        <v>#VALUE!</v>
      </c>
      <c r="BK1550" t="str">
        <f ca="1">IFERROR(__xludf.DUMMYFUNCTION("""COMPUTED_VALUE"""),"#VALUE!")</f>
        <v>#VALUE!</v>
      </c>
      <c r="BM1550" t="str">
        <f ca="1">IFERROR(__xludf.DUMMYFUNCTION("""COMPUTED_VALUE"""),"#VALUE!")</f>
        <v>#VALUE!</v>
      </c>
      <c r="CS1550" t="str">
        <f ca="1">IFERROR(__xludf.DUMMYFUNCTION("""COMPUTED_VALUE"""),"#VALUE!")</f>
        <v>#VALUE!</v>
      </c>
      <c r="CU1550" t="str">
        <f ca="1">IFERROR(__xludf.DUMMYFUNCTION("""COMPUTED_VALUE"""),"#VALUE!")</f>
        <v>#VALUE!</v>
      </c>
      <c r="CW1550" t="str">
        <f ca="1">IFERROR(__xludf.DUMMYFUNCTION("""COMPUTED_VALUE"""),"#VALUE!")</f>
        <v>#VALUE!</v>
      </c>
      <c r="CY1550" t="str">
        <f ca="1">IFERROR(__xludf.DUMMYFUNCTION("""COMPUTED_VALUE"""),"#VALUE!")</f>
        <v>#VALUE!</v>
      </c>
      <c r="DC1550" t="str">
        <f ca="1">IFERROR(__xludf.DUMMYFUNCTION("""COMPUTED_VALUE"""),"#VALUE!")</f>
        <v>#VALUE!</v>
      </c>
      <c r="DE1550" t="str">
        <f ca="1">IFERROR(__xludf.DUMMYFUNCTION("""COMPUTED_VALUE"""),"#VALUE!")</f>
        <v>#VALUE!</v>
      </c>
    </row>
    <row r="1551" spans="1:109" ht="13.2" x14ac:dyDescent="0.25">
      <c r="A1551" t="str">
        <f ca="1">IFERROR(__xludf.DUMMYFUNCTION("""COMPUTED_VALUE"""),"P1560")</f>
        <v>P1560</v>
      </c>
      <c r="BC1551" t="str">
        <f ca="1">IFERROR(__xludf.DUMMYFUNCTION("""COMPUTED_VALUE"""),"#VALUE!")</f>
        <v>#VALUE!</v>
      </c>
      <c r="BE1551" t="str">
        <f ca="1">IFERROR(__xludf.DUMMYFUNCTION("""COMPUTED_VALUE"""),"#VALUE!")</f>
        <v>#VALUE!</v>
      </c>
      <c r="BG1551" t="str">
        <f ca="1">IFERROR(__xludf.DUMMYFUNCTION("""COMPUTED_VALUE"""),"#VALUE!")</f>
        <v>#VALUE!</v>
      </c>
      <c r="BI1551" t="str">
        <f ca="1">IFERROR(__xludf.DUMMYFUNCTION("""COMPUTED_VALUE"""),"#VALUE!")</f>
        <v>#VALUE!</v>
      </c>
      <c r="BK1551" t="str">
        <f ca="1">IFERROR(__xludf.DUMMYFUNCTION("""COMPUTED_VALUE"""),"#VALUE!")</f>
        <v>#VALUE!</v>
      </c>
      <c r="BM1551" t="str">
        <f ca="1">IFERROR(__xludf.DUMMYFUNCTION("""COMPUTED_VALUE"""),"#VALUE!")</f>
        <v>#VALUE!</v>
      </c>
      <c r="CS1551" t="str">
        <f ca="1">IFERROR(__xludf.DUMMYFUNCTION("""COMPUTED_VALUE"""),"#VALUE!")</f>
        <v>#VALUE!</v>
      </c>
      <c r="CU1551" t="str">
        <f ca="1">IFERROR(__xludf.DUMMYFUNCTION("""COMPUTED_VALUE"""),"#VALUE!")</f>
        <v>#VALUE!</v>
      </c>
      <c r="CW1551" t="str">
        <f ca="1">IFERROR(__xludf.DUMMYFUNCTION("""COMPUTED_VALUE"""),"#VALUE!")</f>
        <v>#VALUE!</v>
      </c>
      <c r="CY1551" t="str">
        <f ca="1">IFERROR(__xludf.DUMMYFUNCTION("""COMPUTED_VALUE"""),"#VALUE!")</f>
        <v>#VALUE!</v>
      </c>
      <c r="DC1551" t="str">
        <f ca="1">IFERROR(__xludf.DUMMYFUNCTION("""COMPUTED_VALUE"""),"#VALUE!")</f>
        <v>#VALUE!</v>
      </c>
      <c r="DE1551" t="str">
        <f ca="1">IFERROR(__xludf.DUMMYFUNCTION("""COMPUTED_VALUE"""),"#VALUE!")</f>
        <v>#VALUE!</v>
      </c>
    </row>
    <row r="1552" spans="1:109" ht="13.2" x14ac:dyDescent="0.25">
      <c r="A1552" t="str">
        <f ca="1">IFERROR(__xludf.DUMMYFUNCTION("""COMPUTED_VALUE"""),"P1561")</f>
        <v>P1561</v>
      </c>
      <c r="BC1552" t="str">
        <f ca="1">IFERROR(__xludf.DUMMYFUNCTION("""COMPUTED_VALUE"""),"#VALUE!")</f>
        <v>#VALUE!</v>
      </c>
      <c r="BE1552" t="str">
        <f ca="1">IFERROR(__xludf.DUMMYFUNCTION("""COMPUTED_VALUE"""),"#VALUE!")</f>
        <v>#VALUE!</v>
      </c>
      <c r="BG1552" t="str">
        <f ca="1">IFERROR(__xludf.DUMMYFUNCTION("""COMPUTED_VALUE"""),"#VALUE!")</f>
        <v>#VALUE!</v>
      </c>
      <c r="BI1552" t="str">
        <f ca="1">IFERROR(__xludf.DUMMYFUNCTION("""COMPUTED_VALUE"""),"#VALUE!")</f>
        <v>#VALUE!</v>
      </c>
      <c r="BK1552" t="str">
        <f ca="1">IFERROR(__xludf.DUMMYFUNCTION("""COMPUTED_VALUE"""),"#VALUE!")</f>
        <v>#VALUE!</v>
      </c>
      <c r="BM1552" t="str">
        <f ca="1">IFERROR(__xludf.DUMMYFUNCTION("""COMPUTED_VALUE"""),"#VALUE!")</f>
        <v>#VALUE!</v>
      </c>
      <c r="CS1552" t="str">
        <f ca="1">IFERROR(__xludf.DUMMYFUNCTION("""COMPUTED_VALUE"""),"#VALUE!")</f>
        <v>#VALUE!</v>
      </c>
      <c r="CU1552" t="str">
        <f ca="1">IFERROR(__xludf.DUMMYFUNCTION("""COMPUTED_VALUE"""),"#VALUE!")</f>
        <v>#VALUE!</v>
      </c>
      <c r="CW1552" t="str">
        <f ca="1">IFERROR(__xludf.DUMMYFUNCTION("""COMPUTED_VALUE"""),"#VALUE!")</f>
        <v>#VALUE!</v>
      </c>
      <c r="CY1552" t="str">
        <f ca="1">IFERROR(__xludf.DUMMYFUNCTION("""COMPUTED_VALUE"""),"#VALUE!")</f>
        <v>#VALUE!</v>
      </c>
      <c r="DC1552" t="str">
        <f ca="1">IFERROR(__xludf.DUMMYFUNCTION("""COMPUTED_VALUE"""),"#VALUE!")</f>
        <v>#VALUE!</v>
      </c>
      <c r="DE1552" t="str">
        <f ca="1">IFERROR(__xludf.DUMMYFUNCTION("""COMPUTED_VALUE"""),"#VALUE!")</f>
        <v>#VALUE!</v>
      </c>
    </row>
    <row r="1553" spans="1:109" ht="13.2" x14ac:dyDescent="0.25">
      <c r="A1553" t="str">
        <f ca="1">IFERROR(__xludf.DUMMYFUNCTION("""COMPUTED_VALUE"""),"P1562")</f>
        <v>P1562</v>
      </c>
      <c r="BC1553" t="str">
        <f ca="1">IFERROR(__xludf.DUMMYFUNCTION("""COMPUTED_VALUE"""),"#VALUE!")</f>
        <v>#VALUE!</v>
      </c>
      <c r="BE1553" t="str">
        <f ca="1">IFERROR(__xludf.DUMMYFUNCTION("""COMPUTED_VALUE"""),"#VALUE!")</f>
        <v>#VALUE!</v>
      </c>
      <c r="BG1553" t="str">
        <f ca="1">IFERROR(__xludf.DUMMYFUNCTION("""COMPUTED_VALUE"""),"#VALUE!")</f>
        <v>#VALUE!</v>
      </c>
      <c r="BI1553" t="str">
        <f ca="1">IFERROR(__xludf.DUMMYFUNCTION("""COMPUTED_VALUE"""),"#VALUE!")</f>
        <v>#VALUE!</v>
      </c>
      <c r="BK1553" t="str">
        <f ca="1">IFERROR(__xludf.DUMMYFUNCTION("""COMPUTED_VALUE"""),"#VALUE!")</f>
        <v>#VALUE!</v>
      </c>
      <c r="BM1553" t="str">
        <f ca="1">IFERROR(__xludf.DUMMYFUNCTION("""COMPUTED_VALUE"""),"#VALUE!")</f>
        <v>#VALUE!</v>
      </c>
      <c r="CS1553" t="str">
        <f ca="1">IFERROR(__xludf.DUMMYFUNCTION("""COMPUTED_VALUE"""),"#VALUE!")</f>
        <v>#VALUE!</v>
      </c>
      <c r="CU1553" t="str">
        <f ca="1">IFERROR(__xludf.DUMMYFUNCTION("""COMPUTED_VALUE"""),"#VALUE!")</f>
        <v>#VALUE!</v>
      </c>
      <c r="CW1553" t="str">
        <f ca="1">IFERROR(__xludf.DUMMYFUNCTION("""COMPUTED_VALUE"""),"#VALUE!")</f>
        <v>#VALUE!</v>
      </c>
      <c r="CY1553" t="str">
        <f ca="1">IFERROR(__xludf.DUMMYFUNCTION("""COMPUTED_VALUE"""),"#VALUE!")</f>
        <v>#VALUE!</v>
      </c>
      <c r="DC1553" t="str">
        <f ca="1">IFERROR(__xludf.DUMMYFUNCTION("""COMPUTED_VALUE"""),"#VALUE!")</f>
        <v>#VALUE!</v>
      </c>
      <c r="DE1553" t="str">
        <f ca="1">IFERROR(__xludf.DUMMYFUNCTION("""COMPUTED_VALUE"""),"#VALUE!")</f>
        <v>#VALUE!</v>
      </c>
    </row>
    <row r="1554" spans="1:109" ht="13.2" x14ac:dyDescent="0.25">
      <c r="A1554" t="str">
        <f ca="1">IFERROR(__xludf.DUMMYFUNCTION("""COMPUTED_VALUE"""),"P1563")</f>
        <v>P1563</v>
      </c>
      <c r="BC1554" t="str">
        <f ca="1">IFERROR(__xludf.DUMMYFUNCTION("""COMPUTED_VALUE"""),"#VALUE!")</f>
        <v>#VALUE!</v>
      </c>
      <c r="BE1554" t="str">
        <f ca="1">IFERROR(__xludf.DUMMYFUNCTION("""COMPUTED_VALUE"""),"#VALUE!")</f>
        <v>#VALUE!</v>
      </c>
      <c r="BG1554" t="str">
        <f ca="1">IFERROR(__xludf.DUMMYFUNCTION("""COMPUTED_VALUE"""),"#VALUE!")</f>
        <v>#VALUE!</v>
      </c>
      <c r="BI1554" t="str">
        <f ca="1">IFERROR(__xludf.DUMMYFUNCTION("""COMPUTED_VALUE"""),"#VALUE!")</f>
        <v>#VALUE!</v>
      </c>
      <c r="BK1554" t="str">
        <f ca="1">IFERROR(__xludf.DUMMYFUNCTION("""COMPUTED_VALUE"""),"#VALUE!")</f>
        <v>#VALUE!</v>
      </c>
      <c r="BM1554" t="str">
        <f ca="1">IFERROR(__xludf.DUMMYFUNCTION("""COMPUTED_VALUE"""),"#VALUE!")</f>
        <v>#VALUE!</v>
      </c>
      <c r="CS1554" t="str">
        <f ca="1">IFERROR(__xludf.DUMMYFUNCTION("""COMPUTED_VALUE"""),"#VALUE!")</f>
        <v>#VALUE!</v>
      </c>
      <c r="CU1554" t="str">
        <f ca="1">IFERROR(__xludf.DUMMYFUNCTION("""COMPUTED_VALUE"""),"#VALUE!")</f>
        <v>#VALUE!</v>
      </c>
      <c r="CW1554" t="str">
        <f ca="1">IFERROR(__xludf.DUMMYFUNCTION("""COMPUTED_VALUE"""),"#VALUE!")</f>
        <v>#VALUE!</v>
      </c>
      <c r="CY1554" t="str">
        <f ca="1">IFERROR(__xludf.DUMMYFUNCTION("""COMPUTED_VALUE"""),"#VALUE!")</f>
        <v>#VALUE!</v>
      </c>
      <c r="DC1554" t="str">
        <f ca="1">IFERROR(__xludf.DUMMYFUNCTION("""COMPUTED_VALUE"""),"#VALUE!")</f>
        <v>#VALUE!</v>
      </c>
      <c r="DE1554" t="str">
        <f ca="1">IFERROR(__xludf.DUMMYFUNCTION("""COMPUTED_VALUE"""),"#VALUE!")</f>
        <v>#VALUE!</v>
      </c>
    </row>
    <row r="1555" spans="1:109" ht="13.2" x14ac:dyDescent="0.25">
      <c r="A1555" t="str">
        <f ca="1">IFERROR(__xludf.DUMMYFUNCTION("""COMPUTED_VALUE"""),"P1564")</f>
        <v>P1564</v>
      </c>
      <c r="BC1555" t="str">
        <f ca="1">IFERROR(__xludf.DUMMYFUNCTION("""COMPUTED_VALUE"""),"#VALUE!")</f>
        <v>#VALUE!</v>
      </c>
      <c r="BE1555" t="str">
        <f ca="1">IFERROR(__xludf.DUMMYFUNCTION("""COMPUTED_VALUE"""),"#VALUE!")</f>
        <v>#VALUE!</v>
      </c>
      <c r="BG1555" t="str">
        <f ca="1">IFERROR(__xludf.DUMMYFUNCTION("""COMPUTED_VALUE"""),"#VALUE!")</f>
        <v>#VALUE!</v>
      </c>
      <c r="BI1555" t="str">
        <f ca="1">IFERROR(__xludf.DUMMYFUNCTION("""COMPUTED_VALUE"""),"#VALUE!")</f>
        <v>#VALUE!</v>
      </c>
      <c r="BK1555" t="str">
        <f ca="1">IFERROR(__xludf.DUMMYFUNCTION("""COMPUTED_VALUE"""),"#VALUE!")</f>
        <v>#VALUE!</v>
      </c>
      <c r="BM1555" t="str">
        <f ca="1">IFERROR(__xludf.DUMMYFUNCTION("""COMPUTED_VALUE"""),"#VALUE!")</f>
        <v>#VALUE!</v>
      </c>
      <c r="CS1555" t="str">
        <f ca="1">IFERROR(__xludf.DUMMYFUNCTION("""COMPUTED_VALUE"""),"#VALUE!")</f>
        <v>#VALUE!</v>
      </c>
      <c r="CU1555" t="str">
        <f ca="1">IFERROR(__xludf.DUMMYFUNCTION("""COMPUTED_VALUE"""),"#VALUE!")</f>
        <v>#VALUE!</v>
      </c>
      <c r="CW1555" t="str">
        <f ca="1">IFERROR(__xludf.DUMMYFUNCTION("""COMPUTED_VALUE"""),"#VALUE!")</f>
        <v>#VALUE!</v>
      </c>
      <c r="CY1555" t="str">
        <f ca="1">IFERROR(__xludf.DUMMYFUNCTION("""COMPUTED_VALUE"""),"#VALUE!")</f>
        <v>#VALUE!</v>
      </c>
      <c r="DC1555" t="str">
        <f ca="1">IFERROR(__xludf.DUMMYFUNCTION("""COMPUTED_VALUE"""),"#VALUE!")</f>
        <v>#VALUE!</v>
      </c>
      <c r="DE1555" t="str">
        <f ca="1">IFERROR(__xludf.DUMMYFUNCTION("""COMPUTED_VALUE"""),"#VALUE!")</f>
        <v>#VALUE!</v>
      </c>
    </row>
    <row r="1556" spans="1:109" ht="13.2" x14ac:dyDescent="0.25">
      <c r="A1556" t="str">
        <f ca="1">IFERROR(__xludf.DUMMYFUNCTION("""COMPUTED_VALUE"""),"P1565")</f>
        <v>P1565</v>
      </c>
      <c r="BC1556" t="str">
        <f ca="1">IFERROR(__xludf.DUMMYFUNCTION("""COMPUTED_VALUE"""),"#VALUE!")</f>
        <v>#VALUE!</v>
      </c>
      <c r="BE1556" t="str">
        <f ca="1">IFERROR(__xludf.DUMMYFUNCTION("""COMPUTED_VALUE"""),"#VALUE!")</f>
        <v>#VALUE!</v>
      </c>
      <c r="BG1556" t="str">
        <f ca="1">IFERROR(__xludf.DUMMYFUNCTION("""COMPUTED_VALUE"""),"#VALUE!")</f>
        <v>#VALUE!</v>
      </c>
      <c r="BI1556" t="str">
        <f ca="1">IFERROR(__xludf.DUMMYFUNCTION("""COMPUTED_VALUE"""),"#VALUE!")</f>
        <v>#VALUE!</v>
      </c>
      <c r="BK1556" t="str">
        <f ca="1">IFERROR(__xludf.DUMMYFUNCTION("""COMPUTED_VALUE"""),"#VALUE!")</f>
        <v>#VALUE!</v>
      </c>
      <c r="BM1556" t="str">
        <f ca="1">IFERROR(__xludf.DUMMYFUNCTION("""COMPUTED_VALUE"""),"#VALUE!")</f>
        <v>#VALUE!</v>
      </c>
      <c r="CS1556" t="str">
        <f ca="1">IFERROR(__xludf.DUMMYFUNCTION("""COMPUTED_VALUE"""),"#VALUE!")</f>
        <v>#VALUE!</v>
      </c>
      <c r="CU1556" t="str">
        <f ca="1">IFERROR(__xludf.DUMMYFUNCTION("""COMPUTED_VALUE"""),"#VALUE!")</f>
        <v>#VALUE!</v>
      </c>
      <c r="CW1556" t="str">
        <f ca="1">IFERROR(__xludf.DUMMYFUNCTION("""COMPUTED_VALUE"""),"#VALUE!")</f>
        <v>#VALUE!</v>
      </c>
      <c r="CY1556" t="str">
        <f ca="1">IFERROR(__xludf.DUMMYFUNCTION("""COMPUTED_VALUE"""),"#VALUE!")</f>
        <v>#VALUE!</v>
      </c>
      <c r="DC1556" t="str">
        <f ca="1">IFERROR(__xludf.DUMMYFUNCTION("""COMPUTED_VALUE"""),"#VALUE!")</f>
        <v>#VALUE!</v>
      </c>
      <c r="DE1556" t="str">
        <f ca="1">IFERROR(__xludf.DUMMYFUNCTION("""COMPUTED_VALUE"""),"#VALUE!")</f>
        <v>#VALUE!</v>
      </c>
    </row>
    <row r="1557" spans="1:109" ht="13.2" x14ac:dyDescent="0.25">
      <c r="A1557" t="str">
        <f ca="1">IFERROR(__xludf.DUMMYFUNCTION("""COMPUTED_VALUE"""),"P1566")</f>
        <v>P1566</v>
      </c>
      <c r="BC1557" t="str">
        <f ca="1">IFERROR(__xludf.DUMMYFUNCTION("""COMPUTED_VALUE"""),"#VALUE!")</f>
        <v>#VALUE!</v>
      </c>
      <c r="BE1557" t="str">
        <f ca="1">IFERROR(__xludf.DUMMYFUNCTION("""COMPUTED_VALUE"""),"#VALUE!")</f>
        <v>#VALUE!</v>
      </c>
      <c r="BG1557" t="str">
        <f ca="1">IFERROR(__xludf.DUMMYFUNCTION("""COMPUTED_VALUE"""),"#VALUE!")</f>
        <v>#VALUE!</v>
      </c>
      <c r="BI1557" t="str">
        <f ca="1">IFERROR(__xludf.DUMMYFUNCTION("""COMPUTED_VALUE"""),"#VALUE!")</f>
        <v>#VALUE!</v>
      </c>
      <c r="BK1557" t="str">
        <f ca="1">IFERROR(__xludf.DUMMYFUNCTION("""COMPUTED_VALUE"""),"#VALUE!")</f>
        <v>#VALUE!</v>
      </c>
      <c r="BM1557" t="str">
        <f ca="1">IFERROR(__xludf.DUMMYFUNCTION("""COMPUTED_VALUE"""),"#VALUE!")</f>
        <v>#VALUE!</v>
      </c>
      <c r="CS1557" t="str">
        <f ca="1">IFERROR(__xludf.DUMMYFUNCTION("""COMPUTED_VALUE"""),"#VALUE!")</f>
        <v>#VALUE!</v>
      </c>
      <c r="CU1557" t="str">
        <f ca="1">IFERROR(__xludf.DUMMYFUNCTION("""COMPUTED_VALUE"""),"#VALUE!")</f>
        <v>#VALUE!</v>
      </c>
      <c r="CW1557" t="str">
        <f ca="1">IFERROR(__xludf.DUMMYFUNCTION("""COMPUTED_VALUE"""),"#VALUE!")</f>
        <v>#VALUE!</v>
      </c>
      <c r="CY1557" t="str">
        <f ca="1">IFERROR(__xludf.DUMMYFUNCTION("""COMPUTED_VALUE"""),"#VALUE!")</f>
        <v>#VALUE!</v>
      </c>
      <c r="DC1557" t="str">
        <f ca="1">IFERROR(__xludf.DUMMYFUNCTION("""COMPUTED_VALUE"""),"#VALUE!")</f>
        <v>#VALUE!</v>
      </c>
      <c r="DE1557" t="str">
        <f ca="1">IFERROR(__xludf.DUMMYFUNCTION("""COMPUTED_VALUE"""),"#VALUE!")</f>
        <v>#VALUE!</v>
      </c>
    </row>
    <row r="1558" spans="1:109" ht="13.2" x14ac:dyDescent="0.25">
      <c r="A1558" t="str">
        <f ca="1">IFERROR(__xludf.DUMMYFUNCTION("""COMPUTED_VALUE"""),"P1567")</f>
        <v>P1567</v>
      </c>
      <c r="BC1558" t="str">
        <f ca="1">IFERROR(__xludf.DUMMYFUNCTION("""COMPUTED_VALUE"""),"#VALUE!")</f>
        <v>#VALUE!</v>
      </c>
      <c r="BE1558" t="str">
        <f ca="1">IFERROR(__xludf.DUMMYFUNCTION("""COMPUTED_VALUE"""),"#VALUE!")</f>
        <v>#VALUE!</v>
      </c>
      <c r="BG1558" t="str">
        <f ca="1">IFERROR(__xludf.DUMMYFUNCTION("""COMPUTED_VALUE"""),"#VALUE!")</f>
        <v>#VALUE!</v>
      </c>
      <c r="BI1558" t="str">
        <f ca="1">IFERROR(__xludf.DUMMYFUNCTION("""COMPUTED_VALUE"""),"#VALUE!")</f>
        <v>#VALUE!</v>
      </c>
      <c r="BK1558" t="str">
        <f ca="1">IFERROR(__xludf.DUMMYFUNCTION("""COMPUTED_VALUE"""),"#VALUE!")</f>
        <v>#VALUE!</v>
      </c>
      <c r="BM1558" t="str">
        <f ca="1">IFERROR(__xludf.DUMMYFUNCTION("""COMPUTED_VALUE"""),"#VALUE!")</f>
        <v>#VALUE!</v>
      </c>
      <c r="CS1558" t="str">
        <f ca="1">IFERROR(__xludf.DUMMYFUNCTION("""COMPUTED_VALUE"""),"#VALUE!")</f>
        <v>#VALUE!</v>
      </c>
      <c r="CU1558" t="str">
        <f ca="1">IFERROR(__xludf.DUMMYFUNCTION("""COMPUTED_VALUE"""),"#VALUE!")</f>
        <v>#VALUE!</v>
      </c>
      <c r="CW1558" t="str">
        <f ca="1">IFERROR(__xludf.DUMMYFUNCTION("""COMPUTED_VALUE"""),"#VALUE!")</f>
        <v>#VALUE!</v>
      </c>
      <c r="CY1558" t="str">
        <f ca="1">IFERROR(__xludf.DUMMYFUNCTION("""COMPUTED_VALUE"""),"#VALUE!")</f>
        <v>#VALUE!</v>
      </c>
      <c r="DC1558" t="str">
        <f ca="1">IFERROR(__xludf.DUMMYFUNCTION("""COMPUTED_VALUE"""),"#VALUE!")</f>
        <v>#VALUE!</v>
      </c>
      <c r="DE1558" t="str">
        <f ca="1">IFERROR(__xludf.DUMMYFUNCTION("""COMPUTED_VALUE"""),"#VALUE!")</f>
        <v>#VALUE!</v>
      </c>
    </row>
    <row r="1559" spans="1:109" ht="13.2" x14ac:dyDescent="0.25">
      <c r="A1559" t="str">
        <f ca="1">IFERROR(__xludf.DUMMYFUNCTION("""COMPUTED_VALUE"""),"P1568")</f>
        <v>P1568</v>
      </c>
      <c r="BC1559" t="str">
        <f ca="1">IFERROR(__xludf.DUMMYFUNCTION("""COMPUTED_VALUE"""),"#VALUE!")</f>
        <v>#VALUE!</v>
      </c>
      <c r="BE1559" t="str">
        <f ca="1">IFERROR(__xludf.DUMMYFUNCTION("""COMPUTED_VALUE"""),"#VALUE!")</f>
        <v>#VALUE!</v>
      </c>
      <c r="BG1559" t="str">
        <f ca="1">IFERROR(__xludf.DUMMYFUNCTION("""COMPUTED_VALUE"""),"#VALUE!")</f>
        <v>#VALUE!</v>
      </c>
      <c r="BI1559" t="str">
        <f ca="1">IFERROR(__xludf.DUMMYFUNCTION("""COMPUTED_VALUE"""),"#VALUE!")</f>
        <v>#VALUE!</v>
      </c>
      <c r="BK1559" t="str">
        <f ca="1">IFERROR(__xludf.DUMMYFUNCTION("""COMPUTED_VALUE"""),"#VALUE!")</f>
        <v>#VALUE!</v>
      </c>
      <c r="BM1559" t="str">
        <f ca="1">IFERROR(__xludf.DUMMYFUNCTION("""COMPUTED_VALUE"""),"#VALUE!")</f>
        <v>#VALUE!</v>
      </c>
      <c r="CS1559" t="str">
        <f ca="1">IFERROR(__xludf.DUMMYFUNCTION("""COMPUTED_VALUE"""),"#VALUE!")</f>
        <v>#VALUE!</v>
      </c>
      <c r="CU1559" t="str">
        <f ca="1">IFERROR(__xludf.DUMMYFUNCTION("""COMPUTED_VALUE"""),"#VALUE!")</f>
        <v>#VALUE!</v>
      </c>
      <c r="CW1559" t="str">
        <f ca="1">IFERROR(__xludf.DUMMYFUNCTION("""COMPUTED_VALUE"""),"#VALUE!")</f>
        <v>#VALUE!</v>
      </c>
      <c r="CY1559" t="str">
        <f ca="1">IFERROR(__xludf.DUMMYFUNCTION("""COMPUTED_VALUE"""),"#VALUE!")</f>
        <v>#VALUE!</v>
      </c>
      <c r="DC1559" t="str">
        <f ca="1">IFERROR(__xludf.DUMMYFUNCTION("""COMPUTED_VALUE"""),"#VALUE!")</f>
        <v>#VALUE!</v>
      </c>
      <c r="DE1559" t="str">
        <f ca="1">IFERROR(__xludf.DUMMYFUNCTION("""COMPUTED_VALUE"""),"#VALUE!")</f>
        <v>#VALUE!</v>
      </c>
    </row>
    <row r="1560" spans="1:109" ht="13.2" x14ac:dyDescent="0.25">
      <c r="A1560" t="str">
        <f ca="1">IFERROR(__xludf.DUMMYFUNCTION("""COMPUTED_VALUE"""),"P1569")</f>
        <v>P1569</v>
      </c>
      <c r="BC1560" t="str">
        <f ca="1">IFERROR(__xludf.DUMMYFUNCTION("""COMPUTED_VALUE"""),"#VALUE!")</f>
        <v>#VALUE!</v>
      </c>
      <c r="BE1560" t="str">
        <f ca="1">IFERROR(__xludf.DUMMYFUNCTION("""COMPUTED_VALUE"""),"#VALUE!")</f>
        <v>#VALUE!</v>
      </c>
      <c r="BG1560" t="str">
        <f ca="1">IFERROR(__xludf.DUMMYFUNCTION("""COMPUTED_VALUE"""),"#VALUE!")</f>
        <v>#VALUE!</v>
      </c>
      <c r="BI1560" t="str">
        <f ca="1">IFERROR(__xludf.DUMMYFUNCTION("""COMPUTED_VALUE"""),"#VALUE!")</f>
        <v>#VALUE!</v>
      </c>
      <c r="BK1560" t="str">
        <f ca="1">IFERROR(__xludf.DUMMYFUNCTION("""COMPUTED_VALUE"""),"#VALUE!")</f>
        <v>#VALUE!</v>
      </c>
      <c r="BM1560" t="str">
        <f ca="1">IFERROR(__xludf.DUMMYFUNCTION("""COMPUTED_VALUE"""),"#VALUE!")</f>
        <v>#VALUE!</v>
      </c>
      <c r="CS1560" t="str">
        <f ca="1">IFERROR(__xludf.DUMMYFUNCTION("""COMPUTED_VALUE"""),"#VALUE!")</f>
        <v>#VALUE!</v>
      </c>
      <c r="CU1560" t="str">
        <f ca="1">IFERROR(__xludf.DUMMYFUNCTION("""COMPUTED_VALUE"""),"#VALUE!")</f>
        <v>#VALUE!</v>
      </c>
      <c r="CW1560" t="str">
        <f ca="1">IFERROR(__xludf.DUMMYFUNCTION("""COMPUTED_VALUE"""),"#VALUE!")</f>
        <v>#VALUE!</v>
      </c>
      <c r="CY1560" t="str">
        <f ca="1">IFERROR(__xludf.DUMMYFUNCTION("""COMPUTED_VALUE"""),"#VALUE!")</f>
        <v>#VALUE!</v>
      </c>
      <c r="DC1560" t="str">
        <f ca="1">IFERROR(__xludf.DUMMYFUNCTION("""COMPUTED_VALUE"""),"#VALUE!")</f>
        <v>#VALUE!</v>
      </c>
      <c r="DE1560" t="str">
        <f ca="1">IFERROR(__xludf.DUMMYFUNCTION("""COMPUTED_VALUE"""),"#VALUE!")</f>
        <v>#VALUE!</v>
      </c>
    </row>
    <row r="1561" spans="1:109" ht="13.2" x14ac:dyDescent="0.25">
      <c r="A1561" t="str">
        <f ca="1">IFERROR(__xludf.DUMMYFUNCTION("""COMPUTED_VALUE"""),"P1570")</f>
        <v>P1570</v>
      </c>
      <c r="BC1561" t="str">
        <f ca="1">IFERROR(__xludf.DUMMYFUNCTION("""COMPUTED_VALUE"""),"#VALUE!")</f>
        <v>#VALUE!</v>
      </c>
      <c r="BE1561" t="str">
        <f ca="1">IFERROR(__xludf.DUMMYFUNCTION("""COMPUTED_VALUE"""),"#VALUE!")</f>
        <v>#VALUE!</v>
      </c>
      <c r="BG1561" t="str">
        <f ca="1">IFERROR(__xludf.DUMMYFUNCTION("""COMPUTED_VALUE"""),"#VALUE!")</f>
        <v>#VALUE!</v>
      </c>
      <c r="BI1561" t="str">
        <f ca="1">IFERROR(__xludf.DUMMYFUNCTION("""COMPUTED_VALUE"""),"#VALUE!")</f>
        <v>#VALUE!</v>
      </c>
      <c r="BK1561" t="str">
        <f ca="1">IFERROR(__xludf.DUMMYFUNCTION("""COMPUTED_VALUE"""),"#VALUE!")</f>
        <v>#VALUE!</v>
      </c>
      <c r="BM1561" t="str">
        <f ca="1">IFERROR(__xludf.DUMMYFUNCTION("""COMPUTED_VALUE"""),"#VALUE!")</f>
        <v>#VALUE!</v>
      </c>
      <c r="CS1561" t="str">
        <f ca="1">IFERROR(__xludf.DUMMYFUNCTION("""COMPUTED_VALUE"""),"#VALUE!")</f>
        <v>#VALUE!</v>
      </c>
      <c r="CU1561" t="str">
        <f ca="1">IFERROR(__xludf.DUMMYFUNCTION("""COMPUTED_VALUE"""),"#VALUE!")</f>
        <v>#VALUE!</v>
      </c>
      <c r="CW1561" t="str">
        <f ca="1">IFERROR(__xludf.DUMMYFUNCTION("""COMPUTED_VALUE"""),"#VALUE!")</f>
        <v>#VALUE!</v>
      </c>
      <c r="CY1561" t="str">
        <f ca="1">IFERROR(__xludf.DUMMYFUNCTION("""COMPUTED_VALUE"""),"#VALUE!")</f>
        <v>#VALUE!</v>
      </c>
      <c r="DC1561" t="str">
        <f ca="1">IFERROR(__xludf.DUMMYFUNCTION("""COMPUTED_VALUE"""),"#VALUE!")</f>
        <v>#VALUE!</v>
      </c>
      <c r="DE1561" t="str">
        <f ca="1">IFERROR(__xludf.DUMMYFUNCTION("""COMPUTED_VALUE"""),"#VALUE!")</f>
        <v>#VALUE!</v>
      </c>
    </row>
    <row r="1562" spans="1:109" ht="13.2" x14ac:dyDescent="0.25">
      <c r="A1562" t="str">
        <f ca="1">IFERROR(__xludf.DUMMYFUNCTION("""COMPUTED_VALUE"""),"P1571")</f>
        <v>P1571</v>
      </c>
      <c r="BC1562" t="str">
        <f ca="1">IFERROR(__xludf.DUMMYFUNCTION("""COMPUTED_VALUE"""),"#VALUE!")</f>
        <v>#VALUE!</v>
      </c>
      <c r="BE1562" t="str">
        <f ca="1">IFERROR(__xludf.DUMMYFUNCTION("""COMPUTED_VALUE"""),"#VALUE!")</f>
        <v>#VALUE!</v>
      </c>
      <c r="BG1562" t="str">
        <f ca="1">IFERROR(__xludf.DUMMYFUNCTION("""COMPUTED_VALUE"""),"#VALUE!")</f>
        <v>#VALUE!</v>
      </c>
      <c r="BI1562" t="str">
        <f ca="1">IFERROR(__xludf.DUMMYFUNCTION("""COMPUTED_VALUE"""),"#VALUE!")</f>
        <v>#VALUE!</v>
      </c>
      <c r="BK1562" t="str">
        <f ca="1">IFERROR(__xludf.DUMMYFUNCTION("""COMPUTED_VALUE"""),"#VALUE!")</f>
        <v>#VALUE!</v>
      </c>
      <c r="BM1562" t="str">
        <f ca="1">IFERROR(__xludf.DUMMYFUNCTION("""COMPUTED_VALUE"""),"#VALUE!")</f>
        <v>#VALUE!</v>
      </c>
      <c r="CS1562" t="str">
        <f ca="1">IFERROR(__xludf.DUMMYFUNCTION("""COMPUTED_VALUE"""),"#VALUE!")</f>
        <v>#VALUE!</v>
      </c>
      <c r="CU1562" t="str">
        <f ca="1">IFERROR(__xludf.DUMMYFUNCTION("""COMPUTED_VALUE"""),"#VALUE!")</f>
        <v>#VALUE!</v>
      </c>
      <c r="CW1562" t="str">
        <f ca="1">IFERROR(__xludf.DUMMYFUNCTION("""COMPUTED_VALUE"""),"#VALUE!")</f>
        <v>#VALUE!</v>
      </c>
      <c r="CY1562" t="str">
        <f ca="1">IFERROR(__xludf.DUMMYFUNCTION("""COMPUTED_VALUE"""),"#VALUE!")</f>
        <v>#VALUE!</v>
      </c>
      <c r="DC1562" t="str">
        <f ca="1">IFERROR(__xludf.DUMMYFUNCTION("""COMPUTED_VALUE"""),"#VALUE!")</f>
        <v>#VALUE!</v>
      </c>
      <c r="DE1562" t="str">
        <f ca="1">IFERROR(__xludf.DUMMYFUNCTION("""COMPUTED_VALUE"""),"#VALUE!")</f>
        <v>#VALUE!</v>
      </c>
    </row>
    <row r="1563" spans="1:109" ht="13.2" x14ac:dyDescent="0.25">
      <c r="A1563" t="str">
        <f ca="1">IFERROR(__xludf.DUMMYFUNCTION("""COMPUTED_VALUE"""),"P1572")</f>
        <v>P1572</v>
      </c>
      <c r="BC1563" t="str">
        <f ca="1">IFERROR(__xludf.DUMMYFUNCTION("""COMPUTED_VALUE"""),"#VALUE!")</f>
        <v>#VALUE!</v>
      </c>
      <c r="BE1563" t="str">
        <f ca="1">IFERROR(__xludf.DUMMYFUNCTION("""COMPUTED_VALUE"""),"#VALUE!")</f>
        <v>#VALUE!</v>
      </c>
      <c r="BG1563" t="str">
        <f ca="1">IFERROR(__xludf.DUMMYFUNCTION("""COMPUTED_VALUE"""),"#VALUE!")</f>
        <v>#VALUE!</v>
      </c>
      <c r="BI1563" t="str">
        <f ca="1">IFERROR(__xludf.DUMMYFUNCTION("""COMPUTED_VALUE"""),"#VALUE!")</f>
        <v>#VALUE!</v>
      </c>
      <c r="BK1563" t="str">
        <f ca="1">IFERROR(__xludf.DUMMYFUNCTION("""COMPUTED_VALUE"""),"#VALUE!")</f>
        <v>#VALUE!</v>
      </c>
      <c r="BM1563" t="str">
        <f ca="1">IFERROR(__xludf.DUMMYFUNCTION("""COMPUTED_VALUE"""),"#VALUE!")</f>
        <v>#VALUE!</v>
      </c>
      <c r="CS1563" t="str">
        <f ca="1">IFERROR(__xludf.DUMMYFUNCTION("""COMPUTED_VALUE"""),"#VALUE!")</f>
        <v>#VALUE!</v>
      </c>
      <c r="CU1563" t="str">
        <f ca="1">IFERROR(__xludf.DUMMYFUNCTION("""COMPUTED_VALUE"""),"#VALUE!")</f>
        <v>#VALUE!</v>
      </c>
      <c r="CW1563" t="str">
        <f ca="1">IFERROR(__xludf.DUMMYFUNCTION("""COMPUTED_VALUE"""),"#VALUE!")</f>
        <v>#VALUE!</v>
      </c>
      <c r="CY1563" t="str">
        <f ca="1">IFERROR(__xludf.DUMMYFUNCTION("""COMPUTED_VALUE"""),"#VALUE!")</f>
        <v>#VALUE!</v>
      </c>
      <c r="DC1563" t="str">
        <f ca="1">IFERROR(__xludf.DUMMYFUNCTION("""COMPUTED_VALUE"""),"#VALUE!")</f>
        <v>#VALUE!</v>
      </c>
      <c r="DE1563" t="str">
        <f ca="1">IFERROR(__xludf.DUMMYFUNCTION("""COMPUTED_VALUE"""),"#VALUE!")</f>
        <v>#VALUE!</v>
      </c>
    </row>
    <row r="1564" spans="1:109" ht="13.2" x14ac:dyDescent="0.25">
      <c r="A1564" t="str">
        <f ca="1">IFERROR(__xludf.DUMMYFUNCTION("""COMPUTED_VALUE"""),"P1573")</f>
        <v>P1573</v>
      </c>
      <c r="BC1564" t="str">
        <f ca="1">IFERROR(__xludf.DUMMYFUNCTION("""COMPUTED_VALUE"""),"#VALUE!")</f>
        <v>#VALUE!</v>
      </c>
      <c r="BE1564" t="str">
        <f ca="1">IFERROR(__xludf.DUMMYFUNCTION("""COMPUTED_VALUE"""),"#VALUE!")</f>
        <v>#VALUE!</v>
      </c>
      <c r="BG1564" t="str">
        <f ca="1">IFERROR(__xludf.DUMMYFUNCTION("""COMPUTED_VALUE"""),"#VALUE!")</f>
        <v>#VALUE!</v>
      </c>
      <c r="BI1564" t="str">
        <f ca="1">IFERROR(__xludf.DUMMYFUNCTION("""COMPUTED_VALUE"""),"#VALUE!")</f>
        <v>#VALUE!</v>
      </c>
      <c r="BK1564" t="str">
        <f ca="1">IFERROR(__xludf.DUMMYFUNCTION("""COMPUTED_VALUE"""),"#VALUE!")</f>
        <v>#VALUE!</v>
      </c>
      <c r="BM1564" t="str">
        <f ca="1">IFERROR(__xludf.DUMMYFUNCTION("""COMPUTED_VALUE"""),"#VALUE!")</f>
        <v>#VALUE!</v>
      </c>
      <c r="CS1564" t="str">
        <f ca="1">IFERROR(__xludf.DUMMYFUNCTION("""COMPUTED_VALUE"""),"#VALUE!")</f>
        <v>#VALUE!</v>
      </c>
      <c r="CU1564" t="str">
        <f ca="1">IFERROR(__xludf.DUMMYFUNCTION("""COMPUTED_VALUE"""),"#VALUE!")</f>
        <v>#VALUE!</v>
      </c>
      <c r="CW1564" t="str">
        <f ca="1">IFERROR(__xludf.DUMMYFUNCTION("""COMPUTED_VALUE"""),"#VALUE!")</f>
        <v>#VALUE!</v>
      </c>
      <c r="CY1564" t="str">
        <f ca="1">IFERROR(__xludf.DUMMYFUNCTION("""COMPUTED_VALUE"""),"#VALUE!")</f>
        <v>#VALUE!</v>
      </c>
      <c r="DC1564" t="str">
        <f ca="1">IFERROR(__xludf.DUMMYFUNCTION("""COMPUTED_VALUE"""),"#VALUE!")</f>
        <v>#VALUE!</v>
      </c>
      <c r="DE1564" t="str">
        <f ca="1">IFERROR(__xludf.DUMMYFUNCTION("""COMPUTED_VALUE"""),"#VALUE!")</f>
        <v>#VALUE!</v>
      </c>
    </row>
    <row r="1565" spans="1:109" ht="13.2" x14ac:dyDescent="0.25">
      <c r="A1565" t="str">
        <f ca="1">IFERROR(__xludf.DUMMYFUNCTION("""COMPUTED_VALUE"""),"P1574")</f>
        <v>P1574</v>
      </c>
      <c r="BC1565" t="str">
        <f ca="1">IFERROR(__xludf.DUMMYFUNCTION("""COMPUTED_VALUE"""),"#VALUE!")</f>
        <v>#VALUE!</v>
      </c>
      <c r="BE1565" t="str">
        <f ca="1">IFERROR(__xludf.DUMMYFUNCTION("""COMPUTED_VALUE"""),"#VALUE!")</f>
        <v>#VALUE!</v>
      </c>
      <c r="BG1565" t="str">
        <f ca="1">IFERROR(__xludf.DUMMYFUNCTION("""COMPUTED_VALUE"""),"#VALUE!")</f>
        <v>#VALUE!</v>
      </c>
      <c r="BI1565" t="str">
        <f ca="1">IFERROR(__xludf.DUMMYFUNCTION("""COMPUTED_VALUE"""),"#VALUE!")</f>
        <v>#VALUE!</v>
      </c>
      <c r="BK1565" t="str">
        <f ca="1">IFERROR(__xludf.DUMMYFUNCTION("""COMPUTED_VALUE"""),"#VALUE!")</f>
        <v>#VALUE!</v>
      </c>
      <c r="BM1565" t="str">
        <f ca="1">IFERROR(__xludf.DUMMYFUNCTION("""COMPUTED_VALUE"""),"#VALUE!")</f>
        <v>#VALUE!</v>
      </c>
      <c r="CS1565" t="str">
        <f ca="1">IFERROR(__xludf.DUMMYFUNCTION("""COMPUTED_VALUE"""),"#VALUE!")</f>
        <v>#VALUE!</v>
      </c>
      <c r="CU1565" t="str">
        <f ca="1">IFERROR(__xludf.DUMMYFUNCTION("""COMPUTED_VALUE"""),"#VALUE!")</f>
        <v>#VALUE!</v>
      </c>
      <c r="CW1565" t="str">
        <f ca="1">IFERROR(__xludf.DUMMYFUNCTION("""COMPUTED_VALUE"""),"#VALUE!")</f>
        <v>#VALUE!</v>
      </c>
      <c r="CY1565" t="str">
        <f ca="1">IFERROR(__xludf.DUMMYFUNCTION("""COMPUTED_VALUE"""),"#VALUE!")</f>
        <v>#VALUE!</v>
      </c>
      <c r="DC1565" t="str">
        <f ca="1">IFERROR(__xludf.DUMMYFUNCTION("""COMPUTED_VALUE"""),"#VALUE!")</f>
        <v>#VALUE!</v>
      </c>
      <c r="DE1565" t="str">
        <f ca="1">IFERROR(__xludf.DUMMYFUNCTION("""COMPUTED_VALUE"""),"#VALUE!")</f>
        <v>#VALUE!</v>
      </c>
    </row>
    <row r="1566" spans="1:109" ht="13.2" x14ac:dyDescent="0.25">
      <c r="A1566" t="str">
        <f ca="1">IFERROR(__xludf.DUMMYFUNCTION("""COMPUTED_VALUE"""),"P1575")</f>
        <v>P1575</v>
      </c>
      <c r="BC1566" t="str">
        <f ca="1">IFERROR(__xludf.DUMMYFUNCTION("""COMPUTED_VALUE"""),"#VALUE!")</f>
        <v>#VALUE!</v>
      </c>
      <c r="BE1566" t="str">
        <f ca="1">IFERROR(__xludf.DUMMYFUNCTION("""COMPUTED_VALUE"""),"#VALUE!")</f>
        <v>#VALUE!</v>
      </c>
      <c r="BG1566" t="str">
        <f ca="1">IFERROR(__xludf.DUMMYFUNCTION("""COMPUTED_VALUE"""),"#VALUE!")</f>
        <v>#VALUE!</v>
      </c>
      <c r="BI1566" t="str">
        <f ca="1">IFERROR(__xludf.DUMMYFUNCTION("""COMPUTED_VALUE"""),"#VALUE!")</f>
        <v>#VALUE!</v>
      </c>
      <c r="BK1566" t="str">
        <f ca="1">IFERROR(__xludf.DUMMYFUNCTION("""COMPUTED_VALUE"""),"#VALUE!")</f>
        <v>#VALUE!</v>
      </c>
      <c r="BM1566" t="str">
        <f ca="1">IFERROR(__xludf.DUMMYFUNCTION("""COMPUTED_VALUE"""),"#VALUE!")</f>
        <v>#VALUE!</v>
      </c>
      <c r="CS1566" t="str">
        <f ca="1">IFERROR(__xludf.DUMMYFUNCTION("""COMPUTED_VALUE"""),"#VALUE!")</f>
        <v>#VALUE!</v>
      </c>
      <c r="CU1566" t="str">
        <f ca="1">IFERROR(__xludf.DUMMYFUNCTION("""COMPUTED_VALUE"""),"#VALUE!")</f>
        <v>#VALUE!</v>
      </c>
      <c r="CW1566" t="str">
        <f ca="1">IFERROR(__xludf.DUMMYFUNCTION("""COMPUTED_VALUE"""),"#VALUE!")</f>
        <v>#VALUE!</v>
      </c>
      <c r="CY1566" t="str">
        <f ca="1">IFERROR(__xludf.DUMMYFUNCTION("""COMPUTED_VALUE"""),"#VALUE!")</f>
        <v>#VALUE!</v>
      </c>
      <c r="DC1566" t="str">
        <f ca="1">IFERROR(__xludf.DUMMYFUNCTION("""COMPUTED_VALUE"""),"#VALUE!")</f>
        <v>#VALUE!</v>
      </c>
      <c r="DE1566" t="str">
        <f ca="1">IFERROR(__xludf.DUMMYFUNCTION("""COMPUTED_VALUE"""),"#VALUE!")</f>
        <v>#VALUE!</v>
      </c>
    </row>
    <row r="1567" spans="1:109" ht="13.2" x14ac:dyDescent="0.25">
      <c r="A1567" t="str">
        <f ca="1">IFERROR(__xludf.DUMMYFUNCTION("""COMPUTED_VALUE"""),"P1576")</f>
        <v>P1576</v>
      </c>
      <c r="BC1567" t="str">
        <f ca="1">IFERROR(__xludf.DUMMYFUNCTION("""COMPUTED_VALUE"""),"#VALUE!")</f>
        <v>#VALUE!</v>
      </c>
      <c r="BE1567" t="str">
        <f ca="1">IFERROR(__xludf.DUMMYFUNCTION("""COMPUTED_VALUE"""),"#VALUE!")</f>
        <v>#VALUE!</v>
      </c>
      <c r="BG1567" t="str">
        <f ca="1">IFERROR(__xludf.DUMMYFUNCTION("""COMPUTED_VALUE"""),"#VALUE!")</f>
        <v>#VALUE!</v>
      </c>
      <c r="BI1567" t="str">
        <f ca="1">IFERROR(__xludf.DUMMYFUNCTION("""COMPUTED_VALUE"""),"#VALUE!")</f>
        <v>#VALUE!</v>
      </c>
      <c r="BK1567" t="str">
        <f ca="1">IFERROR(__xludf.DUMMYFUNCTION("""COMPUTED_VALUE"""),"#VALUE!")</f>
        <v>#VALUE!</v>
      </c>
      <c r="BM1567" t="str">
        <f ca="1">IFERROR(__xludf.DUMMYFUNCTION("""COMPUTED_VALUE"""),"#VALUE!")</f>
        <v>#VALUE!</v>
      </c>
      <c r="CS1567" t="str">
        <f ca="1">IFERROR(__xludf.DUMMYFUNCTION("""COMPUTED_VALUE"""),"#VALUE!")</f>
        <v>#VALUE!</v>
      </c>
      <c r="CU1567" t="str">
        <f ca="1">IFERROR(__xludf.DUMMYFUNCTION("""COMPUTED_VALUE"""),"#VALUE!")</f>
        <v>#VALUE!</v>
      </c>
      <c r="CW1567" t="str">
        <f ca="1">IFERROR(__xludf.DUMMYFUNCTION("""COMPUTED_VALUE"""),"#VALUE!")</f>
        <v>#VALUE!</v>
      </c>
      <c r="CY1567" t="str">
        <f ca="1">IFERROR(__xludf.DUMMYFUNCTION("""COMPUTED_VALUE"""),"#VALUE!")</f>
        <v>#VALUE!</v>
      </c>
      <c r="DC1567" t="str">
        <f ca="1">IFERROR(__xludf.DUMMYFUNCTION("""COMPUTED_VALUE"""),"#VALUE!")</f>
        <v>#VALUE!</v>
      </c>
      <c r="DE1567" t="str">
        <f ca="1">IFERROR(__xludf.DUMMYFUNCTION("""COMPUTED_VALUE"""),"#VALUE!")</f>
        <v>#VALUE!</v>
      </c>
    </row>
    <row r="1568" spans="1:109" ht="13.2" x14ac:dyDescent="0.25">
      <c r="A1568" t="str">
        <f ca="1">IFERROR(__xludf.DUMMYFUNCTION("""COMPUTED_VALUE"""),"P1577")</f>
        <v>P1577</v>
      </c>
      <c r="BC1568" t="str">
        <f ca="1">IFERROR(__xludf.DUMMYFUNCTION("""COMPUTED_VALUE"""),"#VALUE!")</f>
        <v>#VALUE!</v>
      </c>
      <c r="BE1568" t="str">
        <f ca="1">IFERROR(__xludf.DUMMYFUNCTION("""COMPUTED_VALUE"""),"#VALUE!")</f>
        <v>#VALUE!</v>
      </c>
      <c r="BG1568" t="str">
        <f ca="1">IFERROR(__xludf.DUMMYFUNCTION("""COMPUTED_VALUE"""),"#VALUE!")</f>
        <v>#VALUE!</v>
      </c>
      <c r="BI1568" t="str">
        <f ca="1">IFERROR(__xludf.DUMMYFUNCTION("""COMPUTED_VALUE"""),"#VALUE!")</f>
        <v>#VALUE!</v>
      </c>
      <c r="BK1568" t="str">
        <f ca="1">IFERROR(__xludf.DUMMYFUNCTION("""COMPUTED_VALUE"""),"#VALUE!")</f>
        <v>#VALUE!</v>
      </c>
      <c r="BM1568" t="str">
        <f ca="1">IFERROR(__xludf.DUMMYFUNCTION("""COMPUTED_VALUE"""),"#VALUE!")</f>
        <v>#VALUE!</v>
      </c>
      <c r="CS1568" t="str">
        <f ca="1">IFERROR(__xludf.DUMMYFUNCTION("""COMPUTED_VALUE"""),"#VALUE!")</f>
        <v>#VALUE!</v>
      </c>
      <c r="CU1568" t="str">
        <f ca="1">IFERROR(__xludf.DUMMYFUNCTION("""COMPUTED_VALUE"""),"#VALUE!")</f>
        <v>#VALUE!</v>
      </c>
      <c r="CW1568" t="str">
        <f ca="1">IFERROR(__xludf.DUMMYFUNCTION("""COMPUTED_VALUE"""),"#VALUE!")</f>
        <v>#VALUE!</v>
      </c>
      <c r="CY1568" t="str">
        <f ca="1">IFERROR(__xludf.DUMMYFUNCTION("""COMPUTED_VALUE"""),"#VALUE!")</f>
        <v>#VALUE!</v>
      </c>
      <c r="DC1568" t="str">
        <f ca="1">IFERROR(__xludf.DUMMYFUNCTION("""COMPUTED_VALUE"""),"#VALUE!")</f>
        <v>#VALUE!</v>
      </c>
      <c r="DE1568" t="str">
        <f ca="1">IFERROR(__xludf.DUMMYFUNCTION("""COMPUTED_VALUE"""),"#VALUE!")</f>
        <v>#VALUE!</v>
      </c>
    </row>
    <row r="1569" spans="1:109" ht="13.2" x14ac:dyDescent="0.25">
      <c r="A1569" t="str">
        <f ca="1">IFERROR(__xludf.DUMMYFUNCTION("""COMPUTED_VALUE"""),"P1578")</f>
        <v>P1578</v>
      </c>
      <c r="BC1569" t="str">
        <f ca="1">IFERROR(__xludf.DUMMYFUNCTION("""COMPUTED_VALUE"""),"#VALUE!")</f>
        <v>#VALUE!</v>
      </c>
      <c r="BE1569" t="str">
        <f ca="1">IFERROR(__xludf.DUMMYFUNCTION("""COMPUTED_VALUE"""),"#VALUE!")</f>
        <v>#VALUE!</v>
      </c>
      <c r="BG1569" t="str">
        <f ca="1">IFERROR(__xludf.DUMMYFUNCTION("""COMPUTED_VALUE"""),"#VALUE!")</f>
        <v>#VALUE!</v>
      </c>
      <c r="BI1569" t="str">
        <f ca="1">IFERROR(__xludf.DUMMYFUNCTION("""COMPUTED_VALUE"""),"#VALUE!")</f>
        <v>#VALUE!</v>
      </c>
      <c r="BK1569" t="str">
        <f ca="1">IFERROR(__xludf.DUMMYFUNCTION("""COMPUTED_VALUE"""),"#VALUE!")</f>
        <v>#VALUE!</v>
      </c>
      <c r="BM1569" t="str">
        <f ca="1">IFERROR(__xludf.DUMMYFUNCTION("""COMPUTED_VALUE"""),"#VALUE!")</f>
        <v>#VALUE!</v>
      </c>
      <c r="CS1569" t="str">
        <f ca="1">IFERROR(__xludf.DUMMYFUNCTION("""COMPUTED_VALUE"""),"#VALUE!")</f>
        <v>#VALUE!</v>
      </c>
      <c r="CU1569" t="str">
        <f ca="1">IFERROR(__xludf.DUMMYFUNCTION("""COMPUTED_VALUE"""),"#VALUE!")</f>
        <v>#VALUE!</v>
      </c>
      <c r="CW1569" t="str">
        <f ca="1">IFERROR(__xludf.DUMMYFUNCTION("""COMPUTED_VALUE"""),"#VALUE!")</f>
        <v>#VALUE!</v>
      </c>
      <c r="CY1569" t="str">
        <f ca="1">IFERROR(__xludf.DUMMYFUNCTION("""COMPUTED_VALUE"""),"#VALUE!")</f>
        <v>#VALUE!</v>
      </c>
      <c r="DC1569" t="str">
        <f ca="1">IFERROR(__xludf.DUMMYFUNCTION("""COMPUTED_VALUE"""),"#VALUE!")</f>
        <v>#VALUE!</v>
      </c>
      <c r="DE1569" t="str">
        <f ca="1">IFERROR(__xludf.DUMMYFUNCTION("""COMPUTED_VALUE"""),"#VALUE!")</f>
        <v>#VALUE!</v>
      </c>
    </row>
    <row r="1570" spans="1:109" ht="13.2" x14ac:dyDescent="0.25">
      <c r="A1570" t="str">
        <f ca="1">IFERROR(__xludf.DUMMYFUNCTION("""COMPUTED_VALUE"""),"P1579")</f>
        <v>P1579</v>
      </c>
      <c r="BC1570" t="str">
        <f ca="1">IFERROR(__xludf.DUMMYFUNCTION("""COMPUTED_VALUE"""),"#VALUE!")</f>
        <v>#VALUE!</v>
      </c>
      <c r="BE1570" t="str">
        <f ca="1">IFERROR(__xludf.DUMMYFUNCTION("""COMPUTED_VALUE"""),"#VALUE!")</f>
        <v>#VALUE!</v>
      </c>
      <c r="BG1570" t="str">
        <f ca="1">IFERROR(__xludf.DUMMYFUNCTION("""COMPUTED_VALUE"""),"#VALUE!")</f>
        <v>#VALUE!</v>
      </c>
      <c r="BI1570" t="str">
        <f ca="1">IFERROR(__xludf.DUMMYFUNCTION("""COMPUTED_VALUE"""),"#VALUE!")</f>
        <v>#VALUE!</v>
      </c>
      <c r="BK1570" t="str">
        <f ca="1">IFERROR(__xludf.DUMMYFUNCTION("""COMPUTED_VALUE"""),"#VALUE!")</f>
        <v>#VALUE!</v>
      </c>
      <c r="BM1570" t="str">
        <f ca="1">IFERROR(__xludf.DUMMYFUNCTION("""COMPUTED_VALUE"""),"#VALUE!")</f>
        <v>#VALUE!</v>
      </c>
      <c r="CS1570" t="str">
        <f ca="1">IFERROR(__xludf.DUMMYFUNCTION("""COMPUTED_VALUE"""),"#VALUE!")</f>
        <v>#VALUE!</v>
      </c>
      <c r="CU1570" t="str">
        <f ca="1">IFERROR(__xludf.DUMMYFUNCTION("""COMPUTED_VALUE"""),"#VALUE!")</f>
        <v>#VALUE!</v>
      </c>
      <c r="CW1570" t="str">
        <f ca="1">IFERROR(__xludf.DUMMYFUNCTION("""COMPUTED_VALUE"""),"#VALUE!")</f>
        <v>#VALUE!</v>
      </c>
      <c r="CY1570" t="str">
        <f ca="1">IFERROR(__xludf.DUMMYFUNCTION("""COMPUTED_VALUE"""),"#VALUE!")</f>
        <v>#VALUE!</v>
      </c>
      <c r="DC1570" t="str">
        <f ca="1">IFERROR(__xludf.DUMMYFUNCTION("""COMPUTED_VALUE"""),"#VALUE!")</f>
        <v>#VALUE!</v>
      </c>
      <c r="DE1570" t="str">
        <f ca="1">IFERROR(__xludf.DUMMYFUNCTION("""COMPUTED_VALUE"""),"#VALUE!")</f>
        <v>#VALUE!</v>
      </c>
    </row>
    <row r="1571" spans="1:109" ht="13.2" x14ac:dyDescent="0.25">
      <c r="A1571" t="str">
        <f ca="1">IFERROR(__xludf.DUMMYFUNCTION("""COMPUTED_VALUE"""),"P1580")</f>
        <v>P1580</v>
      </c>
      <c r="BC1571" t="str">
        <f ca="1">IFERROR(__xludf.DUMMYFUNCTION("""COMPUTED_VALUE"""),"#VALUE!")</f>
        <v>#VALUE!</v>
      </c>
      <c r="BE1571" t="str">
        <f ca="1">IFERROR(__xludf.DUMMYFUNCTION("""COMPUTED_VALUE"""),"#VALUE!")</f>
        <v>#VALUE!</v>
      </c>
      <c r="BG1571" t="str">
        <f ca="1">IFERROR(__xludf.DUMMYFUNCTION("""COMPUTED_VALUE"""),"#VALUE!")</f>
        <v>#VALUE!</v>
      </c>
      <c r="BI1571" t="str">
        <f ca="1">IFERROR(__xludf.DUMMYFUNCTION("""COMPUTED_VALUE"""),"#VALUE!")</f>
        <v>#VALUE!</v>
      </c>
      <c r="BK1571" t="str">
        <f ca="1">IFERROR(__xludf.DUMMYFUNCTION("""COMPUTED_VALUE"""),"#VALUE!")</f>
        <v>#VALUE!</v>
      </c>
      <c r="BM1571" t="str">
        <f ca="1">IFERROR(__xludf.DUMMYFUNCTION("""COMPUTED_VALUE"""),"#VALUE!")</f>
        <v>#VALUE!</v>
      </c>
      <c r="CS1571" t="str">
        <f ca="1">IFERROR(__xludf.DUMMYFUNCTION("""COMPUTED_VALUE"""),"#VALUE!")</f>
        <v>#VALUE!</v>
      </c>
      <c r="CU1571" t="str">
        <f ca="1">IFERROR(__xludf.DUMMYFUNCTION("""COMPUTED_VALUE"""),"#VALUE!")</f>
        <v>#VALUE!</v>
      </c>
      <c r="CW1571" t="str">
        <f ca="1">IFERROR(__xludf.DUMMYFUNCTION("""COMPUTED_VALUE"""),"#VALUE!")</f>
        <v>#VALUE!</v>
      </c>
      <c r="CY1571" t="str">
        <f ca="1">IFERROR(__xludf.DUMMYFUNCTION("""COMPUTED_VALUE"""),"#VALUE!")</f>
        <v>#VALUE!</v>
      </c>
      <c r="DC1571" t="str">
        <f ca="1">IFERROR(__xludf.DUMMYFUNCTION("""COMPUTED_VALUE"""),"#VALUE!")</f>
        <v>#VALUE!</v>
      </c>
      <c r="DE1571" t="str">
        <f ca="1">IFERROR(__xludf.DUMMYFUNCTION("""COMPUTED_VALUE"""),"#VALUE!")</f>
        <v>#VALUE!</v>
      </c>
    </row>
    <row r="1572" spans="1:109" ht="13.2" x14ac:dyDescent="0.25">
      <c r="A1572" t="str">
        <f ca="1">IFERROR(__xludf.DUMMYFUNCTION("""COMPUTED_VALUE"""),"P1581")</f>
        <v>P1581</v>
      </c>
      <c r="BC1572" t="str">
        <f ca="1">IFERROR(__xludf.DUMMYFUNCTION("""COMPUTED_VALUE"""),"#VALUE!")</f>
        <v>#VALUE!</v>
      </c>
      <c r="BE1572" t="str">
        <f ca="1">IFERROR(__xludf.DUMMYFUNCTION("""COMPUTED_VALUE"""),"#VALUE!")</f>
        <v>#VALUE!</v>
      </c>
      <c r="BG1572" t="str">
        <f ca="1">IFERROR(__xludf.DUMMYFUNCTION("""COMPUTED_VALUE"""),"#VALUE!")</f>
        <v>#VALUE!</v>
      </c>
      <c r="BI1572" t="str">
        <f ca="1">IFERROR(__xludf.DUMMYFUNCTION("""COMPUTED_VALUE"""),"#VALUE!")</f>
        <v>#VALUE!</v>
      </c>
      <c r="BK1572" t="str">
        <f ca="1">IFERROR(__xludf.DUMMYFUNCTION("""COMPUTED_VALUE"""),"#VALUE!")</f>
        <v>#VALUE!</v>
      </c>
      <c r="BM1572" t="str">
        <f ca="1">IFERROR(__xludf.DUMMYFUNCTION("""COMPUTED_VALUE"""),"#VALUE!")</f>
        <v>#VALUE!</v>
      </c>
      <c r="CS1572" t="str">
        <f ca="1">IFERROR(__xludf.DUMMYFUNCTION("""COMPUTED_VALUE"""),"#VALUE!")</f>
        <v>#VALUE!</v>
      </c>
      <c r="CU1572" t="str">
        <f ca="1">IFERROR(__xludf.DUMMYFUNCTION("""COMPUTED_VALUE"""),"#VALUE!")</f>
        <v>#VALUE!</v>
      </c>
      <c r="CW1572" t="str">
        <f ca="1">IFERROR(__xludf.DUMMYFUNCTION("""COMPUTED_VALUE"""),"#VALUE!")</f>
        <v>#VALUE!</v>
      </c>
      <c r="CY1572" t="str">
        <f ca="1">IFERROR(__xludf.DUMMYFUNCTION("""COMPUTED_VALUE"""),"#VALUE!")</f>
        <v>#VALUE!</v>
      </c>
      <c r="DC1572" t="str">
        <f ca="1">IFERROR(__xludf.DUMMYFUNCTION("""COMPUTED_VALUE"""),"#VALUE!")</f>
        <v>#VALUE!</v>
      </c>
      <c r="DE1572" t="str">
        <f ca="1">IFERROR(__xludf.DUMMYFUNCTION("""COMPUTED_VALUE"""),"#VALUE!")</f>
        <v>#VALUE!</v>
      </c>
    </row>
    <row r="1573" spans="1:109" ht="13.2" x14ac:dyDescent="0.25">
      <c r="A1573" t="str">
        <f ca="1">IFERROR(__xludf.DUMMYFUNCTION("""COMPUTED_VALUE"""),"P1582")</f>
        <v>P1582</v>
      </c>
      <c r="BC1573" t="str">
        <f ca="1">IFERROR(__xludf.DUMMYFUNCTION("""COMPUTED_VALUE"""),"#VALUE!")</f>
        <v>#VALUE!</v>
      </c>
      <c r="BE1573" t="str">
        <f ca="1">IFERROR(__xludf.DUMMYFUNCTION("""COMPUTED_VALUE"""),"#VALUE!")</f>
        <v>#VALUE!</v>
      </c>
      <c r="BG1573" t="str">
        <f ca="1">IFERROR(__xludf.DUMMYFUNCTION("""COMPUTED_VALUE"""),"#VALUE!")</f>
        <v>#VALUE!</v>
      </c>
      <c r="BI1573" t="str">
        <f ca="1">IFERROR(__xludf.DUMMYFUNCTION("""COMPUTED_VALUE"""),"#VALUE!")</f>
        <v>#VALUE!</v>
      </c>
      <c r="BK1573" t="str">
        <f ca="1">IFERROR(__xludf.DUMMYFUNCTION("""COMPUTED_VALUE"""),"#VALUE!")</f>
        <v>#VALUE!</v>
      </c>
      <c r="BM1573" t="str">
        <f ca="1">IFERROR(__xludf.DUMMYFUNCTION("""COMPUTED_VALUE"""),"#VALUE!")</f>
        <v>#VALUE!</v>
      </c>
      <c r="CS1573" t="str">
        <f ca="1">IFERROR(__xludf.DUMMYFUNCTION("""COMPUTED_VALUE"""),"#VALUE!")</f>
        <v>#VALUE!</v>
      </c>
      <c r="CU1573" t="str">
        <f ca="1">IFERROR(__xludf.DUMMYFUNCTION("""COMPUTED_VALUE"""),"#VALUE!")</f>
        <v>#VALUE!</v>
      </c>
      <c r="CW1573" t="str">
        <f ca="1">IFERROR(__xludf.DUMMYFUNCTION("""COMPUTED_VALUE"""),"#VALUE!")</f>
        <v>#VALUE!</v>
      </c>
      <c r="CY1573" t="str">
        <f ca="1">IFERROR(__xludf.DUMMYFUNCTION("""COMPUTED_VALUE"""),"#VALUE!")</f>
        <v>#VALUE!</v>
      </c>
      <c r="DC1573" t="str">
        <f ca="1">IFERROR(__xludf.DUMMYFUNCTION("""COMPUTED_VALUE"""),"#VALUE!")</f>
        <v>#VALUE!</v>
      </c>
      <c r="DE1573" t="str">
        <f ca="1">IFERROR(__xludf.DUMMYFUNCTION("""COMPUTED_VALUE"""),"#VALUE!")</f>
        <v>#VALUE!</v>
      </c>
    </row>
    <row r="1574" spans="1:109" ht="13.2" x14ac:dyDescent="0.25">
      <c r="A1574" t="str">
        <f ca="1">IFERROR(__xludf.DUMMYFUNCTION("""COMPUTED_VALUE"""),"P1583")</f>
        <v>P1583</v>
      </c>
      <c r="BC1574" t="str">
        <f ca="1">IFERROR(__xludf.DUMMYFUNCTION("""COMPUTED_VALUE"""),"#VALUE!")</f>
        <v>#VALUE!</v>
      </c>
      <c r="BE1574" t="str">
        <f ca="1">IFERROR(__xludf.DUMMYFUNCTION("""COMPUTED_VALUE"""),"#VALUE!")</f>
        <v>#VALUE!</v>
      </c>
      <c r="BG1574" t="str">
        <f ca="1">IFERROR(__xludf.DUMMYFUNCTION("""COMPUTED_VALUE"""),"#VALUE!")</f>
        <v>#VALUE!</v>
      </c>
      <c r="BI1574" t="str">
        <f ca="1">IFERROR(__xludf.DUMMYFUNCTION("""COMPUTED_VALUE"""),"#VALUE!")</f>
        <v>#VALUE!</v>
      </c>
      <c r="BK1574" t="str">
        <f ca="1">IFERROR(__xludf.DUMMYFUNCTION("""COMPUTED_VALUE"""),"#VALUE!")</f>
        <v>#VALUE!</v>
      </c>
      <c r="BM1574" t="str">
        <f ca="1">IFERROR(__xludf.DUMMYFUNCTION("""COMPUTED_VALUE"""),"#VALUE!")</f>
        <v>#VALUE!</v>
      </c>
      <c r="CS1574" t="str">
        <f ca="1">IFERROR(__xludf.DUMMYFUNCTION("""COMPUTED_VALUE"""),"#VALUE!")</f>
        <v>#VALUE!</v>
      </c>
      <c r="CU1574" t="str">
        <f ca="1">IFERROR(__xludf.DUMMYFUNCTION("""COMPUTED_VALUE"""),"#VALUE!")</f>
        <v>#VALUE!</v>
      </c>
      <c r="CW1574" t="str">
        <f ca="1">IFERROR(__xludf.DUMMYFUNCTION("""COMPUTED_VALUE"""),"#VALUE!")</f>
        <v>#VALUE!</v>
      </c>
      <c r="CY1574" t="str">
        <f ca="1">IFERROR(__xludf.DUMMYFUNCTION("""COMPUTED_VALUE"""),"#VALUE!")</f>
        <v>#VALUE!</v>
      </c>
      <c r="DC1574" t="str">
        <f ca="1">IFERROR(__xludf.DUMMYFUNCTION("""COMPUTED_VALUE"""),"#VALUE!")</f>
        <v>#VALUE!</v>
      </c>
      <c r="DE1574" t="str">
        <f ca="1">IFERROR(__xludf.DUMMYFUNCTION("""COMPUTED_VALUE"""),"#VALUE!")</f>
        <v>#VALUE!</v>
      </c>
    </row>
    <row r="1575" spans="1:109" ht="13.2" x14ac:dyDescent="0.25">
      <c r="A1575" t="str">
        <f ca="1">IFERROR(__xludf.DUMMYFUNCTION("""COMPUTED_VALUE"""),"P1584")</f>
        <v>P1584</v>
      </c>
      <c r="BC1575" t="str">
        <f ca="1">IFERROR(__xludf.DUMMYFUNCTION("""COMPUTED_VALUE"""),"#VALUE!")</f>
        <v>#VALUE!</v>
      </c>
      <c r="BE1575" t="str">
        <f ca="1">IFERROR(__xludf.DUMMYFUNCTION("""COMPUTED_VALUE"""),"#VALUE!")</f>
        <v>#VALUE!</v>
      </c>
      <c r="BG1575" t="str">
        <f ca="1">IFERROR(__xludf.DUMMYFUNCTION("""COMPUTED_VALUE"""),"#VALUE!")</f>
        <v>#VALUE!</v>
      </c>
      <c r="BI1575" t="str">
        <f ca="1">IFERROR(__xludf.DUMMYFUNCTION("""COMPUTED_VALUE"""),"#VALUE!")</f>
        <v>#VALUE!</v>
      </c>
      <c r="BK1575" t="str">
        <f ca="1">IFERROR(__xludf.DUMMYFUNCTION("""COMPUTED_VALUE"""),"#VALUE!")</f>
        <v>#VALUE!</v>
      </c>
      <c r="BM1575" t="str">
        <f ca="1">IFERROR(__xludf.DUMMYFUNCTION("""COMPUTED_VALUE"""),"#VALUE!")</f>
        <v>#VALUE!</v>
      </c>
      <c r="CS1575" t="str">
        <f ca="1">IFERROR(__xludf.DUMMYFUNCTION("""COMPUTED_VALUE"""),"#VALUE!")</f>
        <v>#VALUE!</v>
      </c>
      <c r="CU1575" t="str">
        <f ca="1">IFERROR(__xludf.DUMMYFUNCTION("""COMPUTED_VALUE"""),"#VALUE!")</f>
        <v>#VALUE!</v>
      </c>
      <c r="CW1575" t="str">
        <f ca="1">IFERROR(__xludf.DUMMYFUNCTION("""COMPUTED_VALUE"""),"#VALUE!")</f>
        <v>#VALUE!</v>
      </c>
      <c r="CY1575" t="str">
        <f ca="1">IFERROR(__xludf.DUMMYFUNCTION("""COMPUTED_VALUE"""),"#VALUE!")</f>
        <v>#VALUE!</v>
      </c>
      <c r="DC1575" t="str">
        <f ca="1">IFERROR(__xludf.DUMMYFUNCTION("""COMPUTED_VALUE"""),"#VALUE!")</f>
        <v>#VALUE!</v>
      </c>
      <c r="DE1575" t="str">
        <f ca="1">IFERROR(__xludf.DUMMYFUNCTION("""COMPUTED_VALUE"""),"#VALUE!")</f>
        <v>#VALUE!</v>
      </c>
    </row>
    <row r="1576" spans="1:109" ht="13.2" x14ac:dyDescent="0.25">
      <c r="A1576" t="str">
        <f ca="1">IFERROR(__xludf.DUMMYFUNCTION("""COMPUTED_VALUE"""),"P1585")</f>
        <v>P1585</v>
      </c>
      <c r="BC1576" t="str">
        <f ca="1">IFERROR(__xludf.DUMMYFUNCTION("""COMPUTED_VALUE"""),"#VALUE!")</f>
        <v>#VALUE!</v>
      </c>
      <c r="BE1576" t="str">
        <f ca="1">IFERROR(__xludf.DUMMYFUNCTION("""COMPUTED_VALUE"""),"#VALUE!")</f>
        <v>#VALUE!</v>
      </c>
      <c r="BG1576" t="str">
        <f ca="1">IFERROR(__xludf.DUMMYFUNCTION("""COMPUTED_VALUE"""),"#VALUE!")</f>
        <v>#VALUE!</v>
      </c>
      <c r="BI1576" t="str">
        <f ca="1">IFERROR(__xludf.DUMMYFUNCTION("""COMPUTED_VALUE"""),"#VALUE!")</f>
        <v>#VALUE!</v>
      </c>
      <c r="BK1576" t="str">
        <f ca="1">IFERROR(__xludf.DUMMYFUNCTION("""COMPUTED_VALUE"""),"#VALUE!")</f>
        <v>#VALUE!</v>
      </c>
      <c r="BM1576" t="str">
        <f ca="1">IFERROR(__xludf.DUMMYFUNCTION("""COMPUTED_VALUE"""),"#VALUE!")</f>
        <v>#VALUE!</v>
      </c>
      <c r="CS1576" t="str">
        <f ca="1">IFERROR(__xludf.DUMMYFUNCTION("""COMPUTED_VALUE"""),"#VALUE!")</f>
        <v>#VALUE!</v>
      </c>
      <c r="CU1576" t="str">
        <f ca="1">IFERROR(__xludf.DUMMYFUNCTION("""COMPUTED_VALUE"""),"#VALUE!")</f>
        <v>#VALUE!</v>
      </c>
      <c r="CW1576" t="str">
        <f ca="1">IFERROR(__xludf.DUMMYFUNCTION("""COMPUTED_VALUE"""),"#VALUE!")</f>
        <v>#VALUE!</v>
      </c>
      <c r="CY1576" t="str">
        <f ca="1">IFERROR(__xludf.DUMMYFUNCTION("""COMPUTED_VALUE"""),"#VALUE!")</f>
        <v>#VALUE!</v>
      </c>
      <c r="DC1576" t="str">
        <f ca="1">IFERROR(__xludf.DUMMYFUNCTION("""COMPUTED_VALUE"""),"#VALUE!")</f>
        <v>#VALUE!</v>
      </c>
      <c r="DE1576" t="str">
        <f ca="1">IFERROR(__xludf.DUMMYFUNCTION("""COMPUTED_VALUE"""),"#VALUE!")</f>
        <v>#VALUE!</v>
      </c>
    </row>
    <row r="1577" spans="1:109" ht="13.2" x14ac:dyDescent="0.25">
      <c r="A1577" t="str">
        <f ca="1">IFERROR(__xludf.DUMMYFUNCTION("""COMPUTED_VALUE"""),"P1586")</f>
        <v>P1586</v>
      </c>
      <c r="BC1577" t="str">
        <f ca="1">IFERROR(__xludf.DUMMYFUNCTION("""COMPUTED_VALUE"""),"#VALUE!")</f>
        <v>#VALUE!</v>
      </c>
      <c r="BE1577" t="str">
        <f ca="1">IFERROR(__xludf.DUMMYFUNCTION("""COMPUTED_VALUE"""),"#VALUE!")</f>
        <v>#VALUE!</v>
      </c>
      <c r="BG1577" t="str">
        <f ca="1">IFERROR(__xludf.DUMMYFUNCTION("""COMPUTED_VALUE"""),"#VALUE!")</f>
        <v>#VALUE!</v>
      </c>
      <c r="BI1577" t="str">
        <f ca="1">IFERROR(__xludf.DUMMYFUNCTION("""COMPUTED_VALUE"""),"#VALUE!")</f>
        <v>#VALUE!</v>
      </c>
      <c r="BK1577" t="str">
        <f ca="1">IFERROR(__xludf.DUMMYFUNCTION("""COMPUTED_VALUE"""),"#VALUE!")</f>
        <v>#VALUE!</v>
      </c>
      <c r="BM1577" t="str">
        <f ca="1">IFERROR(__xludf.DUMMYFUNCTION("""COMPUTED_VALUE"""),"#VALUE!")</f>
        <v>#VALUE!</v>
      </c>
      <c r="CS1577" t="str">
        <f ca="1">IFERROR(__xludf.DUMMYFUNCTION("""COMPUTED_VALUE"""),"#VALUE!")</f>
        <v>#VALUE!</v>
      </c>
      <c r="CU1577" t="str">
        <f ca="1">IFERROR(__xludf.DUMMYFUNCTION("""COMPUTED_VALUE"""),"#VALUE!")</f>
        <v>#VALUE!</v>
      </c>
      <c r="CW1577" t="str">
        <f ca="1">IFERROR(__xludf.DUMMYFUNCTION("""COMPUTED_VALUE"""),"#VALUE!")</f>
        <v>#VALUE!</v>
      </c>
      <c r="CY1577" t="str">
        <f ca="1">IFERROR(__xludf.DUMMYFUNCTION("""COMPUTED_VALUE"""),"#VALUE!")</f>
        <v>#VALUE!</v>
      </c>
      <c r="DC1577" t="str">
        <f ca="1">IFERROR(__xludf.DUMMYFUNCTION("""COMPUTED_VALUE"""),"#VALUE!")</f>
        <v>#VALUE!</v>
      </c>
      <c r="DE1577" t="str">
        <f ca="1">IFERROR(__xludf.DUMMYFUNCTION("""COMPUTED_VALUE"""),"#VALUE!")</f>
        <v>#VALUE!</v>
      </c>
    </row>
    <row r="1578" spans="1:109" ht="13.2" x14ac:dyDescent="0.25">
      <c r="A1578" t="str">
        <f ca="1">IFERROR(__xludf.DUMMYFUNCTION("""COMPUTED_VALUE"""),"P1587")</f>
        <v>P1587</v>
      </c>
      <c r="BC1578" t="str">
        <f ca="1">IFERROR(__xludf.DUMMYFUNCTION("""COMPUTED_VALUE"""),"#VALUE!")</f>
        <v>#VALUE!</v>
      </c>
      <c r="BE1578" t="str">
        <f ca="1">IFERROR(__xludf.DUMMYFUNCTION("""COMPUTED_VALUE"""),"#VALUE!")</f>
        <v>#VALUE!</v>
      </c>
      <c r="BG1578" t="str">
        <f ca="1">IFERROR(__xludf.DUMMYFUNCTION("""COMPUTED_VALUE"""),"#VALUE!")</f>
        <v>#VALUE!</v>
      </c>
      <c r="BI1578" t="str">
        <f ca="1">IFERROR(__xludf.DUMMYFUNCTION("""COMPUTED_VALUE"""),"#VALUE!")</f>
        <v>#VALUE!</v>
      </c>
      <c r="BK1578" t="str">
        <f ca="1">IFERROR(__xludf.DUMMYFUNCTION("""COMPUTED_VALUE"""),"#VALUE!")</f>
        <v>#VALUE!</v>
      </c>
      <c r="BM1578" t="str">
        <f ca="1">IFERROR(__xludf.DUMMYFUNCTION("""COMPUTED_VALUE"""),"#VALUE!")</f>
        <v>#VALUE!</v>
      </c>
      <c r="CS1578" t="str">
        <f ca="1">IFERROR(__xludf.DUMMYFUNCTION("""COMPUTED_VALUE"""),"#VALUE!")</f>
        <v>#VALUE!</v>
      </c>
      <c r="CU1578" t="str">
        <f ca="1">IFERROR(__xludf.DUMMYFUNCTION("""COMPUTED_VALUE"""),"#VALUE!")</f>
        <v>#VALUE!</v>
      </c>
      <c r="CW1578" t="str">
        <f ca="1">IFERROR(__xludf.DUMMYFUNCTION("""COMPUTED_VALUE"""),"#VALUE!")</f>
        <v>#VALUE!</v>
      </c>
      <c r="CY1578" t="str">
        <f ca="1">IFERROR(__xludf.DUMMYFUNCTION("""COMPUTED_VALUE"""),"#VALUE!")</f>
        <v>#VALUE!</v>
      </c>
      <c r="DC1578" t="str">
        <f ca="1">IFERROR(__xludf.DUMMYFUNCTION("""COMPUTED_VALUE"""),"#VALUE!")</f>
        <v>#VALUE!</v>
      </c>
      <c r="DE1578" t="str">
        <f ca="1">IFERROR(__xludf.DUMMYFUNCTION("""COMPUTED_VALUE"""),"#VALUE!")</f>
        <v>#VALUE!</v>
      </c>
    </row>
    <row r="1579" spans="1:109" ht="13.2" x14ac:dyDescent="0.25">
      <c r="A1579" t="str">
        <f ca="1">IFERROR(__xludf.DUMMYFUNCTION("""COMPUTED_VALUE"""),"P1588")</f>
        <v>P1588</v>
      </c>
      <c r="BC1579" t="str">
        <f ca="1">IFERROR(__xludf.DUMMYFUNCTION("""COMPUTED_VALUE"""),"#VALUE!")</f>
        <v>#VALUE!</v>
      </c>
      <c r="BE1579" t="str">
        <f ca="1">IFERROR(__xludf.DUMMYFUNCTION("""COMPUTED_VALUE"""),"#VALUE!")</f>
        <v>#VALUE!</v>
      </c>
      <c r="BG1579" t="str">
        <f ca="1">IFERROR(__xludf.DUMMYFUNCTION("""COMPUTED_VALUE"""),"#VALUE!")</f>
        <v>#VALUE!</v>
      </c>
      <c r="BI1579" t="str">
        <f ca="1">IFERROR(__xludf.DUMMYFUNCTION("""COMPUTED_VALUE"""),"#VALUE!")</f>
        <v>#VALUE!</v>
      </c>
      <c r="BK1579" t="str">
        <f ca="1">IFERROR(__xludf.DUMMYFUNCTION("""COMPUTED_VALUE"""),"#VALUE!")</f>
        <v>#VALUE!</v>
      </c>
      <c r="BM1579" t="str">
        <f ca="1">IFERROR(__xludf.DUMMYFUNCTION("""COMPUTED_VALUE"""),"#VALUE!")</f>
        <v>#VALUE!</v>
      </c>
      <c r="CS1579" t="str">
        <f ca="1">IFERROR(__xludf.DUMMYFUNCTION("""COMPUTED_VALUE"""),"#VALUE!")</f>
        <v>#VALUE!</v>
      </c>
      <c r="CU1579" t="str">
        <f ca="1">IFERROR(__xludf.DUMMYFUNCTION("""COMPUTED_VALUE"""),"#VALUE!")</f>
        <v>#VALUE!</v>
      </c>
      <c r="CW1579" t="str">
        <f ca="1">IFERROR(__xludf.DUMMYFUNCTION("""COMPUTED_VALUE"""),"#VALUE!")</f>
        <v>#VALUE!</v>
      </c>
      <c r="CY1579" t="str">
        <f ca="1">IFERROR(__xludf.DUMMYFUNCTION("""COMPUTED_VALUE"""),"#VALUE!")</f>
        <v>#VALUE!</v>
      </c>
      <c r="DC1579" t="str">
        <f ca="1">IFERROR(__xludf.DUMMYFUNCTION("""COMPUTED_VALUE"""),"#VALUE!")</f>
        <v>#VALUE!</v>
      </c>
      <c r="DE1579" t="str">
        <f ca="1">IFERROR(__xludf.DUMMYFUNCTION("""COMPUTED_VALUE"""),"#VALUE!")</f>
        <v>#VALUE!</v>
      </c>
    </row>
    <row r="1580" spans="1:109" ht="13.2" x14ac:dyDescent="0.25">
      <c r="A1580" t="str">
        <f ca="1">IFERROR(__xludf.DUMMYFUNCTION("""COMPUTED_VALUE"""),"P1589")</f>
        <v>P1589</v>
      </c>
      <c r="BC1580" t="str">
        <f ca="1">IFERROR(__xludf.DUMMYFUNCTION("""COMPUTED_VALUE"""),"#VALUE!")</f>
        <v>#VALUE!</v>
      </c>
      <c r="BE1580" t="str">
        <f ca="1">IFERROR(__xludf.DUMMYFUNCTION("""COMPUTED_VALUE"""),"#VALUE!")</f>
        <v>#VALUE!</v>
      </c>
      <c r="BG1580" t="str">
        <f ca="1">IFERROR(__xludf.DUMMYFUNCTION("""COMPUTED_VALUE"""),"#VALUE!")</f>
        <v>#VALUE!</v>
      </c>
      <c r="BI1580" t="str">
        <f ca="1">IFERROR(__xludf.DUMMYFUNCTION("""COMPUTED_VALUE"""),"#VALUE!")</f>
        <v>#VALUE!</v>
      </c>
      <c r="BK1580" t="str">
        <f ca="1">IFERROR(__xludf.DUMMYFUNCTION("""COMPUTED_VALUE"""),"#VALUE!")</f>
        <v>#VALUE!</v>
      </c>
      <c r="BM1580" t="str">
        <f ca="1">IFERROR(__xludf.DUMMYFUNCTION("""COMPUTED_VALUE"""),"#VALUE!")</f>
        <v>#VALUE!</v>
      </c>
      <c r="CS1580" t="str">
        <f ca="1">IFERROR(__xludf.DUMMYFUNCTION("""COMPUTED_VALUE"""),"#VALUE!")</f>
        <v>#VALUE!</v>
      </c>
      <c r="CU1580" t="str">
        <f ca="1">IFERROR(__xludf.DUMMYFUNCTION("""COMPUTED_VALUE"""),"#VALUE!")</f>
        <v>#VALUE!</v>
      </c>
      <c r="CW1580" t="str">
        <f ca="1">IFERROR(__xludf.DUMMYFUNCTION("""COMPUTED_VALUE"""),"#VALUE!")</f>
        <v>#VALUE!</v>
      </c>
      <c r="CY1580" t="str">
        <f ca="1">IFERROR(__xludf.DUMMYFUNCTION("""COMPUTED_VALUE"""),"#VALUE!")</f>
        <v>#VALUE!</v>
      </c>
      <c r="DC1580" t="str">
        <f ca="1">IFERROR(__xludf.DUMMYFUNCTION("""COMPUTED_VALUE"""),"#VALUE!")</f>
        <v>#VALUE!</v>
      </c>
      <c r="DE1580" t="str">
        <f ca="1">IFERROR(__xludf.DUMMYFUNCTION("""COMPUTED_VALUE"""),"#VALUE!")</f>
        <v>#VALUE!</v>
      </c>
    </row>
    <row r="1581" spans="1:109" ht="13.2" x14ac:dyDescent="0.25">
      <c r="A1581" t="str">
        <f ca="1">IFERROR(__xludf.DUMMYFUNCTION("""COMPUTED_VALUE"""),"P1590")</f>
        <v>P1590</v>
      </c>
      <c r="BC1581" t="str">
        <f ca="1">IFERROR(__xludf.DUMMYFUNCTION("""COMPUTED_VALUE"""),"#VALUE!")</f>
        <v>#VALUE!</v>
      </c>
      <c r="BE1581" t="str">
        <f ca="1">IFERROR(__xludf.DUMMYFUNCTION("""COMPUTED_VALUE"""),"#VALUE!")</f>
        <v>#VALUE!</v>
      </c>
      <c r="BG1581" t="str">
        <f ca="1">IFERROR(__xludf.DUMMYFUNCTION("""COMPUTED_VALUE"""),"#VALUE!")</f>
        <v>#VALUE!</v>
      </c>
      <c r="BI1581" t="str">
        <f ca="1">IFERROR(__xludf.DUMMYFUNCTION("""COMPUTED_VALUE"""),"#VALUE!")</f>
        <v>#VALUE!</v>
      </c>
      <c r="BK1581" t="str">
        <f ca="1">IFERROR(__xludf.DUMMYFUNCTION("""COMPUTED_VALUE"""),"#VALUE!")</f>
        <v>#VALUE!</v>
      </c>
      <c r="BM1581" t="str">
        <f ca="1">IFERROR(__xludf.DUMMYFUNCTION("""COMPUTED_VALUE"""),"#VALUE!")</f>
        <v>#VALUE!</v>
      </c>
      <c r="CS1581" t="str">
        <f ca="1">IFERROR(__xludf.DUMMYFUNCTION("""COMPUTED_VALUE"""),"#VALUE!")</f>
        <v>#VALUE!</v>
      </c>
      <c r="CU1581" t="str">
        <f ca="1">IFERROR(__xludf.DUMMYFUNCTION("""COMPUTED_VALUE"""),"#VALUE!")</f>
        <v>#VALUE!</v>
      </c>
      <c r="CW1581" t="str">
        <f ca="1">IFERROR(__xludf.DUMMYFUNCTION("""COMPUTED_VALUE"""),"#VALUE!")</f>
        <v>#VALUE!</v>
      </c>
      <c r="CY1581" t="str">
        <f ca="1">IFERROR(__xludf.DUMMYFUNCTION("""COMPUTED_VALUE"""),"#VALUE!")</f>
        <v>#VALUE!</v>
      </c>
      <c r="DC1581" t="str">
        <f ca="1">IFERROR(__xludf.DUMMYFUNCTION("""COMPUTED_VALUE"""),"#VALUE!")</f>
        <v>#VALUE!</v>
      </c>
      <c r="DE1581" t="str">
        <f ca="1">IFERROR(__xludf.DUMMYFUNCTION("""COMPUTED_VALUE"""),"#VALUE!")</f>
        <v>#VALUE!</v>
      </c>
    </row>
    <row r="1582" spans="1:109" ht="13.2" x14ac:dyDescent="0.25">
      <c r="A1582" t="str">
        <f ca="1">IFERROR(__xludf.DUMMYFUNCTION("""COMPUTED_VALUE"""),"P1591")</f>
        <v>P1591</v>
      </c>
      <c r="BC1582" t="str">
        <f ca="1">IFERROR(__xludf.DUMMYFUNCTION("""COMPUTED_VALUE"""),"#VALUE!")</f>
        <v>#VALUE!</v>
      </c>
      <c r="BE1582" t="str">
        <f ca="1">IFERROR(__xludf.DUMMYFUNCTION("""COMPUTED_VALUE"""),"#VALUE!")</f>
        <v>#VALUE!</v>
      </c>
      <c r="BG1582" t="str">
        <f ca="1">IFERROR(__xludf.DUMMYFUNCTION("""COMPUTED_VALUE"""),"#VALUE!")</f>
        <v>#VALUE!</v>
      </c>
      <c r="BI1582" t="str">
        <f ca="1">IFERROR(__xludf.DUMMYFUNCTION("""COMPUTED_VALUE"""),"#VALUE!")</f>
        <v>#VALUE!</v>
      </c>
      <c r="BK1582" t="str">
        <f ca="1">IFERROR(__xludf.DUMMYFUNCTION("""COMPUTED_VALUE"""),"#VALUE!")</f>
        <v>#VALUE!</v>
      </c>
      <c r="BM1582" t="str">
        <f ca="1">IFERROR(__xludf.DUMMYFUNCTION("""COMPUTED_VALUE"""),"#VALUE!")</f>
        <v>#VALUE!</v>
      </c>
      <c r="CS1582" t="str">
        <f ca="1">IFERROR(__xludf.DUMMYFUNCTION("""COMPUTED_VALUE"""),"#VALUE!")</f>
        <v>#VALUE!</v>
      </c>
      <c r="CU1582" t="str">
        <f ca="1">IFERROR(__xludf.DUMMYFUNCTION("""COMPUTED_VALUE"""),"#VALUE!")</f>
        <v>#VALUE!</v>
      </c>
      <c r="CW1582" t="str">
        <f ca="1">IFERROR(__xludf.DUMMYFUNCTION("""COMPUTED_VALUE"""),"#VALUE!")</f>
        <v>#VALUE!</v>
      </c>
      <c r="CY1582" t="str">
        <f ca="1">IFERROR(__xludf.DUMMYFUNCTION("""COMPUTED_VALUE"""),"#VALUE!")</f>
        <v>#VALUE!</v>
      </c>
      <c r="DC1582" t="str">
        <f ca="1">IFERROR(__xludf.DUMMYFUNCTION("""COMPUTED_VALUE"""),"#VALUE!")</f>
        <v>#VALUE!</v>
      </c>
      <c r="DE1582" t="str">
        <f ca="1">IFERROR(__xludf.DUMMYFUNCTION("""COMPUTED_VALUE"""),"#VALUE!")</f>
        <v>#VALUE!</v>
      </c>
    </row>
    <row r="1583" spans="1:109" ht="13.2" x14ac:dyDescent="0.25">
      <c r="A1583" t="str">
        <f ca="1">IFERROR(__xludf.DUMMYFUNCTION("""COMPUTED_VALUE"""),"P1592")</f>
        <v>P1592</v>
      </c>
      <c r="BC1583" t="str">
        <f ca="1">IFERROR(__xludf.DUMMYFUNCTION("""COMPUTED_VALUE"""),"#VALUE!")</f>
        <v>#VALUE!</v>
      </c>
      <c r="BE1583" t="str">
        <f ca="1">IFERROR(__xludf.DUMMYFUNCTION("""COMPUTED_VALUE"""),"#VALUE!")</f>
        <v>#VALUE!</v>
      </c>
      <c r="BG1583" t="str">
        <f ca="1">IFERROR(__xludf.DUMMYFUNCTION("""COMPUTED_VALUE"""),"#VALUE!")</f>
        <v>#VALUE!</v>
      </c>
      <c r="BI1583" t="str">
        <f ca="1">IFERROR(__xludf.DUMMYFUNCTION("""COMPUTED_VALUE"""),"#VALUE!")</f>
        <v>#VALUE!</v>
      </c>
      <c r="BK1583" t="str">
        <f ca="1">IFERROR(__xludf.DUMMYFUNCTION("""COMPUTED_VALUE"""),"#VALUE!")</f>
        <v>#VALUE!</v>
      </c>
      <c r="BM1583" t="str">
        <f ca="1">IFERROR(__xludf.DUMMYFUNCTION("""COMPUTED_VALUE"""),"#VALUE!")</f>
        <v>#VALUE!</v>
      </c>
      <c r="CS1583" t="str">
        <f ca="1">IFERROR(__xludf.DUMMYFUNCTION("""COMPUTED_VALUE"""),"#VALUE!")</f>
        <v>#VALUE!</v>
      </c>
      <c r="CU1583" t="str">
        <f ca="1">IFERROR(__xludf.DUMMYFUNCTION("""COMPUTED_VALUE"""),"#VALUE!")</f>
        <v>#VALUE!</v>
      </c>
      <c r="CW1583" t="str">
        <f ca="1">IFERROR(__xludf.DUMMYFUNCTION("""COMPUTED_VALUE"""),"#VALUE!")</f>
        <v>#VALUE!</v>
      </c>
      <c r="CY1583" t="str">
        <f ca="1">IFERROR(__xludf.DUMMYFUNCTION("""COMPUTED_VALUE"""),"#VALUE!")</f>
        <v>#VALUE!</v>
      </c>
      <c r="DC1583" t="str">
        <f ca="1">IFERROR(__xludf.DUMMYFUNCTION("""COMPUTED_VALUE"""),"#VALUE!")</f>
        <v>#VALUE!</v>
      </c>
      <c r="DE1583" t="str">
        <f ca="1">IFERROR(__xludf.DUMMYFUNCTION("""COMPUTED_VALUE"""),"#VALUE!")</f>
        <v>#VALUE!</v>
      </c>
    </row>
    <row r="1584" spans="1:109" ht="13.2" x14ac:dyDescent="0.25">
      <c r="A1584" t="str">
        <f ca="1">IFERROR(__xludf.DUMMYFUNCTION("""COMPUTED_VALUE"""),"P1593")</f>
        <v>P1593</v>
      </c>
      <c r="BC1584" t="str">
        <f ca="1">IFERROR(__xludf.DUMMYFUNCTION("""COMPUTED_VALUE"""),"#VALUE!")</f>
        <v>#VALUE!</v>
      </c>
      <c r="BE1584" t="str">
        <f ca="1">IFERROR(__xludf.DUMMYFUNCTION("""COMPUTED_VALUE"""),"#VALUE!")</f>
        <v>#VALUE!</v>
      </c>
      <c r="BG1584" t="str">
        <f ca="1">IFERROR(__xludf.DUMMYFUNCTION("""COMPUTED_VALUE"""),"#VALUE!")</f>
        <v>#VALUE!</v>
      </c>
      <c r="BI1584" t="str">
        <f ca="1">IFERROR(__xludf.DUMMYFUNCTION("""COMPUTED_VALUE"""),"#VALUE!")</f>
        <v>#VALUE!</v>
      </c>
      <c r="BK1584" t="str">
        <f ca="1">IFERROR(__xludf.DUMMYFUNCTION("""COMPUTED_VALUE"""),"#VALUE!")</f>
        <v>#VALUE!</v>
      </c>
      <c r="BM1584" t="str">
        <f ca="1">IFERROR(__xludf.DUMMYFUNCTION("""COMPUTED_VALUE"""),"#VALUE!")</f>
        <v>#VALUE!</v>
      </c>
      <c r="CS1584" t="str">
        <f ca="1">IFERROR(__xludf.DUMMYFUNCTION("""COMPUTED_VALUE"""),"#VALUE!")</f>
        <v>#VALUE!</v>
      </c>
      <c r="CU1584" t="str">
        <f ca="1">IFERROR(__xludf.DUMMYFUNCTION("""COMPUTED_VALUE"""),"#VALUE!")</f>
        <v>#VALUE!</v>
      </c>
      <c r="CW1584" t="str">
        <f ca="1">IFERROR(__xludf.DUMMYFUNCTION("""COMPUTED_VALUE"""),"#VALUE!")</f>
        <v>#VALUE!</v>
      </c>
      <c r="CY1584" t="str">
        <f ca="1">IFERROR(__xludf.DUMMYFUNCTION("""COMPUTED_VALUE"""),"#VALUE!")</f>
        <v>#VALUE!</v>
      </c>
      <c r="DC1584" t="str">
        <f ca="1">IFERROR(__xludf.DUMMYFUNCTION("""COMPUTED_VALUE"""),"#VALUE!")</f>
        <v>#VALUE!</v>
      </c>
      <c r="DE1584" t="str">
        <f ca="1">IFERROR(__xludf.DUMMYFUNCTION("""COMPUTED_VALUE"""),"#VALUE!")</f>
        <v>#VALUE!</v>
      </c>
    </row>
    <row r="1585" spans="1:109" ht="13.2" x14ac:dyDescent="0.25">
      <c r="A1585" t="str">
        <f ca="1">IFERROR(__xludf.DUMMYFUNCTION("""COMPUTED_VALUE"""),"P1594")</f>
        <v>P1594</v>
      </c>
      <c r="BC1585" t="str">
        <f ca="1">IFERROR(__xludf.DUMMYFUNCTION("""COMPUTED_VALUE"""),"#VALUE!")</f>
        <v>#VALUE!</v>
      </c>
      <c r="BE1585" t="str">
        <f ca="1">IFERROR(__xludf.DUMMYFUNCTION("""COMPUTED_VALUE"""),"#VALUE!")</f>
        <v>#VALUE!</v>
      </c>
      <c r="BG1585" t="str">
        <f ca="1">IFERROR(__xludf.DUMMYFUNCTION("""COMPUTED_VALUE"""),"#VALUE!")</f>
        <v>#VALUE!</v>
      </c>
      <c r="BI1585" t="str">
        <f ca="1">IFERROR(__xludf.DUMMYFUNCTION("""COMPUTED_VALUE"""),"#VALUE!")</f>
        <v>#VALUE!</v>
      </c>
      <c r="BK1585" t="str">
        <f ca="1">IFERROR(__xludf.DUMMYFUNCTION("""COMPUTED_VALUE"""),"#VALUE!")</f>
        <v>#VALUE!</v>
      </c>
      <c r="BM1585" t="str">
        <f ca="1">IFERROR(__xludf.DUMMYFUNCTION("""COMPUTED_VALUE"""),"#VALUE!")</f>
        <v>#VALUE!</v>
      </c>
      <c r="CS1585" t="str">
        <f ca="1">IFERROR(__xludf.DUMMYFUNCTION("""COMPUTED_VALUE"""),"#VALUE!")</f>
        <v>#VALUE!</v>
      </c>
      <c r="CU1585" t="str">
        <f ca="1">IFERROR(__xludf.DUMMYFUNCTION("""COMPUTED_VALUE"""),"#VALUE!")</f>
        <v>#VALUE!</v>
      </c>
      <c r="CW1585" t="str">
        <f ca="1">IFERROR(__xludf.DUMMYFUNCTION("""COMPUTED_VALUE"""),"#VALUE!")</f>
        <v>#VALUE!</v>
      </c>
      <c r="CY1585" t="str">
        <f ca="1">IFERROR(__xludf.DUMMYFUNCTION("""COMPUTED_VALUE"""),"#VALUE!")</f>
        <v>#VALUE!</v>
      </c>
      <c r="DC1585" t="str">
        <f ca="1">IFERROR(__xludf.DUMMYFUNCTION("""COMPUTED_VALUE"""),"#VALUE!")</f>
        <v>#VALUE!</v>
      </c>
      <c r="DE1585" t="str">
        <f ca="1">IFERROR(__xludf.DUMMYFUNCTION("""COMPUTED_VALUE"""),"#VALUE!")</f>
        <v>#VALUE!</v>
      </c>
    </row>
    <row r="1586" spans="1:109" ht="13.2" x14ac:dyDescent="0.25">
      <c r="A1586" t="str">
        <f ca="1">IFERROR(__xludf.DUMMYFUNCTION("""COMPUTED_VALUE"""),"P1595")</f>
        <v>P1595</v>
      </c>
      <c r="BC1586" t="str">
        <f ca="1">IFERROR(__xludf.DUMMYFUNCTION("""COMPUTED_VALUE"""),"#VALUE!")</f>
        <v>#VALUE!</v>
      </c>
      <c r="BE1586" t="str">
        <f ca="1">IFERROR(__xludf.DUMMYFUNCTION("""COMPUTED_VALUE"""),"#VALUE!")</f>
        <v>#VALUE!</v>
      </c>
      <c r="BG1586" t="str">
        <f ca="1">IFERROR(__xludf.DUMMYFUNCTION("""COMPUTED_VALUE"""),"#VALUE!")</f>
        <v>#VALUE!</v>
      </c>
      <c r="BI1586" t="str">
        <f ca="1">IFERROR(__xludf.DUMMYFUNCTION("""COMPUTED_VALUE"""),"#VALUE!")</f>
        <v>#VALUE!</v>
      </c>
      <c r="BK1586" t="str">
        <f ca="1">IFERROR(__xludf.DUMMYFUNCTION("""COMPUTED_VALUE"""),"#VALUE!")</f>
        <v>#VALUE!</v>
      </c>
      <c r="BM1586" t="str">
        <f ca="1">IFERROR(__xludf.DUMMYFUNCTION("""COMPUTED_VALUE"""),"#VALUE!")</f>
        <v>#VALUE!</v>
      </c>
      <c r="CS1586" t="str">
        <f ca="1">IFERROR(__xludf.DUMMYFUNCTION("""COMPUTED_VALUE"""),"#VALUE!")</f>
        <v>#VALUE!</v>
      </c>
      <c r="CU1586" t="str">
        <f ca="1">IFERROR(__xludf.DUMMYFUNCTION("""COMPUTED_VALUE"""),"#VALUE!")</f>
        <v>#VALUE!</v>
      </c>
      <c r="CW1586" t="str">
        <f ca="1">IFERROR(__xludf.DUMMYFUNCTION("""COMPUTED_VALUE"""),"#VALUE!")</f>
        <v>#VALUE!</v>
      </c>
      <c r="CY1586" t="str">
        <f ca="1">IFERROR(__xludf.DUMMYFUNCTION("""COMPUTED_VALUE"""),"#VALUE!")</f>
        <v>#VALUE!</v>
      </c>
      <c r="DC1586" t="str">
        <f ca="1">IFERROR(__xludf.DUMMYFUNCTION("""COMPUTED_VALUE"""),"#VALUE!")</f>
        <v>#VALUE!</v>
      </c>
      <c r="DE1586" t="str">
        <f ca="1">IFERROR(__xludf.DUMMYFUNCTION("""COMPUTED_VALUE"""),"#VALUE!")</f>
        <v>#VALUE!</v>
      </c>
    </row>
    <row r="1587" spans="1:109" ht="13.2" x14ac:dyDescent="0.25">
      <c r="A1587" t="str">
        <f ca="1">IFERROR(__xludf.DUMMYFUNCTION("""COMPUTED_VALUE"""),"P1596")</f>
        <v>P1596</v>
      </c>
      <c r="BC1587" t="str">
        <f ca="1">IFERROR(__xludf.DUMMYFUNCTION("""COMPUTED_VALUE"""),"#VALUE!")</f>
        <v>#VALUE!</v>
      </c>
      <c r="BE1587" t="str">
        <f ca="1">IFERROR(__xludf.DUMMYFUNCTION("""COMPUTED_VALUE"""),"#VALUE!")</f>
        <v>#VALUE!</v>
      </c>
      <c r="BG1587" t="str">
        <f ca="1">IFERROR(__xludf.DUMMYFUNCTION("""COMPUTED_VALUE"""),"#VALUE!")</f>
        <v>#VALUE!</v>
      </c>
      <c r="BI1587" t="str">
        <f ca="1">IFERROR(__xludf.DUMMYFUNCTION("""COMPUTED_VALUE"""),"#VALUE!")</f>
        <v>#VALUE!</v>
      </c>
      <c r="BK1587" t="str">
        <f ca="1">IFERROR(__xludf.DUMMYFUNCTION("""COMPUTED_VALUE"""),"#VALUE!")</f>
        <v>#VALUE!</v>
      </c>
      <c r="BM1587" t="str">
        <f ca="1">IFERROR(__xludf.DUMMYFUNCTION("""COMPUTED_VALUE"""),"#VALUE!")</f>
        <v>#VALUE!</v>
      </c>
      <c r="CS1587" t="str">
        <f ca="1">IFERROR(__xludf.DUMMYFUNCTION("""COMPUTED_VALUE"""),"#VALUE!")</f>
        <v>#VALUE!</v>
      </c>
      <c r="CU1587" t="str">
        <f ca="1">IFERROR(__xludf.DUMMYFUNCTION("""COMPUTED_VALUE"""),"#VALUE!")</f>
        <v>#VALUE!</v>
      </c>
      <c r="CW1587" t="str">
        <f ca="1">IFERROR(__xludf.DUMMYFUNCTION("""COMPUTED_VALUE"""),"#VALUE!")</f>
        <v>#VALUE!</v>
      </c>
      <c r="CY1587" t="str">
        <f ca="1">IFERROR(__xludf.DUMMYFUNCTION("""COMPUTED_VALUE"""),"#VALUE!")</f>
        <v>#VALUE!</v>
      </c>
      <c r="DC1587" t="str">
        <f ca="1">IFERROR(__xludf.DUMMYFUNCTION("""COMPUTED_VALUE"""),"#VALUE!")</f>
        <v>#VALUE!</v>
      </c>
      <c r="DE1587" t="str">
        <f ca="1">IFERROR(__xludf.DUMMYFUNCTION("""COMPUTED_VALUE"""),"#VALUE!")</f>
        <v>#VALUE!</v>
      </c>
    </row>
    <row r="1588" spans="1:109" ht="13.2" x14ac:dyDescent="0.25">
      <c r="A1588" t="str">
        <f ca="1">IFERROR(__xludf.DUMMYFUNCTION("""COMPUTED_VALUE"""),"P1597")</f>
        <v>P1597</v>
      </c>
      <c r="BC1588" t="str">
        <f ca="1">IFERROR(__xludf.DUMMYFUNCTION("""COMPUTED_VALUE"""),"#VALUE!")</f>
        <v>#VALUE!</v>
      </c>
      <c r="BE1588" t="str">
        <f ca="1">IFERROR(__xludf.DUMMYFUNCTION("""COMPUTED_VALUE"""),"#VALUE!")</f>
        <v>#VALUE!</v>
      </c>
      <c r="BG1588" t="str">
        <f ca="1">IFERROR(__xludf.DUMMYFUNCTION("""COMPUTED_VALUE"""),"#VALUE!")</f>
        <v>#VALUE!</v>
      </c>
      <c r="BI1588" t="str">
        <f ca="1">IFERROR(__xludf.DUMMYFUNCTION("""COMPUTED_VALUE"""),"#VALUE!")</f>
        <v>#VALUE!</v>
      </c>
      <c r="BK1588" t="str">
        <f ca="1">IFERROR(__xludf.DUMMYFUNCTION("""COMPUTED_VALUE"""),"#VALUE!")</f>
        <v>#VALUE!</v>
      </c>
      <c r="BM1588" t="str">
        <f ca="1">IFERROR(__xludf.DUMMYFUNCTION("""COMPUTED_VALUE"""),"#VALUE!")</f>
        <v>#VALUE!</v>
      </c>
      <c r="CS1588" t="str">
        <f ca="1">IFERROR(__xludf.DUMMYFUNCTION("""COMPUTED_VALUE"""),"#VALUE!")</f>
        <v>#VALUE!</v>
      </c>
      <c r="CU1588" t="str">
        <f ca="1">IFERROR(__xludf.DUMMYFUNCTION("""COMPUTED_VALUE"""),"#VALUE!")</f>
        <v>#VALUE!</v>
      </c>
      <c r="CW1588" t="str">
        <f ca="1">IFERROR(__xludf.DUMMYFUNCTION("""COMPUTED_VALUE"""),"#VALUE!")</f>
        <v>#VALUE!</v>
      </c>
      <c r="CY1588" t="str">
        <f ca="1">IFERROR(__xludf.DUMMYFUNCTION("""COMPUTED_VALUE"""),"#VALUE!")</f>
        <v>#VALUE!</v>
      </c>
      <c r="DC1588" t="str">
        <f ca="1">IFERROR(__xludf.DUMMYFUNCTION("""COMPUTED_VALUE"""),"#VALUE!")</f>
        <v>#VALUE!</v>
      </c>
      <c r="DE1588" t="str">
        <f ca="1">IFERROR(__xludf.DUMMYFUNCTION("""COMPUTED_VALUE"""),"#VALUE!")</f>
        <v>#VALUE!</v>
      </c>
    </row>
    <row r="1589" spans="1:109" ht="13.2" x14ac:dyDescent="0.25">
      <c r="A1589" t="str">
        <f ca="1">IFERROR(__xludf.DUMMYFUNCTION("""COMPUTED_VALUE"""),"P1598")</f>
        <v>P1598</v>
      </c>
      <c r="BC1589" t="str">
        <f ca="1">IFERROR(__xludf.DUMMYFUNCTION("""COMPUTED_VALUE"""),"#VALUE!")</f>
        <v>#VALUE!</v>
      </c>
      <c r="BE1589" t="str">
        <f ca="1">IFERROR(__xludf.DUMMYFUNCTION("""COMPUTED_VALUE"""),"#VALUE!")</f>
        <v>#VALUE!</v>
      </c>
      <c r="BG1589" t="str">
        <f ca="1">IFERROR(__xludf.DUMMYFUNCTION("""COMPUTED_VALUE"""),"#VALUE!")</f>
        <v>#VALUE!</v>
      </c>
      <c r="BI1589" t="str">
        <f ca="1">IFERROR(__xludf.DUMMYFUNCTION("""COMPUTED_VALUE"""),"#VALUE!")</f>
        <v>#VALUE!</v>
      </c>
      <c r="BK1589" t="str">
        <f ca="1">IFERROR(__xludf.DUMMYFUNCTION("""COMPUTED_VALUE"""),"#VALUE!")</f>
        <v>#VALUE!</v>
      </c>
      <c r="BM1589" t="str">
        <f ca="1">IFERROR(__xludf.DUMMYFUNCTION("""COMPUTED_VALUE"""),"#VALUE!")</f>
        <v>#VALUE!</v>
      </c>
      <c r="CS1589" t="str">
        <f ca="1">IFERROR(__xludf.DUMMYFUNCTION("""COMPUTED_VALUE"""),"#VALUE!")</f>
        <v>#VALUE!</v>
      </c>
      <c r="CU1589" t="str">
        <f ca="1">IFERROR(__xludf.DUMMYFUNCTION("""COMPUTED_VALUE"""),"#VALUE!")</f>
        <v>#VALUE!</v>
      </c>
      <c r="CW1589" t="str">
        <f ca="1">IFERROR(__xludf.DUMMYFUNCTION("""COMPUTED_VALUE"""),"#VALUE!")</f>
        <v>#VALUE!</v>
      </c>
      <c r="CY1589" t="str">
        <f ca="1">IFERROR(__xludf.DUMMYFUNCTION("""COMPUTED_VALUE"""),"#VALUE!")</f>
        <v>#VALUE!</v>
      </c>
      <c r="DC1589" t="str">
        <f ca="1">IFERROR(__xludf.DUMMYFUNCTION("""COMPUTED_VALUE"""),"#VALUE!")</f>
        <v>#VALUE!</v>
      </c>
      <c r="DE1589" t="str">
        <f ca="1">IFERROR(__xludf.DUMMYFUNCTION("""COMPUTED_VALUE"""),"#VALUE!")</f>
        <v>#VALUE!</v>
      </c>
    </row>
    <row r="1590" spans="1:109" ht="13.2" x14ac:dyDescent="0.25">
      <c r="A1590" t="str">
        <f ca="1">IFERROR(__xludf.DUMMYFUNCTION("""COMPUTED_VALUE"""),"P1599")</f>
        <v>P1599</v>
      </c>
      <c r="BC1590" t="str">
        <f ca="1">IFERROR(__xludf.DUMMYFUNCTION("""COMPUTED_VALUE"""),"#VALUE!")</f>
        <v>#VALUE!</v>
      </c>
      <c r="BE1590" t="str">
        <f ca="1">IFERROR(__xludf.DUMMYFUNCTION("""COMPUTED_VALUE"""),"#VALUE!")</f>
        <v>#VALUE!</v>
      </c>
      <c r="BG1590" t="str">
        <f ca="1">IFERROR(__xludf.DUMMYFUNCTION("""COMPUTED_VALUE"""),"#VALUE!")</f>
        <v>#VALUE!</v>
      </c>
      <c r="BI1590" t="str">
        <f ca="1">IFERROR(__xludf.DUMMYFUNCTION("""COMPUTED_VALUE"""),"#VALUE!")</f>
        <v>#VALUE!</v>
      </c>
      <c r="BK1590" t="str">
        <f ca="1">IFERROR(__xludf.DUMMYFUNCTION("""COMPUTED_VALUE"""),"#VALUE!")</f>
        <v>#VALUE!</v>
      </c>
      <c r="BM1590" t="str">
        <f ca="1">IFERROR(__xludf.DUMMYFUNCTION("""COMPUTED_VALUE"""),"#VALUE!")</f>
        <v>#VALUE!</v>
      </c>
      <c r="CS1590" t="str">
        <f ca="1">IFERROR(__xludf.DUMMYFUNCTION("""COMPUTED_VALUE"""),"#VALUE!")</f>
        <v>#VALUE!</v>
      </c>
      <c r="CU1590" t="str">
        <f ca="1">IFERROR(__xludf.DUMMYFUNCTION("""COMPUTED_VALUE"""),"#VALUE!")</f>
        <v>#VALUE!</v>
      </c>
      <c r="CW1590" t="str">
        <f ca="1">IFERROR(__xludf.DUMMYFUNCTION("""COMPUTED_VALUE"""),"#VALUE!")</f>
        <v>#VALUE!</v>
      </c>
      <c r="CY1590" t="str">
        <f ca="1">IFERROR(__xludf.DUMMYFUNCTION("""COMPUTED_VALUE"""),"#VALUE!")</f>
        <v>#VALUE!</v>
      </c>
      <c r="DC1590" t="str">
        <f ca="1">IFERROR(__xludf.DUMMYFUNCTION("""COMPUTED_VALUE"""),"#VALUE!")</f>
        <v>#VALUE!</v>
      </c>
      <c r="DE1590" t="str">
        <f ca="1">IFERROR(__xludf.DUMMYFUNCTION("""COMPUTED_VALUE"""),"#VALUE!")</f>
        <v>#VALUE!</v>
      </c>
    </row>
    <row r="1591" spans="1:109" ht="13.2" x14ac:dyDescent="0.25">
      <c r="A1591" t="str">
        <f ca="1">IFERROR(__xludf.DUMMYFUNCTION("""COMPUTED_VALUE"""),"P1600")</f>
        <v>P1600</v>
      </c>
      <c r="BC1591" t="str">
        <f ca="1">IFERROR(__xludf.DUMMYFUNCTION("""COMPUTED_VALUE"""),"#VALUE!")</f>
        <v>#VALUE!</v>
      </c>
      <c r="BE1591" t="str">
        <f ca="1">IFERROR(__xludf.DUMMYFUNCTION("""COMPUTED_VALUE"""),"#VALUE!")</f>
        <v>#VALUE!</v>
      </c>
      <c r="BG1591" t="str">
        <f ca="1">IFERROR(__xludf.DUMMYFUNCTION("""COMPUTED_VALUE"""),"#VALUE!")</f>
        <v>#VALUE!</v>
      </c>
      <c r="BI1591" t="str">
        <f ca="1">IFERROR(__xludf.DUMMYFUNCTION("""COMPUTED_VALUE"""),"#VALUE!")</f>
        <v>#VALUE!</v>
      </c>
      <c r="BK1591" t="str">
        <f ca="1">IFERROR(__xludf.DUMMYFUNCTION("""COMPUTED_VALUE"""),"#VALUE!")</f>
        <v>#VALUE!</v>
      </c>
      <c r="BM1591" t="str">
        <f ca="1">IFERROR(__xludf.DUMMYFUNCTION("""COMPUTED_VALUE"""),"#VALUE!")</f>
        <v>#VALUE!</v>
      </c>
      <c r="CS1591" t="str">
        <f ca="1">IFERROR(__xludf.DUMMYFUNCTION("""COMPUTED_VALUE"""),"#VALUE!")</f>
        <v>#VALUE!</v>
      </c>
      <c r="CU1591" t="str">
        <f ca="1">IFERROR(__xludf.DUMMYFUNCTION("""COMPUTED_VALUE"""),"#VALUE!")</f>
        <v>#VALUE!</v>
      </c>
      <c r="CW1591" t="str">
        <f ca="1">IFERROR(__xludf.DUMMYFUNCTION("""COMPUTED_VALUE"""),"#VALUE!")</f>
        <v>#VALUE!</v>
      </c>
      <c r="CY1591" t="str">
        <f ca="1">IFERROR(__xludf.DUMMYFUNCTION("""COMPUTED_VALUE"""),"#VALUE!")</f>
        <v>#VALUE!</v>
      </c>
      <c r="DC1591" t="str">
        <f ca="1">IFERROR(__xludf.DUMMYFUNCTION("""COMPUTED_VALUE"""),"#VALUE!")</f>
        <v>#VALUE!</v>
      </c>
      <c r="DE1591" t="str">
        <f ca="1">IFERROR(__xludf.DUMMYFUNCTION("""COMPUTED_VALUE"""),"#VALUE!")</f>
        <v>#VALUE!</v>
      </c>
    </row>
    <row r="1592" spans="1:109" ht="13.2" x14ac:dyDescent="0.25">
      <c r="A1592" t="str">
        <f ca="1">IFERROR(__xludf.DUMMYFUNCTION("""COMPUTED_VALUE"""),"P1601")</f>
        <v>P1601</v>
      </c>
      <c r="BC1592" t="str">
        <f ca="1">IFERROR(__xludf.DUMMYFUNCTION("""COMPUTED_VALUE"""),"#VALUE!")</f>
        <v>#VALUE!</v>
      </c>
      <c r="BE1592" t="str">
        <f ca="1">IFERROR(__xludf.DUMMYFUNCTION("""COMPUTED_VALUE"""),"#VALUE!")</f>
        <v>#VALUE!</v>
      </c>
      <c r="BG1592" t="str">
        <f ca="1">IFERROR(__xludf.DUMMYFUNCTION("""COMPUTED_VALUE"""),"#VALUE!")</f>
        <v>#VALUE!</v>
      </c>
      <c r="BI1592" t="str">
        <f ca="1">IFERROR(__xludf.DUMMYFUNCTION("""COMPUTED_VALUE"""),"#VALUE!")</f>
        <v>#VALUE!</v>
      </c>
      <c r="BK1592" t="str">
        <f ca="1">IFERROR(__xludf.DUMMYFUNCTION("""COMPUTED_VALUE"""),"#VALUE!")</f>
        <v>#VALUE!</v>
      </c>
      <c r="BM1592" t="str">
        <f ca="1">IFERROR(__xludf.DUMMYFUNCTION("""COMPUTED_VALUE"""),"#VALUE!")</f>
        <v>#VALUE!</v>
      </c>
      <c r="CS1592" t="str">
        <f ca="1">IFERROR(__xludf.DUMMYFUNCTION("""COMPUTED_VALUE"""),"#VALUE!")</f>
        <v>#VALUE!</v>
      </c>
      <c r="CU1592" t="str">
        <f ca="1">IFERROR(__xludf.DUMMYFUNCTION("""COMPUTED_VALUE"""),"#VALUE!")</f>
        <v>#VALUE!</v>
      </c>
      <c r="CW1592" t="str">
        <f ca="1">IFERROR(__xludf.DUMMYFUNCTION("""COMPUTED_VALUE"""),"#VALUE!")</f>
        <v>#VALUE!</v>
      </c>
      <c r="CY1592" t="str">
        <f ca="1">IFERROR(__xludf.DUMMYFUNCTION("""COMPUTED_VALUE"""),"#VALUE!")</f>
        <v>#VALUE!</v>
      </c>
      <c r="DC1592" t="str">
        <f ca="1">IFERROR(__xludf.DUMMYFUNCTION("""COMPUTED_VALUE"""),"#VALUE!")</f>
        <v>#VALUE!</v>
      </c>
      <c r="DE1592" t="str">
        <f ca="1">IFERROR(__xludf.DUMMYFUNCTION("""COMPUTED_VALUE"""),"#VALUE!")</f>
        <v>#VALUE!</v>
      </c>
    </row>
    <row r="1593" spans="1:109" ht="13.2" x14ac:dyDescent="0.25">
      <c r="A1593" t="str">
        <f ca="1">IFERROR(__xludf.DUMMYFUNCTION("""COMPUTED_VALUE"""),"P1602")</f>
        <v>P1602</v>
      </c>
      <c r="BC1593" t="str">
        <f ca="1">IFERROR(__xludf.DUMMYFUNCTION("""COMPUTED_VALUE"""),"#VALUE!")</f>
        <v>#VALUE!</v>
      </c>
      <c r="BE1593" t="str">
        <f ca="1">IFERROR(__xludf.DUMMYFUNCTION("""COMPUTED_VALUE"""),"#VALUE!")</f>
        <v>#VALUE!</v>
      </c>
      <c r="BG1593" t="str">
        <f ca="1">IFERROR(__xludf.DUMMYFUNCTION("""COMPUTED_VALUE"""),"#VALUE!")</f>
        <v>#VALUE!</v>
      </c>
      <c r="BI1593" t="str">
        <f ca="1">IFERROR(__xludf.DUMMYFUNCTION("""COMPUTED_VALUE"""),"#VALUE!")</f>
        <v>#VALUE!</v>
      </c>
      <c r="BK1593" t="str">
        <f ca="1">IFERROR(__xludf.DUMMYFUNCTION("""COMPUTED_VALUE"""),"#VALUE!")</f>
        <v>#VALUE!</v>
      </c>
      <c r="BM1593" t="str">
        <f ca="1">IFERROR(__xludf.DUMMYFUNCTION("""COMPUTED_VALUE"""),"#VALUE!")</f>
        <v>#VALUE!</v>
      </c>
      <c r="CS1593" t="str">
        <f ca="1">IFERROR(__xludf.DUMMYFUNCTION("""COMPUTED_VALUE"""),"#VALUE!")</f>
        <v>#VALUE!</v>
      </c>
      <c r="CU1593" t="str">
        <f ca="1">IFERROR(__xludf.DUMMYFUNCTION("""COMPUTED_VALUE"""),"#VALUE!")</f>
        <v>#VALUE!</v>
      </c>
      <c r="CW1593" t="str">
        <f ca="1">IFERROR(__xludf.DUMMYFUNCTION("""COMPUTED_VALUE"""),"#VALUE!")</f>
        <v>#VALUE!</v>
      </c>
      <c r="CY1593" t="str">
        <f ca="1">IFERROR(__xludf.DUMMYFUNCTION("""COMPUTED_VALUE"""),"#VALUE!")</f>
        <v>#VALUE!</v>
      </c>
      <c r="DC1593" t="str">
        <f ca="1">IFERROR(__xludf.DUMMYFUNCTION("""COMPUTED_VALUE"""),"#VALUE!")</f>
        <v>#VALUE!</v>
      </c>
      <c r="DE1593" t="str">
        <f ca="1">IFERROR(__xludf.DUMMYFUNCTION("""COMPUTED_VALUE"""),"#VALUE!")</f>
        <v>#VALUE!</v>
      </c>
    </row>
    <row r="1594" spans="1:109" ht="13.2" x14ac:dyDescent="0.25">
      <c r="A1594" t="str">
        <f ca="1">IFERROR(__xludf.DUMMYFUNCTION("""COMPUTED_VALUE"""),"P1603")</f>
        <v>P1603</v>
      </c>
      <c r="BC1594" t="str">
        <f ca="1">IFERROR(__xludf.DUMMYFUNCTION("""COMPUTED_VALUE"""),"#VALUE!")</f>
        <v>#VALUE!</v>
      </c>
      <c r="BE1594" t="str">
        <f ca="1">IFERROR(__xludf.DUMMYFUNCTION("""COMPUTED_VALUE"""),"#VALUE!")</f>
        <v>#VALUE!</v>
      </c>
      <c r="BG1594" t="str">
        <f ca="1">IFERROR(__xludf.DUMMYFUNCTION("""COMPUTED_VALUE"""),"#VALUE!")</f>
        <v>#VALUE!</v>
      </c>
      <c r="BI1594" t="str">
        <f ca="1">IFERROR(__xludf.DUMMYFUNCTION("""COMPUTED_VALUE"""),"#VALUE!")</f>
        <v>#VALUE!</v>
      </c>
      <c r="BK1594" t="str">
        <f ca="1">IFERROR(__xludf.DUMMYFUNCTION("""COMPUTED_VALUE"""),"#VALUE!")</f>
        <v>#VALUE!</v>
      </c>
      <c r="BM1594" t="str">
        <f ca="1">IFERROR(__xludf.DUMMYFUNCTION("""COMPUTED_VALUE"""),"#VALUE!")</f>
        <v>#VALUE!</v>
      </c>
      <c r="CS1594" t="str">
        <f ca="1">IFERROR(__xludf.DUMMYFUNCTION("""COMPUTED_VALUE"""),"#VALUE!")</f>
        <v>#VALUE!</v>
      </c>
      <c r="CU1594" t="str">
        <f ca="1">IFERROR(__xludf.DUMMYFUNCTION("""COMPUTED_VALUE"""),"#VALUE!")</f>
        <v>#VALUE!</v>
      </c>
      <c r="CW1594" t="str">
        <f ca="1">IFERROR(__xludf.DUMMYFUNCTION("""COMPUTED_VALUE"""),"#VALUE!")</f>
        <v>#VALUE!</v>
      </c>
      <c r="CY1594" t="str">
        <f ca="1">IFERROR(__xludf.DUMMYFUNCTION("""COMPUTED_VALUE"""),"#VALUE!")</f>
        <v>#VALUE!</v>
      </c>
      <c r="DC1594" t="str">
        <f ca="1">IFERROR(__xludf.DUMMYFUNCTION("""COMPUTED_VALUE"""),"#VALUE!")</f>
        <v>#VALUE!</v>
      </c>
      <c r="DE1594" t="str">
        <f ca="1">IFERROR(__xludf.DUMMYFUNCTION("""COMPUTED_VALUE"""),"#VALUE!")</f>
        <v>#VALUE!</v>
      </c>
    </row>
    <row r="1595" spans="1:109" ht="13.2" x14ac:dyDescent="0.25">
      <c r="A1595" t="str">
        <f ca="1">IFERROR(__xludf.DUMMYFUNCTION("""COMPUTED_VALUE"""),"P1604")</f>
        <v>P1604</v>
      </c>
      <c r="BC1595" t="str">
        <f ca="1">IFERROR(__xludf.DUMMYFUNCTION("""COMPUTED_VALUE"""),"#VALUE!")</f>
        <v>#VALUE!</v>
      </c>
      <c r="BE1595" t="str">
        <f ca="1">IFERROR(__xludf.DUMMYFUNCTION("""COMPUTED_VALUE"""),"#VALUE!")</f>
        <v>#VALUE!</v>
      </c>
      <c r="BG1595" t="str">
        <f ca="1">IFERROR(__xludf.DUMMYFUNCTION("""COMPUTED_VALUE"""),"#VALUE!")</f>
        <v>#VALUE!</v>
      </c>
      <c r="BI1595" t="str">
        <f ca="1">IFERROR(__xludf.DUMMYFUNCTION("""COMPUTED_VALUE"""),"#VALUE!")</f>
        <v>#VALUE!</v>
      </c>
      <c r="BK1595" t="str">
        <f ca="1">IFERROR(__xludf.DUMMYFUNCTION("""COMPUTED_VALUE"""),"#VALUE!")</f>
        <v>#VALUE!</v>
      </c>
      <c r="BM1595" t="str">
        <f ca="1">IFERROR(__xludf.DUMMYFUNCTION("""COMPUTED_VALUE"""),"#VALUE!")</f>
        <v>#VALUE!</v>
      </c>
      <c r="CS1595" t="str">
        <f ca="1">IFERROR(__xludf.DUMMYFUNCTION("""COMPUTED_VALUE"""),"#VALUE!")</f>
        <v>#VALUE!</v>
      </c>
      <c r="CU1595" t="str">
        <f ca="1">IFERROR(__xludf.DUMMYFUNCTION("""COMPUTED_VALUE"""),"#VALUE!")</f>
        <v>#VALUE!</v>
      </c>
      <c r="CW1595" t="str">
        <f ca="1">IFERROR(__xludf.DUMMYFUNCTION("""COMPUTED_VALUE"""),"#VALUE!")</f>
        <v>#VALUE!</v>
      </c>
      <c r="CY1595" t="str">
        <f ca="1">IFERROR(__xludf.DUMMYFUNCTION("""COMPUTED_VALUE"""),"#VALUE!")</f>
        <v>#VALUE!</v>
      </c>
      <c r="DC1595" t="str">
        <f ca="1">IFERROR(__xludf.DUMMYFUNCTION("""COMPUTED_VALUE"""),"#VALUE!")</f>
        <v>#VALUE!</v>
      </c>
      <c r="DE1595" t="str">
        <f ca="1">IFERROR(__xludf.DUMMYFUNCTION("""COMPUTED_VALUE"""),"#VALUE!")</f>
        <v>#VALUE!</v>
      </c>
    </row>
    <row r="1596" spans="1:109" ht="13.2" x14ac:dyDescent="0.25">
      <c r="A1596" t="str">
        <f ca="1">IFERROR(__xludf.DUMMYFUNCTION("""COMPUTED_VALUE"""),"P1605")</f>
        <v>P1605</v>
      </c>
      <c r="BC1596" t="str">
        <f ca="1">IFERROR(__xludf.DUMMYFUNCTION("""COMPUTED_VALUE"""),"#VALUE!")</f>
        <v>#VALUE!</v>
      </c>
      <c r="BE1596" t="str">
        <f ca="1">IFERROR(__xludf.DUMMYFUNCTION("""COMPUTED_VALUE"""),"#VALUE!")</f>
        <v>#VALUE!</v>
      </c>
      <c r="BG1596" t="str">
        <f ca="1">IFERROR(__xludf.DUMMYFUNCTION("""COMPUTED_VALUE"""),"#VALUE!")</f>
        <v>#VALUE!</v>
      </c>
      <c r="BI1596" t="str">
        <f ca="1">IFERROR(__xludf.DUMMYFUNCTION("""COMPUTED_VALUE"""),"#VALUE!")</f>
        <v>#VALUE!</v>
      </c>
      <c r="BK1596" t="str">
        <f ca="1">IFERROR(__xludf.DUMMYFUNCTION("""COMPUTED_VALUE"""),"#VALUE!")</f>
        <v>#VALUE!</v>
      </c>
      <c r="BM1596" t="str">
        <f ca="1">IFERROR(__xludf.DUMMYFUNCTION("""COMPUTED_VALUE"""),"#VALUE!")</f>
        <v>#VALUE!</v>
      </c>
      <c r="CS1596" t="str">
        <f ca="1">IFERROR(__xludf.DUMMYFUNCTION("""COMPUTED_VALUE"""),"#VALUE!")</f>
        <v>#VALUE!</v>
      </c>
      <c r="CU1596" t="str">
        <f ca="1">IFERROR(__xludf.DUMMYFUNCTION("""COMPUTED_VALUE"""),"#VALUE!")</f>
        <v>#VALUE!</v>
      </c>
      <c r="CW1596" t="str">
        <f ca="1">IFERROR(__xludf.DUMMYFUNCTION("""COMPUTED_VALUE"""),"#VALUE!")</f>
        <v>#VALUE!</v>
      </c>
      <c r="CY1596" t="str">
        <f ca="1">IFERROR(__xludf.DUMMYFUNCTION("""COMPUTED_VALUE"""),"#VALUE!")</f>
        <v>#VALUE!</v>
      </c>
      <c r="DC1596" t="str">
        <f ca="1">IFERROR(__xludf.DUMMYFUNCTION("""COMPUTED_VALUE"""),"#VALUE!")</f>
        <v>#VALUE!</v>
      </c>
      <c r="DE1596" t="str">
        <f ca="1">IFERROR(__xludf.DUMMYFUNCTION("""COMPUTED_VALUE"""),"#VALUE!")</f>
        <v>#VALUE!</v>
      </c>
    </row>
    <row r="1597" spans="1:109" ht="13.2" x14ac:dyDescent="0.25">
      <c r="A1597" t="str">
        <f ca="1">IFERROR(__xludf.DUMMYFUNCTION("""COMPUTED_VALUE"""),"P1606")</f>
        <v>P1606</v>
      </c>
      <c r="BC1597" t="str">
        <f ca="1">IFERROR(__xludf.DUMMYFUNCTION("""COMPUTED_VALUE"""),"#VALUE!")</f>
        <v>#VALUE!</v>
      </c>
      <c r="BE1597" t="str">
        <f ca="1">IFERROR(__xludf.DUMMYFUNCTION("""COMPUTED_VALUE"""),"#VALUE!")</f>
        <v>#VALUE!</v>
      </c>
      <c r="BG1597" t="str">
        <f ca="1">IFERROR(__xludf.DUMMYFUNCTION("""COMPUTED_VALUE"""),"#VALUE!")</f>
        <v>#VALUE!</v>
      </c>
      <c r="BI1597" t="str">
        <f ca="1">IFERROR(__xludf.DUMMYFUNCTION("""COMPUTED_VALUE"""),"#VALUE!")</f>
        <v>#VALUE!</v>
      </c>
      <c r="BK1597" t="str">
        <f ca="1">IFERROR(__xludf.DUMMYFUNCTION("""COMPUTED_VALUE"""),"#VALUE!")</f>
        <v>#VALUE!</v>
      </c>
      <c r="BM1597" t="str">
        <f ca="1">IFERROR(__xludf.DUMMYFUNCTION("""COMPUTED_VALUE"""),"#VALUE!")</f>
        <v>#VALUE!</v>
      </c>
      <c r="CS1597" t="str">
        <f ca="1">IFERROR(__xludf.DUMMYFUNCTION("""COMPUTED_VALUE"""),"#VALUE!")</f>
        <v>#VALUE!</v>
      </c>
      <c r="CU1597" t="str">
        <f ca="1">IFERROR(__xludf.DUMMYFUNCTION("""COMPUTED_VALUE"""),"#VALUE!")</f>
        <v>#VALUE!</v>
      </c>
      <c r="CW1597" t="str">
        <f ca="1">IFERROR(__xludf.DUMMYFUNCTION("""COMPUTED_VALUE"""),"#VALUE!")</f>
        <v>#VALUE!</v>
      </c>
      <c r="CY1597" t="str">
        <f ca="1">IFERROR(__xludf.DUMMYFUNCTION("""COMPUTED_VALUE"""),"#VALUE!")</f>
        <v>#VALUE!</v>
      </c>
      <c r="DC1597" t="str">
        <f ca="1">IFERROR(__xludf.DUMMYFUNCTION("""COMPUTED_VALUE"""),"#VALUE!")</f>
        <v>#VALUE!</v>
      </c>
      <c r="DE1597" t="str">
        <f ca="1">IFERROR(__xludf.DUMMYFUNCTION("""COMPUTED_VALUE"""),"#VALUE!")</f>
        <v>#VALUE!</v>
      </c>
    </row>
    <row r="1598" spans="1:109" ht="13.2" x14ac:dyDescent="0.25">
      <c r="A1598" t="str">
        <f ca="1">IFERROR(__xludf.DUMMYFUNCTION("""COMPUTED_VALUE"""),"P1607")</f>
        <v>P1607</v>
      </c>
      <c r="BC1598" t="str">
        <f ca="1">IFERROR(__xludf.DUMMYFUNCTION("""COMPUTED_VALUE"""),"#VALUE!")</f>
        <v>#VALUE!</v>
      </c>
      <c r="BE1598" t="str">
        <f ca="1">IFERROR(__xludf.DUMMYFUNCTION("""COMPUTED_VALUE"""),"#VALUE!")</f>
        <v>#VALUE!</v>
      </c>
      <c r="BG1598" t="str">
        <f ca="1">IFERROR(__xludf.DUMMYFUNCTION("""COMPUTED_VALUE"""),"#VALUE!")</f>
        <v>#VALUE!</v>
      </c>
      <c r="BI1598" t="str">
        <f ca="1">IFERROR(__xludf.DUMMYFUNCTION("""COMPUTED_VALUE"""),"#VALUE!")</f>
        <v>#VALUE!</v>
      </c>
      <c r="BK1598" t="str">
        <f ca="1">IFERROR(__xludf.DUMMYFUNCTION("""COMPUTED_VALUE"""),"#VALUE!")</f>
        <v>#VALUE!</v>
      </c>
      <c r="BM1598" t="str">
        <f ca="1">IFERROR(__xludf.DUMMYFUNCTION("""COMPUTED_VALUE"""),"#VALUE!")</f>
        <v>#VALUE!</v>
      </c>
      <c r="CS1598" t="str">
        <f ca="1">IFERROR(__xludf.DUMMYFUNCTION("""COMPUTED_VALUE"""),"#VALUE!")</f>
        <v>#VALUE!</v>
      </c>
      <c r="CU1598" t="str">
        <f ca="1">IFERROR(__xludf.DUMMYFUNCTION("""COMPUTED_VALUE"""),"#VALUE!")</f>
        <v>#VALUE!</v>
      </c>
      <c r="CW1598" t="str">
        <f ca="1">IFERROR(__xludf.DUMMYFUNCTION("""COMPUTED_VALUE"""),"#VALUE!")</f>
        <v>#VALUE!</v>
      </c>
      <c r="CY1598" t="str">
        <f ca="1">IFERROR(__xludf.DUMMYFUNCTION("""COMPUTED_VALUE"""),"#VALUE!")</f>
        <v>#VALUE!</v>
      </c>
      <c r="DC1598" t="str">
        <f ca="1">IFERROR(__xludf.DUMMYFUNCTION("""COMPUTED_VALUE"""),"#VALUE!")</f>
        <v>#VALUE!</v>
      </c>
      <c r="DE1598" t="str">
        <f ca="1">IFERROR(__xludf.DUMMYFUNCTION("""COMPUTED_VALUE"""),"#VALUE!")</f>
        <v>#VALUE!</v>
      </c>
    </row>
    <row r="1599" spans="1:109" ht="13.2" x14ac:dyDescent="0.25">
      <c r="A1599" t="str">
        <f ca="1">IFERROR(__xludf.DUMMYFUNCTION("""COMPUTED_VALUE"""),"P1608")</f>
        <v>P1608</v>
      </c>
      <c r="BC1599" t="str">
        <f ca="1">IFERROR(__xludf.DUMMYFUNCTION("""COMPUTED_VALUE"""),"#VALUE!")</f>
        <v>#VALUE!</v>
      </c>
      <c r="BE1599" t="str">
        <f ca="1">IFERROR(__xludf.DUMMYFUNCTION("""COMPUTED_VALUE"""),"#VALUE!")</f>
        <v>#VALUE!</v>
      </c>
      <c r="BG1599" t="str">
        <f ca="1">IFERROR(__xludf.DUMMYFUNCTION("""COMPUTED_VALUE"""),"#VALUE!")</f>
        <v>#VALUE!</v>
      </c>
      <c r="BI1599" t="str">
        <f ca="1">IFERROR(__xludf.DUMMYFUNCTION("""COMPUTED_VALUE"""),"#VALUE!")</f>
        <v>#VALUE!</v>
      </c>
      <c r="BK1599" t="str">
        <f ca="1">IFERROR(__xludf.DUMMYFUNCTION("""COMPUTED_VALUE"""),"#VALUE!")</f>
        <v>#VALUE!</v>
      </c>
      <c r="BM1599" t="str">
        <f ca="1">IFERROR(__xludf.DUMMYFUNCTION("""COMPUTED_VALUE"""),"#VALUE!")</f>
        <v>#VALUE!</v>
      </c>
      <c r="CS1599" t="str">
        <f ca="1">IFERROR(__xludf.DUMMYFUNCTION("""COMPUTED_VALUE"""),"#VALUE!")</f>
        <v>#VALUE!</v>
      </c>
      <c r="CU1599" t="str">
        <f ca="1">IFERROR(__xludf.DUMMYFUNCTION("""COMPUTED_VALUE"""),"#VALUE!")</f>
        <v>#VALUE!</v>
      </c>
      <c r="CW1599" t="str">
        <f ca="1">IFERROR(__xludf.DUMMYFUNCTION("""COMPUTED_VALUE"""),"#VALUE!")</f>
        <v>#VALUE!</v>
      </c>
      <c r="CY1599" t="str">
        <f ca="1">IFERROR(__xludf.DUMMYFUNCTION("""COMPUTED_VALUE"""),"#VALUE!")</f>
        <v>#VALUE!</v>
      </c>
      <c r="DC1599" t="str">
        <f ca="1">IFERROR(__xludf.DUMMYFUNCTION("""COMPUTED_VALUE"""),"#VALUE!")</f>
        <v>#VALUE!</v>
      </c>
      <c r="DE1599" t="str">
        <f ca="1">IFERROR(__xludf.DUMMYFUNCTION("""COMPUTED_VALUE"""),"#VALUE!")</f>
        <v>#VALUE!</v>
      </c>
    </row>
    <row r="1600" spans="1:109" ht="13.2" x14ac:dyDescent="0.25">
      <c r="A1600" t="str">
        <f ca="1">IFERROR(__xludf.DUMMYFUNCTION("""COMPUTED_VALUE"""),"P1609")</f>
        <v>P1609</v>
      </c>
      <c r="BC1600" t="str">
        <f ca="1">IFERROR(__xludf.DUMMYFUNCTION("""COMPUTED_VALUE"""),"#VALUE!")</f>
        <v>#VALUE!</v>
      </c>
      <c r="BE1600" t="str">
        <f ca="1">IFERROR(__xludf.DUMMYFUNCTION("""COMPUTED_VALUE"""),"#VALUE!")</f>
        <v>#VALUE!</v>
      </c>
      <c r="BG1600" t="str">
        <f ca="1">IFERROR(__xludf.DUMMYFUNCTION("""COMPUTED_VALUE"""),"#VALUE!")</f>
        <v>#VALUE!</v>
      </c>
      <c r="BI1600" t="str">
        <f ca="1">IFERROR(__xludf.DUMMYFUNCTION("""COMPUTED_VALUE"""),"#VALUE!")</f>
        <v>#VALUE!</v>
      </c>
      <c r="BK1600" t="str">
        <f ca="1">IFERROR(__xludf.DUMMYFUNCTION("""COMPUTED_VALUE"""),"#VALUE!")</f>
        <v>#VALUE!</v>
      </c>
      <c r="BM1600" t="str">
        <f ca="1">IFERROR(__xludf.DUMMYFUNCTION("""COMPUTED_VALUE"""),"#VALUE!")</f>
        <v>#VALUE!</v>
      </c>
      <c r="CS1600" t="str">
        <f ca="1">IFERROR(__xludf.DUMMYFUNCTION("""COMPUTED_VALUE"""),"#VALUE!")</f>
        <v>#VALUE!</v>
      </c>
      <c r="CU1600" t="str">
        <f ca="1">IFERROR(__xludf.DUMMYFUNCTION("""COMPUTED_VALUE"""),"#VALUE!")</f>
        <v>#VALUE!</v>
      </c>
      <c r="CW1600" t="str">
        <f ca="1">IFERROR(__xludf.DUMMYFUNCTION("""COMPUTED_VALUE"""),"#VALUE!")</f>
        <v>#VALUE!</v>
      </c>
      <c r="CY1600" t="str">
        <f ca="1">IFERROR(__xludf.DUMMYFUNCTION("""COMPUTED_VALUE"""),"#VALUE!")</f>
        <v>#VALUE!</v>
      </c>
      <c r="DC1600" t="str">
        <f ca="1">IFERROR(__xludf.DUMMYFUNCTION("""COMPUTED_VALUE"""),"#VALUE!")</f>
        <v>#VALUE!</v>
      </c>
      <c r="DE1600" t="str">
        <f ca="1">IFERROR(__xludf.DUMMYFUNCTION("""COMPUTED_VALUE"""),"#VALUE!")</f>
        <v>#VALUE!</v>
      </c>
    </row>
    <row r="1601" spans="1:109" ht="13.2" x14ac:dyDescent="0.25">
      <c r="A1601" t="str">
        <f ca="1">IFERROR(__xludf.DUMMYFUNCTION("""COMPUTED_VALUE"""),"P1610")</f>
        <v>P1610</v>
      </c>
      <c r="BC1601" t="str">
        <f ca="1">IFERROR(__xludf.DUMMYFUNCTION("""COMPUTED_VALUE"""),"#VALUE!")</f>
        <v>#VALUE!</v>
      </c>
      <c r="BE1601" t="str">
        <f ca="1">IFERROR(__xludf.DUMMYFUNCTION("""COMPUTED_VALUE"""),"#VALUE!")</f>
        <v>#VALUE!</v>
      </c>
      <c r="BG1601" t="str">
        <f ca="1">IFERROR(__xludf.DUMMYFUNCTION("""COMPUTED_VALUE"""),"#VALUE!")</f>
        <v>#VALUE!</v>
      </c>
      <c r="BI1601" t="str">
        <f ca="1">IFERROR(__xludf.DUMMYFUNCTION("""COMPUTED_VALUE"""),"#VALUE!")</f>
        <v>#VALUE!</v>
      </c>
      <c r="BK1601" t="str">
        <f ca="1">IFERROR(__xludf.DUMMYFUNCTION("""COMPUTED_VALUE"""),"#VALUE!")</f>
        <v>#VALUE!</v>
      </c>
      <c r="BM1601" t="str">
        <f ca="1">IFERROR(__xludf.DUMMYFUNCTION("""COMPUTED_VALUE"""),"#VALUE!")</f>
        <v>#VALUE!</v>
      </c>
      <c r="CS1601" t="str">
        <f ca="1">IFERROR(__xludf.DUMMYFUNCTION("""COMPUTED_VALUE"""),"#VALUE!")</f>
        <v>#VALUE!</v>
      </c>
      <c r="CU1601" t="str">
        <f ca="1">IFERROR(__xludf.DUMMYFUNCTION("""COMPUTED_VALUE"""),"#VALUE!")</f>
        <v>#VALUE!</v>
      </c>
      <c r="CW1601" t="str">
        <f ca="1">IFERROR(__xludf.DUMMYFUNCTION("""COMPUTED_VALUE"""),"#VALUE!")</f>
        <v>#VALUE!</v>
      </c>
      <c r="CY1601" t="str">
        <f ca="1">IFERROR(__xludf.DUMMYFUNCTION("""COMPUTED_VALUE"""),"#VALUE!")</f>
        <v>#VALUE!</v>
      </c>
      <c r="DC1601" t="str">
        <f ca="1">IFERROR(__xludf.DUMMYFUNCTION("""COMPUTED_VALUE"""),"#VALUE!")</f>
        <v>#VALUE!</v>
      </c>
      <c r="DE1601" t="str">
        <f ca="1">IFERROR(__xludf.DUMMYFUNCTION("""COMPUTED_VALUE"""),"#VALUE!")</f>
        <v>#VALUE!</v>
      </c>
    </row>
    <row r="1602" spans="1:109" ht="13.2" x14ac:dyDescent="0.25">
      <c r="A1602" t="str">
        <f ca="1">IFERROR(__xludf.DUMMYFUNCTION("""COMPUTED_VALUE"""),"P1611")</f>
        <v>P1611</v>
      </c>
      <c r="BC1602" t="str">
        <f ca="1">IFERROR(__xludf.DUMMYFUNCTION("""COMPUTED_VALUE"""),"#VALUE!")</f>
        <v>#VALUE!</v>
      </c>
      <c r="BE1602" t="str">
        <f ca="1">IFERROR(__xludf.DUMMYFUNCTION("""COMPUTED_VALUE"""),"#VALUE!")</f>
        <v>#VALUE!</v>
      </c>
      <c r="BG1602" t="str">
        <f ca="1">IFERROR(__xludf.DUMMYFUNCTION("""COMPUTED_VALUE"""),"#VALUE!")</f>
        <v>#VALUE!</v>
      </c>
      <c r="BI1602" t="str">
        <f ca="1">IFERROR(__xludf.DUMMYFUNCTION("""COMPUTED_VALUE"""),"#VALUE!")</f>
        <v>#VALUE!</v>
      </c>
      <c r="BK1602" t="str">
        <f ca="1">IFERROR(__xludf.DUMMYFUNCTION("""COMPUTED_VALUE"""),"#VALUE!")</f>
        <v>#VALUE!</v>
      </c>
      <c r="BM1602" t="str">
        <f ca="1">IFERROR(__xludf.DUMMYFUNCTION("""COMPUTED_VALUE"""),"#VALUE!")</f>
        <v>#VALUE!</v>
      </c>
      <c r="CS1602" t="str">
        <f ca="1">IFERROR(__xludf.DUMMYFUNCTION("""COMPUTED_VALUE"""),"#VALUE!")</f>
        <v>#VALUE!</v>
      </c>
      <c r="CU1602" t="str">
        <f ca="1">IFERROR(__xludf.DUMMYFUNCTION("""COMPUTED_VALUE"""),"#VALUE!")</f>
        <v>#VALUE!</v>
      </c>
      <c r="CW1602" t="str">
        <f ca="1">IFERROR(__xludf.DUMMYFUNCTION("""COMPUTED_VALUE"""),"#VALUE!")</f>
        <v>#VALUE!</v>
      </c>
      <c r="CY1602" t="str">
        <f ca="1">IFERROR(__xludf.DUMMYFUNCTION("""COMPUTED_VALUE"""),"#VALUE!")</f>
        <v>#VALUE!</v>
      </c>
      <c r="DC1602" t="str">
        <f ca="1">IFERROR(__xludf.DUMMYFUNCTION("""COMPUTED_VALUE"""),"#VALUE!")</f>
        <v>#VALUE!</v>
      </c>
      <c r="DE1602" t="str">
        <f ca="1">IFERROR(__xludf.DUMMYFUNCTION("""COMPUTED_VALUE"""),"#VALUE!")</f>
        <v>#VALUE!</v>
      </c>
    </row>
    <row r="1603" spans="1:109" ht="13.2" x14ac:dyDescent="0.25">
      <c r="A1603" t="str">
        <f ca="1">IFERROR(__xludf.DUMMYFUNCTION("""COMPUTED_VALUE"""),"P1612")</f>
        <v>P1612</v>
      </c>
      <c r="BC1603" t="str">
        <f ca="1">IFERROR(__xludf.DUMMYFUNCTION("""COMPUTED_VALUE"""),"#VALUE!")</f>
        <v>#VALUE!</v>
      </c>
      <c r="BE1603" t="str">
        <f ca="1">IFERROR(__xludf.DUMMYFUNCTION("""COMPUTED_VALUE"""),"#VALUE!")</f>
        <v>#VALUE!</v>
      </c>
      <c r="BG1603" t="str">
        <f ca="1">IFERROR(__xludf.DUMMYFUNCTION("""COMPUTED_VALUE"""),"#VALUE!")</f>
        <v>#VALUE!</v>
      </c>
      <c r="BI1603" t="str">
        <f ca="1">IFERROR(__xludf.DUMMYFUNCTION("""COMPUTED_VALUE"""),"#VALUE!")</f>
        <v>#VALUE!</v>
      </c>
      <c r="BK1603" t="str">
        <f ca="1">IFERROR(__xludf.DUMMYFUNCTION("""COMPUTED_VALUE"""),"#VALUE!")</f>
        <v>#VALUE!</v>
      </c>
      <c r="BM1603" t="str">
        <f ca="1">IFERROR(__xludf.DUMMYFUNCTION("""COMPUTED_VALUE"""),"#VALUE!")</f>
        <v>#VALUE!</v>
      </c>
      <c r="CS1603" t="str">
        <f ca="1">IFERROR(__xludf.DUMMYFUNCTION("""COMPUTED_VALUE"""),"#VALUE!")</f>
        <v>#VALUE!</v>
      </c>
      <c r="CU1603" t="str">
        <f ca="1">IFERROR(__xludf.DUMMYFUNCTION("""COMPUTED_VALUE"""),"#VALUE!")</f>
        <v>#VALUE!</v>
      </c>
      <c r="CW1603" t="str">
        <f ca="1">IFERROR(__xludf.DUMMYFUNCTION("""COMPUTED_VALUE"""),"#VALUE!")</f>
        <v>#VALUE!</v>
      </c>
      <c r="CY1603" t="str">
        <f ca="1">IFERROR(__xludf.DUMMYFUNCTION("""COMPUTED_VALUE"""),"#VALUE!")</f>
        <v>#VALUE!</v>
      </c>
      <c r="DC1603" t="str">
        <f ca="1">IFERROR(__xludf.DUMMYFUNCTION("""COMPUTED_VALUE"""),"#VALUE!")</f>
        <v>#VALUE!</v>
      </c>
      <c r="DE1603" t="str">
        <f ca="1">IFERROR(__xludf.DUMMYFUNCTION("""COMPUTED_VALUE"""),"#VALUE!")</f>
        <v>#VALUE!</v>
      </c>
    </row>
    <row r="1604" spans="1:109" ht="13.2" x14ac:dyDescent="0.25">
      <c r="A1604" t="str">
        <f ca="1">IFERROR(__xludf.DUMMYFUNCTION("""COMPUTED_VALUE"""),"P1613")</f>
        <v>P1613</v>
      </c>
      <c r="BC1604" t="str">
        <f ca="1">IFERROR(__xludf.DUMMYFUNCTION("""COMPUTED_VALUE"""),"#VALUE!")</f>
        <v>#VALUE!</v>
      </c>
      <c r="BE1604" t="str">
        <f ca="1">IFERROR(__xludf.DUMMYFUNCTION("""COMPUTED_VALUE"""),"#VALUE!")</f>
        <v>#VALUE!</v>
      </c>
      <c r="BG1604" t="str">
        <f ca="1">IFERROR(__xludf.DUMMYFUNCTION("""COMPUTED_VALUE"""),"#VALUE!")</f>
        <v>#VALUE!</v>
      </c>
      <c r="BI1604" t="str">
        <f ca="1">IFERROR(__xludf.DUMMYFUNCTION("""COMPUTED_VALUE"""),"#VALUE!")</f>
        <v>#VALUE!</v>
      </c>
      <c r="BK1604" t="str">
        <f ca="1">IFERROR(__xludf.DUMMYFUNCTION("""COMPUTED_VALUE"""),"#VALUE!")</f>
        <v>#VALUE!</v>
      </c>
      <c r="BM1604" t="str">
        <f ca="1">IFERROR(__xludf.DUMMYFUNCTION("""COMPUTED_VALUE"""),"#VALUE!")</f>
        <v>#VALUE!</v>
      </c>
      <c r="CS1604" t="str">
        <f ca="1">IFERROR(__xludf.DUMMYFUNCTION("""COMPUTED_VALUE"""),"#VALUE!")</f>
        <v>#VALUE!</v>
      </c>
      <c r="CU1604" t="str">
        <f ca="1">IFERROR(__xludf.DUMMYFUNCTION("""COMPUTED_VALUE"""),"#VALUE!")</f>
        <v>#VALUE!</v>
      </c>
      <c r="CW1604" t="str">
        <f ca="1">IFERROR(__xludf.DUMMYFUNCTION("""COMPUTED_VALUE"""),"#VALUE!")</f>
        <v>#VALUE!</v>
      </c>
      <c r="CY1604" t="str">
        <f ca="1">IFERROR(__xludf.DUMMYFUNCTION("""COMPUTED_VALUE"""),"#VALUE!")</f>
        <v>#VALUE!</v>
      </c>
      <c r="DC1604" t="str">
        <f ca="1">IFERROR(__xludf.DUMMYFUNCTION("""COMPUTED_VALUE"""),"#VALUE!")</f>
        <v>#VALUE!</v>
      </c>
      <c r="DE1604" t="str">
        <f ca="1">IFERROR(__xludf.DUMMYFUNCTION("""COMPUTED_VALUE"""),"#VALUE!")</f>
        <v>#VALUE!</v>
      </c>
    </row>
    <row r="1605" spans="1:109" ht="13.2" x14ac:dyDescent="0.25">
      <c r="A1605" t="str">
        <f ca="1">IFERROR(__xludf.DUMMYFUNCTION("""COMPUTED_VALUE"""),"P1614")</f>
        <v>P1614</v>
      </c>
      <c r="BC1605" t="str">
        <f ca="1">IFERROR(__xludf.DUMMYFUNCTION("""COMPUTED_VALUE"""),"#VALUE!")</f>
        <v>#VALUE!</v>
      </c>
      <c r="BE1605" t="str">
        <f ca="1">IFERROR(__xludf.DUMMYFUNCTION("""COMPUTED_VALUE"""),"#VALUE!")</f>
        <v>#VALUE!</v>
      </c>
      <c r="BG1605" t="str">
        <f ca="1">IFERROR(__xludf.DUMMYFUNCTION("""COMPUTED_VALUE"""),"#VALUE!")</f>
        <v>#VALUE!</v>
      </c>
      <c r="BI1605" t="str">
        <f ca="1">IFERROR(__xludf.DUMMYFUNCTION("""COMPUTED_VALUE"""),"#VALUE!")</f>
        <v>#VALUE!</v>
      </c>
      <c r="BK1605" t="str">
        <f ca="1">IFERROR(__xludf.DUMMYFUNCTION("""COMPUTED_VALUE"""),"#VALUE!")</f>
        <v>#VALUE!</v>
      </c>
      <c r="BM1605" t="str">
        <f ca="1">IFERROR(__xludf.DUMMYFUNCTION("""COMPUTED_VALUE"""),"#VALUE!")</f>
        <v>#VALUE!</v>
      </c>
      <c r="CS1605" t="str">
        <f ca="1">IFERROR(__xludf.DUMMYFUNCTION("""COMPUTED_VALUE"""),"#VALUE!")</f>
        <v>#VALUE!</v>
      </c>
      <c r="CU1605" t="str">
        <f ca="1">IFERROR(__xludf.DUMMYFUNCTION("""COMPUTED_VALUE"""),"#VALUE!")</f>
        <v>#VALUE!</v>
      </c>
      <c r="CW1605" t="str">
        <f ca="1">IFERROR(__xludf.DUMMYFUNCTION("""COMPUTED_VALUE"""),"#VALUE!")</f>
        <v>#VALUE!</v>
      </c>
      <c r="CY1605" t="str">
        <f ca="1">IFERROR(__xludf.DUMMYFUNCTION("""COMPUTED_VALUE"""),"#VALUE!")</f>
        <v>#VALUE!</v>
      </c>
      <c r="DC1605" t="str">
        <f ca="1">IFERROR(__xludf.DUMMYFUNCTION("""COMPUTED_VALUE"""),"#VALUE!")</f>
        <v>#VALUE!</v>
      </c>
      <c r="DE1605" t="str">
        <f ca="1">IFERROR(__xludf.DUMMYFUNCTION("""COMPUTED_VALUE"""),"#VALUE!")</f>
        <v>#VALUE!</v>
      </c>
    </row>
    <row r="1606" spans="1:109" ht="13.2" x14ac:dyDescent="0.25">
      <c r="A1606" t="str">
        <f ca="1">IFERROR(__xludf.DUMMYFUNCTION("""COMPUTED_VALUE"""),"P1615")</f>
        <v>P1615</v>
      </c>
      <c r="BC1606" t="str">
        <f ca="1">IFERROR(__xludf.DUMMYFUNCTION("""COMPUTED_VALUE"""),"#VALUE!")</f>
        <v>#VALUE!</v>
      </c>
      <c r="BE1606" t="str">
        <f ca="1">IFERROR(__xludf.DUMMYFUNCTION("""COMPUTED_VALUE"""),"#VALUE!")</f>
        <v>#VALUE!</v>
      </c>
      <c r="BG1606" t="str">
        <f ca="1">IFERROR(__xludf.DUMMYFUNCTION("""COMPUTED_VALUE"""),"#VALUE!")</f>
        <v>#VALUE!</v>
      </c>
      <c r="BI1606" t="str">
        <f ca="1">IFERROR(__xludf.DUMMYFUNCTION("""COMPUTED_VALUE"""),"#VALUE!")</f>
        <v>#VALUE!</v>
      </c>
      <c r="BK1606" t="str">
        <f ca="1">IFERROR(__xludf.DUMMYFUNCTION("""COMPUTED_VALUE"""),"#VALUE!")</f>
        <v>#VALUE!</v>
      </c>
      <c r="BM1606" t="str">
        <f ca="1">IFERROR(__xludf.DUMMYFUNCTION("""COMPUTED_VALUE"""),"#VALUE!")</f>
        <v>#VALUE!</v>
      </c>
      <c r="CS1606" t="str">
        <f ca="1">IFERROR(__xludf.DUMMYFUNCTION("""COMPUTED_VALUE"""),"#VALUE!")</f>
        <v>#VALUE!</v>
      </c>
      <c r="CU1606" t="str">
        <f ca="1">IFERROR(__xludf.DUMMYFUNCTION("""COMPUTED_VALUE"""),"#VALUE!")</f>
        <v>#VALUE!</v>
      </c>
      <c r="CW1606" t="str">
        <f ca="1">IFERROR(__xludf.DUMMYFUNCTION("""COMPUTED_VALUE"""),"#VALUE!")</f>
        <v>#VALUE!</v>
      </c>
      <c r="CY1606" t="str">
        <f ca="1">IFERROR(__xludf.DUMMYFUNCTION("""COMPUTED_VALUE"""),"#VALUE!")</f>
        <v>#VALUE!</v>
      </c>
      <c r="DC1606" t="str">
        <f ca="1">IFERROR(__xludf.DUMMYFUNCTION("""COMPUTED_VALUE"""),"#VALUE!")</f>
        <v>#VALUE!</v>
      </c>
      <c r="DE1606" t="str">
        <f ca="1">IFERROR(__xludf.DUMMYFUNCTION("""COMPUTED_VALUE"""),"#VALUE!")</f>
        <v>#VALUE!</v>
      </c>
    </row>
    <row r="1607" spans="1:109" ht="13.2" x14ac:dyDescent="0.25">
      <c r="A1607" t="str">
        <f ca="1">IFERROR(__xludf.DUMMYFUNCTION("""COMPUTED_VALUE"""),"P1616")</f>
        <v>P1616</v>
      </c>
      <c r="BC1607" t="str">
        <f ca="1">IFERROR(__xludf.DUMMYFUNCTION("""COMPUTED_VALUE"""),"#VALUE!")</f>
        <v>#VALUE!</v>
      </c>
      <c r="BE1607" t="str">
        <f ca="1">IFERROR(__xludf.DUMMYFUNCTION("""COMPUTED_VALUE"""),"#VALUE!")</f>
        <v>#VALUE!</v>
      </c>
      <c r="BG1607" t="str">
        <f ca="1">IFERROR(__xludf.DUMMYFUNCTION("""COMPUTED_VALUE"""),"#VALUE!")</f>
        <v>#VALUE!</v>
      </c>
      <c r="BI1607" t="str">
        <f ca="1">IFERROR(__xludf.DUMMYFUNCTION("""COMPUTED_VALUE"""),"#VALUE!")</f>
        <v>#VALUE!</v>
      </c>
      <c r="BK1607" t="str">
        <f ca="1">IFERROR(__xludf.DUMMYFUNCTION("""COMPUTED_VALUE"""),"#VALUE!")</f>
        <v>#VALUE!</v>
      </c>
      <c r="BM1607" t="str">
        <f ca="1">IFERROR(__xludf.DUMMYFUNCTION("""COMPUTED_VALUE"""),"#VALUE!")</f>
        <v>#VALUE!</v>
      </c>
      <c r="CS1607" t="str">
        <f ca="1">IFERROR(__xludf.DUMMYFUNCTION("""COMPUTED_VALUE"""),"#VALUE!")</f>
        <v>#VALUE!</v>
      </c>
      <c r="CU1607" t="str">
        <f ca="1">IFERROR(__xludf.DUMMYFUNCTION("""COMPUTED_VALUE"""),"#VALUE!")</f>
        <v>#VALUE!</v>
      </c>
      <c r="CW1607" t="str">
        <f ca="1">IFERROR(__xludf.DUMMYFUNCTION("""COMPUTED_VALUE"""),"#VALUE!")</f>
        <v>#VALUE!</v>
      </c>
      <c r="CY1607" t="str">
        <f ca="1">IFERROR(__xludf.DUMMYFUNCTION("""COMPUTED_VALUE"""),"#VALUE!")</f>
        <v>#VALUE!</v>
      </c>
      <c r="DC1607" t="str">
        <f ca="1">IFERROR(__xludf.DUMMYFUNCTION("""COMPUTED_VALUE"""),"#VALUE!")</f>
        <v>#VALUE!</v>
      </c>
      <c r="DE1607" t="str">
        <f ca="1">IFERROR(__xludf.DUMMYFUNCTION("""COMPUTED_VALUE"""),"#VALUE!")</f>
        <v>#VALUE!</v>
      </c>
    </row>
    <row r="1608" spans="1:109" ht="13.2" x14ac:dyDescent="0.25">
      <c r="A1608" t="str">
        <f ca="1">IFERROR(__xludf.DUMMYFUNCTION("""COMPUTED_VALUE"""),"P1617")</f>
        <v>P1617</v>
      </c>
      <c r="BC1608" t="str">
        <f ca="1">IFERROR(__xludf.DUMMYFUNCTION("""COMPUTED_VALUE"""),"#VALUE!")</f>
        <v>#VALUE!</v>
      </c>
      <c r="BE1608" t="str">
        <f ca="1">IFERROR(__xludf.DUMMYFUNCTION("""COMPUTED_VALUE"""),"#VALUE!")</f>
        <v>#VALUE!</v>
      </c>
      <c r="BG1608" t="str">
        <f ca="1">IFERROR(__xludf.DUMMYFUNCTION("""COMPUTED_VALUE"""),"#VALUE!")</f>
        <v>#VALUE!</v>
      </c>
      <c r="BI1608" t="str">
        <f ca="1">IFERROR(__xludf.DUMMYFUNCTION("""COMPUTED_VALUE"""),"#VALUE!")</f>
        <v>#VALUE!</v>
      </c>
      <c r="BK1608" t="str">
        <f ca="1">IFERROR(__xludf.DUMMYFUNCTION("""COMPUTED_VALUE"""),"#VALUE!")</f>
        <v>#VALUE!</v>
      </c>
      <c r="BM1608" t="str">
        <f ca="1">IFERROR(__xludf.DUMMYFUNCTION("""COMPUTED_VALUE"""),"#VALUE!")</f>
        <v>#VALUE!</v>
      </c>
      <c r="CS1608" t="str">
        <f ca="1">IFERROR(__xludf.DUMMYFUNCTION("""COMPUTED_VALUE"""),"#VALUE!")</f>
        <v>#VALUE!</v>
      </c>
      <c r="CU1608" t="str">
        <f ca="1">IFERROR(__xludf.DUMMYFUNCTION("""COMPUTED_VALUE"""),"#VALUE!")</f>
        <v>#VALUE!</v>
      </c>
      <c r="CW1608" t="str">
        <f ca="1">IFERROR(__xludf.DUMMYFUNCTION("""COMPUTED_VALUE"""),"#VALUE!")</f>
        <v>#VALUE!</v>
      </c>
      <c r="CY1608" t="str">
        <f ca="1">IFERROR(__xludf.DUMMYFUNCTION("""COMPUTED_VALUE"""),"#VALUE!")</f>
        <v>#VALUE!</v>
      </c>
      <c r="DC1608" t="str">
        <f ca="1">IFERROR(__xludf.DUMMYFUNCTION("""COMPUTED_VALUE"""),"#VALUE!")</f>
        <v>#VALUE!</v>
      </c>
      <c r="DE1608" t="str">
        <f ca="1">IFERROR(__xludf.DUMMYFUNCTION("""COMPUTED_VALUE"""),"#VALUE!")</f>
        <v>#VALUE!</v>
      </c>
    </row>
    <row r="1609" spans="1:109" ht="13.2" x14ac:dyDescent="0.25">
      <c r="A1609" t="str">
        <f ca="1">IFERROR(__xludf.DUMMYFUNCTION("""COMPUTED_VALUE"""),"P1618")</f>
        <v>P1618</v>
      </c>
      <c r="BC1609" t="str">
        <f ca="1">IFERROR(__xludf.DUMMYFUNCTION("""COMPUTED_VALUE"""),"#VALUE!")</f>
        <v>#VALUE!</v>
      </c>
      <c r="BE1609" t="str">
        <f ca="1">IFERROR(__xludf.DUMMYFUNCTION("""COMPUTED_VALUE"""),"#VALUE!")</f>
        <v>#VALUE!</v>
      </c>
      <c r="BG1609" t="str">
        <f ca="1">IFERROR(__xludf.DUMMYFUNCTION("""COMPUTED_VALUE"""),"#VALUE!")</f>
        <v>#VALUE!</v>
      </c>
      <c r="BI1609" t="str">
        <f ca="1">IFERROR(__xludf.DUMMYFUNCTION("""COMPUTED_VALUE"""),"#VALUE!")</f>
        <v>#VALUE!</v>
      </c>
      <c r="BK1609" t="str">
        <f ca="1">IFERROR(__xludf.DUMMYFUNCTION("""COMPUTED_VALUE"""),"#VALUE!")</f>
        <v>#VALUE!</v>
      </c>
      <c r="BM1609" t="str">
        <f ca="1">IFERROR(__xludf.DUMMYFUNCTION("""COMPUTED_VALUE"""),"#VALUE!")</f>
        <v>#VALUE!</v>
      </c>
      <c r="CS1609" t="str">
        <f ca="1">IFERROR(__xludf.DUMMYFUNCTION("""COMPUTED_VALUE"""),"#VALUE!")</f>
        <v>#VALUE!</v>
      </c>
      <c r="CU1609" t="str">
        <f ca="1">IFERROR(__xludf.DUMMYFUNCTION("""COMPUTED_VALUE"""),"#VALUE!")</f>
        <v>#VALUE!</v>
      </c>
      <c r="CW1609" t="str">
        <f ca="1">IFERROR(__xludf.DUMMYFUNCTION("""COMPUTED_VALUE"""),"#VALUE!")</f>
        <v>#VALUE!</v>
      </c>
      <c r="CY1609" t="str">
        <f ca="1">IFERROR(__xludf.DUMMYFUNCTION("""COMPUTED_VALUE"""),"#VALUE!")</f>
        <v>#VALUE!</v>
      </c>
      <c r="DC1609" t="str">
        <f ca="1">IFERROR(__xludf.DUMMYFUNCTION("""COMPUTED_VALUE"""),"#VALUE!")</f>
        <v>#VALUE!</v>
      </c>
      <c r="DE1609" t="str">
        <f ca="1">IFERROR(__xludf.DUMMYFUNCTION("""COMPUTED_VALUE"""),"#VALUE!")</f>
        <v>#VALUE!</v>
      </c>
    </row>
    <row r="1610" spans="1:109" ht="13.2" x14ac:dyDescent="0.25">
      <c r="A1610" t="str">
        <f ca="1">IFERROR(__xludf.DUMMYFUNCTION("""COMPUTED_VALUE"""),"P1619")</f>
        <v>P1619</v>
      </c>
      <c r="BC1610" t="str">
        <f ca="1">IFERROR(__xludf.DUMMYFUNCTION("""COMPUTED_VALUE"""),"#VALUE!")</f>
        <v>#VALUE!</v>
      </c>
      <c r="BE1610" t="str">
        <f ca="1">IFERROR(__xludf.DUMMYFUNCTION("""COMPUTED_VALUE"""),"#VALUE!")</f>
        <v>#VALUE!</v>
      </c>
      <c r="BG1610" t="str">
        <f ca="1">IFERROR(__xludf.DUMMYFUNCTION("""COMPUTED_VALUE"""),"#VALUE!")</f>
        <v>#VALUE!</v>
      </c>
      <c r="BI1610" t="str">
        <f ca="1">IFERROR(__xludf.DUMMYFUNCTION("""COMPUTED_VALUE"""),"#VALUE!")</f>
        <v>#VALUE!</v>
      </c>
      <c r="BK1610" t="str">
        <f ca="1">IFERROR(__xludf.DUMMYFUNCTION("""COMPUTED_VALUE"""),"#VALUE!")</f>
        <v>#VALUE!</v>
      </c>
      <c r="BM1610" t="str">
        <f ca="1">IFERROR(__xludf.DUMMYFUNCTION("""COMPUTED_VALUE"""),"#VALUE!")</f>
        <v>#VALUE!</v>
      </c>
      <c r="CS1610" t="str">
        <f ca="1">IFERROR(__xludf.DUMMYFUNCTION("""COMPUTED_VALUE"""),"#VALUE!")</f>
        <v>#VALUE!</v>
      </c>
      <c r="CU1610" t="str">
        <f ca="1">IFERROR(__xludf.DUMMYFUNCTION("""COMPUTED_VALUE"""),"#VALUE!")</f>
        <v>#VALUE!</v>
      </c>
      <c r="CW1610" t="str">
        <f ca="1">IFERROR(__xludf.DUMMYFUNCTION("""COMPUTED_VALUE"""),"#VALUE!")</f>
        <v>#VALUE!</v>
      </c>
      <c r="CY1610" t="str">
        <f ca="1">IFERROR(__xludf.DUMMYFUNCTION("""COMPUTED_VALUE"""),"#VALUE!")</f>
        <v>#VALUE!</v>
      </c>
      <c r="DC1610" t="str">
        <f ca="1">IFERROR(__xludf.DUMMYFUNCTION("""COMPUTED_VALUE"""),"#VALUE!")</f>
        <v>#VALUE!</v>
      </c>
      <c r="DE1610" t="str">
        <f ca="1">IFERROR(__xludf.DUMMYFUNCTION("""COMPUTED_VALUE"""),"#VALUE!")</f>
        <v>#VALUE!</v>
      </c>
    </row>
    <row r="1611" spans="1:109" ht="13.2" x14ac:dyDescent="0.25">
      <c r="A1611" t="str">
        <f ca="1">IFERROR(__xludf.DUMMYFUNCTION("""COMPUTED_VALUE"""),"P1620")</f>
        <v>P1620</v>
      </c>
      <c r="BC1611" t="str">
        <f ca="1">IFERROR(__xludf.DUMMYFUNCTION("""COMPUTED_VALUE"""),"#VALUE!")</f>
        <v>#VALUE!</v>
      </c>
      <c r="BE1611" t="str">
        <f ca="1">IFERROR(__xludf.DUMMYFUNCTION("""COMPUTED_VALUE"""),"#VALUE!")</f>
        <v>#VALUE!</v>
      </c>
      <c r="BG1611" t="str">
        <f ca="1">IFERROR(__xludf.DUMMYFUNCTION("""COMPUTED_VALUE"""),"#VALUE!")</f>
        <v>#VALUE!</v>
      </c>
      <c r="BI1611" t="str">
        <f ca="1">IFERROR(__xludf.DUMMYFUNCTION("""COMPUTED_VALUE"""),"#VALUE!")</f>
        <v>#VALUE!</v>
      </c>
      <c r="BK1611" t="str">
        <f ca="1">IFERROR(__xludf.DUMMYFUNCTION("""COMPUTED_VALUE"""),"#VALUE!")</f>
        <v>#VALUE!</v>
      </c>
      <c r="BM1611" t="str">
        <f ca="1">IFERROR(__xludf.DUMMYFUNCTION("""COMPUTED_VALUE"""),"#VALUE!")</f>
        <v>#VALUE!</v>
      </c>
      <c r="CS1611" t="str">
        <f ca="1">IFERROR(__xludf.DUMMYFUNCTION("""COMPUTED_VALUE"""),"#VALUE!")</f>
        <v>#VALUE!</v>
      </c>
      <c r="CU1611" t="str">
        <f ca="1">IFERROR(__xludf.DUMMYFUNCTION("""COMPUTED_VALUE"""),"#VALUE!")</f>
        <v>#VALUE!</v>
      </c>
      <c r="CW1611" t="str">
        <f ca="1">IFERROR(__xludf.DUMMYFUNCTION("""COMPUTED_VALUE"""),"#VALUE!")</f>
        <v>#VALUE!</v>
      </c>
      <c r="CY1611" t="str">
        <f ca="1">IFERROR(__xludf.DUMMYFUNCTION("""COMPUTED_VALUE"""),"#VALUE!")</f>
        <v>#VALUE!</v>
      </c>
      <c r="DC1611" t="str">
        <f ca="1">IFERROR(__xludf.DUMMYFUNCTION("""COMPUTED_VALUE"""),"#VALUE!")</f>
        <v>#VALUE!</v>
      </c>
      <c r="DE1611" t="str">
        <f ca="1">IFERROR(__xludf.DUMMYFUNCTION("""COMPUTED_VALUE"""),"#VALUE!")</f>
        <v>#VALUE!</v>
      </c>
    </row>
    <row r="1612" spans="1:109" ht="13.2" x14ac:dyDescent="0.25">
      <c r="A1612" t="str">
        <f ca="1">IFERROR(__xludf.DUMMYFUNCTION("""COMPUTED_VALUE"""),"P1621")</f>
        <v>P1621</v>
      </c>
      <c r="BC1612" t="str">
        <f ca="1">IFERROR(__xludf.DUMMYFUNCTION("""COMPUTED_VALUE"""),"#VALUE!")</f>
        <v>#VALUE!</v>
      </c>
      <c r="BE1612" t="str">
        <f ca="1">IFERROR(__xludf.DUMMYFUNCTION("""COMPUTED_VALUE"""),"#VALUE!")</f>
        <v>#VALUE!</v>
      </c>
      <c r="BG1612" t="str">
        <f ca="1">IFERROR(__xludf.DUMMYFUNCTION("""COMPUTED_VALUE"""),"#VALUE!")</f>
        <v>#VALUE!</v>
      </c>
      <c r="BI1612" t="str">
        <f ca="1">IFERROR(__xludf.DUMMYFUNCTION("""COMPUTED_VALUE"""),"#VALUE!")</f>
        <v>#VALUE!</v>
      </c>
      <c r="BK1612" t="str">
        <f ca="1">IFERROR(__xludf.DUMMYFUNCTION("""COMPUTED_VALUE"""),"#VALUE!")</f>
        <v>#VALUE!</v>
      </c>
      <c r="BM1612" t="str">
        <f ca="1">IFERROR(__xludf.DUMMYFUNCTION("""COMPUTED_VALUE"""),"#VALUE!")</f>
        <v>#VALUE!</v>
      </c>
      <c r="CS1612" t="str">
        <f ca="1">IFERROR(__xludf.DUMMYFUNCTION("""COMPUTED_VALUE"""),"#VALUE!")</f>
        <v>#VALUE!</v>
      </c>
      <c r="CU1612" t="str">
        <f ca="1">IFERROR(__xludf.DUMMYFUNCTION("""COMPUTED_VALUE"""),"#VALUE!")</f>
        <v>#VALUE!</v>
      </c>
      <c r="CW1612" t="str">
        <f ca="1">IFERROR(__xludf.DUMMYFUNCTION("""COMPUTED_VALUE"""),"#VALUE!")</f>
        <v>#VALUE!</v>
      </c>
      <c r="CY1612" t="str">
        <f ca="1">IFERROR(__xludf.DUMMYFUNCTION("""COMPUTED_VALUE"""),"#VALUE!")</f>
        <v>#VALUE!</v>
      </c>
      <c r="DC1612" t="str">
        <f ca="1">IFERROR(__xludf.DUMMYFUNCTION("""COMPUTED_VALUE"""),"#VALUE!")</f>
        <v>#VALUE!</v>
      </c>
      <c r="DE1612" t="str">
        <f ca="1">IFERROR(__xludf.DUMMYFUNCTION("""COMPUTED_VALUE"""),"#VALUE!")</f>
        <v>#VALUE!</v>
      </c>
    </row>
    <row r="1613" spans="1:109" ht="13.2" x14ac:dyDescent="0.25">
      <c r="A1613" t="str">
        <f ca="1">IFERROR(__xludf.DUMMYFUNCTION("""COMPUTED_VALUE"""),"P1622")</f>
        <v>P1622</v>
      </c>
      <c r="BC1613" t="str">
        <f ca="1">IFERROR(__xludf.DUMMYFUNCTION("""COMPUTED_VALUE"""),"#VALUE!")</f>
        <v>#VALUE!</v>
      </c>
      <c r="BE1613" t="str">
        <f ca="1">IFERROR(__xludf.DUMMYFUNCTION("""COMPUTED_VALUE"""),"#VALUE!")</f>
        <v>#VALUE!</v>
      </c>
      <c r="BG1613" t="str">
        <f ca="1">IFERROR(__xludf.DUMMYFUNCTION("""COMPUTED_VALUE"""),"#VALUE!")</f>
        <v>#VALUE!</v>
      </c>
      <c r="BI1613" t="str">
        <f ca="1">IFERROR(__xludf.DUMMYFUNCTION("""COMPUTED_VALUE"""),"#VALUE!")</f>
        <v>#VALUE!</v>
      </c>
      <c r="BK1613" t="str">
        <f ca="1">IFERROR(__xludf.DUMMYFUNCTION("""COMPUTED_VALUE"""),"#VALUE!")</f>
        <v>#VALUE!</v>
      </c>
      <c r="BM1613" t="str">
        <f ca="1">IFERROR(__xludf.DUMMYFUNCTION("""COMPUTED_VALUE"""),"#VALUE!")</f>
        <v>#VALUE!</v>
      </c>
      <c r="CS1613" t="str">
        <f ca="1">IFERROR(__xludf.DUMMYFUNCTION("""COMPUTED_VALUE"""),"#VALUE!")</f>
        <v>#VALUE!</v>
      </c>
      <c r="CU1613" t="str">
        <f ca="1">IFERROR(__xludf.DUMMYFUNCTION("""COMPUTED_VALUE"""),"#VALUE!")</f>
        <v>#VALUE!</v>
      </c>
      <c r="CW1613" t="str">
        <f ca="1">IFERROR(__xludf.DUMMYFUNCTION("""COMPUTED_VALUE"""),"#VALUE!")</f>
        <v>#VALUE!</v>
      </c>
      <c r="CY1613" t="str">
        <f ca="1">IFERROR(__xludf.DUMMYFUNCTION("""COMPUTED_VALUE"""),"#VALUE!")</f>
        <v>#VALUE!</v>
      </c>
      <c r="DC1613" t="str">
        <f ca="1">IFERROR(__xludf.DUMMYFUNCTION("""COMPUTED_VALUE"""),"#VALUE!")</f>
        <v>#VALUE!</v>
      </c>
      <c r="DE1613" t="str">
        <f ca="1">IFERROR(__xludf.DUMMYFUNCTION("""COMPUTED_VALUE"""),"#VALUE!")</f>
        <v>#VALUE!</v>
      </c>
    </row>
    <row r="1614" spans="1:109" ht="13.2" x14ac:dyDescent="0.25">
      <c r="BC1614" t="str">
        <f ca="1">IFERROR(__xludf.DUMMYFUNCTION("""COMPUTED_VALUE"""),"#VALUE!")</f>
        <v>#VALUE!</v>
      </c>
      <c r="BE1614" t="str">
        <f ca="1">IFERROR(__xludf.DUMMYFUNCTION("""COMPUTED_VALUE"""),"#VALUE!")</f>
        <v>#VALUE!</v>
      </c>
      <c r="BG1614" t="str">
        <f ca="1">IFERROR(__xludf.DUMMYFUNCTION("""COMPUTED_VALUE"""),"#VALUE!")</f>
        <v>#VALUE!</v>
      </c>
      <c r="BI1614" t="str">
        <f ca="1">IFERROR(__xludf.DUMMYFUNCTION("""COMPUTED_VALUE"""),"#VALUE!")</f>
        <v>#VALUE!</v>
      </c>
      <c r="BK1614" t="str">
        <f ca="1">IFERROR(__xludf.DUMMYFUNCTION("""COMPUTED_VALUE"""),"#VALUE!")</f>
        <v>#VALUE!</v>
      </c>
      <c r="BM1614" t="str">
        <f ca="1">IFERROR(__xludf.DUMMYFUNCTION("""COMPUTED_VALUE"""),"#VALUE!")</f>
        <v>#VALUE!</v>
      </c>
      <c r="CS1614" t="str">
        <f ca="1">IFERROR(__xludf.DUMMYFUNCTION("""COMPUTED_VALUE"""),"#VALUE!")</f>
        <v>#VALUE!</v>
      </c>
      <c r="CU1614" t="str">
        <f ca="1">IFERROR(__xludf.DUMMYFUNCTION("""COMPUTED_VALUE"""),"#VALUE!")</f>
        <v>#VALUE!</v>
      </c>
      <c r="CW1614" t="str">
        <f ca="1">IFERROR(__xludf.DUMMYFUNCTION("""COMPUTED_VALUE"""),"#VALUE!")</f>
        <v>#VALUE!</v>
      </c>
      <c r="CY1614" t="str">
        <f ca="1">IFERROR(__xludf.DUMMYFUNCTION("""COMPUTED_VALUE"""),"#VALUE!")</f>
        <v>#VALUE!</v>
      </c>
      <c r="DC1614" t="str">
        <f ca="1">IFERROR(__xludf.DUMMYFUNCTION("""COMPUTED_VALUE"""),"#VALUE!")</f>
        <v>#VALUE!</v>
      </c>
      <c r="DE1614" t="str">
        <f ca="1">IFERROR(__xludf.DUMMYFUNCTION("""COMPUTED_VALUE"""),"#VALUE!")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Persons</vt:lpstr>
      <vt:lpstr>Metadata</vt:lpstr>
      <vt:lpstr>ValidationLists</vt:lpstr>
      <vt:lpstr>_sidebarsettings</vt:lpstr>
      <vt:lpstr>stats</vt:lpstr>
      <vt:lpstr>_machine_persons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Davor Salihovic</dc:creator>
  <cp:lastModifiedBy>Davor Salihović</cp:lastModifiedBy>
  <dcterms:created xsi:type="dcterms:W3CDTF">2023-09-08T18:34:32Z</dcterms:created>
  <dcterms:modified xsi:type="dcterms:W3CDTF">2023-09-12T14:18:43Z</dcterms:modified>
</cp:coreProperties>
</file>