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urrencyOptions\Excel-Word Templates\"/>
    </mc:Choice>
  </mc:AlternateContent>
  <bookViews>
    <workbookView xWindow="0" yWindow="0" windowWidth="28800" windowHeight="13020" activeTab="2"/>
  </bookViews>
  <sheets>
    <sheet name="Spread" sheetId="3" r:id="rId1"/>
    <sheet name="Spr Fwd Extra" sheetId="4" r:id="rId2"/>
    <sheet name="SPR Ratio FWD Extra" sheetId="6" r:id="rId3"/>
    <sheet name="Params" sheetId="5" r:id="rId4"/>
    <sheet name="Calc" sheetId="1" r:id="rId5"/>
    <sheet name="Check" sheetId="2" r:id="rId6"/>
  </sheets>
  <definedNames>
    <definedName name="Barrier.Touched">Params!$A$2:$A$3</definedName>
  </definedNames>
  <calcPr calcId="152511"/>
</workbook>
</file>

<file path=xl/calcChain.xml><?xml version="1.0" encoding="utf-8"?>
<calcChain xmlns="http://schemas.openxmlformats.org/spreadsheetml/2006/main">
  <c r="N7" i="5" l="1"/>
  <c r="M7" i="5"/>
  <c r="L7" i="5"/>
  <c r="E3" i="5"/>
  <c r="L6" i="5"/>
  <c r="M6" i="5"/>
  <c r="N6" i="5"/>
  <c r="E2" i="5"/>
  <c r="E1" i="5"/>
  <c r="E8" i="6"/>
  <c r="D8" i="6"/>
  <c r="C8" i="6"/>
  <c r="C10" i="6" l="1"/>
  <c r="C14" i="6" s="1"/>
  <c r="D10" i="6"/>
  <c r="D12" i="6" s="1"/>
  <c r="E10" i="6"/>
  <c r="D13" i="6"/>
  <c r="E13" i="6"/>
  <c r="E14" i="6"/>
  <c r="C17" i="6"/>
  <c r="E50" i="6"/>
  <c r="E49" i="6"/>
  <c r="E41" i="6"/>
  <c r="C41" i="6"/>
  <c r="E38" i="6"/>
  <c r="D38" i="6"/>
  <c r="F40" i="6" s="1"/>
  <c r="C38" i="6"/>
  <c r="C40" i="6" s="1"/>
  <c r="C42" i="6" s="1"/>
  <c r="D32" i="6"/>
  <c r="D34" i="6" s="1"/>
  <c r="H30" i="6"/>
  <c r="G30" i="6"/>
  <c r="G32" i="6" s="1"/>
  <c r="D30" i="6"/>
  <c r="E30" i="6" s="1"/>
  <c r="E32" i="6" s="1"/>
  <c r="C30" i="6"/>
  <c r="F29" i="6"/>
  <c r="H28" i="6"/>
  <c r="H31" i="6" s="1"/>
  <c r="G28" i="6"/>
  <c r="G31" i="6" s="1"/>
  <c r="G34" i="6" s="1"/>
  <c r="E28" i="6"/>
  <c r="E31" i="6" s="1"/>
  <c r="D28" i="6"/>
  <c r="C28" i="6"/>
  <c r="F27" i="6"/>
  <c r="G12" i="6"/>
  <c r="G14" i="6" s="1"/>
  <c r="H9" i="6"/>
  <c r="H13" i="6" s="1"/>
  <c r="G9" i="6"/>
  <c r="G13" i="6" s="1"/>
  <c r="F8" i="6"/>
  <c r="C12" i="6" l="1"/>
  <c r="C15" i="6" s="1"/>
  <c r="D15" i="6"/>
  <c r="L7" i="6" s="1"/>
  <c r="E12" i="6"/>
  <c r="E15" i="6" s="1"/>
  <c r="D14" i="6"/>
  <c r="D41" i="6"/>
  <c r="H12" i="6"/>
  <c r="H14" i="6" s="1"/>
  <c r="G16" i="6" s="1"/>
  <c r="E40" i="6"/>
  <c r="E42" i="6" s="1"/>
  <c r="D40" i="6"/>
  <c r="D42" i="6" s="1"/>
  <c r="E42" i="4"/>
  <c r="E41" i="4"/>
  <c r="D30" i="4"/>
  <c r="E32" i="4" s="1"/>
  <c r="E34" i="4" s="1"/>
  <c r="C34" i="4"/>
  <c r="E33" i="4"/>
  <c r="C33" i="4"/>
  <c r="C32" i="4"/>
  <c r="E30" i="4"/>
  <c r="C30" i="4"/>
  <c r="C13" i="6" l="1"/>
  <c r="M9" i="6" s="1"/>
  <c r="D17" i="6"/>
  <c r="E17" i="6" s="1"/>
  <c r="F32" i="4"/>
  <c r="L8" i="6"/>
  <c r="L9" i="6"/>
  <c r="L5" i="6"/>
  <c r="L4" i="6"/>
  <c r="L2" i="6"/>
  <c r="L11" i="6"/>
  <c r="M2" i="6"/>
  <c r="M5" i="6"/>
  <c r="M11" i="6"/>
  <c r="M8" i="6"/>
  <c r="M4" i="6"/>
  <c r="D44" i="6"/>
  <c r="D33" i="4"/>
  <c r="D32" i="4"/>
  <c r="D34" i="4" s="1"/>
  <c r="E12" i="4"/>
  <c r="L5" i="4"/>
  <c r="L4" i="4"/>
  <c r="L2" i="4"/>
  <c r="C16" i="4"/>
  <c r="L11" i="4"/>
  <c r="L9" i="4"/>
  <c r="L8" i="4"/>
  <c r="L7" i="4"/>
  <c r="M7" i="6" l="1"/>
  <c r="D36" i="4"/>
  <c r="F21" i="4"/>
  <c r="D12" i="4"/>
  <c r="F8" i="4"/>
  <c r="F19" i="4"/>
  <c r="E9" i="4" l="1"/>
  <c r="E13" i="4" s="1"/>
  <c r="E20" i="4" l="1"/>
  <c r="E23" i="4" s="1"/>
  <c r="G22" i="4"/>
  <c r="H22" i="4" s="1"/>
  <c r="D22" i="4"/>
  <c r="H20" i="4"/>
  <c r="H23" i="4" s="1"/>
  <c r="G20" i="4"/>
  <c r="G23" i="4" s="1"/>
  <c r="D20" i="4"/>
  <c r="C20" i="4"/>
  <c r="G12" i="4"/>
  <c r="G14" i="4" s="1"/>
  <c r="H9" i="4"/>
  <c r="H13" i="4" s="1"/>
  <c r="G9" i="4"/>
  <c r="G13" i="4" s="1"/>
  <c r="D9" i="4"/>
  <c r="D11" i="4" s="1"/>
  <c r="C9" i="4"/>
  <c r="C13" i="4" s="1"/>
  <c r="E11" i="4" l="1"/>
  <c r="E14" i="4" s="1"/>
  <c r="D14" i="4"/>
  <c r="C11" i="4"/>
  <c r="C14" i="4" s="1"/>
  <c r="E22" i="4"/>
  <c r="E24" i="4" s="1"/>
  <c r="C22" i="4"/>
  <c r="D24" i="4"/>
  <c r="D26" i="4"/>
  <c r="H12" i="4"/>
  <c r="H14" i="4" s="1"/>
  <c r="G16" i="4" s="1"/>
  <c r="D13" i="4"/>
  <c r="G24" i="4"/>
  <c r="G26" i="4" s="1"/>
  <c r="F20" i="3"/>
  <c r="G19" i="3"/>
  <c r="C8" i="1"/>
  <c r="F18" i="3"/>
  <c r="G18" i="3" s="1"/>
  <c r="F17" i="3"/>
  <c r="F19" i="3" s="1"/>
  <c r="G17" i="3"/>
  <c r="F9" i="3"/>
  <c r="G9" i="3" s="1"/>
  <c r="G11" i="3" s="1"/>
  <c r="G8" i="3"/>
  <c r="G10" i="3" s="1"/>
  <c r="F8" i="3"/>
  <c r="F10" i="3" s="1"/>
  <c r="D18" i="3"/>
  <c r="D20" i="3" s="1"/>
  <c r="D17" i="3"/>
  <c r="D19" i="3" s="1"/>
  <c r="C17" i="3"/>
  <c r="C19" i="3" s="1"/>
  <c r="D8" i="3"/>
  <c r="D10" i="3" s="1"/>
  <c r="C8" i="3"/>
  <c r="C10" i="3" s="1"/>
  <c r="C12" i="4" l="1"/>
  <c r="D16" i="4"/>
  <c r="E16" i="4" s="1"/>
  <c r="E17" i="4"/>
  <c r="M2" i="4"/>
  <c r="M11" i="4"/>
  <c r="M8" i="4"/>
  <c r="M5" i="4"/>
  <c r="M9" i="4"/>
  <c r="M4" i="4"/>
  <c r="D22" i="3"/>
  <c r="F11" i="3"/>
  <c r="F22" i="3"/>
  <c r="F13" i="3"/>
  <c r="D13" i="3"/>
  <c r="C18" i="3"/>
  <c r="D9" i="3"/>
  <c r="C9" i="3" s="1"/>
  <c r="R15" i="1"/>
  <c r="R14" i="1"/>
  <c r="R13" i="1"/>
  <c r="R16" i="1" s="1"/>
  <c r="S12" i="1"/>
  <c r="S16" i="1" s="1"/>
  <c r="D8" i="1"/>
  <c r="M7" i="4" l="1"/>
  <c r="D7" i="1"/>
  <c r="C7" i="1"/>
  <c r="F8" i="1"/>
  <c r="F7" i="1" s="1"/>
  <c r="G8" i="1" s="1"/>
  <c r="G7" i="1" s="1"/>
  <c r="K4" i="2" l="1"/>
  <c r="L4" i="2" s="1"/>
  <c r="M4" i="2" s="1"/>
  <c r="B4" i="2"/>
  <c r="B5" i="2" s="1"/>
  <c r="N4" i="2" l="1"/>
  <c r="O4" i="2"/>
  <c r="K5" i="2"/>
  <c r="P4" i="2"/>
  <c r="C4" i="2"/>
  <c r="D4" i="2" s="1"/>
  <c r="B6" i="2"/>
  <c r="C5" i="2"/>
  <c r="D5" i="2" s="1"/>
  <c r="E5" i="2"/>
  <c r="G5" i="2"/>
  <c r="G4" i="2"/>
  <c r="E4" i="2"/>
  <c r="K6" i="2" l="1"/>
  <c r="L5" i="2"/>
  <c r="M5" i="2" s="1"/>
  <c r="N5" i="2"/>
  <c r="P5" i="2"/>
  <c r="F4" i="2"/>
  <c r="H4" i="2" s="1"/>
  <c r="Q4" i="2"/>
  <c r="F5" i="2"/>
  <c r="H5" i="2" s="1"/>
  <c r="B7" i="2"/>
  <c r="C6" i="2"/>
  <c r="D6" i="2" s="1"/>
  <c r="E6" i="2"/>
  <c r="G6" i="2"/>
  <c r="O5" i="2" l="1"/>
  <c r="Q5" i="2" s="1"/>
  <c r="L6" i="2"/>
  <c r="M6" i="2" s="1"/>
  <c r="P6" i="2"/>
  <c r="N6" i="2"/>
  <c r="K7" i="2"/>
  <c r="F6" i="2"/>
  <c r="H6" i="2" s="1"/>
  <c r="B8" i="2"/>
  <c r="C7" i="2"/>
  <c r="D7" i="2" s="1"/>
  <c r="E7" i="2"/>
  <c r="G7" i="2"/>
  <c r="O6" i="2" l="1"/>
  <c r="Q6" i="2" s="1"/>
  <c r="K8" i="2"/>
  <c r="N7" i="2"/>
  <c r="L7" i="2"/>
  <c r="M7" i="2" s="1"/>
  <c r="P7" i="2"/>
  <c r="F7" i="2"/>
  <c r="H7" i="2" s="1"/>
  <c r="B9" i="2"/>
  <c r="C8" i="2"/>
  <c r="D8" i="2" s="1"/>
  <c r="E8" i="2"/>
  <c r="G8" i="2"/>
  <c r="O7" i="2" l="1"/>
  <c r="Q7" i="2" s="1"/>
  <c r="K9" i="2"/>
  <c r="N8" i="2"/>
  <c r="P8" i="2"/>
  <c r="L8" i="2"/>
  <c r="M8" i="2" s="1"/>
  <c r="F8" i="2"/>
  <c r="H8" i="2" s="1"/>
  <c r="B10" i="2"/>
  <c r="C9" i="2"/>
  <c r="D9" i="2" s="1"/>
  <c r="E9" i="2"/>
  <c r="G9" i="2"/>
  <c r="O8" i="2" l="1"/>
  <c r="Q8" i="2" s="1"/>
  <c r="N9" i="2"/>
  <c r="L9" i="2"/>
  <c r="M9" i="2" s="1"/>
  <c r="K10" i="2"/>
  <c r="P9" i="2"/>
  <c r="F9" i="2"/>
  <c r="H9" i="2" s="1"/>
  <c r="B11" i="2"/>
  <c r="C10" i="2"/>
  <c r="D10" i="2" s="1"/>
  <c r="E10" i="2"/>
  <c r="G10" i="2"/>
  <c r="P10" i="2" l="1"/>
  <c r="K11" i="2"/>
  <c r="L10" i="2"/>
  <c r="M10" i="2" s="1"/>
  <c r="N10" i="2"/>
  <c r="O9" i="2"/>
  <c r="Q9" i="2" s="1"/>
  <c r="F10" i="2"/>
  <c r="H10" i="2" s="1"/>
  <c r="B12" i="2"/>
  <c r="C11" i="2"/>
  <c r="D11" i="2" s="1"/>
  <c r="E11" i="2"/>
  <c r="G11" i="2"/>
  <c r="O10" i="2" l="1"/>
  <c r="Q10" i="2"/>
  <c r="N11" i="2"/>
  <c r="K12" i="2"/>
  <c r="L11" i="2"/>
  <c r="M11" i="2" s="1"/>
  <c r="P11" i="2"/>
  <c r="F11" i="2"/>
  <c r="H11" i="2" s="1"/>
  <c r="B13" i="2"/>
  <c r="C12" i="2"/>
  <c r="D12" i="2" s="1"/>
  <c r="E12" i="2"/>
  <c r="G12" i="2"/>
  <c r="P12" i="2" l="1"/>
  <c r="K13" i="2"/>
  <c r="L12" i="2"/>
  <c r="M12" i="2" s="1"/>
  <c r="N12" i="2"/>
  <c r="O11" i="2"/>
  <c r="Q11" i="2" s="1"/>
  <c r="F12" i="2"/>
  <c r="H12" i="2" s="1"/>
  <c r="B14" i="2"/>
  <c r="C13" i="2"/>
  <c r="D13" i="2" s="1"/>
  <c r="E13" i="2"/>
  <c r="G13" i="2"/>
  <c r="O12" i="2" l="1"/>
  <c r="Q12" i="2" s="1"/>
  <c r="P13" i="2"/>
  <c r="K14" i="2"/>
  <c r="L13" i="2"/>
  <c r="M13" i="2" s="1"/>
  <c r="N13" i="2"/>
  <c r="O13" i="2" s="1"/>
  <c r="F13" i="2"/>
  <c r="H13" i="2" s="1"/>
  <c r="B15" i="2"/>
  <c r="C14" i="2"/>
  <c r="D14" i="2" s="1"/>
  <c r="E14" i="2"/>
  <c r="G14" i="2"/>
  <c r="Q13" i="2" l="1"/>
  <c r="K15" i="2"/>
  <c r="P14" i="2"/>
  <c r="N14" i="2"/>
  <c r="L14" i="2"/>
  <c r="M14" i="2" s="1"/>
  <c r="F14" i="2"/>
  <c r="H14" i="2" s="1"/>
  <c r="B16" i="2"/>
  <c r="C15" i="2"/>
  <c r="D15" i="2" s="1"/>
  <c r="E15" i="2"/>
  <c r="G15" i="2"/>
  <c r="O14" i="2" l="1"/>
  <c r="Q14" i="2" s="1"/>
  <c r="L15" i="2"/>
  <c r="M15" i="2" s="1"/>
  <c r="P15" i="2"/>
  <c r="N15" i="2"/>
  <c r="K16" i="2"/>
  <c r="F15" i="2"/>
  <c r="H15" i="2" s="1"/>
  <c r="B17" i="2"/>
  <c r="C16" i="2"/>
  <c r="D16" i="2" s="1"/>
  <c r="E16" i="2"/>
  <c r="G16" i="2"/>
  <c r="O15" i="2" l="1"/>
  <c r="Q15" i="2" s="1"/>
  <c r="P16" i="2"/>
  <c r="K17" i="2"/>
  <c r="L16" i="2"/>
  <c r="M16" i="2" s="1"/>
  <c r="N16" i="2"/>
  <c r="O16" i="2" s="1"/>
  <c r="F16" i="2"/>
  <c r="H16" i="2" s="1"/>
  <c r="B18" i="2"/>
  <c r="C17" i="2"/>
  <c r="D17" i="2" s="1"/>
  <c r="E17" i="2"/>
  <c r="G17" i="2"/>
  <c r="Q16" i="2" l="1"/>
  <c r="L17" i="2"/>
  <c r="M17" i="2" s="1"/>
  <c r="P17" i="2"/>
  <c r="K18" i="2"/>
  <c r="N17" i="2"/>
  <c r="F17" i="2"/>
  <c r="H17" i="2" s="1"/>
  <c r="B19" i="2"/>
  <c r="C18" i="2"/>
  <c r="D18" i="2" s="1"/>
  <c r="E18" i="2"/>
  <c r="G18" i="2"/>
  <c r="O17" i="2" l="1"/>
  <c r="Q17" i="2" s="1"/>
  <c r="K19" i="2"/>
  <c r="L18" i="2"/>
  <c r="M18" i="2" s="1"/>
  <c r="P18" i="2"/>
  <c r="N18" i="2"/>
  <c r="F18" i="2"/>
  <c r="H18" i="2" s="1"/>
  <c r="B20" i="2"/>
  <c r="C19" i="2"/>
  <c r="D19" i="2" s="1"/>
  <c r="E19" i="2"/>
  <c r="G19" i="2"/>
  <c r="O18" i="2" l="1"/>
  <c r="Q18" i="2" s="1"/>
  <c r="L19" i="2"/>
  <c r="M19" i="2" s="1"/>
  <c r="N19" i="2"/>
  <c r="K20" i="2"/>
  <c r="P19" i="2"/>
  <c r="F19" i="2"/>
  <c r="H19" i="2" s="1"/>
  <c r="B21" i="2"/>
  <c r="C20" i="2"/>
  <c r="D20" i="2" s="1"/>
  <c r="E20" i="2"/>
  <c r="G20" i="2"/>
  <c r="O19" i="2" l="1"/>
  <c r="Q19" i="2" s="1"/>
  <c r="K21" i="2"/>
  <c r="P20" i="2"/>
  <c r="L20" i="2"/>
  <c r="M20" i="2" s="1"/>
  <c r="N20" i="2"/>
  <c r="O20" i="2" s="1"/>
  <c r="F20" i="2"/>
  <c r="H20" i="2" s="1"/>
  <c r="B22" i="2"/>
  <c r="C21" i="2"/>
  <c r="D21" i="2" s="1"/>
  <c r="E21" i="2"/>
  <c r="G21" i="2"/>
  <c r="Q20" i="2" l="1"/>
  <c r="L21" i="2"/>
  <c r="M21" i="2" s="1"/>
  <c r="N21" i="2"/>
  <c r="P21" i="2"/>
  <c r="K22" i="2"/>
  <c r="F21" i="2"/>
  <c r="H21" i="2" s="1"/>
  <c r="B23" i="2"/>
  <c r="C22" i="2"/>
  <c r="D22" i="2" s="1"/>
  <c r="E22" i="2"/>
  <c r="G22" i="2"/>
  <c r="O21" i="2" l="1"/>
  <c r="Q21" i="2" s="1"/>
  <c r="K23" i="2"/>
  <c r="L22" i="2"/>
  <c r="M22" i="2" s="1"/>
  <c r="N22" i="2"/>
  <c r="P22" i="2"/>
  <c r="F22" i="2"/>
  <c r="H22" i="2" s="1"/>
  <c r="B24" i="2"/>
  <c r="C23" i="2"/>
  <c r="D23" i="2" s="1"/>
  <c r="E23" i="2"/>
  <c r="G23" i="2"/>
  <c r="O22" i="2" l="1"/>
  <c r="Q22" i="2" s="1"/>
  <c r="L23" i="2"/>
  <c r="M23" i="2" s="1"/>
  <c r="N23" i="2"/>
  <c r="K24" i="2"/>
  <c r="P23" i="2"/>
  <c r="F23" i="2"/>
  <c r="H23" i="2" s="1"/>
  <c r="B25" i="2"/>
  <c r="C24" i="2"/>
  <c r="D24" i="2" s="1"/>
  <c r="E24" i="2"/>
  <c r="G24" i="2"/>
  <c r="O23" i="2" l="1"/>
  <c r="Q23" i="2" s="1"/>
  <c r="N24" i="2"/>
  <c r="P24" i="2"/>
  <c r="K25" i="2"/>
  <c r="L24" i="2"/>
  <c r="M24" i="2" s="1"/>
  <c r="F24" i="2"/>
  <c r="H24" i="2" s="1"/>
  <c r="B26" i="2"/>
  <c r="C25" i="2"/>
  <c r="D25" i="2" s="1"/>
  <c r="E25" i="2"/>
  <c r="G25" i="2"/>
  <c r="P25" i="2" l="1"/>
  <c r="L25" i="2"/>
  <c r="M25" i="2" s="1"/>
  <c r="N25" i="2"/>
  <c r="K26" i="2"/>
  <c r="O24" i="2"/>
  <c r="Q24" i="2" s="1"/>
  <c r="F25" i="2"/>
  <c r="H25" i="2" s="1"/>
  <c r="B27" i="2"/>
  <c r="C26" i="2"/>
  <c r="D26" i="2" s="1"/>
  <c r="E26" i="2"/>
  <c r="G26" i="2"/>
  <c r="P26" i="2" l="1"/>
  <c r="K27" i="2"/>
  <c r="N26" i="2"/>
  <c r="L26" i="2"/>
  <c r="M26" i="2" s="1"/>
  <c r="O25" i="2"/>
  <c r="Q25" i="2" s="1"/>
  <c r="F26" i="2"/>
  <c r="H26" i="2" s="1"/>
  <c r="B28" i="2"/>
  <c r="C27" i="2"/>
  <c r="D27" i="2" s="1"/>
  <c r="E27" i="2"/>
  <c r="G27" i="2"/>
  <c r="O26" i="2" l="1"/>
  <c r="Q26" i="2" s="1"/>
  <c r="K28" i="2"/>
  <c r="L27" i="2"/>
  <c r="M27" i="2" s="1"/>
  <c r="N27" i="2"/>
  <c r="P27" i="2"/>
  <c r="F27" i="2"/>
  <c r="H27" i="2" s="1"/>
  <c r="B29" i="2"/>
  <c r="C28" i="2"/>
  <c r="D28" i="2" s="1"/>
  <c r="E28" i="2"/>
  <c r="G28" i="2"/>
  <c r="O27" i="2" l="1"/>
  <c r="Q27" i="2" s="1"/>
  <c r="P28" i="2"/>
  <c r="K29" i="2"/>
  <c r="N28" i="2"/>
  <c r="L28" i="2"/>
  <c r="M28" i="2" s="1"/>
  <c r="F28" i="2"/>
  <c r="H28" i="2" s="1"/>
  <c r="B30" i="2"/>
  <c r="C29" i="2"/>
  <c r="D29" i="2" s="1"/>
  <c r="E29" i="2"/>
  <c r="G29" i="2"/>
  <c r="O28" i="2" l="1"/>
  <c r="Q28" i="2" s="1"/>
  <c r="P29" i="2"/>
  <c r="K30" i="2"/>
  <c r="L29" i="2"/>
  <c r="M29" i="2" s="1"/>
  <c r="N29" i="2"/>
  <c r="F29" i="2"/>
  <c r="H29" i="2" s="1"/>
  <c r="B31" i="2"/>
  <c r="C30" i="2"/>
  <c r="D30" i="2" s="1"/>
  <c r="E30" i="2"/>
  <c r="G30" i="2"/>
  <c r="O29" i="2" l="1"/>
  <c r="Q29" i="2" s="1"/>
  <c r="P30" i="2"/>
  <c r="K31" i="2"/>
  <c r="L30" i="2"/>
  <c r="M30" i="2" s="1"/>
  <c r="N30" i="2"/>
  <c r="B32" i="2"/>
  <c r="C31" i="2"/>
  <c r="D31" i="2" s="1"/>
  <c r="E31" i="2"/>
  <c r="G31" i="2"/>
  <c r="F30" i="2"/>
  <c r="H30" i="2" s="1"/>
  <c r="O30" i="2" l="1"/>
  <c r="Q30" i="2" s="1"/>
  <c r="K32" i="2"/>
  <c r="L31" i="2"/>
  <c r="M31" i="2" s="1"/>
  <c r="N31" i="2"/>
  <c r="P31" i="2"/>
  <c r="F31" i="2"/>
  <c r="H31" i="2" s="1"/>
  <c r="B33" i="2"/>
  <c r="C32" i="2"/>
  <c r="D32" i="2" s="1"/>
  <c r="E32" i="2"/>
  <c r="G32" i="2"/>
  <c r="O31" i="2" l="1"/>
  <c r="Q31" i="2" s="1"/>
  <c r="L32" i="2"/>
  <c r="M32" i="2" s="1"/>
  <c r="K33" i="2"/>
  <c r="N32" i="2"/>
  <c r="P32" i="2"/>
  <c r="F32" i="2"/>
  <c r="H32" i="2" s="1"/>
  <c r="B34" i="2"/>
  <c r="C33" i="2"/>
  <c r="D33" i="2" s="1"/>
  <c r="E33" i="2"/>
  <c r="G33" i="2"/>
  <c r="O32" i="2" l="1"/>
  <c r="Q32" i="2" s="1"/>
  <c r="L33" i="2"/>
  <c r="M33" i="2" s="1"/>
  <c r="N33" i="2"/>
  <c r="P33" i="2"/>
  <c r="K34" i="2"/>
  <c r="B35" i="2"/>
  <c r="C34" i="2"/>
  <c r="D34" i="2" s="1"/>
  <c r="E34" i="2"/>
  <c r="G34" i="2"/>
  <c r="F33" i="2"/>
  <c r="H33" i="2" s="1"/>
  <c r="O33" i="2" l="1"/>
  <c r="Q33" i="2" s="1"/>
  <c r="K35" i="2"/>
  <c r="N34" i="2"/>
  <c r="L34" i="2"/>
  <c r="M34" i="2" s="1"/>
  <c r="P34" i="2"/>
  <c r="B36" i="2"/>
  <c r="C35" i="2"/>
  <c r="D35" i="2" s="1"/>
  <c r="E35" i="2"/>
  <c r="G35" i="2"/>
  <c r="F34" i="2"/>
  <c r="H34" i="2" s="1"/>
  <c r="O34" i="2" l="1"/>
  <c r="Q34" i="2" s="1"/>
  <c r="K36" i="2"/>
  <c r="L35" i="2"/>
  <c r="M35" i="2" s="1"/>
  <c r="P35" i="2"/>
  <c r="N35" i="2"/>
  <c r="B37" i="2"/>
  <c r="C36" i="2"/>
  <c r="D36" i="2" s="1"/>
  <c r="E36" i="2"/>
  <c r="G36" i="2"/>
  <c r="F35" i="2"/>
  <c r="H35" i="2" s="1"/>
  <c r="O35" i="2" l="1"/>
  <c r="Q35" i="2" s="1"/>
  <c r="K37" i="2"/>
  <c r="L36" i="2"/>
  <c r="M36" i="2" s="1"/>
  <c r="P36" i="2"/>
  <c r="N36" i="2"/>
  <c r="F36" i="2"/>
  <c r="H36" i="2" s="1"/>
  <c r="B38" i="2"/>
  <c r="G37" i="2"/>
  <c r="C37" i="2"/>
  <c r="D37" i="2" s="1"/>
  <c r="E37" i="2"/>
  <c r="O36" i="2" l="1"/>
  <c r="Q36" i="2" s="1"/>
  <c r="K38" i="2"/>
  <c r="L37" i="2"/>
  <c r="M37" i="2" s="1"/>
  <c r="N37" i="2"/>
  <c r="P37" i="2"/>
  <c r="F37" i="2"/>
  <c r="H37" i="2" s="1"/>
  <c r="B39" i="2"/>
  <c r="C38" i="2"/>
  <c r="D38" i="2" s="1"/>
  <c r="E38" i="2"/>
  <c r="G38" i="2"/>
  <c r="O37" i="2" l="1"/>
  <c r="Q37" i="2" s="1"/>
  <c r="K39" i="2"/>
  <c r="L38" i="2"/>
  <c r="M38" i="2" s="1"/>
  <c r="P38" i="2"/>
  <c r="N38" i="2"/>
  <c r="B40" i="2"/>
  <c r="C39" i="2"/>
  <c r="D39" i="2" s="1"/>
  <c r="E39" i="2"/>
  <c r="G39" i="2"/>
  <c r="F38" i="2"/>
  <c r="H38" i="2" s="1"/>
  <c r="O38" i="2" l="1"/>
  <c r="Q38" i="2" s="1"/>
  <c r="K40" i="2"/>
  <c r="N39" i="2"/>
  <c r="L39" i="2"/>
  <c r="M39" i="2" s="1"/>
  <c r="P39" i="2"/>
  <c r="B41" i="2"/>
  <c r="G40" i="2"/>
  <c r="C40" i="2"/>
  <c r="D40" i="2" s="1"/>
  <c r="E40" i="2"/>
  <c r="F39" i="2"/>
  <c r="H39" i="2" s="1"/>
  <c r="O39" i="2" l="1"/>
  <c r="Q39" i="2" s="1"/>
  <c r="K41" i="2"/>
  <c r="P40" i="2"/>
  <c r="N40" i="2"/>
  <c r="L40" i="2"/>
  <c r="M40" i="2" s="1"/>
  <c r="F40" i="2"/>
  <c r="H40" i="2" s="1"/>
  <c r="B42" i="2"/>
  <c r="G41" i="2"/>
  <c r="C41" i="2"/>
  <c r="D41" i="2" s="1"/>
  <c r="E41" i="2"/>
  <c r="O40" i="2" l="1"/>
  <c r="Q40" i="2" s="1"/>
  <c r="L41" i="2"/>
  <c r="M41" i="2" s="1"/>
  <c r="N41" i="2"/>
  <c r="P41" i="2"/>
  <c r="K42" i="2"/>
  <c r="F41" i="2"/>
  <c r="H41" i="2" s="1"/>
  <c r="B43" i="2"/>
  <c r="G42" i="2"/>
  <c r="C42" i="2"/>
  <c r="D42" i="2" s="1"/>
  <c r="E42" i="2"/>
  <c r="O41" i="2" l="1"/>
  <c r="Q41" i="2" s="1"/>
  <c r="P42" i="2"/>
  <c r="K43" i="2"/>
  <c r="N42" i="2"/>
  <c r="L42" i="2"/>
  <c r="M42" i="2" s="1"/>
  <c r="F42" i="2"/>
  <c r="H42" i="2" s="1"/>
  <c r="B44" i="2"/>
  <c r="G43" i="2"/>
  <c r="C43" i="2"/>
  <c r="D43" i="2" s="1"/>
  <c r="E43" i="2"/>
  <c r="O42" i="2" l="1"/>
  <c r="Q42" i="2" s="1"/>
  <c r="P43" i="2"/>
  <c r="K44" i="2"/>
  <c r="L43" i="2"/>
  <c r="M43" i="2" s="1"/>
  <c r="N43" i="2"/>
  <c r="O43" i="2" s="1"/>
  <c r="F43" i="2"/>
  <c r="H43" i="2" s="1"/>
  <c r="B45" i="2"/>
  <c r="G44" i="2"/>
  <c r="C44" i="2"/>
  <c r="D44" i="2" s="1"/>
  <c r="E44" i="2"/>
  <c r="Q43" i="2" l="1"/>
  <c r="K45" i="2"/>
  <c r="L44" i="2"/>
  <c r="M44" i="2" s="1"/>
  <c r="P44" i="2"/>
  <c r="N44" i="2"/>
  <c r="F44" i="2"/>
  <c r="H44" i="2" s="1"/>
  <c r="B46" i="2"/>
  <c r="G45" i="2"/>
  <c r="C45" i="2"/>
  <c r="D45" i="2" s="1"/>
  <c r="E45" i="2"/>
  <c r="O44" i="2" l="1"/>
  <c r="Q44" i="2" s="1"/>
  <c r="P45" i="2"/>
  <c r="K46" i="2"/>
  <c r="L45" i="2"/>
  <c r="M45" i="2" s="1"/>
  <c r="N45" i="2"/>
  <c r="F45" i="2"/>
  <c r="H45" i="2" s="1"/>
  <c r="B47" i="2"/>
  <c r="G46" i="2"/>
  <c r="C46" i="2"/>
  <c r="D46" i="2" s="1"/>
  <c r="E46" i="2"/>
  <c r="O45" i="2" l="1"/>
  <c r="Q45" i="2" s="1"/>
  <c r="L46" i="2"/>
  <c r="M46" i="2" s="1"/>
  <c r="N46" i="2"/>
  <c r="P46" i="2"/>
  <c r="K47" i="2"/>
  <c r="F46" i="2"/>
  <c r="H46" i="2" s="1"/>
  <c r="B48" i="2"/>
  <c r="G47" i="2"/>
  <c r="C47" i="2"/>
  <c r="D47" i="2" s="1"/>
  <c r="E47" i="2"/>
  <c r="O46" i="2" l="1"/>
  <c r="Q46" i="2" s="1"/>
  <c r="L47" i="2"/>
  <c r="M47" i="2" s="1"/>
  <c r="N47" i="2"/>
  <c r="P47" i="2"/>
  <c r="K48" i="2"/>
  <c r="F47" i="2"/>
  <c r="H47" i="2" s="1"/>
  <c r="B49" i="2"/>
  <c r="G48" i="2"/>
  <c r="C48" i="2"/>
  <c r="D48" i="2" s="1"/>
  <c r="E48" i="2"/>
  <c r="O47" i="2" l="1"/>
  <c r="Q47" i="2" s="1"/>
  <c r="L48" i="2"/>
  <c r="M48" i="2" s="1"/>
  <c r="N48" i="2"/>
  <c r="P48" i="2"/>
  <c r="K49" i="2"/>
  <c r="F48" i="2"/>
  <c r="H48" i="2" s="1"/>
  <c r="B50" i="2"/>
  <c r="G49" i="2"/>
  <c r="C49" i="2"/>
  <c r="D49" i="2" s="1"/>
  <c r="E49" i="2"/>
  <c r="O48" i="2" l="1"/>
  <c r="Q48" i="2" s="1"/>
  <c r="K50" i="2"/>
  <c r="N49" i="2"/>
  <c r="P49" i="2"/>
  <c r="L49" i="2"/>
  <c r="M49" i="2" s="1"/>
  <c r="F49" i="2"/>
  <c r="H49" i="2" s="1"/>
  <c r="B51" i="2"/>
  <c r="G50" i="2"/>
  <c r="C50" i="2"/>
  <c r="D50" i="2" s="1"/>
  <c r="E50" i="2"/>
  <c r="O49" i="2" l="1"/>
  <c r="Q49" i="2" s="1"/>
  <c r="K51" i="2"/>
  <c r="P50" i="2"/>
  <c r="L50" i="2"/>
  <c r="M50" i="2" s="1"/>
  <c r="N50" i="2"/>
  <c r="F50" i="2"/>
  <c r="H50" i="2" s="1"/>
  <c r="B52" i="2"/>
  <c r="G51" i="2"/>
  <c r="C51" i="2"/>
  <c r="D51" i="2" s="1"/>
  <c r="E51" i="2"/>
  <c r="O50" i="2" l="1"/>
  <c r="Q50" i="2"/>
  <c r="K52" i="2"/>
  <c r="P51" i="2"/>
  <c r="L51" i="2"/>
  <c r="M51" i="2" s="1"/>
  <c r="N51" i="2"/>
  <c r="F51" i="2"/>
  <c r="H51" i="2" s="1"/>
  <c r="B53" i="2"/>
  <c r="G52" i="2"/>
  <c r="C52" i="2"/>
  <c r="D52" i="2" s="1"/>
  <c r="E52" i="2"/>
  <c r="O51" i="2" l="1"/>
  <c r="Q51" i="2"/>
  <c r="K53" i="2"/>
  <c r="P52" i="2"/>
  <c r="L52" i="2"/>
  <c r="M52" i="2" s="1"/>
  <c r="N52" i="2"/>
  <c r="F52" i="2"/>
  <c r="H52" i="2" s="1"/>
  <c r="C53" i="2"/>
  <c r="D53" i="2" s="1"/>
  <c r="E53" i="2"/>
  <c r="G53" i="2"/>
  <c r="O52" i="2" l="1"/>
  <c r="Q52" i="2"/>
  <c r="L53" i="2"/>
  <c r="M53" i="2" s="1"/>
  <c r="N53" i="2"/>
  <c r="P53" i="2"/>
  <c r="F53" i="2"/>
  <c r="H53" i="2" s="1"/>
  <c r="O53" i="2" l="1"/>
  <c r="Q53" i="2" s="1"/>
</calcChain>
</file>

<file path=xl/comments1.xml><?xml version="1.0" encoding="utf-8"?>
<comments xmlns="http://schemas.openxmlformats.org/spreadsheetml/2006/main">
  <authors>
    <author>Oleg Mubarakshin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</commentList>
</comments>
</file>

<file path=xl/comments2.xml><?xml version="1.0" encoding="utf-8"?>
<comments xmlns="http://schemas.openxmlformats.org/spreadsheetml/2006/main">
  <authors>
    <author>Oleg Mubarakshin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Client Outcome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Options Outcome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Total Outcome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Oleg Mubarakshin:</t>
        </r>
        <r>
          <rPr>
            <sz val="9"/>
            <color indexed="81"/>
            <rFont val="Tahoma"/>
            <charset val="1"/>
          </rPr>
          <t xml:space="preserve">
For example
The client wants 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</commentList>
</comments>
</file>

<file path=xl/comments3.xml><?xml version="1.0" encoding="utf-8"?>
<comments xmlns="http://schemas.openxmlformats.org/spreadsheetml/2006/main">
  <authors>
    <author>Oleg Mubarakshin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Client Outcome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Options Outcome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Total Outcome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  <comment ref="B36" authorId="0" shapeId="0">
      <text>
        <r>
          <rPr>
            <b/>
            <sz val="9"/>
            <color indexed="81"/>
            <rFont val="Tahoma"/>
            <charset val="1"/>
          </rPr>
          <t>Oleg Mubarakshin:</t>
        </r>
        <r>
          <rPr>
            <sz val="9"/>
            <color indexed="81"/>
            <rFont val="Tahoma"/>
            <charset val="1"/>
          </rPr>
          <t xml:space="preserve">
For example
The client wants 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Recommended values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values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value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Oleg Mubarakshin:</t>
        </r>
        <r>
          <rPr>
            <sz val="9"/>
            <color indexed="81"/>
            <rFont val="Tahoma"/>
            <family val="2"/>
          </rPr>
          <t xml:space="preserve">
Simulated outcome</t>
        </r>
      </text>
    </comment>
  </commentList>
</comments>
</file>

<file path=xl/sharedStrings.xml><?xml version="1.0" encoding="utf-8"?>
<sst xmlns="http://schemas.openxmlformats.org/spreadsheetml/2006/main" count="275" uniqueCount="75">
  <si>
    <t>Reduction</t>
  </si>
  <si>
    <t>Strike</t>
  </si>
  <si>
    <t>Low Level</t>
  </si>
  <si>
    <t>Long</t>
  </si>
  <si>
    <t>Short</t>
  </si>
  <si>
    <t>High Level</t>
  </si>
  <si>
    <t>Put Spread</t>
  </si>
  <si>
    <t>Call Spread</t>
  </si>
  <si>
    <t>Size
(not base)</t>
  </si>
  <si>
    <t>Spot</t>
  </si>
  <si>
    <t>Client</t>
  </si>
  <si>
    <t>Rate at expiry</t>
  </si>
  <si>
    <t>Step</t>
  </si>
  <si>
    <t>Size at expiry</t>
  </si>
  <si>
    <t>Desk</t>
  </si>
  <si>
    <t>Option</t>
  </si>
  <si>
    <t>Total</t>
  </si>
  <si>
    <t>P&amp;L</t>
  </si>
  <si>
    <t>Slippage, bps</t>
  </si>
  <si>
    <t>CALL</t>
  </si>
  <si>
    <t>PUT</t>
  </si>
  <si>
    <t>Notional in Quote CCY  &amp;  Options in Quote CCY</t>
  </si>
  <si>
    <t>Notional in Quote CCY  &amp;  Options in Base CCY</t>
  </si>
  <si>
    <t>Hedge P&amp;L, Base CCY</t>
  </si>
  <si>
    <t>Call (sim)</t>
  </si>
  <si>
    <t>Strike (sim)</t>
  </si>
  <si>
    <t>Settlement Rate (sim)</t>
  </si>
  <si>
    <t>Size
quote (not base) CCY</t>
  </si>
  <si>
    <t>Put (sim)</t>
  </si>
  <si>
    <t>Barrier</t>
  </si>
  <si>
    <t>Call Spread Forward Extra</t>
  </si>
  <si>
    <t>Buy CALL</t>
  </si>
  <si>
    <t>Sell CALL</t>
  </si>
  <si>
    <t>Sell KI PUT</t>
  </si>
  <si>
    <t>Quantity</t>
  </si>
  <si>
    <t>Transaction</t>
  </si>
  <si>
    <t>Strike/Barrier</t>
  </si>
  <si>
    <t>Sell PUT</t>
  </si>
  <si>
    <t>Buy PUT</t>
  </si>
  <si>
    <t>Sell KI CALL</t>
  </si>
  <si>
    <t>Ratio</t>
  </si>
  <si>
    <t>Spot Ref</t>
  </si>
  <si>
    <t>Notional, Base CCY</t>
  </si>
  <si>
    <t>Notional, Quote CCY</t>
  </si>
  <si>
    <t>Strike/Barrier (sim)</t>
  </si>
  <si>
    <t>Notional, Base (sim)</t>
  </si>
  <si>
    <t>Touched</t>
  </si>
  <si>
    <t>Untouched</t>
  </si>
  <si>
    <t>Outcome, Base CCY</t>
  </si>
  <si>
    <t xml:space="preserve"> X &gt; barrier</t>
  </si>
  <si>
    <t>Untouch</t>
  </si>
  <si>
    <t>Touch</t>
  </si>
  <si>
    <t>X &gt; Strike</t>
  </si>
  <si>
    <t>X&lt;Reduction</t>
  </si>
  <si>
    <t>X&lt;=strike</t>
  </si>
  <si>
    <t>X &gt;= reduction</t>
  </si>
  <si>
    <t>Notional in Base CCY  &amp;  Options in Quote CCY</t>
  </si>
  <si>
    <t>Put Spread Ratio Forward Extra</t>
  </si>
  <si>
    <t>Notional</t>
  </si>
  <si>
    <t>Base CCY</t>
  </si>
  <si>
    <t>Quote CCY</t>
  </si>
  <si>
    <t>Barrier Event</t>
  </si>
  <si>
    <t>Hedging Options</t>
  </si>
  <si>
    <t>Base/Base</t>
  </si>
  <si>
    <t>Quote/Base</t>
  </si>
  <si>
    <t>Quote/Quote</t>
  </si>
  <si>
    <t>Buy Put</t>
  </si>
  <si>
    <t>Sell Knockin CALL</t>
  </si>
  <si>
    <t>Base/Quote</t>
  </si>
  <si>
    <t>Buy Call</t>
  </si>
  <si>
    <t>Sell Knockin PUT</t>
  </si>
  <si>
    <t>Base/Base Quote/Base</t>
  </si>
  <si>
    <t>Base/Quote Quote/Quote</t>
  </si>
  <si>
    <t>Improvement, bps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</si>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</sst>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"/>
    <numFmt numFmtId="165" formatCode="#,##0.0"/>
    <numFmt numFmtId="166" formatCode="#,##0.0000"/>
    <numFmt numFmtId="167" formatCode="0.00000"/>
    <numFmt numFmtId="168" formatCode="#,##0.00000"/>
    <numFmt numFmtId="169" formatCode="#,##0.00_ ;\-#,##0.00\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4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/>
    <xf numFmtId="3" fontId="1" fillId="5" borderId="1" xfId="0" applyNumberFormat="1" applyFont="1" applyFill="1" applyBorder="1"/>
    <xf numFmtId="3" fontId="2" fillId="2" borderId="1" xfId="0" applyNumberFormat="1" applyFont="1" applyFill="1" applyBorder="1"/>
    <xf numFmtId="3" fontId="3" fillId="3" borderId="1" xfId="0" applyNumberFormat="1" applyFont="1" applyFill="1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2" fillId="2" borderId="3" xfId="0" applyFont="1" applyFill="1" applyBorder="1" applyAlignment="1"/>
    <xf numFmtId="0" fontId="7" fillId="0" borderId="0" xfId="0" applyFont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7" fontId="7" fillId="0" borderId="4" xfId="0" applyNumberFormat="1" applyFont="1" applyFill="1" applyBorder="1" applyAlignment="1">
      <alignment vertical="center"/>
    </xf>
    <xf numFmtId="167" fontId="7" fillId="0" borderId="4" xfId="0" applyNumberFormat="1" applyFont="1" applyBorder="1" applyAlignment="1">
      <alignment vertical="center"/>
    </xf>
    <xf numFmtId="168" fontId="9" fillId="2" borderId="4" xfId="0" applyNumberFormat="1" applyFont="1" applyFill="1" applyBorder="1" applyAlignment="1">
      <alignment vertical="center"/>
    </xf>
    <xf numFmtId="168" fontId="7" fillId="3" borderId="4" xfId="0" applyNumberFormat="1" applyFont="1" applyFill="1" applyBorder="1" applyAlignment="1">
      <alignment vertical="center"/>
    </xf>
    <xf numFmtId="3" fontId="9" fillId="2" borderId="4" xfId="0" applyNumberFormat="1" applyFont="1" applyFill="1" applyBorder="1" applyAlignment="1">
      <alignment vertical="center"/>
    </xf>
    <xf numFmtId="3" fontId="7" fillId="3" borderId="4" xfId="1" applyNumberFormat="1" applyFont="1" applyFill="1" applyBorder="1" applyAlignment="1">
      <alignment vertical="center"/>
    </xf>
    <xf numFmtId="168" fontId="9" fillId="0" borderId="4" xfId="0" applyNumberFormat="1" applyFont="1" applyFill="1" applyBorder="1" applyAlignment="1">
      <alignment vertical="center"/>
    </xf>
    <xf numFmtId="168" fontId="7" fillId="0" borderId="4" xfId="0" applyNumberFormat="1" applyFont="1" applyBorder="1" applyAlignment="1">
      <alignment vertical="center"/>
    </xf>
    <xf numFmtId="3" fontId="9" fillId="0" borderId="4" xfId="0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165" fontId="9" fillId="0" borderId="11" xfId="0" applyNumberFormat="1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168" fontId="9" fillId="2" borderId="11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horizontal="left" vertical="center"/>
    </xf>
    <xf numFmtId="3" fontId="9" fillId="2" borderId="11" xfId="0" applyNumberFormat="1" applyFont="1" applyFill="1" applyBorder="1" applyAlignment="1">
      <alignment vertical="center"/>
    </xf>
    <xf numFmtId="168" fontId="9" fillId="0" borderId="11" xfId="0" applyNumberFormat="1" applyFont="1" applyFill="1" applyBorder="1" applyAlignment="1">
      <alignment vertical="center"/>
    </xf>
    <xf numFmtId="3" fontId="9" fillId="0" borderId="11" xfId="0" applyNumberFormat="1" applyFont="1" applyFill="1" applyBorder="1" applyAlignment="1">
      <alignment vertical="center"/>
    </xf>
    <xf numFmtId="166" fontId="9" fillId="0" borderId="11" xfId="0" applyNumberFormat="1" applyFont="1" applyFill="1" applyBorder="1" applyAlignment="1">
      <alignment vertical="center"/>
    </xf>
    <xf numFmtId="4" fontId="9" fillId="2" borderId="14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165" fontId="9" fillId="0" borderId="10" xfId="0" applyNumberFormat="1" applyFont="1" applyFill="1" applyBorder="1" applyAlignment="1">
      <alignment vertical="center"/>
    </xf>
    <xf numFmtId="168" fontId="7" fillId="3" borderId="10" xfId="0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3" fontId="7" fillId="3" borderId="10" xfId="1" applyNumberFormat="1" applyFont="1" applyFill="1" applyBorder="1" applyAlignment="1">
      <alignment vertical="center"/>
    </xf>
    <xf numFmtId="0" fontId="11" fillId="3" borderId="11" xfId="0" applyFont="1" applyFill="1" applyBorder="1" applyAlignment="1">
      <alignment horizontal="right" vertical="center"/>
    </xf>
    <xf numFmtId="168" fontId="7" fillId="0" borderId="10" xfId="0" applyNumberFormat="1" applyFont="1" applyBorder="1" applyAlignment="1">
      <alignment vertical="center"/>
    </xf>
    <xf numFmtId="3" fontId="7" fillId="0" borderId="10" xfId="0" applyNumberFormat="1" applyFont="1" applyBorder="1" applyAlignment="1">
      <alignment vertical="center"/>
    </xf>
    <xf numFmtId="166" fontId="7" fillId="0" borderId="10" xfId="0" applyNumberFormat="1" applyFont="1" applyBorder="1" applyAlignment="1">
      <alignment vertical="center"/>
    </xf>
    <xf numFmtId="4" fontId="7" fillId="3" borderId="12" xfId="0" applyNumberFormat="1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7" fontId="7" fillId="0" borderId="10" xfId="0" applyNumberFormat="1" applyFont="1" applyFill="1" applyBorder="1" applyAlignment="1">
      <alignment vertical="center"/>
    </xf>
    <xf numFmtId="167" fontId="7" fillId="0" borderId="11" xfId="0" applyNumberFormat="1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7" fontId="7" fillId="0" borderId="10" xfId="0" applyNumberFormat="1" applyFont="1" applyBorder="1" applyAlignment="1">
      <alignment vertical="center"/>
    </xf>
    <xf numFmtId="167" fontId="7" fillId="0" borderId="11" xfId="0" applyNumberFormat="1" applyFont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4" fontId="7" fillId="0" borderId="19" xfId="0" applyNumberFormat="1" applyFont="1" applyBorder="1" applyAlignment="1">
      <alignment horizontal="center" vertical="center"/>
    </xf>
    <xf numFmtId="0" fontId="7" fillId="6" borderId="2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/>
    </xf>
    <xf numFmtId="3" fontId="9" fillId="2" borderId="14" xfId="0" applyNumberFormat="1" applyFont="1" applyFill="1" applyBorder="1" applyAlignment="1">
      <alignment vertical="center"/>
    </xf>
    <xf numFmtId="0" fontId="7" fillId="6" borderId="1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165" fontId="9" fillId="0" borderId="4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166" fontId="9" fillId="0" borderId="4" xfId="0" applyNumberFormat="1" applyFont="1" applyFill="1" applyBorder="1" applyAlignment="1">
      <alignment vertical="center"/>
    </xf>
    <xf numFmtId="168" fontId="12" fillId="2" borderId="4" xfId="0" applyNumberFormat="1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167" fontId="7" fillId="0" borderId="24" xfId="0" applyNumberFormat="1" applyFont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right" vertical="center"/>
    </xf>
    <xf numFmtId="166" fontId="7" fillId="0" borderId="4" xfId="0" applyNumberFormat="1" applyFont="1" applyBorder="1" applyAlignment="1">
      <alignment vertical="center"/>
    </xf>
    <xf numFmtId="4" fontId="7" fillId="3" borderId="4" xfId="0" applyNumberFormat="1" applyFont="1" applyFill="1" applyBorder="1" applyAlignment="1">
      <alignment vertical="center"/>
    </xf>
    <xf numFmtId="0" fontId="7" fillId="3" borderId="24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9" fontId="7" fillId="0" borderId="20" xfId="0" applyNumberFormat="1" applyFont="1" applyFill="1" applyBorder="1" applyAlignment="1">
      <alignment horizontal="center" vertical="center" wrapText="1"/>
    </xf>
    <xf numFmtId="165" fontId="9" fillId="0" borderId="25" xfId="0" applyNumberFormat="1" applyFont="1" applyFill="1" applyBorder="1" applyAlignment="1">
      <alignment vertical="center"/>
    </xf>
    <xf numFmtId="168" fontId="9" fillId="2" borderId="25" xfId="0" applyNumberFormat="1" applyFont="1" applyFill="1" applyBorder="1" applyAlignment="1">
      <alignment vertical="center"/>
    </xf>
    <xf numFmtId="165" fontId="9" fillId="0" borderId="24" xfId="0" applyNumberFormat="1" applyFont="1" applyFill="1" applyBorder="1" applyAlignment="1">
      <alignment vertical="center"/>
    </xf>
    <xf numFmtId="168" fontId="7" fillId="3" borderId="24" xfId="0" applyNumberFormat="1" applyFont="1" applyFill="1" applyBorder="1" applyAlignment="1">
      <alignment vertical="center"/>
    </xf>
    <xf numFmtId="4" fontId="7" fillId="0" borderId="20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8" fontId="12" fillId="2" borderId="11" xfId="0" applyNumberFormat="1" applyFont="1" applyFill="1" applyBorder="1" applyAlignment="1">
      <alignment horizontal="center" vertical="center"/>
    </xf>
    <xf numFmtId="4" fontId="9" fillId="2" borderId="13" xfId="0" applyNumberFormat="1" applyFont="1" applyFill="1" applyBorder="1" applyAlignment="1">
      <alignment vertical="center"/>
    </xf>
    <xf numFmtId="168" fontId="12" fillId="2" borderId="25" xfId="0" applyNumberFormat="1" applyFont="1" applyFill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vertical="center" wrapText="1"/>
    </xf>
    <xf numFmtId="167" fontId="7" fillId="6" borderId="19" xfId="0" applyNumberFormat="1" applyFont="1" applyFill="1" applyBorder="1" applyAlignment="1">
      <alignment horizontal="center" vertical="center" wrapText="1"/>
    </xf>
    <xf numFmtId="166" fontId="9" fillId="0" borderId="11" xfId="0" applyNumberFormat="1" applyFont="1" applyFill="1" applyBorder="1" applyAlignment="1">
      <alignment horizontal="right" vertical="center"/>
    </xf>
    <xf numFmtId="0" fontId="9" fillId="2" borderId="12" xfId="0" applyFont="1" applyFill="1" applyBorder="1" applyAlignment="1">
      <alignment vertical="center"/>
    </xf>
    <xf numFmtId="169" fontId="9" fillId="2" borderId="13" xfId="1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2" fontId="7" fillId="0" borderId="6" xfId="0" applyNumberFormat="1" applyFont="1" applyBorder="1" applyAlignment="1">
      <alignment vertical="center"/>
    </xf>
    <xf numFmtId="0" fontId="9" fillId="3" borderId="4" xfId="0" applyFont="1" applyFill="1" applyBorder="1" applyAlignment="1">
      <alignment horizontal="right" vertical="center"/>
    </xf>
    <xf numFmtId="0" fontId="9" fillId="3" borderId="11" xfId="0" applyFont="1" applyFill="1" applyBorder="1" applyAlignment="1">
      <alignment horizontal="right" vertical="center"/>
    </xf>
    <xf numFmtId="0" fontId="9" fillId="3" borderId="13" xfId="0" applyFont="1" applyFill="1" applyBorder="1" applyAlignment="1">
      <alignment horizontal="right" vertical="center"/>
    </xf>
    <xf numFmtId="0" fontId="9" fillId="3" borderId="14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7" fontId="7" fillId="2" borderId="13" xfId="0" applyNumberFormat="1" applyFont="1" applyFill="1" applyBorder="1" applyAlignment="1">
      <alignment horizontal="center" vertical="center"/>
    </xf>
    <xf numFmtId="167" fontId="7" fillId="2" borderId="14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2" fontId="7" fillId="0" borderId="28" xfId="0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9" fillId="2" borderId="29" xfId="0" applyFont="1" applyFill="1" applyBorder="1" applyAlignment="1">
      <alignment vertical="center"/>
    </xf>
    <xf numFmtId="169" fontId="9" fillId="2" borderId="30" xfId="1" applyNumberFormat="1" applyFont="1" applyFill="1" applyBorder="1" applyAlignment="1">
      <alignment vertical="center"/>
    </xf>
    <xf numFmtId="4" fontId="9" fillId="2" borderId="30" xfId="0" applyNumberFormat="1" applyFont="1" applyFill="1" applyBorder="1" applyAlignment="1">
      <alignment vertical="center"/>
    </xf>
    <xf numFmtId="4" fontId="9" fillId="2" borderId="3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9" fontId="9" fillId="0" borderId="0" xfId="1" applyNumberFormat="1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5" fillId="0" borderId="0" xfId="0" applyFont="1"/>
    <xf numFmtId="4" fontId="7" fillId="0" borderId="0" xfId="0" applyNumberFormat="1" applyFont="1"/>
    <xf numFmtId="9" fontId="7" fillId="0" borderId="0" xfId="0" applyNumberFormat="1" applyFont="1"/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5" workbookViewId="0">
      <selection activeCell="C18" sqref="C18"/>
    </sheetView>
  </sheetViews>
  <sheetFormatPr defaultColWidth="18.7109375" defaultRowHeight="24.95" customHeight="1" x14ac:dyDescent="0.25"/>
  <cols>
    <col min="2" max="16384" width="18.7109375" style="18"/>
  </cols>
  <sheetData>
    <row r="1" spans="2:8" ht="24.95" customHeight="1" x14ac:dyDescent="0.25">
      <c r="B1" s="118" t="s">
        <v>6</v>
      </c>
      <c r="C1" s="119"/>
      <c r="D1" s="120"/>
      <c r="E1" s="121" t="s">
        <v>27</v>
      </c>
      <c r="F1" s="123" t="s">
        <v>7</v>
      </c>
      <c r="G1" s="124"/>
      <c r="H1" s="125"/>
    </row>
    <row r="2" spans="2:8" ht="24.95" customHeight="1" x14ac:dyDescent="0.25">
      <c r="B2" s="52" t="s">
        <v>2</v>
      </c>
      <c r="C2" s="19" t="s">
        <v>0</v>
      </c>
      <c r="D2" s="53" t="s">
        <v>1</v>
      </c>
      <c r="E2" s="122"/>
      <c r="F2" s="62" t="s">
        <v>1</v>
      </c>
      <c r="G2" s="20" t="s">
        <v>0</v>
      </c>
      <c r="H2" s="63" t="s">
        <v>5</v>
      </c>
    </row>
    <row r="3" spans="2:8" ht="24.95" customHeight="1" x14ac:dyDescent="0.25">
      <c r="B3" s="54">
        <v>1.1000000000000001</v>
      </c>
      <c r="C3" s="21">
        <v>1.22</v>
      </c>
      <c r="D3" s="55">
        <v>1.27</v>
      </c>
      <c r="E3" s="70">
        <v>120000</v>
      </c>
      <c r="F3" s="64">
        <v>1.29</v>
      </c>
      <c r="G3" s="22">
        <v>1.37</v>
      </c>
      <c r="H3" s="65">
        <v>1.5</v>
      </c>
    </row>
    <row r="4" spans="2:8" ht="24.95" customHeight="1" x14ac:dyDescent="0.25">
      <c r="B4" s="56"/>
      <c r="C4" s="57"/>
      <c r="D4" s="58"/>
      <c r="E4" s="71"/>
      <c r="F4" s="66"/>
      <c r="G4" s="67"/>
      <c r="H4" s="68"/>
    </row>
    <row r="5" spans="2:8" ht="24.95" customHeight="1" x14ac:dyDescent="0.25">
      <c r="B5" s="51"/>
      <c r="C5" s="51"/>
      <c r="D5" s="51"/>
      <c r="E5" s="69"/>
      <c r="F5" s="59"/>
      <c r="G5" s="60"/>
      <c r="H5" s="61"/>
    </row>
    <row r="6" spans="2:8" ht="24.95" customHeight="1" x14ac:dyDescent="0.25">
      <c r="B6" s="126" t="s">
        <v>22</v>
      </c>
      <c r="C6" s="127"/>
      <c r="D6" s="128"/>
      <c r="E6" s="41"/>
      <c r="F6" s="115" t="s">
        <v>22</v>
      </c>
      <c r="G6" s="116"/>
      <c r="H6" s="117"/>
    </row>
    <row r="7" spans="2:8" ht="24.95" customHeight="1" x14ac:dyDescent="0.25">
      <c r="B7" s="129" t="s">
        <v>18</v>
      </c>
      <c r="C7" s="130"/>
      <c r="D7" s="32">
        <v>10</v>
      </c>
      <c r="E7" s="41"/>
      <c r="F7" s="42">
        <v>10</v>
      </c>
      <c r="G7" s="111" t="s">
        <v>18</v>
      </c>
      <c r="H7" s="112"/>
    </row>
    <row r="8" spans="2:8" ht="24.95" customHeight="1" x14ac:dyDescent="0.25">
      <c r="B8" s="33" t="s">
        <v>1</v>
      </c>
      <c r="C8" s="23">
        <f>C3</f>
        <v>1.22</v>
      </c>
      <c r="D8" s="34">
        <f>D3+D7/10000</f>
        <v>1.2709999999999999</v>
      </c>
      <c r="E8" s="41"/>
      <c r="F8" s="43">
        <f>F3-F7/10000</f>
        <v>1.2890000000000001</v>
      </c>
      <c r="G8" s="24">
        <f>G3</f>
        <v>1.37</v>
      </c>
      <c r="H8" s="44" t="s">
        <v>1</v>
      </c>
    </row>
    <row r="9" spans="2:8" ht="24.95" customHeight="1" x14ac:dyDescent="0.25">
      <c r="B9" s="35" t="s">
        <v>20</v>
      </c>
      <c r="C9" s="25">
        <f>-D9*B3/(D3-C3+B3)</f>
        <v>-90308.897478876621</v>
      </c>
      <c r="D9" s="36">
        <f>E3/D8</f>
        <v>94413.847364280096</v>
      </c>
      <c r="E9" s="41"/>
      <c r="F9" s="45">
        <f>E3/F3</f>
        <v>93023.255813953481</v>
      </c>
      <c r="G9" s="26">
        <f>-F9*H3/(F3-G3+H3)</f>
        <v>-98264.002620373401</v>
      </c>
      <c r="H9" s="46" t="s">
        <v>19</v>
      </c>
    </row>
    <row r="10" spans="2:8" ht="24.95" customHeight="1" x14ac:dyDescent="0.25">
      <c r="B10" s="33" t="s">
        <v>25</v>
      </c>
      <c r="C10" s="27">
        <f>C8</f>
        <v>1.22</v>
      </c>
      <c r="D10" s="37">
        <f>D8</f>
        <v>1.2709999999999999</v>
      </c>
      <c r="E10" s="41"/>
      <c r="F10" s="47">
        <f>F8</f>
        <v>1.2890000000000001</v>
      </c>
      <c r="G10" s="28">
        <f>G8</f>
        <v>1.37</v>
      </c>
      <c r="H10" s="44" t="s">
        <v>25</v>
      </c>
    </row>
    <row r="11" spans="2:8" ht="24.95" customHeight="1" x14ac:dyDescent="0.25">
      <c r="B11" s="33" t="s">
        <v>28</v>
      </c>
      <c r="C11" s="29">
        <v>-90447</v>
      </c>
      <c r="D11" s="38">
        <v>94414</v>
      </c>
      <c r="E11" s="41"/>
      <c r="F11" s="48">
        <f>F9</f>
        <v>93023.255813953481</v>
      </c>
      <c r="G11" s="30">
        <f>G9</f>
        <v>-98264.002620373401</v>
      </c>
      <c r="H11" s="44" t="s">
        <v>24</v>
      </c>
    </row>
    <row r="12" spans="2:8" ht="24.95" customHeight="1" x14ac:dyDescent="0.25">
      <c r="B12" s="129" t="s">
        <v>26</v>
      </c>
      <c r="C12" s="130"/>
      <c r="D12" s="39">
        <v>1.1399999999999999</v>
      </c>
      <c r="E12" s="41"/>
      <c r="F12" s="49">
        <v>1.5</v>
      </c>
      <c r="G12" s="111" t="s">
        <v>26</v>
      </c>
      <c r="H12" s="112"/>
    </row>
    <row r="13" spans="2:8" ht="24.95" customHeight="1" x14ac:dyDescent="0.25">
      <c r="B13" s="131" t="s">
        <v>23</v>
      </c>
      <c r="C13" s="132"/>
      <c r="D13" s="40">
        <f>((D10-D12)*D11+(C10-D12)*C11-E3*(D3-C3)/(D12+D3-C3))/D12</f>
        <v>79.348415155526823</v>
      </c>
      <c r="E13" s="41"/>
      <c r="F13" s="50">
        <f>((F12-F10)*F11+(F12-G10)*G11-E3*(G3-F3)/(F12+F3-G3))/F12</f>
        <v>62.015503875962771</v>
      </c>
      <c r="G13" s="113" t="s">
        <v>23</v>
      </c>
      <c r="H13" s="114"/>
    </row>
    <row r="14" spans="2:8" ht="24.95" customHeight="1" x14ac:dyDescent="0.25">
      <c r="B14" s="51"/>
      <c r="C14" s="51"/>
      <c r="D14" s="51"/>
      <c r="E14" s="31"/>
      <c r="F14" s="59"/>
      <c r="G14" s="60"/>
      <c r="H14" s="61"/>
    </row>
    <row r="15" spans="2:8" ht="24.95" customHeight="1" x14ac:dyDescent="0.25">
      <c r="B15" s="126" t="s">
        <v>21</v>
      </c>
      <c r="C15" s="127"/>
      <c r="D15" s="128"/>
      <c r="E15" s="41"/>
      <c r="F15" s="115" t="s">
        <v>21</v>
      </c>
      <c r="G15" s="116"/>
      <c r="H15" s="117"/>
    </row>
    <row r="16" spans="2:8" ht="24.95" customHeight="1" x14ac:dyDescent="0.25">
      <c r="B16" s="129" t="s">
        <v>18</v>
      </c>
      <c r="C16" s="130"/>
      <c r="D16" s="32">
        <v>10</v>
      </c>
      <c r="E16" s="41"/>
      <c r="F16" s="42">
        <v>10</v>
      </c>
      <c r="G16" s="111" t="s">
        <v>18</v>
      </c>
      <c r="H16" s="112"/>
    </row>
    <row r="17" spans="2:8" ht="24.95" customHeight="1" x14ac:dyDescent="0.25">
      <c r="B17" s="33" t="s">
        <v>1</v>
      </c>
      <c r="C17" s="23">
        <f>1/C3</f>
        <v>0.81967213114754101</v>
      </c>
      <c r="D17" s="34">
        <f>1/D3-D16/10000</f>
        <v>0.78640157480314954</v>
      </c>
      <c r="E17" s="41"/>
      <c r="F17" s="43">
        <f>1/F3+F16/10000</f>
        <v>0.77619379844961234</v>
      </c>
      <c r="G17" s="24">
        <f>1/G3</f>
        <v>0.72992700729927007</v>
      </c>
      <c r="H17" s="44" t="s">
        <v>1</v>
      </c>
    </row>
    <row r="18" spans="2:8" ht="24.95" customHeight="1" x14ac:dyDescent="0.25">
      <c r="B18" s="72" t="s">
        <v>19</v>
      </c>
      <c r="C18" s="25">
        <f>-D18*C3/D3*B3/(D3-C3+B3)</f>
        <v>-110263.60835330366</v>
      </c>
      <c r="D18" s="36">
        <f>E3</f>
        <v>120000</v>
      </c>
      <c r="E18" s="41"/>
      <c r="F18" s="45">
        <f>E3</f>
        <v>120000</v>
      </c>
      <c r="G18" s="26">
        <f>-F18*G3/F3*H3/(F3-G3+H3)</f>
        <v>-134621.68358991155</v>
      </c>
      <c r="H18" s="46" t="s">
        <v>20</v>
      </c>
    </row>
    <row r="19" spans="2:8" ht="24.95" customHeight="1" x14ac:dyDescent="0.25">
      <c r="B19" s="33" t="s">
        <v>25</v>
      </c>
      <c r="C19" s="27">
        <f>C17</f>
        <v>0.81967213114754101</v>
      </c>
      <c r="D19" s="37">
        <f>D17</f>
        <v>0.78640157480314954</v>
      </c>
      <c r="E19" s="41"/>
      <c r="F19" s="47">
        <f>F17</f>
        <v>0.77619379844961234</v>
      </c>
      <c r="G19" s="28">
        <f>G17</f>
        <v>0.72992700729927007</v>
      </c>
      <c r="H19" s="44" t="s">
        <v>25</v>
      </c>
    </row>
    <row r="20" spans="2:8" ht="24.95" customHeight="1" x14ac:dyDescent="0.25">
      <c r="B20" s="33" t="s">
        <v>24</v>
      </c>
      <c r="C20" s="29">
        <v>-92000</v>
      </c>
      <c r="D20" s="38">
        <f>D18</f>
        <v>120000</v>
      </c>
      <c r="E20" s="41"/>
      <c r="F20" s="48">
        <f>F18</f>
        <v>120000</v>
      </c>
      <c r="G20" s="30">
        <v>-134622</v>
      </c>
      <c r="H20" s="44" t="s">
        <v>28</v>
      </c>
    </row>
    <row r="21" spans="2:8" ht="24.95" customHeight="1" x14ac:dyDescent="0.25">
      <c r="B21" s="129" t="s">
        <v>26</v>
      </c>
      <c r="C21" s="130"/>
      <c r="D21" s="39">
        <v>1.06</v>
      </c>
      <c r="E21" s="41"/>
      <c r="F21" s="49">
        <v>1.6</v>
      </c>
      <c r="G21" s="111" t="s">
        <v>26</v>
      </c>
      <c r="H21" s="112"/>
    </row>
    <row r="22" spans="2:8" ht="24.95" customHeight="1" x14ac:dyDescent="0.25">
      <c r="B22" s="131" t="s">
        <v>23</v>
      </c>
      <c r="C22" s="132"/>
      <c r="D22" s="73">
        <f>(1/D21-D19)*D20+(1/D21-C19)*C20-E3*(D3-C3)/(D21+D3-C3)/D21</f>
        <v>2357.3023671152505</v>
      </c>
      <c r="E22" s="41"/>
      <c r="F22" s="50">
        <f>(F19-1/F21)*F20+(G19-1/F21)*G20-E3/F21*(G3-F3)/(F21+F3-G3)</f>
        <v>70.403816258511142</v>
      </c>
      <c r="G22" s="113" t="s">
        <v>23</v>
      </c>
      <c r="H22" s="114"/>
    </row>
  </sheetData>
  <mergeCells count="19">
    <mergeCell ref="B12:C12"/>
    <mergeCell ref="B15:D15"/>
    <mergeCell ref="B16:C16"/>
    <mergeCell ref="B21:C21"/>
    <mergeCell ref="B22:C22"/>
    <mergeCell ref="B13:C13"/>
    <mergeCell ref="B1:D1"/>
    <mergeCell ref="E1:E2"/>
    <mergeCell ref="F1:H1"/>
    <mergeCell ref="B6:D6"/>
    <mergeCell ref="B7:C7"/>
    <mergeCell ref="F6:H6"/>
    <mergeCell ref="G7:H7"/>
    <mergeCell ref="G21:H21"/>
    <mergeCell ref="G22:H22"/>
    <mergeCell ref="G12:H12"/>
    <mergeCell ref="G13:H13"/>
    <mergeCell ref="F15:H15"/>
    <mergeCell ref="G16:H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2"/>
  <sheetViews>
    <sheetView workbookViewId="0">
      <selection activeCell="D4" sqref="D4"/>
    </sheetView>
  </sheetViews>
  <sheetFormatPr defaultColWidth="18.7109375" defaultRowHeight="24.95" customHeight="1" x14ac:dyDescent="0.25"/>
  <cols>
    <col min="1" max="1" width="5" customWidth="1"/>
  </cols>
  <sheetData>
    <row r="2" spans="2:13" ht="24.95" customHeight="1" x14ac:dyDescent="0.25">
      <c r="B2" s="118" t="s">
        <v>57</v>
      </c>
      <c r="C2" s="119"/>
      <c r="D2" s="119"/>
      <c r="E2" s="120"/>
      <c r="F2" s="121" t="s">
        <v>27</v>
      </c>
      <c r="G2" s="137" t="s">
        <v>30</v>
      </c>
      <c r="H2" s="138"/>
      <c r="I2" s="138"/>
      <c r="K2" t="s">
        <v>49</v>
      </c>
      <c r="L2">
        <f>-F4*F6*(1/D15-1/D4)</f>
        <v>18571.428571428551</v>
      </c>
      <c r="M2">
        <f>-(D13-D15)*E14/D15</f>
        <v>-18412.132024977698</v>
      </c>
    </row>
    <row r="3" spans="2:13" ht="24.95" customHeight="1" x14ac:dyDescent="0.25">
      <c r="B3" s="52" t="s">
        <v>2</v>
      </c>
      <c r="C3" s="19" t="s">
        <v>0</v>
      </c>
      <c r="D3" s="19" t="s">
        <v>1</v>
      </c>
      <c r="E3" s="53" t="s">
        <v>29</v>
      </c>
      <c r="F3" s="122"/>
      <c r="G3" s="84" t="s">
        <v>1</v>
      </c>
      <c r="H3" s="20" t="s">
        <v>0</v>
      </c>
      <c r="I3" s="20" t="s">
        <v>5</v>
      </c>
      <c r="K3" s="109" t="s">
        <v>50</v>
      </c>
      <c r="L3">
        <v>0</v>
      </c>
      <c r="M3">
        <v>0</v>
      </c>
    </row>
    <row r="4" spans="2:13" ht="24.95" customHeight="1" x14ac:dyDescent="0.25">
      <c r="B4" s="54">
        <v>1.05</v>
      </c>
      <c r="C4" s="21">
        <v>1.1200000000000001</v>
      </c>
      <c r="D4" s="21">
        <v>1.1200000000000001</v>
      </c>
      <c r="E4" s="55">
        <v>1.21</v>
      </c>
      <c r="F4" s="98">
        <v>100000</v>
      </c>
      <c r="G4" s="85">
        <v>1.29</v>
      </c>
      <c r="H4" s="22">
        <v>1.37</v>
      </c>
      <c r="I4" s="22">
        <v>1.5</v>
      </c>
      <c r="K4" t="s">
        <v>51</v>
      </c>
      <c r="L4">
        <f>-F4*F6*(1/D15-1/D4)</f>
        <v>18571.428571428551</v>
      </c>
      <c r="M4">
        <f>-(D13-D15)*E14/D15</f>
        <v>-18412.132024977698</v>
      </c>
    </row>
    <row r="5" spans="2:13" ht="24.95" customHeight="1" x14ac:dyDescent="0.25">
      <c r="B5" s="56"/>
      <c r="C5" s="148"/>
      <c r="D5" s="148"/>
      <c r="E5" s="149"/>
      <c r="F5" s="74" t="s">
        <v>40</v>
      </c>
      <c r="G5" s="91"/>
      <c r="H5" s="86"/>
      <c r="I5" s="86"/>
      <c r="K5" t="s">
        <v>52</v>
      </c>
      <c r="L5">
        <f>IF(D15&gt;=E4,-F4*F6*(1/D15-1/D4),IF(E15="Untouched",0,-F4*F6*(1/D15-1/D4)))</f>
        <v>18571.428571428551</v>
      </c>
      <c r="M5">
        <f>IF(D15&gt;=E13,-(D13-D15)*E14/D15,IF(E15="Untouched",0,-(D13-D15)*E14/D15))</f>
        <v>-18412.132024977698</v>
      </c>
    </row>
    <row r="6" spans="2:13" ht="24.95" customHeight="1" x14ac:dyDescent="0.25">
      <c r="B6" s="51"/>
      <c r="C6" s="51"/>
      <c r="D6" s="51"/>
      <c r="E6" s="59"/>
      <c r="F6" s="93">
        <v>2</v>
      </c>
      <c r="G6" s="92"/>
      <c r="H6" s="79"/>
      <c r="I6" s="79"/>
    </row>
    <row r="7" spans="2:13" ht="24.95" customHeight="1" x14ac:dyDescent="0.25">
      <c r="B7" s="139" t="s">
        <v>22</v>
      </c>
      <c r="C7" s="140"/>
      <c r="D7" s="140"/>
      <c r="E7" s="140"/>
      <c r="F7" s="74" t="s">
        <v>41</v>
      </c>
      <c r="G7" s="133" t="s">
        <v>22</v>
      </c>
      <c r="H7" s="134"/>
      <c r="I7" s="134"/>
      <c r="K7" t="s">
        <v>53</v>
      </c>
      <c r="L7">
        <f>-F4*(1/D15-1/(D15+D4-C4))</f>
        <v>0</v>
      </c>
      <c r="M7">
        <f>((D13-D15)*D14+(C13-D15)*C14)/D15</f>
        <v>71.364852809983134</v>
      </c>
    </row>
    <row r="8" spans="2:13" ht="24.95" customHeight="1" x14ac:dyDescent="0.25">
      <c r="B8" s="129" t="s">
        <v>18</v>
      </c>
      <c r="C8" s="130"/>
      <c r="D8" s="80">
        <v>10</v>
      </c>
      <c r="E8" s="94">
        <v>0</v>
      </c>
      <c r="F8" s="105">
        <f>1/F20</f>
        <v>1.2738853503184713</v>
      </c>
      <c r="G8" s="96">
        <v>10</v>
      </c>
      <c r="H8" s="111" t="s">
        <v>18</v>
      </c>
      <c r="I8" s="111"/>
      <c r="K8" t="s">
        <v>55</v>
      </c>
      <c r="L8">
        <f>-(1/D15-1/D4)*F4</f>
        <v>9285.7142857142753</v>
      </c>
      <c r="M8">
        <f>(D13-D15)*D14/D15</f>
        <v>-9206.0660124888491</v>
      </c>
    </row>
    <row r="9" spans="2:13" ht="24.95" customHeight="1" x14ac:dyDescent="0.25">
      <c r="B9" s="33" t="s">
        <v>36</v>
      </c>
      <c r="C9" s="23">
        <f>C4</f>
        <v>1.1200000000000001</v>
      </c>
      <c r="D9" s="23">
        <f>D4+D8/10000</f>
        <v>1.121</v>
      </c>
      <c r="E9" s="95">
        <f>E4</f>
        <v>1.21</v>
      </c>
      <c r="F9" s="103">
        <v>1.2725</v>
      </c>
      <c r="G9" s="97">
        <f>G4-G8/10000</f>
        <v>1.2890000000000001</v>
      </c>
      <c r="H9" s="24">
        <f>H4</f>
        <v>1.37</v>
      </c>
      <c r="I9" s="87" t="s">
        <v>1</v>
      </c>
      <c r="K9" t="s">
        <v>54</v>
      </c>
      <c r="L9">
        <f>IF(D15&lt;C4,-F4*(1/D15-1/(D15+D4-C4)),-(1/D15-1/D4)*F4)</f>
        <v>9285.7142857142753</v>
      </c>
      <c r="M9">
        <f>IF(D15&lt;C13,((D13-D15)*D14+(C13-D15)*C14)/D15,(D13-D15)*D14/D15)</f>
        <v>-9206.0660124888491</v>
      </c>
    </row>
    <row r="10" spans="2:13" ht="24.95" customHeight="1" x14ac:dyDescent="0.25">
      <c r="B10" s="33" t="s">
        <v>35</v>
      </c>
      <c r="C10" s="83" t="s">
        <v>37</v>
      </c>
      <c r="D10" s="83" t="s">
        <v>38</v>
      </c>
      <c r="E10" s="100" t="s">
        <v>39</v>
      </c>
      <c r="G10" s="24"/>
      <c r="H10" s="24"/>
      <c r="I10" s="87"/>
    </row>
    <row r="11" spans="2:13" ht="24.95" customHeight="1" x14ac:dyDescent="0.25">
      <c r="B11" s="33" t="s">
        <v>42</v>
      </c>
      <c r="C11" s="25">
        <f>-D11*B4/(D4-C4+B4)</f>
        <v>-89206.066012488853</v>
      </c>
      <c r="D11" s="25">
        <f>F4/D9</f>
        <v>89206.066012488853</v>
      </c>
      <c r="E11" s="36">
        <f>-D11*F6</f>
        <v>-178412.13202497771</v>
      </c>
      <c r="G11" s="24"/>
      <c r="H11" s="24"/>
      <c r="I11" s="87"/>
      <c r="L11">
        <f>IF(D15&gt;D4,IF(D15&gt;=E4,-F4*F6*(1/D15-1/D4),IF(E15="Untouched",0,-F4*F6*(1/D15-1/D4))),IF(D15&lt;C4,-F4*(1/D15-1/(D15+D4-C4)),-(1/D15-1/D4)*F4))</f>
        <v>18571.428571428551</v>
      </c>
      <c r="M11">
        <f>IF(D15&gt;D13,IF(D15&gt;=E13,-(D13-D15)*E14/D15,IF(E15="Untouched",0,-(D13-D15)*E14/D15)),IF(D15&lt;C13,((D13-D15)*D14+(C13-D15)*C14)/D15,(D13-D15)*D14/D15))</f>
        <v>-18412.132024977698</v>
      </c>
    </row>
    <row r="12" spans="2:13" ht="24.95" customHeight="1" x14ac:dyDescent="0.25">
      <c r="B12" s="33" t="s">
        <v>43</v>
      </c>
      <c r="C12" s="25">
        <f>C11*C4</f>
        <v>-99910.79393398753</v>
      </c>
      <c r="D12" s="25">
        <f>F4</f>
        <v>100000</v>
      </c>
      <c r="E12" s="36">
        <f>-F4*F6</f>
        <v>-200000</v>
      </c>
      <c r="F12" s="41"/>
      <c r="G12" s="26">
        <f>F4/G4</f>
        <v>77519.379844961237</v>
      </c>
      <c r="H12" s="26">
        <f>-G12*I4/(G4-H4+I4)</f>
        <v>-81886.66885031118</v>
      </c>
      <c r="I12" s="88" t="s">
        <v>19</v>
      </c>
    </row>
    <row r="13" spans="2:13" ht="24.95" customHeight="1" x14ac:dyDescent="0.25">
      <c r="B13" s="33" t="s">
        <v>44</v>
      </c>
      <c r="C13" s="27">
        <f>C9</f>
        <v>1.1200000000000001</v>
      </c>
      <c r="D13" s="27">
        <f>D9</f>
        <v>1.121</v>
      </c>
      <c r="E13" s="37">
        <f>E9</f>
        <v>1.21</v>
      </c>
      <c r="F13" s="41"/>
      <c r="G13" s="28">
        <f>G9</f>
        <v>1.2890000000000001</v>
      </c>
      <c r="H13" s="28">
        <f>H9</f>
        <v>1.37</v>
      </c>
      <c r="I13" s="87" t="s">
        <v>25</v>
      </c>
    </row>
    <row r="14" spans="2:13" ht="24.95" customHeight="1" x14ac:dyDescent="0.25">
      <c r="B14" s="33" t="s">
        <v>45</v>
      </c>
      <c r="C14" s="29">
        <f>C11</f>
        <v>-89206.066012488853</v>
      </c>
      <c r="D14" s="29">
        <f>D11</f>
        <v>89206.066012488853</v>
      </c>
      <c r="E14" s="38">
        <f>E11</f>
        <v>-178412.13202497771</v>
      </c>
      <c r="F14" s="41"/>
      <c r="G14" s="30">
        <f>G12</f>
        <v>77519.379844961237</v>
      </c>
      <c r="H14" s="30">
        <f>H12</f>
        <v>-81886.66885031118</v>
      </c>
      <c r="I14" s="87" t="s">
        <v>24</v>
      </c>
    </row>
    <row r="15" spans="2:13" ht="24.95" customHeight="1" x14ac:dyDescent="0.25">
      <c r="B15" s="129" t="s">
        <v>26</v>
      </c>
      <c r="C15" s="130"/>
      <c r="D15" s="82">
        <v>1.25</v>
      </c>
      <c r="E15" s="106" t="s">
        <v>46</v>
      </c>
      <c r="F15" s="41"/>
      <c r="G15" s="89">
        <v>1.5</v>
      </c>
      <c r="H15" s="111" t="s">
        <v>26</v>
      </c>
      <c r="I15" s="111"/>
    </row>
    <row r="16" spans="2:13" ht="24.95" customHeight="1" x14ac:dyDescent="0.25">
      <c r="B16" s="107" t="s">
        <v>48</v>
      </c>
      <c r="C16" s="108">
        <f>IF(D15&gt;D4,IF(D15&gt;=E4,-F4*F6*(1/D15-1/D4),IF(E15="Untouched",0,-F4*F6*(1/D15-1/D4))),IF(D15&lt;C4,-F4*(1/D15-1/(D15+D4-C4)),-(1/D15-1/D4)*F4))</f>
        <v>18571.428571428551</v>
      </c>
      <c r="D16" s="101">
        <f>IF(D15&gt;D13,IF(D15&gt;=E13,-(D13-D15)*E14/D15,IF(E15="Untouched",0,-(D13-D15)*E14/D15)),IF(D15&lt;C13,((D13-D15)*D14+(C13-D15)*C14)/D15,(D13-D15)*D14/D15))</f>
        <v>-18412.132024977698</v>
      </c>
      <c r="E16" s="40">
        <f>C16+D16</f>
        <v>159.29654645085247</v>
      </c>
      <c r="F16" s="41"/>
      <c r="G16" s="90">
        <f>((G15-G13)*G14+(G15-H13)*H14-F4*(H4-G4)/(G15+G4-H4))/G15</f>
        <v>51.679586563300596</v>
      </c>
      <c r="H16" s="111" t="s">
        <v>23</v>
      </c>
      <c r="I16" s="111"/>
    </row>
    <row r="17" spans="2:9" ht="24.95" customHeight="1" x14ac:dyDescent="0.25">
      <c r="B17" s="99"/>
      <c r="C17" s="99"/>
      <c r="D17" s="99"/>
      <c r="E17" s="110">
        <f>((D13-D15)*D14+(C13-D15)*C14-F4*(D4-C4)/(D15+D4-C4))/D15</f>
        <v>71.364852809983134</v>
      </c>
      <c r="F17" s="104"/>
      <c r="G17" s="79"/>
      <c r="H17" s="79"/>
      <c r="I17" s="79"/>
    </row>
    <row r="18" spans="2:9" ht="24.95" customHeight="1" x14ac:dyDescent="0.25">
      <c r="B18" s="135" t="s">
        <v>21</v>
      </c>
      <c r="C18" s="136"/>
      <c r="D18" s="136"/>
      <c r="E18" s="136"/>
      <c r="F18" s="74" t="s">
        <v>41</v>
      </c>
      <c r="G18" s="133" t="s">
        <v>21</v>
      </c>
      <c r="H18" s="134"/>
      <c r="I18" s="134"/>
    </row>
    <row r="19" spans="2:9" ht="24.95" customHeight="1" x14ac:dyDescent="0.25">
      <c r="B19" s="130" t="s">
        <v>18</v>
      </c>
      <c r="C19" s="130"/>
      <c r="D19" s="80">
        <v>0</v>
      </c>
      <c r="E19" s="94">
        <v>1</v>
      </c>
      <c r="F19" s="105">
        <f>1/F9</f>
        <v>0.78585461689587432</v>
      </c>
      <c r="G19" s="96">
        <v>10</v>
      </c>
      <c r="H19" s="111" t="s">
        <v>18</v>
      </c>
      <c r="I19" s="111"/>
    </row>
    <row r="20" spans="2:9" ht="24.95" customHeight="1" x14ac:dyDescent="0.25">
      <c r="B20" s="81" t="s">
        <v>36</v>
      </c>
      <c r="C20" s="23">
        <f>1/C4</f>
        <v>0.89285714285714279</v>
      </c>
      <c r="D20" s="23">
        <f>1/D4-D19/10000</f>
        <v>0.89285714285714279</v>
      </c>
      <c r="E20" s="95">
        <f>1/E4+E19/10000</f>
        <v>0.82654628099173555</v>
      </c>
      <c r="F20" s="103">
        <v>0.78500000000000003</v>
      </c>
      <c r="G20" s="97">
        <f>1/G4+G19/10000</f>
        <v>0.77619379844961234</v>
      </c>
      <c r="H20" s="24">
        <f>1/H4</f>
        <v>0.72992700729927007</v>
      </c>
      <c r="I20" s="87" t="s">
        <v>1</v>
      </c>
    </row>
    <row r="21" spans="2:9" ht="24.95" customHeight="1" x14ac:dyDescent="0.25">
      <c r="B21" s="81" t="s">
        <v>35</v>
      </c>
      <c r="C21" s="83" t="s">
        <v>32</v>
      </c>
      <c r="D21" s="83" t="s">
        <v>31</v>
      </c>
      <c r="E21" s="102" t="s">
        <v>33</v>
      </c>
      <c r="F21">
        <f>300000+11512.11-11675.64</f>
        <v>299836.46999999997</v>
      </c>
      <c r="G21" s="24"/>
      <c r="H21" s="24"/>
      <c r="I21" s="87"/>
    </row>
    <row r="22" spans="2:9" ht="24.95" customHeight="1" x14ac:dyDescent="0.25">
      <c r="B22" s="81" t="s">
        <v>34</v>
      </c>
      <c r="C22" s="25">
        <f>-D22*C4/D4*B4/(D4-C4+B4)</f>
        <v>-100000</v>
      </c>
      <c r="D22" s="25">
        <f>F4</f>
        <v>100000</v>
      </c>
      <c r="E22" s="25">
        <f>-D22</f>
        <v>-100000</v>
      </c>
      <c r="F22" s="41"/>
      <c r="G22" s="26">
        <f>F4</f>
        <v>100000</v>
      </c>
      <c r="H22" s="26">
        <f>-G22*H4/G4*I4/(G4-H4+I4)</f>
        <v>-112184.73632492631</v>
      </c>
      <c r="I22" s="88" t="s">
        <v>20</v>
      </c>
    </row>
    <row r="23" spans="2:9" ht="24.95" customHeight="1" x14ac:dyDescent="0.25">
      <c r="B23" s="81" t="s">
        <v>25</v>
      </c>
      <c r="C23" s="27">
        <v>0.81950000000000001</v>
      </c>
      <c r="D23" s="27">
        <v>0.78700000000000003</v>
      </c>
      <c r="E23" s="27">
        <f>E20</f>
        <v>0.82654628099173555</v>
      </c>
      <c r="F23" s="41"/>
      <c r="G23" s="28">
        <f>G20</f>
        <v>0.77619379844961234</v>
      </c>
      <c r="H23" s="28">
        <f>H20</f>
        <v>0.72992700729927007</v>
      </c>
      <c r="I23" s="87" t="s">
        <v>25</v>
      </c>
    </row>
    <row r="24" spans="2:9" ht="24.95" customHeight="1" x14ac:dyDescent="0.25">
      <c r="B24" s="81" t="s">
        <v>24</v>
      </c>
      <c r="C24" s="29">
        <v>-120000</v>
      </c>
      <c r="D24" s="29">
        <f>D22</f>
        <v>100000</v>
      </c>
      <c r="E24" s="29">
        <f>E22</f>
        <v>-100000</v>
      </c>
      <c r="F24" s="41"/>
      <c r="G24" s="30">
        <f>G22</f>
        <v>100000</v>
      </c>
      <c r="H24" s="30">
        <v>-134622</v>
      </c>
      <c r="I24" s="87" t="s">
        <v>28</v>
      </c>
    </row>
    <row r="25" spans="2:9" ht="24.95" customHeight="1" x14ac:dyDescent="0.25">
      <c r="B25" s="130" t="s">
        <v>26</v>
      </c>
      <c r="C25" s="130"/>
      <c r="D25" s="82">
        <v>1.1339999999999999</v>
      </c>
      <c r="E25" s="82">
        <v>1.06</v>
      </c>
      <c r="F25" s="41"/>
      <c r="G25" s="89">
        <v>1.6</v>
      </c>
      <c r="H25" s="111" t="s">
        <v>26</v>
      </c>
      <c r="I25" s="111"/>
    </row>
    <row r="26" spans="2:9" ht="24.95" customHeight="1" x14ac:dyDescent="0.25">
      <c r="B26" s="130" t="s">
        <v>23</v>
      </c>
      <c r="C26" s="130"/>
      <c r="D26" s="25">
        <f>(1/D25-D23)*D24+(1/D25-C23)*C24-F4*(D4-C4)/(D25+D4-C4)/D25</f>
        <v>2003.3156966490269</v>
      </c>
      <c r="E26" s="25"/>
      <c r="F26" s="41"/>
      <c r="G26" s="90">
        <f>(G23-1/G25)*G24+(H23-1/G25)*H24-F4/G25*(H4-G4)/(G25+G4-H4)</f>
        <v>-2295.5774158916311</v>
      </c>
      <c r="H26" s="111" t="s">
        <v>23</v>
      </c>
      <c r="I26" s="111"/>
    </row>
    <row r="28" spans="2:9" ht="24.95" customHeight="1" x14ac:dyDescent="0.25">
      <c r="B28" s="135" t="s">
        <v>56</v>
      </c>
      <c r="C28" s="136"/>
      <c r="D28" s="136"/>
      <c r="E28" s="136"/>
    </row>
    <row r="29" spans="2:9" ht="24.95" customHeight="1" x14ac:dyDescent="0.25">
      <c r="B29" s="130" t="s">
        <v>18</v>
      </c>
      <c r="C29" s="130"/>
      <c r="D29" s="80">
        <v>10</v>
      </c>
      <c r="E29" s="94">
        <v>1</v>
      </c>
    </row>
    <row r="30" spans="2:9" ht="24.95" customHeight="1" x14ac:dyDescent="0.25">
      <c r="B30" s="81" t="s">
        <v>36</v>
      </c>
      <c r="C30" s="23">
        <f>1/C4</f>
        <v>0.89285714285714279</v>
      </c>
      <c r="D30" s="23">
        <f>1/D4-D29/10000</f>
        <v>0.89185714285714279</v>
      </c>
      <c r="E30" s="95">
        <f>1/E4-E29/10000</f>
        <v>0.82634628099173557</v>
      </c>
    </row>
    <row r="31" spans="2:9" ht="24.95" customHeight="1" x14ac:dyDescent="0.25">
      <c r="B31" s="81" t="s">
        <v>35</v>
      </c>
      <c r="C31" s="83" t="s">
        <v>32</v>
      </c>
      <c r="D31" s="83" t="s">
        <v>31</v>
      </c>
      <c r="E31" s="102" t="s">
        <v>33</v>
      </c>
    </row>
    <row r="32" spans="2:9" ht="24.95" customHeight="1" x14ac:dyDescent="0.25">
      <c r="B32" s="81" t="s">
        <v>34</v>
      </c>
      <c r="C32" s="25">
        <f>-F4/C30</f>
        <v>-112000.00000000001</v>
      </c>
      <c r="D32" s="25">
        <f>F4/D30</f>
        <v>112125.58065032838</v>
      </c>
      <c r="E32" s="25">
        <f>-F4*F6/D30</f>
        <v>-224251.16130065676</v>
      </c>
      <c r="F32">
        <f>200000/D30</f>
        <v>224251.16130065676</v>
      </c>
    </row>
    <row r="33" spans="2:5" ht="24.95" customHeight="1" x14ac:dyDescent="0.25">
      <c r="B33" s="81" t="s">
        <v>25</v>
      </c>
      <c r="C33" s="27">
        <f>C30</f>
        <v>0.89285714285714279</v>
      </c>
      <c r="D33" s="27">
        <f>D30</f>
        <v>0.89185714285714279</v>
      </c>
      <c r="E33" s="27">
        <f>E30</f>
        <v>0.82634628099173557</v>
      </c>
    </row>
    <row r="34" spans="2:5" ht="24.95" customHeight="1" x14ac:dyDescent="0.25">
      <c r="B34" s="81" t="s">
        <v>24</v>
      </c>
      <c r="C34" s="29">
        <f>C32</f>
        <v>-112000.00000000001</v>
      </c>
      <c r="D34" s="29">
        <f>D32</f>
        <v>112125.58065032838</v>
      </c>
      <c r="E34" s="29">
        <f>E32</f>
        <v>-224251.16130065676</v>
      </c>
    </row>
    <row r="35" spans="2:5" ht="24.95" customHeight="1" x14ac:dyDescent="0.25">
      <c r="B35" s="130" t="s">
        <v>26</v>
      </c>
      <c r="C35" s="130"/>
      <c r="D35" s="82">
        <v>1</v>
      </c>
      <c r="E35" s="82">
        <v>1.06</v>
      </c>
    </row>
    <row r="36" spans="2:5" ht="24.95" customHeight="1" x14ac:dyDescent="0.25">
      <c r="B36" s="130" t="s">
        <v>23</v>
      </c>
      <c r="C36" s="130"/>
      <c r="D36" s="25">
        <f>(1/D35-D33)*D34+(1/D35-C33)*C34-F4*(D4-C4)/D35</f>
        <v>125.58065032836748</v>
      </c>
      <c r="E36" s="25"/>
    </row>
    <row r="38" spans="2:5" ht="24.95" customHeight="1" x14ac:dyDescent="0.25">
      <c r="E38">
        <v>2322</v>
      </c>
    </row>
    <row r="39" spans="2:5" ht="24.95" customHeight="1" x14ac:dyDescent="0.25">
      <c r="E39">
        <v>2848</v>
      </c>
    </row>
    <row r="40" spans="2:5" ht="24.95" customHeight="1" x14ac:dyDescent="0.25">
      <c r="E40">
        <v>3250</v>
      </c>
    </row>
    <row r="41" spans="2:5" ht="24.95" customHeight="1" x14ac:dyDescent="0.25">
      <c r="E41">
        <f>SUM(E38:E40)</f>
        <v>8420</v>
      </c>
    </row>
    <row r="42" spans="2:5" ht="24.95" customHeight="1" x14ac:dyDescent="0.25">
      <c r="E42">
        <f>600000*5/10000</f>
        <v>300</v>
      </c>
    </row>
  </sheetData>
  <mergeCells count="22">
    <mergeCell ref="B28:E28"/>
    <mergeCell ref="B29:C29"/>
    <mergeCell ref="B35:C35"/>
    <mergeCell ref="B36:C36"/>
    <mergeCell ref="F2:F3"/>
    <mergeCell ref="G2:I2"/>
    <mergeCell ref="G7:I7"/>
    <mergeCell ref="B8:C8"/>
    <mergeCell ref="H8:I8"/>
    <mergeCell ref="B2:E2"/>
    <mergeCell ref="B7:E7"/>
    <mergeCell ref="B15:C15"/>
    <mergeCell ref="H15:I15"/>
    <mergeCell ref="H16:I16"/>
    <mergeCell ref="G18:I18"/>
    <mergeCell ref="B18:E18"/>
    <mergeCell ref="B19:C19"/>
    <mergeCell ref="H19:I19"/>
    <mergeCell ref="B25:C25"/>
    <mergeCell ref="H25:I25"/>
    <mergeCell ref="B26:C26"/>
    <mergeCell ref="H26:I26"/>
  </mergeCells>
  <dataValidations disablePrompts="1" count="1">
    <dataValidation type="list" allowBlank="1" showInputMessage="1" showErrorMessage="1" sqref="E15">
      <formula1>Barrier.Touched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50"/>
  <sheetViews>
    <sheetView tabSelected="1" workbookViewId="0">
      <selection activeCell="B10" sqref="B9:B10"/>
    </sheetView>
  </sheetViews>
  <sheetFormatPr defaultColWidth="18.7109375" defaultRowHeight="15" x14ac:dyDescent="0.25"/>
  <cols>
    <col min="1" max="1" width="5" customWidth="1"/>
  </cols>
  <sheetData>
    <row r="2" spans="2:13" ht="24.95" customHeight="1" x14ac:dyDescent="0.25">
      <c r="B2" s="118" t="s">
        <v>57</v>
      </c>
      <c r="C2" s="119"/>
      <c r="D2" s="119"/>
      <c r="E2" s="120"/>
      <c r="F2" s="77" t="s">
        <v>58</v>
      </c>
      <c r="G2" s="137" t="s">
        <v>30</v>
      </c>
      <c r="H2" s="138"/>
      <c r="I2" s="138"/>
      <c r="K2" t="s">
        <v>49</v>
      </c>
      <c r="L2" t="e">
        <f>-F4*F6*(1/D15-1/D4)</f>
        <v>#VALUE!</v>
      </c>
      <c r="M2" t="e">
        <f>-(D13-D15)*E14/D15</f>
        <v>#VALUE!</v>
      </c>
    </row>
    <row r="3" spans="2:13" ht="24.95" customHeight="1" x14ac:dyDescent="0.25">
      <c r="B3" s="52" t="s">
        <v>2</v>
      </c>
      <c r="C3" s="19" t="s">
        <v>0</v>
      </c>
      <c r="D3" s="19" t="s">
        <v>1</v>
      </c>
      <c r="E3" s="53" t="s">
        <v>29</v>
      </c>
      <c r="F3" s="150" t="s">
        <v>59</v>
      </c>
      <c r="G3" s="84" t="s">
        <v>1</v>
      </c>
      <c r="H3" s="20" t="s">
        <v>0</v>
      </c>
      <c r="I3" s="20" t="s">
        <v>5</v>
      </c>
      <c r="K3" s="109" t="s">
        <v>50</v>
      </c>
      <c r="L3">
        <v>0</v>
      </c>
      <c r="M3">
        <v>0</v>
      </c>
    </row>
    <row r="4" spans="2:13" ht="24.95" customHeight="1" x14ac:dyDescent="0.25">
      <c r="B4" s="54">
        <v>1.05</v>
      </c>
      <c r="C4" s="21">
        <v>1.1200000000000001</v>
      </c>
      <c r="D4" s="21">
        <v>1.155</v>
      </c>
      <c r="E4" s="55">
        <v>1.21</v>
      </c>
      <c r="F4" s="98">
        <v>100000</v>
      </c>
      <c r="G4" s="85">
        <v>1.29</v>
      </c>
      <c r="H4" s="22">
        <v>1.37</v>
      </c>
      <c r="I4" s="22">
        <v>1.5</v>
      </c>
      <c r="K4" t="s">
        <v>51</v>
      </c>
      <c r="L4" t="e">
        <f>-F4*F6*(1/D15-1/D4)</f>
        <v>#VALUE!</v>
      </c>
      <c r="M4" t="e">
        <f>-(D13-D15)*E14/D15</f>
        <v>#VALUE!</v>
      </c>
    </row>
    <row r="5" spans="2:13" ht="24.95" customHeight="1" x14ac:dyDescent="0.25">
      <c r="B5" s="56"/>
      <c r="C5" s="148"/>
      <c r="D5" s="148"/>
      <c r="E5" s="149"/>
      <c r="F5" s="77" t="s">
        <v>40</v>
      </c>
      <c r="G5" s="91"/>
      <c r="H5" s="86"/>
      <c r="I5" s="86"/>
      <c r="K5" t="s">
        <v>52</v>
      </c>
      <c r="L5" t="e">
        <f>IF(D15&gt;=E4,-F4*F6*(1/D15-1/D4),IF(E15="Untouched",0,-F4*F6*(1/D15-1/D4)))</f>
        <v>#VALUE!</v>
      </c>
      <c r="M5" t="e">
        <f>IF(D15&gt;=E13,-(D13-D15)*E14/D15,IF(E15="Untouched",0,-(D13-D15)*E14/D15))</f>
        <v>#VALUE!</v>
      </c>
    </row>
    <row r="6" spans="2:13" ht="24.95" customHeight="1" x14ac:dyDescent="0.25">
      <c r="B6" s="51"/>
      <c r="C6" s="51"/>
      <c r="D6" s="51"/>
      <c r="E6" s="59"/>
      <c r="F6" s="93">
        <v>2</v>
      </c>
      <c r="G6" s="92"/>
      <c r="H6" s="79"/>
      <c r="I6" s="79"/>
    </row>
    <row r="7" spans="2:13" ht="24.95" customHeight="1" x14ac:dyDescent="0.25">
      <c r="B7" s="151" t="s">
        <v>62</v>
      </c>
      <c r="C7" s="152"/>
      <c r="D7" s="152"/>
      <c r="E7" s="153" t="s">
        <v>59</v>
      </c>
      <c r="F7" s="77" t="s">
        <v>41</v>
      </c>
      <c r="G7" s="133" t="s">
        <v>22</v>
      </c>
      <c r="H7" s="134"/>
      <c r="I7" s="134"/>
      <c r="K7" t="s">
        <v>53</v>
      </c>
      <c r="L7" t="e">
        <f>-F4*(1/D15-1/(D15+D4-C4))</f>
        <v>#VALUE!</v>
      </c>
      <c r="M7" t="e">
        <f>((D13-D15)*D14+(C13-D15)*C14)/D15</f>
        <v>#VALUE!</v>
      </c>
    </row>
    <row r="8" spans="2:13" ht="24.95" customHeight="1" x14ac:dyDescent="0.25">
      <c r="B8" s="33" t="s">
        <v>35</v>
      </c>
      <c r="C8" s="83" t="str">
        <f>IF(F3="Base CCY",IF(E7="Base CCY",Params!H1,Params!H2),IF(E7="Base CCY",Params!H3,Params!H4))</f>
        <v>Sell PUT</v>
      </c>
      <c r="D8" s="83" t="str">
        <f>IF(F3="Base CCY",IF(E7="Base CCY",Params!I1,Params!I2),IF(E7="Base CCY",Params!I3,Params!I4))</f>
        <v>Buy PUT</v>
      </c>
      <c r="E8" s="100" t="str">
        <f>IF(F3="Base CCY",IF(E7="Base CCY",Params!J1,Params!J2),IF(E7="Base CCY",Params!J3,Params!J4))</f>
        <v>Sell Knockin CALL</v>
      </c>
      <c r="F8" s="105">
        <f>1/F28</f>
        <v>1.2738853503184713</v>
      </c>
      <c r="G8" s="96">
        <v>10</v>
      </c>
      <c r="H8" s="111" t="s">
        <v>18</v>
      </c>
      <c r="I8" s="111"/>
      <c r="K8" t="s">
        <v>55</v>
      </c>
      <c r="L8" t="e">
        <f>-(1/D15-1/D4)*F4</f>
        <v>#VALUE!</v>
      </c>
      <c r="M8" t="e">
        <f>(D13-D15)*D14/D15</f>
        <v>#VALUE!</v>
      </c>
    </row>
    <row r="9" spans="2:13" ht="24.95" customHeight="1" x14ac:dyDescent="0.25">
      <c r="B9" s="33" t="s">
        <v>73</v>
      </c>
      <c r="C9" s="80">
        <v>0</v>
      </c>
      <c r="D9" s="80">
        <v>10</v>
      </c>
      <c r="E9" s="94">
        <v>1</v>
      </c>
      <c r="F9" s="103">
        <v>1.2725</v>
      </c>
      <c r="G9" s="97">
        <f>G4-G8/10000</f>
        <v>1.2890000000000001</v>
      </c>
      <c r="H9" s="24">
        <f>H4</f>
        <v>1.37</v>
      </c>
      <c r="I9" s="87" t="s">
        <v>1</v>
      </c>
      <c r="K9" t="s">
        <v>54</v>
      </c>
      <c r="L9" t="e">
        <f>IF(D15&lt;C4,-F4*(1/D15-1/(D15+D4-C4)),-(1/D15-1/D4)*F4)</f>
        <v>#VALUE!</v>
      </c>
      <c r="M9" t="e">
        <f>IF(D15&lt;C13,((D13-D15)*D14+(C13-D15)*C14)/D15,(D13-D15)*D14/D15)</f>
        <v>#VALUE!</v>
      </c>
    </row>
    <row r="10" spans="2:13" ht="24.95" customHeight="1" x14ac:dyDescent="0.25">
      <c r="B10" s="33" t="s">
        <v>36</v>
      </c>
      <c r="C10" s="23">
        <f>C5</f>
        <v>0</v>
      </c>
      <c r="D10" s="23">
        <f>IF(F4="Base CCY",IF(E8="Base CCY",1,2),IF(E8="Base CCY",3,4))</f>
        <v>4</v>
      </c>
      <c r="E10" s="95">
        <f>E5</f>
        <v>0</v>
      </c>
      <c r="G10" s="24"/>
      <c r="H10" s="24"/>
      <c r="I10" s="87"/>
    </row>
    <row r="11" spans="2:13" ht="24.95" customHeight="1" x14ac:dyDescent="0.25">
      <c r="B11" s="33" t="s">
        <v>35</v>
      </c>
      <c r="C11" s="83" t="s">
        <v>37</v>
      </c>
      <c r="D11" s="83" t="s">
        <v>38</v>
      </c>
      <c r="E11" s="100" t="s">
        <v>39</v>
      </c>
      <c r="G11" s="24"/>
      <c r="H11" s="24"/>
      <c r="I11" s="87"/>
      <c r="L11" t="e">
        <f>IF(D15&gt;D4,IF(D15&gt;=E4,-F4*F6*(1/D15-1/D4),IF(E15="Untouched",0,-F4*F6*(1/D15-1/D4))),IF(D15&lt;C4,-F4*(1/D15-1/(D15+D4-C4)),-(1/D15-1/D4)*F4))</f>
        <v>#VALUE!</v>
      </c>
      <c r="M11" t="e">
        <f>IF(D15&gt;D13,IF(D15&gt;=E13,-(D13-D15)*E14/D15,IF(E15="Untouched",0,-(D13-D15)*E14/D15)),IF(D15&lt;C13,((D13-D15)*D14+(C13-D15)*C14)/D15,(D13-D15)*D14/D15))</f>
        <v>#VALUE!</v>
      </c>
    </row>
    <row r="12" spans="2:13" ht="24.95" customHeight="1" x14ac:dyDescent="0.25">
      <c r="B12" s="33" t="s">
        <v>42</v>
      </c>
      <c r="C12" s="25" t="e">
        <f>-D12*B5/(D5-C5+B5)</f>
        <v>#VALUE!</v>
      </c>
      <c r="D12" s="25" t="e">
        <f>F5/D10</f>
        <v>#VALUE!</v>
      </c>
      <c r="E12" s="36" t="e">
        <f>-D12*F7</f>
        <v>#VALUE!</v>
      </c>
      <c r="F12" s="41"/>
      <c r="G12" s="26">
        <f>F4/G4</f>
        <v>77519.379844961237</v>
      </c>
      <c r="H12" s="26">
        <f>-G12*I4/(G4-H4+I4)</f>
        <v>-81886.66885031118</v>
      </c>
      <c r="I12" s="88" t="s">
        <v>19</v>
      </c>
    </row>
    <row r="13" spans="2:13" ht="24.95" customHeight="1" x14ac:dyDescent="0.25">
      <c r="B13" s="33" t="s">
        <v>43</v>
      </c>
      <c r="C13" s="25" t="e">
        <f>C12*C5</f>
        <v>#VALUE!</v>
      </c>
      <c r="D13" s="25" t="str">
        <f>F5</f>
        <v>Ratio</v>
      </c>
      <c r="E13" s="36" t="e">
        <f>-F5*F7</f>
        <v>#VALUE!</v>
      </c>
      <c r="F13" s="41"/>
      <c r="G13" s="28">
        <f>G9</f>
        <v>1.2890000000000001</v>
      </c>
      <c r="H13" s="28">
        <f>H9</f>
        <v>1.37</v>
      </c>
      <c r="I13" s="87" t="s">
        <v>25</v>
      </c>
    </row>
    <row r="14" spans="2:13" ht="24.95" customHeight="1" x14ac:dyDescent="0.25">
      <c r="B14" s="33" t="s">
        <v>44</v>
      </c>
      <c r="C14" s="27">
        <f>C10</f>
        <v>0</v>
      </c>
      <c r="D14" s="27">
        <f>D10</f>
        <v>4</v>
      </c>
      <c r="E14" s="37">
        <f>E10</f>
        <v>0</v>
      </c>
      <c r="F14" s="41"/>
      <c r="G14" s="30">
        <f>G12</f>
        <v>77519.379844961237</v>
      </c>
      <c r="H14" s="30">
        <f>H12</f>
        <v>-81886.66885031118</v>
      </c>
      <c r="I14" s="87" t="s">
        <v>24</v>
      </c>
    </row>
    <row r="15" spans="2:13" ht="24.95" customHeight="1" x14ac:dyDescent="0.25">
      <c r="B15" s="33" t="s">
        <v>45</v>
      </c>
      <c r="C15" s="29" t="e">
        <f>C12</f>
        <v>#VALUE!</v>
      </c>
      <c r="D15" s="29" t="e">
        <f>D12</f>
        <v>#VALUE!</v>
      </c>
      <c r="E15" s="38" t="e">
        <f>E12</f>
        <v>#VALUE!</v>
      </c>
      <c r="F15" s="41"/>
      <c r="G15" s="89">
        <v>1.5</v>
      </c>
      <c r="H15" s="111" t="s">
        <v>26</v>
      </c>
      <c r="I15" s="111"/>
    </row>
    <row r="16" spans="2:13" ht="24.95" customHeight="1" x14ac:dyDescent="0.25">
      <c r="B16" s="75" t="s">
        <v>26</v>
      </c>
      <c r="C16" s="76"/>
      <c r="D16" s="82">
        <v>1.25</v>
      </c>
      <c r="E16" s="106" t="s">
        <v>46</v>
      </c>
      <c r="F16" s="41"/>
      <c r="G16" s="90">
        <f>((G15-G13)*G14+(G15-H13)*H14-F4*(H4-G4)/(G15+G4-H4))/G15</f>
        <v>51.679586563300596</v>
      </c>
      <c r="H16" s="111" t="s">
        <v>23</v>
      </c>
      <c r="I16" s="111"/>
    </row>
    <row r="17" spans="2:9" ht="24.95" customHeight="1" x14ac:dyDescent="0.25">
      <c r="B17" s="158" t="s">
        <v>48</v>
      </c>
      <c r="C17" s="159" t="e">
        <f>IF(D16&gt;D5,IF(D16&gt;=E5,-F5*F7*(1/D16-1/D5),IF(E16="Untouched",0,-F5*F7*(1/D16-1/D5))),IF(D16&lt;C5,-F5*(1/D16-1/(D16+D5-C5)),-(1/D16-1/D5)*F5))</f>
        <v>#VALUE!</v>
      </c>
      <c r="D17" s="160" t="e">
        <f>IF(D16&gt;D14,IF(D16&gt;=E14,-(D14-D16)*E15/D16,IF(E16="Untouched",0,-(D14-D16)*E15/D16)),IF(D16&lt;C14,((D14-D16)*D15+(C14-D16)*C15)/D16,(D14-D16)*D15/D16))</f>
        <v>#VALUE!</v>
      </c>
      <c r="E17" s="161" t="e">
        <f>C17+D17</f>
        <v>#VALUE!</v>
      </c>
      <c r="F17" s="104"/>
      <c r="G17" s="90"/>
      <c r="H17" s="78"/>
      <c r="I17" s="78"/>
    </row>
    <row r="18" spans="2:9" ht="24.95" customHeight="1" x14ac:dyDescent="0.25">
      <c r="B18" s="162"/>
      <c r="C18" s="163"/>
      <c r="D18" s="164"/>
      <c r="E18" s="164"/>
      <c r="F18" s="104"/>
      <c r="G18" s="90"/>
      <c r="H18" s="78"/>
      <c r="I18" s="78"/>
    </row>
    <row r="19" spans="2:9" ht="24.95" customHeight="1" x14ac:dyDescent="0.25">
      <c r="B19" s="60" t="s">
        <v>71</v>
      </c>
      <c r="C19" s="166" t="s">
        <v>37</v>
      </c>
      <c r="D19" s="166" t="s">
        <v>66</v>
      </c>
      <c r="E19" s="167" t="s">
        <v>67</v>
      </c>
      <c r="F19" s="104"/>
      <c r="G19" s="79"/>
      <c r="H19" s="79"/>
      <c r="I19" s="79"/>
    </row>
    <row r="20" spans="2:9" ht="24.95" customHeight="1" x14ac:dyDescent="0.25">
      <c r="B20" s="60" t="s">
        <v>72</v>
      </c>
      <c r="C20" s="166" t="s">
        <v>32</v>
      </c>
      <c r="D20" s="166" t="s">
        <v>69</v>
      </c>
      <c r="E20" s="167" t="s">
        <v>70</v>
      </c>
      <c r="F20" s="157"/>
      <c r="G20" s="92"/>
      <c r="H20" s="79"/>
      <c r="I20" s="79"/>
    </row>
    <row r="21" spans="2:9" ht="24.95" customHeight="1" x14ac:dyDescent="0.25">
      <c r="B21" s="60" t="s">
        <v>64</v>
      </c>
      <c r="C21" s="166" t="s">
        <v>37</v>
      </c>
      <c r="D21" s="166" t="s">
        <v>66</v>
      </c>
      <c r="E21" s="167" t="s">
        <v>67</v>
      </c>
      <c r="F21" s="157"/>
      <c r="G21" s="92"/>
      <c r="H21" s="79"/>
      <c r="I21" s="79"/>
    </row>
    <row r="22" spans="2:9" ht="24.95" customHeight="1" x14ac:dyDescent="0.25">
      <c r="B22" s="60" t="s">
        <v>65</v>
      </c>
      <c r="C22" s="166" t="s">
        <v>32</v>
      </c>
      <c r="D22" s="166" t="s">
        <v>69</v>
      </c>
      <c r="E22" s="167" t="s">
        <v>70</v>
      </c>
      <c r="F22" s="157"/>
      <c r="G22" s="92"/>
      <c r="H22" s="79"/>
      <c r="I22" s="79"/>
    </row>
    <row r="23" spans="2:9" ht="24.95" customHeight="1" x14ac:dyDescent="0.25">
      <c r="B23" s="60"/>
      <c r="C23" s="60"/>
      <c r="D23" s="60"/>
      <c r="E23" s="165"/>
      <c r="F23" s="157"/>
      <c r="G23" s="92"/>
      <c r="H23" s="79"/>
      <c r="I23" s="79"/>
    </row>
    <row r="24" spans="2:9" ht="24.95" customHeight="1" x14ac:dyDescent="0.25">
      <c r="B24" s="60"/>
      <c r="C24" s="60"/>
      <c r="D24" s="60"/>
      <c r="E24" s="165"/>
      <c r="F24" s="157"/>
      <c r="G24" s="92"/>
      <c r="H24" s="79"/>
      <c r="I24" s="79"/>
    </row>
    <row r="25" spans="2:9" ht="24.95" customHeight="1" x14ac:dyDescent="0.25">
      <c r="B25" s="154"/>
      <c r="C25" s="155"/>
      <c r="D25" s="155"/>
      <c r="E25" s="156"/>
      <c r="F25" s="157"/>
      <c r="G25" s="92"/>
      <c r="H25" s="79"/>
      <c r="I25" s="79"/>
    </row>
    <row r="26" spans="2:9" ht="24.95" customHeight="1" x14ac:dyDescent="0.25">
      <c r="B26" s="135" t="s">
        <v>21</v>
      </c>
      <c r="C26" s="136"/>
      <c r="D26" s="136"/>
      <c r="E26" s="136"/>
      <c r="F26" s="77" t="s">
        <v>41</v>
      </c>
      <c r="G26" s="133" t="s">
        <v>21</v>
      </c>
      <c r="H26" s="134"/>
      <c r="I26" s="134"/>
    </row>
    <row r="27" spans="2:9" ht="24.95" customHeight="1" x14ac:dyDescent="0.25">
      <c r="B27" s="130" t="s">
        <v>18</v>
      </c>
      <c r="C27" s="130"/>
      <c r="D27" s="80">
        <v>0</v>
      </c>
      <c r="E27" s="94">
        <v>1</v>
      </c>
      <c r="F27" s="105">
        <f>1/F9</f>
        <v>0.78585461689587432</v>
      </c>
      <c r="G27" s="96">
        <v>10</v>
      </c>
      <c r="H27" s="111" t="s">
        <v>18</v>
      </c>
      <c r="I27" s="111"/>
    </row>
    <row r="28" spans="2:9" ht="24.95" customHeight="1" x14ac:dyDescent="0.25">
      <c r="B28" s="81" t="s">
        <v>36</v>
      </c>
      <c r="C28" s="23">
        <f>1/C4</f>
        <v>0.89285714285714279</v>
      </c>
      <c r="D28" s="23">
        <f>1/D4-D27/10000</f>
        <v>0.86580086580086579</v>
      </c>
      <c r="E28" s="95">
        <f>1/E4+E27/10000</f>
        <v>0.82654628099173555</v>
      </c>
      <c r="F28" s="103">
        <v>0.78500000000000003</v>
      </c>
      <c r="G28" s="97">
        <f>1/G4+G27/10000</f>
        <v>0.77619379844961234</v>
      </c>
      <c r="H28" s="24">
        <f>1/H4</f>
        <v>0.72992700729927007</v>
      </c>
      <c r="I28" s="87" t="s">
        <v>1</v>
      </c>
    </row>
    <row r="29" spans="2:9" ht="24.95" customHeight="1" x14ac:dyDescent="0.25">
      <c r="B29" s="81" t="s">
        <v>35</v>
      </c>
      <c r="C29" s="83" t="s">
        <v>32</v>
      </c>
      <c r="D29" s="83" t="s">
        <v>31</v>
      </c>
      <c r="E29" s="102" t="s">
        <v>33</v>
      </c>
      <c r="F29">
        <f>300000+11512.11-11675.64</f>
        <v>299836.46999999997</v>
      </c>
      <c r="G29" s="24"/>
      <c r="H29" s="24"/>
      <c r="I29" s="87"/>
    </row>
    <row r="30" spans="2:9" ht="24.95" customHeight="1" x14ac:dyDescent="0.25">
      <c r="B30" s="81" t="s">
        <v>34</v>
      </c>
      <c r="C30" s="25">
        <f>-D30*C4/D4*B4/(D4-C4+B4)</f>
        <v>-93841.642228739016</v>
      </c>
      <c r="D30" s="25">
        <f>F4</f>
        <v>100000</v>
      </c>
      <c r="E30" s="25">
        <f>-D30</f>
        <v>-100000</v>
      </c>
      <c r="F30" s="41"/>
      <c r="G30" s="26">
        <f>F4</f>
        <v>100000</v>
      </c>
      <c r="H30" s="26">
        <f>-G30*H4/G4*I4/(G4-H4+I4)</f>
        <v>-112184.73632492631</v>
      </c>
      <c r="I30" s="88" t="s">
        <v>20</v>
      </c>
    </row>
    <row r="31" spans="2:9" ht="24.95" customHeight="1" x14ac:dyDescent="0.25">
      <c r="B31" s="81" t="s">
        <v>25</v>
      </c>
      <c r="C31" s="27">
        <v>0.81950000000000001</v>
      </c>
      <c r="D31" s="27">
        <v>0.78700000000000003</v>
      </c>
      <c r="E31" s="27">
        <f>E28</f>
        <v>0.82654628099173555</v>
      </c>
      <c r="F31" s="41"/>
      <c r="G31" s="28">
        <f>G28</f>
        <v>0.77619379844961234</v>
      </c>
      <c r="H31" s="28">
        <f>H28</f>
        <v>0.72992700729927007</v>
      </c>
      <c r="I31" s="87" t="s">
        <v>25</v>
      </c>
    </row>
    <row r="32" spans="2:9" ht="24.95" customHeight="1" x14ac:dyDescent="0.25">
      <c r="B32" s="81" t="s">
        <v>24</v>
      </c>
      <c r="C32" s="29">
        <v>-120000</v>
      </c>
      <c r="D32" s="29">
        <f>D30</f>
        <v>100000</v>
      </c>
      <c r="E32" s="29">
        <f>E30</f>
        <v>-100000</v>
      </c>
      <c r="F32" s="41"/>
      <c r="G32" s="30">
        <f>G30</f>
        <v>100000</v>
      </c>
      <c r="H32" s="30">
        <v>-134622</v>
      </c>
      <c r="I32" s="87" t="s">
        <v>28</v>
      </c>
    </row>
    <row r="33" spans="2:9" ht="24.95" customHeight="1" x14ac:dyDescent="0.25">
      <c r="B33" s="130" t="s">
        <v>26</v>
      </c>
      <c r="C33" s="130"/>
      <c r="D33" s="82">
        <v>1.1339999999999999</v>
      </c>
      <c r="E33" s="82">
        <v>1.06</v>
      </c>
      <c r="F33" s="41"/>
      <c r="G33" s="89">
        <v>1.6</v>
      </c>
      <c r="H33" s="111" t="s">
        <v>26</v>
      </c>
      <c r="I33" s="111"/>
    </row>
    <row r="34" spans="2:9" ht="24.95" customHeight="1" x14ac:dyDescent="0.25">
      <c r="B34" s="130" t="s">
        <v>23</v>
      </c>
      <c r="C34" s="130"/>
      <c r="D34" s="25">
        <f>(1/D33-D31)*D32+(1/D33-C31)*C32-F4*(D4-C4)/(D33+D4-C4)/D33</f>
        <v>-636.90650445141273</v>
      </c>
      <c r="E34" s="25"/>
      <c r="F34" s="41"/>
      <c r="G34" s="90">
        <f>(G31-1/G33)*G32+(H31-1/G33)*H32-F4/G33*(H4-G4)/(G33+G4-H4)</f>
        <v>-2295.5774158916311</v>
      </c>
      <c r="H34" s="111" t="s">
        <v>23</v>
      </c>
      <c r="I34" s="111"/>
    </row>
    <row r="36" spans="2:9" ht="24.95" customHeight="1" x14ac:dyDescent="0.25">
      <c r="B36" s="135" t="s">
        <v>56</v>
      </c>
      <c r="C36" s="136"/>
      <c r="D36" s="136"/>
      <c r="E36" s="136"/>
    </row>
    <row r="37" spans="2:9" ht="24.95" customHeight="1" x14ac:dyDescent="0.25">
      <c r="B37" s="130" t="s">
        <v>18</v>
      </c>
      <c r="C37" s="130"/>
      <c r="D37" s="80">
        <v>10</v>
      </c>
      <c r="E37" s="94">
        <v>1</v>
      </c>
    </row>
    <row r="38" spans="2:9" ht="24.95" customHeight="1" x14ac:dyDescent="0.25">
      <c r="B38" s="81" t="s">
        <v>36</v>
      </c>
      <c r="C38" s="23">
        <f>1/C4</f>
        <v>0.89285714285714279</v>
      </c>
      <c r="D38" s="23">
        <f>1/D4-D37/10000</f>
        <v>0.86480086580086579</v>
      </c>
      <c r="E38" s="95">
        <f>1/E4-E37/10000</f>
        <v>0.82634628099173557</v>
      </c>
    </row>
    <row r="39" spans="2:9" ht="24.95" customHeight="1" x14ac:dyDescent="0.25">
      <c r="B39" s="81" t="s">
        <v>35</v>
      </c>
      <c r="C39" s="83" t="s">
        <v>32</v>
      </c>
      <c r="D39" s="83" t="s">
        <v>31</v>
      </c>
      <c r="E39" s="102" t="s">
        <v>33</v>
      </c>
    </row>
    <row r="40" spans="2:9" ht="24.95" customHeight="1" x14ac:dyDescent="0.25">
      <c r="B40" s="81" t="s">
        <v>34</v>
      </c>
      <c r="C40" s="25">
        <f>-F4/C38</f>
        <v>-112000.00000000001</v>
      </c>
      <c r="D40" s="25">
        <f>F4/D38</f>
        <v>115633.55675805555</v>
      </c>
      <c r="E40" s="25">
        <f>-F4*F6/D38</f>
        <v>-231267.1135161111</v>
      </c>
      <c r="F40">
        <f>200000/D38</f>
        <v>231267.1135161111</v>
      </c>
    </row>
    <row r="41" spans="2:9" ht="24.95" customHeight="1" x14ac:dyDescent="0.25">
      <c r="B41" s="81" t="s">
        <v>25</v>
      </c>
      <c r="C41" s="27">
        <f>C38</f>
        <v>0.89285714285714279</v>
      </c>
      <c r="D41" s="27">
        <f>D38</f>
        <v>0.86480086580086579</v>
      </c>
      <c r="E41" s="27">
        <f>E38</f>
        <v>0.82634628099173557</v>
      </c>
    </row>
    <row r="42" spans="2:9" ht="24.95" customHeight="1" x14ac:dyDescent="0.25">
      <c r="B42" s="81" t="s">
        <v>24</v>
      </c>
      <c r="C42" s="29">
        <f>C40</f>
        <v>-112000.00000000001</v>
      </c>
      <c r="D42" s="29">
        <f>D40</f>
        <v>115633.55675805555</v>
      </c>
      <c r="E42" s="29">
        <f>E40</f>
        <v>-231267.1135161111</v>
      </c>
    </row>
    <row r="43" spans="2:9" ht="24.95" customHeight="1" x14ac:dyDescent="0.25">
      <c r="B43" s="130" t="s">
        <v>26</v>
      </c>
      <c r="C43" s="130"/>
      <c r="D43" s="82">
        <v>1</v>
      </c>
      <c r="E43" s="82">
        <v>1.06</v>
      </c>
    </row>
    <row r="44" spans="2:9" ht="24.95" customHeight="1" x14ac:dyDescent="0.25">
      <c r="B44" s="130" t="s">
        <v>23</v>
      </c>
      <c r="C44" s="130"/>
      <c r="D44" s="25">
        <f>(1/D43-D41)*D42+(1/D43-C41)*C42-F4*(D4-C4)/D43</f>
        <v>133.55675805555347</v>
      </c>
      <c r="E44" s="25"/>
    </row>
    <row r="46" spans="2:9" ht="24.95" customHeight="1" x14ac:dyDescent="0.25">
      <c r="E46">
        <v>2322</v>
      </c>
    </row>
    <row r="47" spans="2:9" ht="24.95" customHeight="1" x14ac:dyDescent="0.25">
      <c r="E47">
        <v>2848</v>
      </c>
    </row>
    <row r="48" spans="2:9" ht="24.95" customHeight="1" x14ac:dyDescent="0.25">
      <c r="E48">
        <v>3250</v>
      </c>
    </row>
    <row r="49" spans="5:5" ht="24.95" customHeight="1" x14ac:dyDescent="0.25">
      <c r="E49">
        <f>SUM(E46:E48)</f>
        <v>8420</v>
      </c>
    </row>
    <row r="50" spans="5:5" ht="24.95" customHeight="1" x14ac:dyDescent="0.25">
      <c r="E50">
        <f>600000*5/10000</f>
        <v>300</v>
      </c>
    </row>
  </sheetData>
  <mergeCells count="19">
    <mergeCell ref="B43:C43"/>
    <mergeCell ref="B44:C44"/>
    <mergeCell ref="B7:D7"/>
    <mergeCell ref="B33:C33"/>
    <mergeCell ref="H33:I33"/>
    <mergeCell ref="B34:C34"/>
    <mergeCell ref="H34:I34"/>
    <mergeCell ref="B36:E36"/>
    <mergeCell ref="B37:C37"/>
    <mergeCell ref="H15:I15"/>
    <mergeCell ref="H16:I16"/>
    <mergeCell ref="B26:E26"/>
    <mergeCell ref="G26:I26"/>
    <mergeCell ref="B27:C27"/>
    <mergeCell ref="H27:I27"/>
    <mergeCell ref="B2:E2"/>
    <mergeCell ref="G2:I2"/>
    <mergeCell ref="G7:I7"/>
    <mergeCell ref="H8:I8"/>
  </mergeCells>
  <dataValidations count="1">
    <dataValidation type="list" allowBlank="1" showInputMessage="1" showErrorMessage="1" sqref="E16">
      <formula1>Barrier.Touched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Params!$B$2:$B$3</xm:f>
          </x14:formula1>
          <xm:sqref>F3</xm:sqref>
        </x14:dataValidation>
        <x14:dataValidation type="list" showInputMessage="1" showErrorMessage="1">
          <x14:formula1>
            <xm:f>Params!$B$2:$B$3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2.75" x14ac:dyDescent="0.2"/>
  <cols>
    <col min="1" max="1" width="15" style="168" customWidth="1"/>
    <col min="2" max="2" width="12.7109375" style="168" customWidth="1"/>
    <col min="3" max="3" width="10.28515625" style="168" bestFit="1" customWidth="1"/>
    <col min="4" max="4" width="10" style="168" bestFit="1" customWidth="1"/>
    <col min="5" max="5" width="12" style="168" customWidth="1"/>
    <col min="6" max="6" width="3.5703125" style="168" customWidth="1"/>
    <col min="7" max="7" width="11.140625" style="168" bestFit="1" customWidth="1"/>
    <col min="8" max="9" width="7.7109375" style="175" bestFit="1" customWidth="1"/>
    <col min="10" max="10" width="14.5703125" style="175" bestFit="1" customWidth="1"/>
    <col min="11" max="11" width="3.28515625" style="168" customWidth="1"/>
    <col min="12" max="16384" width="9.140625" style="168"/>
  </cols>
  <sheetData>
    <row r="1" spans="1:14" x14ac:dyDescent="0.2">
      <c r="A1" s="172" t="s">
        <v>61</v>
      </c>
      <c r="B1" s="172" t="s">
        <v>58</v>
      </c>
      <c r="D1" s="168" t="s">
        <v>58</v>
      </c>
      <c r="E1" s="173">
        <f>'SPR Ratio FWD Extra'!F4</f>
        <v>100000</v>
      </c>
      <c r="F1" s="173"/>
      <c r="G1" s="60" t="s">
        <v>63</v>
      </c>
      <c r="H1" s="169" t="s">
        <v>37</v>
      </c>
      <c r="I1" s="169" t="s">
        <v>38</v>
      </c>
      <c r="J1" s="170" t="s">
        <v>67</v>
      </c>
    </row>
    <row r="2" spans="1:14" x14ac:dyDescent="0.2">
      <c r="A2" s="168" t="s">
        <v>46</v>
      </c>
      <c r="B2" s="168" t="s">
        <v>59</v>
      </c>
      <c r="D2" s="168" t="s">
        <v>40</v>
      </c>
      <c r="E2" s="174">
        <f>'SPR Ratio FWD Extra'!F6</f>
        <v>2</v>
      </c>
      <c r="F2" s="174"/>
      <c r="G2" s="60" t="s">
        <v>68</v>
      </c>
      <c r="H2" s="169" t="s">
        <v>32</v>
      </c>
      <c r="I2" s="169" t="s">
        <v>31</v>
      </c>
      <c r="J2" s="170" t="s">
        <v>70</v>
      </c>
    </row>
    <row r="3" spans="1:14" x14ac:dyDescent="0.2">
      <c r="A3" s="168" t="s">
        <v>47</v>
      </c>
      <c r="B3" s="168" t="s">
        <v>60</v>
      </c>
      <c r="D3" s="168" t="s">
        <v>2</v>
      </c>
      <c r="E3" s="168">
        <f>'SPR Ratio FWD Extra'!B4</f>
        <v>1.05</v>
      </c>
      <c r="G3" s="168" t="s">
        <v>64</v>
      </c>
      <c r="H3" s="169" t="s">
        <v>37</v>
      </c>
      <c r="I3" s="169" t="s">
        <v>38</v>
      </c>
      <c r="J3" s="170" t="s">
        <v>67</v>
      </c>
    </row>
    <row r="4" spans="1:14" x14ac:dyDescent="0.2">
      <c r="G4" s="168" t="s">
        <v>65</v>
      </c>
      <c r="H4" s="169" t="s">
        <v>32</v>
      </c>
      <c r="I4" s="169" t="s">
        <v>31</v>
      </c>
      <c r="J4" s="170" t="s">
        <v>70</v>
      </c>
    </row>
    <row r="5" spans="1:14" x14ac:dyDescent="0.2">
      <c r="L5" s="171" t="s">
        <v>0</v>
      </c>
      <c r="M5" s="171" t="s">
        <v>1</v>
      </c>
      <c r="N5" s="171" t="s">
        <v>29</v>
      </c>
    </row>
    <row r="6" spans="1:14" x14ac:dyDescent="0.2">
      <c r="J6" s="175" t="s">
        <v>36</v>
      </c>
      <c r="L6" s="168">
        <f>'SPR Ratio FWD Extra'!C4</f>
        <v>1.1200000000000001</v>
      </c>
      <c r="M6" s="168">
        <f>'SPR Ratio FWD Extra'!D4</f>
        <v>1.155</v>
      </c>
      <c r="N6" s="168">
        <f>'SPR Ratio FWD Extra'!E4</f>
        <v>1.21</v>
      </c>
    </row>
    <row r="7" spans="1:14" x14ac:dyDescent="0.2">
      <c r="J7" s="175" t="s">
        <v>74</v>
      </c>
      <c r="L7" s="168">
        <f>'SPR Ratio FWD Extra'!C9</f>
        <v>0</v>
      </c>
      <c r="M7" s="168">
        <f>'SPR Ratio FWD Extra'!D9</f>
        <v>10</v>
      </c>
      <c r="N7" s="168">
        <f>'SPR Ratio FWD Extra'!E9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6"/>
  <sheetViews>
    <sheetView workbookViewId="0">
      <selection activeCell="D7" sqref="D7"/>
    </sheetView>
  </sheetViews>
  <sheetFormatPr defaultRowHeight="15" x14ac:dyDescent="0.25"/>
  <cols>
    <col min="2" max="4" width="11" customWidth="1"/>
    <col min="5" max="5" width="15.28515625" customWidth="1"/>
    <col min="6" max="8" width="11" customWidth="1"/>
  </cols>
  <sheetData>
    <row r="3" spans="2:19" x14ac:dyDescent="0.25">
      <c r="B3" s="141" t="s">
        <v>6</v>
      </c>
      <c r="C3" s="141"/>
      <c r="D3" s="141"/>
      <c r="E3" s="143" t="s">
        <v>8</v>
      </c>
      <c r="F3" s="142" t="s">
        <v>7</v>
      </c>
      <c r="G3" s="142"/>
      <c r="H3" s="142"/>
    </row>
    <row r="4" spans="2:19" x14ac:dyDescent="0.25">
      <c r="B4" s="7" t="s">
        <v>2</v>
      </c>
      <c r="C4" s="7" t="s">
        <v>0</v>
      </c>
      <c r="D4" s="7" t="s">
        <v>1</v>
      </c>
      <c r="E4" s="143"/>
      <c r="F4" s="8" t="s">
        <v>1</v>
      </c>
      <c r="G4" s="8" t="s">
        <v>0</v>
      </c>
      <c r="H4" s="8" t="s">
        <v>5</v>
      </c>
    </row>
    <row r="5" spans="2:19" x14ac:dyDescent="0.25">
      <c r="B5" s="9">
        <v>1.1399999999999999</v>
      </c>
      <c r="C5" s="9">
        <v>1.22</v>
      </c>
      <c r="D5" s="9">
        <v>1.27</v>
      </c>
      <c r="E5" s="10">
        <v>120000</v>
      </c>
      <c r="F5" s="9">
        <v>1.29</v>
      </c>
      <c r="G5" s="9">
        <v>1.37</v>
      </c>
      <c r="H5" s="9">
        <v>1.5</v>
      </c>
    </row>
    <row r="6" spans="2:19" x14ac:dyDescent="0.25">
      <c r="B6" s="15"/>
      <c r="C6" s="7" t="s">
        <v>4</v>
      </c>
      <c r="D6" s="7" t="s">
        <v>3</v>
      </c>
      <c r="E6" s="144"/>
      <c r="F6" s="8" t="s">
        <v>3</v>
      </c>
      <c r="G6" s="8" t="s">
        <v>4</v>
      </c>
      <c r="H6" s="142"/>
    </row>
    <row r="7" spans="2:19" x14ac:dyDescent="0.25">
      <c r="B7" s="16"/>
      <c r="C7" s="11">
        <f>-Spread!C9</f>
        <v>90308.897478876621</v>
      </c>
      <c r="D7" s="11">
        <f>Spread!D9</f>
        <v>94413.847364280096</v>
      </c>
      <c r="E7" s="144"/>
      <c r="F7" s="12">
        <f>F8</f>
        <v>93023.255813953481</v>
      </c>
      <c r="G7" s="12">
        <f>G8</f>
        <v>98264.002620373329</v>
      </c>
      <c r="H7" s="142"/>
    </row>
    <row r="8" spans="2:19" x14ac:dyDescent="0.25">
      <c r="B8" s="17"/>
      <c r="C8" s="13">
        <f>-D8*C5/D5*B5/(D5-C5+B5)</f>
        <v>-110432.07834314829</v>
      </c>
      <c r="D8" s="13">
        <f>E5</f>
        <v>120000</v>
      </c>
      <c r="E8" s="144"/>
      <c r="F8" s="14">
        <f>E5/F5</f>
        <v>93023.255813953481</v>
      </c>
      <c r="G8" s="14">
        <f>((H5-F5)*F7-E5*H5*(1/(H5-G5+F5)-1/H5))/(H5-G5)</f>
        <v>98264.002620373329</v>
      </c>
      <c r="H8" s="142"/>
    </row>
    <row r="12" spans="2:19" x14ac:dyDescent="0.25">
      <c r="Q12">
        <v>1.2709999999999999</v>
      </c>
      <c r="R12">
        <v>-94414</v>
      </c>
      <c r="S12">
        <f>-R12*Q12</f>
        <v>120000.19399999999</v>
      </c>
    </row>
    <row r="13" spans="2:19" x14ac:dyDescent="0.25">
      <c r="Q13">
        <v>1.25</v>
      </c>
      <c r="R13">
        <f>-S13/Q13</f>
        <v>96000</v>
      </c>
      <c r="S13">
        <v>-120000</v>
      </c>
    </row>
    <row r="14" spans="2:19" x14ac:dyDescent="0.25">
      <c r="Q14">
        <v>1.2492000000000001</v>
      </c>
      <c r="R14">
        <f>-S14/Q14</f>
        <v>-96061.47934678194</v>
      </c>
      <c r="S14">
        <v>120000</v>
      </c>
    </row>
    <row r="15" spans="2:19" ht="15" customHeight="1" x14ac:dyDescent="0.25">
      <c r="Q15">
        <v>1.27</v>
      </c>
      <c r="R15">
        <f>-S15/Q15</f>
        <v>94488.188976377947</v>
      </c>
      <c r="S15">
        <v>-120000</v>
      </c>
    </row>
    <row r="16" spans="2:19" x14ac:dyDescent="0.25">
      <c r="R16">
        <f>SUM(R12:R15)</f>
        <v>12.709629596007289</v>
      </c>
      <c r="S16">
        <f>SUM(S12:S15)</f>
        <v>0.1939999999885913</v>
      </c>
    </row>
  </sheetData>
  <mergeCells count="5">
    <mergeCell ref="B3:D3"/>
    <mergeCell ref="F3:H3"/>
    <mergeCell ref="E3:E4"/>
    <mergeCell ref="E6:E8"/>
    <mergeCell ref="H6:H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90" zoomScaleNormal="90" workbookViewId="0">
      <selection activeCell="G9" sqref="G9"/>
    </sheetView>
  </sheetViews>
  <sheetFormatPr defaultRowHeight="15" x14ac:dyDescent="0.25"/>
  <cols>
    <col min="2" max="2" width="6.7109375" bestFit="1" customWidth="1"/>
    <col min="4" max="5" width="10.140625" bestFit="1" customWidth="1"/>
    <col min="6" max="8" width="10.85546875" customWidth="1"/>
    <col min="10" max="10" width="6.7109375" bestFit="1" customWidth="1"/>
    <col min="15" max="15" width="10.5703125" bestFit="1" customWidth="1"/>
    <col min="16" max="16" width="10.140625" bestFit="1" customWidth="1"/>
  </cols>
  <sheetData>
    <row r="1" spans="1:17" x14ac:dyDescent="0.25">
      <c r="A1" s="146" t="s">
        <v>6</v>
      </c>
      <c r="B1" s="146"/>
      <c r="C1" s="146"/>
      <c r="D1" s="146"/>
      <c r="E1" s="146"/>
      <c r="F1" s="146"/>
      <c r="G1" s="146"/>
      <c r="H1" s="146"/>
      <c r="J1" s="146" t="s">
        <v>7</v>
      </c>
      <c r="K1" s="146"/>
      <c r="L1" s="146"/>
      <c r="M1" s="146"/>
      <c r="N1" s="146"/>
      <c r="O1" s="146"/>
      <c r="P1" s="146"/>
      <c r="Q1" s="146"/>
    </row>
    <row r="2" spans="1:17" x14ac:dyDescent="0.25">
      <c r="A2" s="5"/>
      <c r="B2" s="147" t="s">
        <v>11</v>
      </c>
      <c r="C2" s="147"/>
      <c r="D2" s="147" t="s">
        <v>13</v>
      </c>
      <c r="E2" s="147"/>
      <c r="F2" s="147" t="s">
        <v>17</v>
      </c>
      <c r="G2" s="147"/>
      <c r="H2" s="147"/>
      <c r="J2" s="6"/>
      <c r="K2" s="145" t="s">
        <v>11</v>
      </c>
      <c r="L2" s="145"/>
      <c r="M2" s="145" t="s">
        <v>13</v>
      </c>
      <c r="N2" s="145"/>
      <c r="O2" s="145" t="s">
        <v>17</v>
      </c>
      <c r="P2" s="145"/>
      <c r="Q2" s="145"/>
    </row>
    <row r="3" spans="1:17" x14ac:dyDescent="0.25">
      <c r="A3" s="3" t="s">
        <v>12</v>
      </c>
      <c r="B3" s="3" t="s">
        <v>9</v>
      </c>
      <c r="C3" s="3" t="s">
        <v>10</v>
      </c>
      <c r="D3" s="3" t="s">
        <v>10</v>
      </c>
      <c r="E3" s="3" t="s">
        <v>14</v>
      </c>
      <c r="F3" s="3" t="s">
        <v>9</v>
      </c>
      <c r="G3" s="3" t="s">
        <v>15</v>
      </c>
      <c r="H3" s="3" t="s">
        <v>16</v>
      </c>
      <c r="J3" s="4" t="s">
        <v>12</v>
      </c>
      <c r="K3" s="4" t="s">
        <v>9</v>
      </c>
      <c r="L3" s="4" t="s">
        <v>10</v>
      </c>
      <c r="M3" s="4" t="s">
        <v>10</v>
      </c>
      <c r="N3" s="4" t="s">
        <v>14</v>
      </c>
      <c r="O3" s="4" t="s">
        <v>9</v>
      </c>
      <c r="P3" s="4" t="s">
        <v>15</v>
      </c>
      <c r="Q3" s="4" t="s">
        <v>16</v>
      </c>
    </row>
    <row r="4" spans="1:17" x14ac:dyDescent="0.25">
      <c r="A4">
        <v>5.0000000000000001E-3</v>
      </c>
      <c r="B4">
        <f>Calc!C5-A4</f>
        <v>1.2150000000000001</v>
      </c>
      <c r="C4">
        <f>B4+Calc!D$5-Calc!C$5</f>
        <v>1.2650000000000003</v>
      </c>
      <c r="D4" s="1">
        <f>Calc!E$5/Check!C4</f>
        <v>94861.660079051362</v>
      </c>
      <c r="E4" s="1">
        <f>Calc!E$5/Check!B4</f>
        <v>98765.432098765421</v>
      </c>
      <c r="F4" s="2">
        <f>D4-E4</f>
        <v>-3903.7720197140588</v>
      </c>
      <c r="G4" s="2">
        <f>((Calc!D$5-Check!B4)*Calc!D$7-(Calc!C$5-Check!B4)*Calc!C$7)/Check!B4</f>
        <v>3902.2363108156587</v>
      </c>
      <c r="H4" s="2">
        <f>F4+G4</f>
        <v>-1.5357088984001166</v>
      </c>
      <c r="J4">
        <v>5.0000000000000001E-3</v>
      </c>
      <c r="K4">
        <f>Calc!G5+J4</f>
        <v>1.375</v>
      </c>
      <c r="L4">
        <f>K4+Calc!F$5-Calc!G$5</f>
        <v>1.2949999999999999</v>
      </c>
      <c r="M4" s="1">
        <f>Calc!E$5/Check!L4</f>
        <v>92664.092664092663</v>
      </c>
      <c r="N4" s="1">
        <f>Calc!E$5/Check!K4</f>
        <v>87272.727272727279</v>
      </c>
      <c r="O4" s="2">
        <f>N4-M4</f>
        <v>-5391.3653913653834</v>
      </c>
      <c r="P4" s="2">
        <f>((-Calc!F$5+Check!K4)*Calc!F$7-(-Calc!G$5+Check!K4)*Calc!G$7)/Check!K4</f>
        <v>5393.2048953339536</v>
      </c>
      <c r="Q4" s="2">
        <f>O4+P4</f>
        <v>1.8395039685701704</v>
      </c>
    </row>
    <row r="5" spans="1:17" x14ac:dyDescent="0.25">
      <c r="B5">
        <f>B4-A$4</f>
        <v>1.2100000000000002</v>
      </c>
      <c r="C5">
        <f>B5+Calc!D$5-Calc!C$5</f>
        <v>1.2600000000000005</v>
      </c>
      <c r="D5" s="1">
        <f>Calc!E$5/Check!C5</f>
        <v>95238.095238095208</v>
      </c>
      <c r="E5" s="1">
        <f>Calc!E$5/Check!B5</f>
        <v>99173.553719008254</v>
      </c>
      <c r="F5" s="2">
        <f t="shared" ref="F5:F53" si="0">D5-E5</f>
        <v>-3935.4584809130465</v>
      </c>
      <c r="G5" s="2">
        <f>((Calc!D$5-Check!B5)*Calc!D$7-(Calc!C$5-Check!B5)*Calc!C$7)/Check!B5</f>
        <v>3935.3238570810263</v>
      </c>
      <c r="H5" s="2">
        <f t="shared" ref="H5:H53" si="1">F5+G5</f>
        <v>-0.13462383202022465</v>
      </c>
      <c r="K5">
        <f>K4+J$4</f>
        <v>1.38</v>
      </c>
      <c r="L5">
        <f>K5+Calc!F$5-Calc!G$5</f>
        <v>1.2999999999999998</v>
      </c>
      <c r="M5" s="1">
        <f>Calc!E$5/Check!L5</f>
        <v>92307.692307692327</v>
      </c>
      <c r="N5" s="1">
        <f>Calc!E$5/Check!K5</f>
        <v>86956.521739130447</v>
      </c>
      <c r="O5" s="2">
        <f>N5-M5</f>
        <v>-5351.1705685618799</v>
      </c>
      <c r="P5" s="2">
        <f>((-Calc!F$5+Check!K5)*Calc!F$7-(-Calc!G$5+Check!K5)*Calc!G$7)/Check!K5</f>
        <v>5354.6760848203539</v>
      </c>
      <c r="Q5" s="2">
        <f>O5+P5</f>
        <v>3.5055162584740174</v>
      </c>
    </row>
    <row r="6" spans="1:17" x14ac:dyDescent="0.25">
      <c r="B6">
        <f t="shared" ref="B6:B53" si="2">B5-A$4</f>
        <v>1.2050000000000003</v>
      </c>
      <c r="C6">
        <f>B6+Calc!D$5-Calc!C$5</f>
        <v>1.2550000000000006</v>
      </c>
      <c r="D6" s="1">
        <f>Calc!E$5/Check!C6</f>
        <v>95617.529880478047</v>
      </c>
      <c r="E6" s="1">
        <f>Calc!E$5/Check!B6</f>
        <v>99585.062240663872</v>
      </c>
      <c r="F6" s="2">
        <f t="shared" si="0"/>
        <v>-3967.5323601858254</v>
      </c>
      <c r="G6" s="2">
        <f>((Calc!D$5-Check!B6)*Calc!D$7-(Calc!C$5-Check!B6)*Calc!C$7)/Check!B6</f>
        <v>3968.6859887925798</v>
      </c>
      <c r="H6" s="2">
        <f t="shared" si="1"/>
        <v>1.1536286067544097</v>
      </c>
      <c r="K6">
        <f t="shared" ref="K6:K53" si="3">K5+J$4</f>
        <v>1.3849999999999998</v>
      </c>
      <c r="L6">
        <f>K6+Calc!F$5-Calc!G$5</f>
        <v>1.3049999999999997</v>
      </c>
      <c r="M6" s="1">
        <f>Calc!E$5/Check!L6</f>
        <v>91954.022988505763</v>
      </c>
      <c r="N6" s="1">
        <f>Calc!E$5/Check!K6</f>
        <v>86642.599277978356</v>
      </c>
      <c r="O6" s="2">
        <f t="shared" ref="O6:O53" si="4">N6-M6</f>
        <v>-5311.4237105274078</v>
      </c>
      <c r="P6" s="2">
        <f>((-Calc!F$5+Check!K6)*Calc!F$7-(-Calc!G$5+Check!K6)*Calc!G$7)/Check!K6</f>
        <v>5316.4254606642535</v>
      </c>
      <c r="Q6" s="2">
        <f t="shared" ref="Q6:Q53" si="5">O6+P6</f>
        <v>5.0017501368456578</v>
      </c>
    </row>
    <row r="7" spans="1:17" x14ac:dyDescent="0.25">
      <c r="B7">
        <f t="shared" si="2"/>
        <v>1.2000000000000004</v>
      </c>
      <c r="C7">
        <f>B7+Calc!D$5-Calc!C$5</f>
        <v>1.2500000000000007</v>
      </c>
      <c r="D7" s="1">
        <f>Calc!E$5/Check!C7</f>
        <v>95999.999999999942</v>
      </c>
      <c r="E7" s="1">
        <f>Calc!E$5/Check!B7</f>
        <v>99999.999999999971</v>
      </c>
      <c r="F7" s="2">
        <f t="shared" si="0"/>
        <v>-4000.0000000000291</v>
      </c>
      <c r="G7" s="2">
        <f>((Calc!D$5-Check!B7)*Calc!D$7-(Calc!C$5-Check!B7)*Calc!C$7)/Check!B7</f>
        <v>4002.326138268395</v>
      </c>
      <c r="H7" s="2">
        <f t="shared" si="1"/>
        <v>2.3261382683658667</v>
      </c>
      <c r="K7">
        <f t="shared" si="3"/>
        <v>1.3899999999999997</v>
      </c>
      <c r="L7">
        <f>K7+Calc!F$5-Calc!G$5</f>
        <v>1.3099999999999996</v>
      </c>
      <c r="M7" s="1">
        <f>Calc!E$5/Check!L7</f>
        <v>91603.053435114532</v>
      </c>
      <c r="N7" s="1">
        <f>Calc!E$5/Check!K7</f>
        <v>86330.935251798583</v>
      </c>
      <c r="O7" s="2">
        <f t="shared" si="4"/>
        <v>-5272.1181833159499</v>
      </c>
      <c r="P7" s="2">
        <f>((-Calc!F$5+Check!K7)*Calc!F$7-(-Calc!G$5+Check!K7)*Calc!G$7)/Check!K7</f>
        <v>5278.4500208545987</v>
      </c>
      <c r="Q7" s="2">
        <f t="shared" si="5"/>
        <v>6.3318375386488697</v>
      </c>
    </row>
    <row r="8" spans="1:17" x14ac:dyDescent="0.25">
      <c r="B8">
        <f t="shared" si="2"/>
        <v>1.1950000000000005</v>
      </c>
      <c r="C8">
        <f>B8+Calc!D$5-Calc!C$5</f>
        <v>1.2450000000000008</v>
      </c>
      <c r="D8" s="1">
        <f>Calc!E$5/Check!C8</f>
        <v>96385.542168674641</v>
      </c>
      <c r="E8" s="1">
        <f>Calc!E$5/Check!B8</f>
        <v>100418.41004184097</v>
      </c>
      <c r="F8" s="2">
        <f t="shared" si="0"/>
        <v>-4032.867873166324</v>
      </c>
      <c r="G8" s="2">
        <f>((Calc!D$5-Check!B8)*Calc!D$7-(Calc!C$5-Check!B8)*Calc!C$7)/Check!B8</f>
        <v>4036.2477952712056</v>
      </c>
      <c r="H8" s="2">
        <f t="shared" si="1"/>
        <v>3.3799221048816435</v>
      </c>
      <c r="K8">
        <f t="shared" si="3"/>
        <v>1.3949999999999996</v>
      </c>
      <c r="L8">
        <f>K8+Calc!F$5-Calc!G$5</f>
        <v>1.3149999999999995</v>
      </c>
      <c r="M8" s="1">
        <f>Calc!E$5/Check!L8</f>
        <v>91254.752851711062</v>
      </c>
      <c r="N8" s="1">
        <f>Calc!E$5/Check!K8</f>
        <v>86021.50537634411</v>
      </c>
      <c r="O8" s="2">
        <f t="shared" si="4"/>
        <v>-5233.2474753669521</v>
      </c>
      <c r="P8" s="2">
        <f>((-Calc!F$5+Check!K8)*Calc!F$7-(-Calc!G$5+Check!K8)*Calc!G$7)/Check!K8</f>
        <v>5240.7468064199238</v>
      </c>
      <c r="Q8" s="2">
        <f t="shared" si="5"/>
        <v>7.4993310529716837</v>
      </c>
    </row>
    <row r="9" spans="1:17" x14ac:dyDescent="0.25">
      <c r="B9">
        <f t="shared" si="2"/>
        <v>1.1900000000000006</v>
      </c>
      <c r="C9">
        <f>B9+Calc!D$5-Calc!C$5</f>
        <v>1.2400000000000009</v>
      </c>
      <c r="D9" s="1">
        <f>Calc!E$5/Check!C9</f>
        <v>96774.193548387033</v>
      </c>
      <c r="E9" s="1">
        <f>Calc!E$5/Check!B9</f>
        <v>100840.33613445373</v>
      </c>
      <c r="F9" s="2">
        <f t="shared" si="0"/>
        <v>-4066.1425860666932</v>
      </c>
      <c r="G9" s="2">
        <f>((Calc!D$5-Check!B9)*Calc!D$7-(Calc!C$5-Check!B9)*Calc!C$7)/Check!B9</f>
        <v>4070.4545082152176</v>
      </c>
      <c r="H9" s="2">
        <f t="shared" si="1"/>
        <v>4.3119221485244452</v>
      </c>
      <c r="K9">
        <f t="shared" si="3"/>
        <v>1.3999999999999995</v>
      </c>
      <c r="L9">
        <f>K9+Calc!F$5-Calc!G$5</f>
        <v>1.3199999999999994</v>
      </c>
      <c r="M9" s="1">
        <f>Calc!E$5/Check!L9</f>
        <v>90909.090909090955</v>
      </c>
      <c r="N9" s="1">
        <f>Calc!E$5/Check!K9</f>
        <v>85714.285714285754</v>
      </c>
      <c r="O9" s="2">
        <f t="shared" si="4"/>
        <v>-5194.8051948052016</v>
      </c>
      <c r="P9" s="2">
        <f>((-Calc!F$5+Check!K9)*Calc!F$7-(-Calc!G$5+Check!K9)*Calc!G$7)/Check!K9</f>
        <v>5203.3129006597837</v>
      </c>
      <c r="Q9" s="2">
        <f t="shared" si="5"/>
        <v>8.5077058545821274</v>
      </c>
    </row>
    <row r="10" spans="1:17" x14ac:dyDescent="0.25">
      <c r="B10">
        <f t="shared" si="2"/>
        <v>1.1850000000000007</v>
      </c>
      <c r="C10">
        <f>B10+Calc!D$5-Calc!C$5</f>
        <v>1.235000000000001</v>
      </c>
      <c r="D10" s="1">
        <f>Calc!E$5/Check!C10</f>
        <v>97165.991902833935</v>
      </c>
      <c r="E10" s="1">
        <f>Calc!E$5/Check!B10</f>
        <v>101265.82278481007</v>
      </c>
      <c r="F10" s="2">
        <f t="shared" si="0"/>
        <v>-4099.8308819761296</v>
      </c>
      <c r="G10" s="2">
        <f>((Calc!D$5-Check!B10)*Calc!D$7-(Calc!C$5-Check!B10)*Calc!C$7)/Check!B10</f>
        <v>4104.9498854034819</v>
      </c>
      <c r="H10" s="2">
        <f t="shared" si="1"/>
        <v>5.1190034273522542</v>
      </c>
      <c r="K10">
        <f t="shared" si="3"/>
        <v>1.4049999999999994</v>
      </c>
      <c r="L10">
        <f>K10+Calc!F$5-Calc!G$5</f>
        <v>1.3249999999999993</v>
      </c>
      <c r="M10" s="1">
        <f>Calc!E$5/Check!L10</f>
        <v>90566.03773584911</v>
      </c>
      <c r="N10" s="1">
        <f>Calc!E$5/Check!K10</f>
        <v>85409.252669039182</v>
      </c>
      <c r="O10" s="2">
        <f t="shared" si="4"/>
        <v>-5156.7850668099272</v>
      </c>
      <c r="P10" s="2">
        <f>((-Calc!F$5+Check!K10)*Calc!F$7-(-Calc!G$5+Check!K10)*Calc!G$7)/Check!K10</f>
        <v>5166.1454283925959</v>
      </c>
      <c r="Q10" s="2">
        <f t="shared" si="5"/>
        <v>9.3603615826687019</v>
      </c>
    </row>
    <row r="11" spans="1:17" x14ac:dyDescent="0.25">
      <c r="B11">
        <f t="shared" si="2"/>
        <v>1.1800000000000008</v>
      </c>
      <c r="C11">
        <f>B11+Calc!D$5-Calc!C$5</f>
        <v>1.2300000000000011</v>
      </c>
      <c r="D11" s="1">
        <f>Calc!E$5/Check!C11</f>
        <v>97560.975609756017</v>
      </c>
      <c r="E11" s="1">
        <f>Calc!E$5/Check!B11</f>
        <v>101694.91525423722</v>
      </c>
      <c r="F11" s="2">
        <f t="shared" si="0"/>
        <v>-4133.939644481201</v>
      </c>
      <c r="G11" s="2">
        <f>((Calc!D$5-Check!B11)*Calc!D$7-(Calc!C$5-Check!B11)*Calc!C$7)/Check!B11</f>
        <v>4139.7375962967299</v>
      </c>
      <c r="H11" s="2">
        <f t="shared" si="1"/>
        <v>5.7979518155289043</v>
      </c>
      <c r="K11">
        <f t="shared" si="3"/>
        <v>1.4099999999999993</v>
      </c>
      <c r="L11">
        <f>K11+Calc!F$5-Calc!G$5</f>
        <v>1.3299999999999992</v>
      </c>
      <c r="M11" s="1">
        <f>Calc!E$5/Check!L11</f>
        <v>90225.563909774486</v>
      </c>
      <c r="N11" s="1">
        <f>Calc!E$5/Check!K11</f>
        <v>85106.382978723443</v>
      </c>
      <c r="O11" s="2">
        <f t="shared" si="4"/>
        <v>-5119.1809310510434</v>
      </c>
      <c r="P11" s="2">
        <f>((-Calc!F$5+Check!K11)*Calc!F$7-(-Calc!G$5+Check!K11)*Calc!G$7)/Check!K11</f>
        <v>5129.2415552195034</v>
      </c>
      <c r="Q11" s="2">
        <f t="shared" si="5"/>
        <v>10.060624168459981</v>
      </c>
    </row>
    <row r="12" spans="1:17" x14ac:dyDescent="0.25">
      <c r="B12">
        <f t="shared" si="2"/>
        <v>1.1750000000000009</v>
      </c>
      <c r="C12">
        <f>B12+Calc!D$5-Calc!C$5</f>
        <v>1.2250000000000012</v>
      </c>
      <c r="D12" s="1">
        <f>Calc!E$5/Check!C12</f>
        <v>97959.183673469292</v>
      </c>
      <c r="E12" s="1">
        <f>Calc!E$5/Check!B12</f>
        <v>102127.65957446801</v>
      </c>
      <c r="F12" s="2">
        <f t="shared" si="0"/>
        <v>-4168.4759009987174</v>
      </c>
      <c r="G12" s="2">
        <f>((Calc!D$5-Check!B12)*Calc!D$7-(Calc!C$5-Check!B12)*Calc!C$7)/Check!B12</f>
        <v>4174.821372814602</v>
      </c>
      <c r="H12" s="2">
        <f t="shared" si="1"/>
        <v>6.3454718158845935</v>
      </c>
      <c r="K12">
        <f t="shared" si="3"/>
        <v>1.4149999999999991</v>
      </c>
      <c r="L12">
        <f>K12+Calc!F$5-Calc!G$5</f>
        <v>1.3349999999999991</v>
      </c>
      <c r="M12" s="1">
        <f>Calc!E$5/Check!L12</f>
        <v>89887.640449438259</v>
      </c>
      <c r="N12" s="1">
        <f>Calc!E$5/Check!K12</f>
        <v>84805.653710247396</v>
      </c>
      <c r="O12" s="2">
        <f t="shared" si="4"/>
        <v>-5081.9867391908629</v>
      </c>
      <c r="P12" s="2">
        <f>((-Calc!F$5+Check!K12)*Calc!F$7-(-Calc!G$5+Check!K12)*Calc!G$7)/Check!K12</f>
        <v>5092.5984868038177</v>
      </c>
      <c r="Q12" s="2">
        <f t="shared" si="5"/>
        <v>10.611747612954787</v>
      </c>
    </row>
    <row r="13" spans="1:17" x14ac:dyDescent="0.25">
      <c r="B13">
        <f t="shared" si="2"/>
        <v>1.170000000000001</v>
      </c>
      <c r="C13">
        <f>B13+Calc!D$5-Calc!C$5</f>
        <v>1.2200000000000013</v>
      </c>
      <c r="D13" s="1">
        <f>Calc!E$5/Check!C13</f>
        <v>98360.655737704816</v>
      </c>
      <c r="E13" s="1">
        <f>Calc!E$5/Check!B13</f>
        <v>102564.10256410248</v>
      </c>
      <c r="F13" s="2">
        <f t="shared" si="0"/>
        <v>-4203.4468263976596</v>
      </c>
      <c r="G13" s="2">
        <f>((Calc!D$5-Check!B13)*Calc!D$7-(Calc!C$5-Check!B13)*Calc!C$7)/Check!B13</f>
        <v>4210.2050106702345</v>
      </c>
      <c r="H13" s="2">
        <f t="shared" si="1"/>
        <v>6.7581842725749084</v>
      </c>
      <c r="K13">
        <f t="shared" si="3"/>
        <v>1.419999999999999</v>
      </c>
      <c r="L13">
        <f>K13+Calc!F$5-Calc!G$5</f>
        <v>1.339999999999999</v>
      </c>
      <c r="M13" s="1">
        <f>Calc!E$5/Check!L13</f>
        <v>89552.238805970221</v>
      </c>
      <c r="N13" s="1">
        <f>Calc!E$5/Check!K13</f>
        <v>84507.042253521184</v>
      </c>
      <c r="O13" s="2">
        <f t="shared" si="4"/>
        <v>-5045.196552449037</v>
      </c>
      <c r="P13" s="2">
        <f>((-Calc!F$5+Check!K13)*Calc!F$7-(-Calc!G$5+Check!K13)*Calc!G$7)/Check!K13</f>
        <v>5056.2134681657062</v>
      </c>
      <c r="Q13" s="2">
        <f t="shared" si="5"/>
        <v>11.016915716669246</v>
      </c>
    </row>
    <row r="14" spans="1:17" x14ac:dyDescent="0.25">
      <c r="B14">
        <f t="shared" si="2"/>
        <v>1.1650000000000011</v>
      </c>
      <c r="C14">
        <f>B14+Calc!D$5-Calc!C$5</f>
        <v>1.2150000000000014</v>
      </c>
      <c r="D14" s="1">
        <f>Calc!E$5/Check!C14</f>
        <v>98765.432098765319</v>
      </c>
      <c r="E14" s="1">
        <f>Calc!E$5/Check!B14</f>
        <v>103004.29184549346</v>
      </c>
      <c r="F14" s="2">
        <f t="shared" si="0"/>
        <v>-4238.8597467281361</v>
      </c>
      <c r="G14" s="2">
        <f>((Calc!D$5-Check!B14)*Calc!D$7-(Calc!C$5-Check!B14)*Calc!C$7)/Check!B14</f>
        <v>4245.8923707392187</v>
      </c>
      <c r="H14" s="2">
        <f t="shared" si="1"/>
        <v>7.0326240110825893</v>
      </c>
      <c r="K14">
        <f t="shared" si="3"/>
        <v>1.4249999999999989</v>
      </c>
      <c r="L14">
        <f>K14+Calc!F$5-Calc!G$5</f>
        <v>1.3449999999999989</v>
      </c>
      <c r="M14" s="1">
        <f>Calc!E$5/Check!L14</f>
        <v>89219.330855018663</v>
      </c>
      <c r="N14" s="1">
        <f>Calc!E$5/Check!K14</f>
        <v>84210.526315789539</v>
      </c>
      <c r="O14" s="2">
        <f t="shared" si="4"/>
        <v>-5008.8045392291242</v>
      </c>
      <c r="P14" s="2">
        <f>((-Calc!F$5+Check!K14)*Calc!F$7-(-Calc!G$5+Check!K14)*Calc!G$7)/Check!K14</f>
        <v>5020.0837829917227</v>
      </c>
      <c r="Q14" s="2">
        <f t="shared" si="5"/>
        <v>11.279243762598526</v>
      </c>
    </row>
    <row r="15" spans="1:17" x14ac:dyDescent="0.25">
      <c r="B15">
        <f t="shared" si="2"/>
        <v>1.1600000000000013</v>
      </c>
      <c r="C15">
        <f>B15+Calc!D$5-Calc!C$5</f>
        <v>1.2100000000000015</v>
      </c>
      <c r="D15" s="1">
        <f>Calc!E$5/Check!C15</f>
        <v>99173.553719008138</v>
      </c>
      <c r="E15" s="1">
        <f>Calc!E$5/Check!B15</f>
        <v>103448.27586206885</v>
      </c>
      <c r="F15" s="2">
        <f t="shared" si="0"/>
        <v>-4274.7221430607169</v>
      </c>
      <c r="G15" s="2">
        <f>((Calc!D$5-Check!B15)*Calc!D$7-(Calc!C$5-Check!B15)*Calc!C$7)/Check!B15</f>
        <v>4281.8873804639716</v>
      </c>
      <c r="H15" s="2">
        <f t="shared" si="1"/>
        <v>7.1652374032546504</v>
      </c>
      <c r="K15">
        <f t="shared" si="3"/>
        <v>1.4299999999999988</v>
      </c>
      <c r="L15">
        <f>K15+Calc!F$5-Calc!G$5</f>
        <v>1.3499999999999988</v>
      </c>
      <c r="M15" s="1">
        <f>Calc!E$5/Check!L15</f>
        <v>88888.888888888978</v>
      </c>
      <c r="N15" s="1">
        <f>Calc!E$5/Check!K15</f>
        <v>83916.083916083982</v>
      </c>
      <c r="O15" s="2">
        <f t="shared" si="4"/>
        <v>-4972.8049728049955</v>
      </c>
      <c r="P15" s="2">
        <f>((-Calc!F$5+Check!K15)*Calc!F$7-(-Calc!G$5+Check!K15)*Calc!G$7)/Check!K15</f>
        <v>4984.2067529588167</v>
      </c>
      <c r="Q15" s="2">
        <f t="shared" si="5"/>
        <v>11.401780153821164</v>
      </c>
    </row>
    <row r="16" spans="1:17" x14ac:dyDescent="0.25">
      <c r="B16">
        <f t="shared" si="2"/>
        <v>1.1550000000000014</v>
      </c>
      <c r="C16">
        <f>B16+Calc!D$5-Calc!C$5</f>
        <v>1.2050000000000016</v>
      </c>
      <c r="D16" s="1">
        <f>Calc!E$5/Check!C16</f>
        <v>99585.06224066377</v>
      </c>
      <c r="E16" s="1">
        <f>Calc!E$5/Check!B16</f>
        <v>103896.10389610377</v>
      </c>
      <c r="F16" s="2">
        <f t="shared" si="0"/>
        <v>-4311.0416554399999</v>
      </c>
      <c r="G16" s="2">
        <f>((Calc!D$5-Check!B16)*Calc!D$7-(Calc!C$5-Check!B16)*Calc!C$7)/Check!B16</f>
        <v>4318.1940352945658</v>
      </c>
      <c r="H16" s="2">
        <f t="shared" si="1"/>
        <v>7.1523798545658792</v>
      </c>
      <c r="K16">
        <f t="shared" si="3"/>
        <v>1.4349999999999987</v>
      </c>
      <c r="L16">
        <f>K16+Calc!F$5-Calc!G$5</f>
        <v>1.3549999999999986</v>
      </c>
      <c r="M16" s="1">
        <f>Calc!E$5/Check!L16</f>
        <v>88560.885608856173</v>
      </c>
      <c r="N16" s="1">
        <f>Calc!E$5/Check!K16</f>
        <v>83623.693379791017</v>
      </c>
      <c r="O16" s="2">
        <f t="shared" si="4"/>
        <v>-4937.1922290651564</v>
      </c>
      <c r="P16" s="2">
        <f>((-Calc!F$5+Check!K16)*Calc!F$7-(-Calc!G$5+Check!K16)*Calc!G$7)/Check!K16</f>
        <v>4948.5797370724795</v>
      </c>
      <c r="Q16" s="2">
        <f t="shared" si="5"/>
        <v>11.387508007323049</v>
      </c>
    </row>
    <row r="17" spans="2:17" x14ac:dyDescent="0.25">
      <c r="B17">
        <f t="shared" si="2"/>
        <v>1.1500000000000015</v>
      </c>
      <c r="C17">
        <f>B17+Calc!D$5-Calc!C$5</f>
        <v>1.2000000000000017</v>
      </c>
      <c r="D17" s="1">
        <f>Calc!E$5/Check!C17</f>
        <v>99999.999999999854</v>
      </c>
      <c r="E17" s="1">
        <f>Calc!E$5/Check!B17</f>
        <v>104347.82608695638</v>
      </c>
      <c r="F17" s="2">
        <f t="shared" si="0"/>
        <v>-4347.8260869565274</v>
      </c>
      <c r="G17" s="2">
        <f>((Calc!D$5-Check!B17)*Calc!D$7-(Calc!C$5-Check!B17)*Calc!C$7)/Check!B17</f>
        <v>4354.8164001671657</v>
      </c>
      <c r="H17" s="2">
        <f t="shared" si="1"/>
        <v>6.9903132106383055</v>
      </c>
      <c r="K17">
        <f t="shared" si="3"/>
        <v>1.4399999999999986</v>
      </c>
      <c r="L17">
        <f>K17+Calc!F$5-Calc!G$5</f>
        <v>1.3599999999999985</v>
      </c>
      <c r="M17" s="1">
        <f>Calc!E$5/Check!L17</f>
        <v>88235.29411764715</v>
      </c>
      <c r="N17" s="1">
        <f>Calc!E$5/Check!K17</f>
        <v>83333.333333333416</v>
      </c>
      <c r="O17" s="2">
        <f t="shared" si="4"/>
        <v>-4901.9607843137346</v>
      </c>
      <c r="P17" s="2">
        <f>((-Calc!F$5+Check!K17)*Calc!F$7-(-Calc!G$5+Check!K17)*Calc!G$7)/Check!K17</f>
        <v>4913.2001310186879</v>
      </c>
      <c r="Q17" s="2">
        <f t="shared" si="5"/>
        <v>11.239346704953277</v>
      </c>
    </row>
    <row r="18" spans="2:17" x14ac:dyDescent="0.25">
      <c r="B18">
        <f t="shared" si="2"/>
        <v>1.1450000000000016</v>
      </c>
      <c r="C18">
        <f>B18+Calc!D$5-Calc!C$5</f>
        <v>1.1950000000000018</v>
      </c>
      <c r="D18" s="1">
        <f>Calc!E$5/Check!C18</f>
        <v>100418.41004184085</v>
      </c>
      <c r="E18" s="1">
        <f>Calc!E$5/Check!B18</f>
        <v>104803.49344978151</v>
      </c>
      <c r="F18" s="2">
        <f t="shared" si="0"/>
        <v>-4385.0834079406632</v>
      </c>
      <c r="G18" s="2">
        <f>((Calc!D$5-Check!B18)*Calc!D$7-(Calc!C$5-Check!B18)*Calc!C$7)/Check!B18</f>
        <v>4391.7586110211842</v>
      </c>
      <c r="H18" s="2">
        <f t="shared" si="1"/>
        <v>6.675203080520987</v>
      </c>
      <c r="K18">
        <f t="shared" si="3"/>
        <v>1.4449999999999985</v>
      </c>
      <c r="L18">
        <f>K18+Calc!F$5-Calc!G$5</f>
        <v>1.3649999999999984</v>
      </c>
      <c r="M18" s="1">
        <f>Calc!E$5/Check!L18</f>
        <v>87912.087912088013</v>
      </c>
      <c r="N18" s="1">
        <f>Calc!E$5/Check!K18</f>
        <v>83044.98269896202</v>
      </c>
      <c r="O18" s="2">
        <f t="shared" si="4"/>
        <v>-4867.105213125993</v>
      </c>
      <c r="P18" s="2">
        <f>((-Calc!F$5+Check!K18)*Calc!F$7-(-Calc!G$5+Check!K18)*Calc!G$7)/Check!K18</f>
        <v>4878.0653665292821</v>
      </c>
      <c r="Q18" s="2">
        <f t="shared" si="5"/>
        <v>10.960153403289041</v>
      </c>
    </row>
    <row r="19" spans="2:17" x14ac:dyDescent="0.25">
      <c r="B19">
        <f t="shared" si="2"/>
        <v>1.1400000000000017</v>
      </c>
      <c r="C19">
        <f>B19+Calc!D$5-Calc!C$5</f>
        <v>1.1900000000000019</v>
      </c>
      <c r="D19" s="1">
        <f>Calc!E$5/Check!C19</f>
        <v>100840.33613445361</v>
      </c>
      <c r="E19" s="1">
        <f>Calc!E$5/Check!B19</f>
        <v>105263.15789473669</v>
      </c>
      <c r="F19" s="2">
        <f t="shared" si="0"/>
        <v>-4422.8217602830846</v>
      </c>
      <c r="G19" s="2">
        <f>((Calc!D$5-Check!B19)*Calc!D$7-(Calc!C$5-Check!B19)*Calc!C$7)/Check!B19</f>
        <v>4429.0248763563795</v>
      </c>
      <c r="H19" s="2">
        <f t="shared" si="1"/>
        <v>6.2031160732949502</v>
      </c>
      <c r="K19">
        <f t="shared" si="3"/>
        <v>1.4499999999999984</v>
      </c>
      <c r="L19">
        <f>K19+Calc!F$5-Calc!G$5</f>
        <v>1.3699999999999983</v>
      </c>
      <c r="M19" s="1">
        <f>Calc!E$5/Check!L19</f>
        <v>87591.24087591251</v>
      </c>
      <c r="N19" s="1">
        <f>Calc!E$5/Check!K19</f>
        <v>82758.620689655261</v>
      </c>
      <c r="O19" s="2">
        <f t="shared" si="4"/>
        <v>-4832.6201862572489</v>
      </c>
      <c r="P19" s="2">
        <f>((-Calc!F$5+Check!K19)*Calc!F$7-(-Calc!G$5+Check!K19)*Calc!G$7)/Check!K19</f>
        <v>4843.1729107604924</v>
      </c>
      <c r="Q19" s="2">
        <f t="shared" si="5"/>
        <v>10.552724503243553</v>
      </c>
    </row>
    <row r="20" spans="2:17" x14ac:dyDescent="0.25">
      <c r="B20">
        <f t="shared" si="2"/>
        <v>1.1350000000000018</v>
      </c>
      <c r="C20">
        <f>B20+Calc!D$5-Calc!C$5</f>
        <v>1.1850000000000021</v>
      </c>
      <c r="D20" s="1">
        <f>Calc!E$5/Check!C20</f>
        <v>101265.82278480995</v>
      </c>
      <c r="E20" s="1">
        <f>Calc!E$5/Check!B20</f>
        <v>105726.87224669587</v>
      </c>
      <c r="F20" s="2">
        <f t="shared" si="0"/>
        <v>-4461.0494618859229</v>
      </c>
      <c r="G20" s="2">
        <f>((Calc!D$5-Check!B20)*Calc!D$7-(Calc!C$5-Check!B20)*Calc!C$7)/Check!B20</f>
        <v>4466.6194788310904</v>
      </c>
      <c r="H20" s="2">
        <f t="shared" si="1"/>
        <v>5.570016945167481</v>
      </c>
      <c r="K20">
        <f t="shared" si="3"/>
        <v>1.4549999999999983</v>
      </c>
      <c r="L20">
        <f>K20+Calc!F$5-Calc!G$5</f>
        <v>1.3749999999999982</v>
      </c>
      <c r="M20" s="1">
        <f>Calc!E$5/Check!L20</f>
        <v>87272.727272727381</v>
      </c>
      <c r="N20" s="1">
        <f>Calc!E$5/Check!K20</f>
        <v>82474.226804123813</v>
      </c>
      <c r="O20" s="2">
        <f t="shared" si="4"/>
        <v>-4798.5004686035682</v>
      </c>
      <c r="P20" s="2">
        <f>((-Calc!F$5+Check!K20)*Calc!F$7-(-Calc!G$5+Check!K20)*Calc!G$7)/Check!K20</f>
        <v>4808.5202656842721</v>
      </c>
      <c r="Q20" s="2">
        <f t="shared" si="5"/>
        <v>10.019797080703938</v>
      </c>
    </row>
    <row r="21" spans="2:17" x14ac:dyDescent="0.25">
      <c r="B21">
        <f t="shared" si="2"/>
        <v>1.1300000000000019</v>
      </c>
      <c r="C21">
        <f>B21+Calc!D$5-Calc!C$5</f>
        <v>1.1800000000000022</v>
      </c>
      <c r="D21" s="1">
        <f>Calc!E$5/Check!C21</f>
        <v>101694.9152542371</v>
      </c>
      <c r="E21" s="1">
        <f>Calc!E$5/Check!B21</f>
        <v>106194.69026548654</v>
      </c>
      <c r="F21" s="2">
        <f t="shared" si="0"/>
        <v>-4499.7750112494396</v>
      </c>
      <c r="G21" s="2">
        <f>((Calc!D$5-Check!B21)*Calc!D$7-(Calc!C$5-Check!B21)*Calc!C$7)/Check!B21</f>
        <v>4504.5467769029256</v>
      </c>
      <c r="H21" s="2">
        <f t="shared" si="1"/>
        <v>4.7717656534859998</v>
      </c>
      <c r="K21">
        <f t="shared" si="3"/>
        <v>1.4599999999999982</v>
      </c>
      <c r="L21">
        <f>K21+Calc!F$5-Calc!G$5</f>
        <v>1.3799999999999981</v>
      </c>
      <c r="M21" s="1">
        <f>Calc!E$5/Check!L21</f>
        <v>86956.521739130549</v>
      </c>
      <c r="N21" s="1">
        <f>Calc!E$5/Check!K21</f>
        <v>82191.780821917913</v>
      </c>
      <c r="O21" s="2">
        <f t="shared" si="4"/>
        <v>-4764.7409172126354</v>
      </c>
      <c r="P21" s="2">
        <f>((-Calc!F$5+Check!K21)*Calc!F$7-(-Calc!G$5+Check!K21)*Calc!G$7)/Check!K21</f>
        <v>4774.1049674921351</v>
      </c>
      <c r="Q21" s="2">
        <f t="shared" si="5"/>
        <v>9.3640502794996792</v>
      </c>
    </row>
    <row r="22" spans="2:17" x14ac:dyDescent="0.25">
      <c r="B22">
        <f t="shared" si="2"/>
        <v>1.125000000000002</v>
      </c>
      <c r="C22">
        <f>B22+Calc!D$5-Calc!C$5</f>
        <v>1.1750000000000023</v>
      </c>
      <c r="D22" s="1">
        <f>Calc!E$5/Check!C22</f>
        <v>102127.65957446789</v>
      </c>
      <c r="E22" s="1">
        <f>Calc!E$5/Check!B22</f>
        <v>106666.66666666648</v>
      </c>
      <c r="F22" s="2">
        <f t="shared" si="0"/>
        <v>-4539.0070921985898</v>
      </c>
      <c r="G22" s="2">
        <f>((Calc!D$5-Check!B22)*Calc!D$7-(Calc!C$5-Check!B22)*Calc!C$7)/Check!B22</f>
        <v>4542.8112065131754</v>
      </c>
      <c r="H22" s="2">
        <f t="shared" si="1"/>
        <v>3.804114314585604</v>
      </c>
      <c r="K22">
        <f t="shared" si="3"/>
        <v>1.4649999999999981</v>
      </c>
      <c r="L22">
        <f>K22+Calc!F$5-Calc!G$5</f>
        <v>1.384999999999998</v>
      </c>
      <c r="M22" s="1">
        <f>Calc!E$5/Check!L22</f>
        <v>86642.599277978457</v>
      </c>
      <c r="N22" s="1">
        <f>Calc!E$5/Check!K22</f>
        <v>81911.262798634925</v>
      </c>
      <c r="O22" s="2">
        <f t="shared" si="4"/>
        <v>-4731.3364793435321</v>
      </c>
      <c r="P22" s="2">
        <f>((-Calc!F$5+Check!K22)*Calc!F$7-(-Calc!G$5+Check!K22)*Calc!G$7)/Check!K22</f>
        <v>4739.9245860112078</v>
      </c>
      <c r="Q22" s="2">
        <f t="shared" si="5"/>
        <v>8.5881066676756745</v>
      </c>
    </row>
    <row r="23" spans="2:17" x14ac:dyDescent="0.25">
      <c r="B23">
        <f t="shared" si="2"/>
        <v>1.1200000000000021</v>
      </c>
      <c r="C23">
        <f>B23+Calc!D$5-Calc!C$5</f>
        <v>1.1700000000000024</v>
      </c>
      <c r="D23" s="1">
        <f>Calc!E$5/Check!C23</f>
        <v>102564.10256410236</v>
      </c>
      <c r="E23" s="1">
        <f>Calc!E$5/Check!B23</f>
        <v>107142.85714285694</v>
      </c>
      <c r="F23" s="2">
        <f t="shared" si="0"/>
        <v>-4578.7545787545823</v>
      </c>
      <c r="G23" s="2">
        <f>((Calc!D$5-Check!B23)*Calc!D$7-(Calc!C$5-Check!B23)*Calc!C$7)/Check!B23</f>
        <v>4581.4172828163737</v>
      </c>
      <c r="H23" s="2">
        <f t="shared" si="1"/>
        <v>2.6627040617913735</v>
      </c>
      <c r="K23">
        <f t="shared" si="3"/>
        <v>1.469999999999998</v>
      </c>
      <c r="L23">
        <f>K23+Calc!F$5-Calc!G$5</f>
        <v>1.3899999999999979</v>
      </c>
      <c r="M23" s="1">
        <f>Calc!E$5/Check!L23</f>
        <v>86330.935251798684</v>
      </c>
      <c r="N23" s="1">
        <f>Calc!E$5/Check!K23</f>
        <v>81632.653061224599</v>
      </c>
      <c r="O23" s="2">
        <f t="shared" si="4"/>
        <v>-4698.2821905740857</v>
      </c>
      <c r="P23" s="2">
        <f>((-Calc!F$5+Check!K23)*Calc!F$7-(-Calc!G$5+Check!K23)*Calc!G$7)/Check!K23</f>
        <v>4705.9767241321906</v>
      </c>
      <c r="Q23" s="2">
        <f t="shared" si="5"/>
        <v>7.6945335581049221</v>
      </c>
    </row>
    <row r="24" spans="2:17" x14ac:dyDescent="0.25">
      <c r="B24">
        <f t="shared" si="2"/>
        <v>1.1150000000000022</v>
      </c>
      <c r="C24">
        <f>B24+Calc!D$5-Calc!C$5</f>
        <v>1.1650000000000025</v>
      </c>
      <c r="D24" s="1">
        <f>Calc!E$5/Check!C24</f>
        <v>103004.29184549334</v>
      </c>
      <c r="E24" s="1">
        <f>Calc!E$5/Check!B24</f>
        <v>107623.31838565001</v>
      </c>
      <c r="F24" s="2">
        <f t="shared" si="0"/>
        <v>-4619.0265401566721</v>
      </c>
      <c r="G24" s="2">
        <f>((Calc!D$5-Check!B24)*Calc!D$7-(Calc!C$5-Check!B24)*Calc!C$7)/Check!B24</f>
        <v>4620.3696019563704</v>
      </c>
      <c r="H24" s="2">
        <f t="shared" si="1"/>
        <v>1.3430617996982619</v>
      </c>
      <c r="K24">
        <f t="shared" si="3"/>
        <v>1.4749999999999979</v>
      </c>
      <c r="L24">
        <f>K24+Calc!F$5-Calc!G$5</f>
        <v>1.3949999999999978</v>
      </c>
      <c r="M24" s="1">
        <f>Calc!E$5/Check!L24</f>
        <v>86021.505376344227</v>
      </c>
      <c r="N24" s="1">
        <f>Calc!E$5/Check!K24</f>
        <v>81355.932203389952</v>
      </c>
      <c r="O24" s="2">
        <f t="shared" si="4"/>
        <v>-4665.5731729542749</v>
      </c>
      <c r="P24" s="2">
        <f>((-Calc!F$5+Check!K24)*Calc!F$7-(-Calc!G$5+Check!K24)*Calc!G$7)/Check!K24</f>
        <v>4672.2590172489654</v>
      </c>
      <c r="Q24" s="2">
        <f t="shared" si="5"/>
        <v>6.6858442946904688</v>
      </c>
    </row>
    <row r="25" spans="2:17" x14ac:dyDescent="0.25">
      <c r="B25">
        <f t="shared" si="2"/>
        <v>1.1100000000000023</v>
      </c>
      <c r="C25">
        <f>B25+Calc!D$5-Calc!C$5</f>
        <v>1.1600000000000026</v>
      </c>
      <c r="D25" s="1">
        <f>Calc!E$5/Check!C25</f>
        <v>103448.27586206874</v>
      </c>
      <c r="E25" s="1">
        <f>Calc!E$5/Check!B25</f>
        <v>108108.10810810789</v>
      </c>
      <c r="F25" s="2">
        <f t="shared" si="0"/>
        <v>-4659.83224603915</v>
      </c>
      <c r="G25" s="2">
        <f>((Calc!D$5-Check!B25)*Calc!D$7-(Calc!C$5-Check!B25)*Calc!C$7)/Check!B25</f>
        <v>4659.6728428904244</v>
      </c>
      <c r="H25" s="2">
        <f t="shared" si="1"/>
        <v>-0.15940314872568706</v>
      </c>
      <c r="K25">
        <f t="shared" si="3"/>
        <v>1.4799999999999978</v>
      </c>
      <c r="L25">
        <f>K25+Calc!F$5-Calc!G$5</f>
        <v>1.3999999999999977</v>
      </c>
      <c r="M25" s="1">
        <f>Calc!E$5/Check!L25</f>
        <v>85714.285714285856</v>
      </c>
      <c r="N25" s="1">
        <f>Calc!E$5/Check!K25</f>
        <v>81081.081081081211</v>
      </c>
      <c r="O25" s="2">
        <f t="shared" si="4"/>
        <v>-4633.2046332046448</v>
      </c>
      <c r="P25" s="2">
        <f>((-Calc!F$5+Check!K25)*Calc!F$7-(-Calc!G$5+Check!K25)*Calc!G$7)/Check!K25</f>
        <v>4638.7691327095426</v>
      </c>
      <c r="Q25" s="2">
        <f t="shared" si="5"/>
        <v>5.5644995048978672</v>
      </c>
    </row>
    <row r="26" spans="2:17" x14ac:dyDescent="0.25">
      <c r="B26">
        <f t="shared" si="2"/>
        <v>1.1050000000000024</v>
      </c>
      <c r="C26">
        <f>B26+Calc!D$5-Calc!C$5</f>
        <v>1.1550000000000027</v>
      </c>
      <c r="D26" s="1">
        <f>Calc!E$5/Check!C26</f>
        <v>103896.10389610365</v>
      </c>
      <c r="E26" s="1">
        <f>Calc!E$5/Check!B26</f>
        <v>108597.28506787306</v>
      </c>
      <c r="F26" s="2">
        <f t="shared" si="0"/>
        <v>-4701.1811717694072</v>
      </c>
      <c r="G26" s="2">
        <f>((Calc!D$5-Check!B26)*Calc!D$7-(Calc!C$5-Check!B26)*Calc!C$7)/Check!B26</f>
        <v>4699.3317692627925</v>
      </c>
      <c r="H26" s="2">
        <f t="shared" si="1"/>
        <v>-1.8494025066147515</v>
      </c>
      <c r="K26">
        <f t="shared" si="3"/>
        <v>1.4849999999999977</v>
      </c>
      <c r="L26">
        <f>K26+Calc!F$5-Calc!G$5</f>
        <v>1.4049999999999976</v>
      </c>
      <c r="M26" s="1">
        <f>Calc!E$5/Check!L26</f>
        <v>85409.252669039299</v>
      </c>
      <c r="N26" s="1">
        <f>Calc!E$5/Check!K26</f>
        <v>80808.080808080937</v>
      </c>
      <c r="O26" s="2">
        <f t="shared" si="4"/>
        <v>-4601.1718609583622</v>
      </c>
      <c r="P26" s="2">
        <f>((-Calc!F$5+Check!K26)*Calc!F$7-(-Calc!G$5+Check!K26)*Calc!G$7)/Check!K26</f>
        <v>4605.5047692781309</v>
      </c>
      <c r="Q26" s="2">
        <f t="shared" si="5"/>
        <v>4.3329083197686487</v>
      </c>
    </row>
    <row r="27" spans="2:17" x14ac:dyDescent="0.25">
      <c r="B27">
        <f t="shared" si="2"/>
        <v>1.1000000000000025</v>
      </c>
      <c r="C27">
        <f>B27+Calc!D$5-Calc!C$5</f>
        <v>1.1500000000000028</v>
      </c>
      <c r="D27" s="1">
        <f>Calc!E$5/Check!C27</f>
        <v>104347.82608695627</v>
      </c>
      <c r="E27" s="1">
        <f>Calc!E$5/Check!B27</f>
        <v>109090.90909090884</v>
      </c>
      <c r="F27" s="2">
        <f t="shared" si="0"/>
        <v>-4743.0830039525754</v>
      </c>
      <c r="G27" s="2">
        <f>((Calc!D$5-Check!B27)*Calc!D$7-(Calc!C$5-Check!B27)*Calc!C$7)/Check!B27</f>
        <v>4739.3512313294586</v>
      </c>
      <c r="H27" s="2">
        <f t="shared" si="1"/>
        <v>-3.7317726231167399</v>
      </c>
      <c r="K27">
        <f t="shared" si="3"/>
        <v>1.4899999999999975</v>
      </c>
      <c r="L27">
        <f>K27+Calc!F$5-Calc!G$5</f>
        <v>1.4099999999999975</v>
      </c>
      <c r="M27" s="1">
        <f>Calc!E$5/Check!L27</f>
        <v>85106.382978723559</v>
      </c>
      <c r="N27" s="1">
        <f>Calc!E$5/Check!K27</f>
        <v>80536.912751677984</v>
      </c>
      <c r="O27" s="2">
        <f t="shared" si="4"/>
        <v>-4569.4702270455746</v>
      </c>
      <c r="P27" s="2">
        <f>((-Calc!F$5+Check!K27)*Calc!F$7-(-Calc!G$5+Check!K27)*Calc!G$7)/Check!K27</f>
        <v>4572.4636566080062</v>
      </c>
      <c r="Q27" s="2">
        <f t="shared" si="5"/>
        <v>2.9934295624316292</v>
      </c>
    </row>
    <row r="28" spans="2:17" x14ac:dyDescent="0.25">
      <c r="B28">
        <f t="shared" si="2"/>
        <v>1.0950000000000026</v>
      </c>
      <c r="C28">
        <f>B28+Calc!D$5-Calc!C$5</f>
        <v>1.1450000000000029</v>
      </c>
      <c r="D28" s="1">
        <f>Calc!E$5/Check!C28</f>
        <v>104803.4934497814</v>
      </c>
      <c r="E28" s="1">
        <f>Calc!E$5/Check!B28</f>
        <v>109589.04109589015</v>
      </c>
      <c r="F28" s="2">
        <f t="shared" si="0"/>
        <v>-4785.5476461087528</v>
      </c>
      <c r="G28" s="2">
        <f>((Calc!D$5-Check!B28)*Calc!D$7-(Calc!C$5-Check!B28)*Calc!C$7)/Check!B28</f>
        <v>4779.7361679355436</v>
      </c>
      <c r="H28" s="2">
        <f t="shared" si="1"/>
        <v>-5.8114781732092524</v>
      </c>
      <c r="K28">
        <f t="shared" si="3"/>
        <v>1.4949999999999974</v>
      </c>
      <c r="L28">
        <f>K28+Calc!F$5-Calc!G$5</f>
        <v>1.4149999999999974</v>
      </c>
      <c r="M28" s="1">
        <f>Calc!E$5/Check!L28</f>
        <v>84805.653710247512</v>
      </c>
      <c r="N28" s="1">
        <f>Calc!E$5/Check!K28</f>
        <v>80267.558528428228</v>
      </c>
      <c r="O28" s="2">
        <f t="shared" si="4"/>
        <v>-4538.0951818192843</v>
      </c>
      <c r="P28" s="2">
        <f>((-Calc!F$5+Check!K28)*Calc!F$7-(-Calc!G$5+Check!K28)*Calc!G$7)/Check!K28</f>
        <v>4539.6435547249694</v>
      </c>
      <c r="Q28" s="2">
        <f t="shared" si="5"/>
        <v>1.5483729056850279</v>
      </c>
    </row>
    <row r="29" spans="2:17" x14ac:dyDescent="0.25">
      <c r="B29">
        <f t="shared" si="2"/>
        <v>1.0900000000000027</v>
      </c>
      <c r="C29">
        <f>B29+Calc!D$5-Calc!C$5</f>
        <v>1.140000000000003</v>
      </c>
      <c r="D29" s="1">
        <f>Calc!E$5/Check!C29</f>
        <v>105263.15789473656</v>
      </c>
      <c r="E29" s="1">
        <f>Calc!E$5/Check!B29</f>
        <v>110091.74311926578</v>
      </c>
      <c r="F29" s="2">
        <f t="shared" si="0"/>
        <v>-4828.585224529219</v>
      </c>
      <c r="G29" s="2">
        <f>((Calc!D$5-Check!B29)*Calc!D$7-(Calc!C$5-Check!B29)*Calc!C$7)/Check!B29</f>
        <v>4820.4916085471896</v>
      </c>
      <c r="H29" s="2">
        <f t="shared" si="1"/>
        <v>-8.0936159820294051</v>
      </c>
      <c r="K29">
        <f t="shared" si="3"/>
        <v>1.4999999999999973</v>
      </c>
      <c r="L29">
        <f>K29+Calc!F$5-Calc!G$5</f>
        <v>1.4199999999999973</v>
      </c>
      <c r="M29" s="1">
        <f>Calc!E$5/Check!L29</f>
        <v>84507.042253521286</v>
      </c>
      <c r="N29" s="1">
        <f>Calc!E$5/Check!K29</f>
        <v>80000.000000000146</v>
      </c>
      <c r="O29" s="2">
        <f t="shared" si="4"/>
        <v>-4507.0422535211401</v>
      </c>
      <c r="P29" s="2">
        <f>((-Calc!F$5+Check!K29)*Calc!F$7-(-Calc!G$5+Check!K29)*Calc!G$7)/Check!K29</f>
        <v>4507.0422535211528</v>
      </c>
      <c r="Q29" s="2">
        <f t="shared" si="5"/>
        <v>1.2732925824820995E-11</v>
      </c>
    </row>
    <row r="30" spans="2:17" x14ac:dyDescent="0.25">
      <c r="B30">
        <f t="shared" si="2"/>
        <v>1.0850000000000029</v>
      </c>
      <c r="C30">
        <f>B30+Calc!D$5-Calc!C$5</f>
        <v>1.1350000000000031</v>
      </c>
      <c r="D30" s="1">
        <f>Calc!E$5/Check!C30</f>
        <v>105726.87224669574</v>
      </c>
      <c r="E30" s="1">
        <f>Calc!E$5/Check!B30</f>
        <v>110599.07834101353</v>
      </c>
      <c r="F30" s="2">
        <f t="shared" si="0"/>
        <v>-4872.206094317793</v>
      </c>
      <c r="G30" s="2">
        <f>((Calc!D$5-Check!B30)*Calc!D$7-(Calc!C$5-Check!B30)*Calc!C$7)/Check!B30</f>
        <v>4861.6226753395867</v>
      </c>
      <c r="H30" s="2">
        <f t="shared" si="1"/>
        <v>-10.583418978206282</v>
      </c>
      <c r="K30">
        <f t="shared" si="3"/>
        <v>1.5049999999999972</v>
      </c>
      <c r="L30">
        <f>K30+Calc!F$5-Calc!G$5</f>
        <v>1.4249999999999972</v>
      </c>
      <c r="M30" s="1">
        <f>Calc!E$5/Check!L30</f>
        <v>84210.526315789641</v>
      </c>
      <c r="N30" s="1">
        <f>Calc!E$5/Check!K30</f>
        <v>79734.219269103138</v>
      </c>
      <c r="O30" s="2">
        <f t="shared" si="4"/>
        <v>-4476.3070466865029</v>
      </c>
      <c r="P30" s="2">
        <f>((-Calc!F$5+Check!K30)*Calc!F$7-(-Calc!G$5+Check!K30)*Calc!G$7)/Check!K30</f>
        <v>4474.6575722588923</v>
      </c>
      <c r="Q30" s="2">
        <f t="shared" si="5"/>
        <v>-1.6494744276105848</v>
      </c>
    </row>
    <row r="31" spans="2:17" x14ac:dyDescent="0.25">
      <c r="B31">
        <f t="shared" si="2"/>
        <v>1.080000000000003</v>
      </c>
      <c r="C31">
        <f>B31+Calc!D$5-Calc!C$5</f>
        <v>1.1300000000000032</v>
      </c>
      <c r="D31" s="1">
        <f>Calc!E$5/Check!C31</f>
        <v>106194.69026548642</v>
      </c>
      <c r="E31" s="1">
        <f>Calc!E$5/Check!B31</f>
        <v>111111.1111111108</v>
      </c>
      <c r="F31" s="2">
        <f t="shared" si="0"/>
        <v>-4916.4208456243796</v>
      </c>
      <c r="G31" s="2">
        <f>((Calc!D$5-Check!B31)*Calc!D$7-(Calc!C$5-Check!B31)*Calc!C$7)/Check!B31</f>
        <v>4903.1345853430257</v>
      </c>
      <c r="H31" s="2">
        <f t="shared" si="1"/>
        <v>-13.286260281353862</v>
      </c>
      <c r="K31">
        <f t="shared" si="3"/>
        <v>1.5099999999999971</v>
      </c>
      <c r="L31">
        <f>K31+Calc!F$5-Calc!G$5</f>
        <v>1.4299999999999971</v>
      </c>
      <c r="M31" s="1">
        <f>Calc!E$5/Check!L31</f>
        <v>83916.083916084084</v>
      </c>
      <c r="N31" s="1">
        <f>Calc!E$5/Check!K31</f>
        <v>79470.198675496838</v>
      </c>
      <c r="O31" s="2">
        <f t="shared" si="4"/>
        <v>-4445.8852405872458</v>
      </c>
      <c r="P31" s="2">
        <f>((-Calc!F$5+Check!K31)*Calc!F$7-(-Calc!G$5+Check!K31)*Calc!G$7)/Check!K31</f>
        <v>4442.48735908446</v>
      </c>
      <c r="Q31" s="2">
        <f t="shared" si="5"/>
        <v>-3.3978815027858218</v>
      </c>
    </row>
    <row r="32" spans="2:17" x14ac:dyDescent="0.25">
      <c r="B32">
        <f t="shared" si="2"/>
        <v>1.0750000000000031</v>
      </c>
      <c r="C32">
        <f>B32+Calc!D$5-Calc!C$5</f>
        <v>1.1250000000000033</v>
      </c>
      <c r="D32" s="1">
        <f>Calc!E$5/Check!C32</f>
        <v>106666.66666666635</v>
      </c>
      <c r="E32" s="1">
        <f>Calc!E$5/Check!B32</f>
        <v>111627.90697674386</v>
      </c>
      <c r="F32" s="2">
        <f t="shared" si="0"/>
        <v>-4961.2403100775118</v>
      </c>
      <c r="G32" s="2">
        <f>((Calc!D$5-Check!B32)*Calc!D$7-(Calc!C$5-Check!B32)*Calc!C$7)/Check!B32</f>
        <v>4945.0326526488243</v>
      </c>
      <c r="H32" s="2">
        <f t="shared" si="1"/>
        <v>-16.207657428687526</v>
      </c>
      <c r="K32">
        <f t="shared" si="3"/>
        <v>1.514999999999997</v>
      </c>
      <c r="L32">
        <f>K32+Calc!F$5-Calc!G$5</f>
        <v>1.4349999999999969</v>
      </c>
      <c r="M32" s="1">
        <f>Calc!E$5/Check!L32</f>
        <v>83623.693379791119</v>
      </c>
      <c r="N32" s="1">
        <f>Calc!E$5/Check!K32</f>
        <v>79207.920792079371</v>
      </c>
      <c r="O32" s="2">
        <f t="shared" si="4"/>
        <v>-4415.7725877117482</v>
      </c>
      <c r="P32" s="2">
        <f>((-Calc!F$5+Check!K32)*Calc!F$7-(-Calc!G$5+Check!K32)*Calc!G$7)/Check!K32</f>
        <v>4410.529490551442</v>
      </c>
      <c r="Q32" s="2">
        <f t="shared" si="5"/>
        <v>-5.2430971603062062</v>
      </c>
    </row>
    <row r="33" spans="2:17" x14ac:dyDescent="0.25">
      <c r="B33">
        <f t="shared" si="2"/>
        <v>1.0700000000000032</v>
      </c>
      <c r="C33">
        <f>B33+Calc!D$5-Calc!C$5</f>
        <v>1.1200000000000034</v>
      </c>
      <c r="D33" s="1">
        <f>Calc!E$5/Check!C33</f>
        <v>107142.85714285681</v>
      </c>
      <c r="E33" s="1">
        <f>Calc!E$5/Check!B33</f>
        <v>112149.53271028004</v>
      </c>
      <c r="F33" s="2">
        <f t="shared" si="0"/>
        <v>-5006.6755674232263</v>
      </c>
      <c r="G33" s="2">
        <f>((Calc!D$5-Check!B33)*Calc!D$7-(Calc!C$5-Check!B33)*Calc!C$7)/Check!B33</f>
        <v>4987.3222906771052</v>
      </c>
      <c r="H33" s="2">
        <f t="shared" si="1"/>
        <v>-19.353276746121082</v>
      </c>
      <c r="K33">
        <f t="shared" si="3"/>
        <v>1.5199999999999969</v>
      </c>
      <c r="L33">
        <f>K33+Calc!F$5-Calc!G$5</f>
        <v>1.4399999999999968</v>
      </c>
      <c r="M33" s="1">
        <f>Calc!E$5/Check!L33</f>
        <v>83333.333333333518</v>
      </c>
      <c r="N33" s="1">
        <f>Calc!E$5/Check!K33</f>
        <v>78947.368421052786</v>
      </c>
      <c r="O33" s="2">
        <f t="shared" si="4"/>
        <v>-4385.9649122807314</v>
      </c>
      <c r="P33" s="2">
        <f>((-Calc!F$5+Check!K33)*Calc!F$7-(-Calc!G$5+Check!K33)*Calc!G$7)/Check!K33</f>
        <v>4378.7818711535119</v>
      </c>
      <c r="Q33" s="2">
        <f t="shared" si="5"/>
        <v>-7.1830411272194397</v>
      </c>
    </row>
    <row r="34" spans="2:17" x14ac:dyDescent="0.25">
      <c r="B34">
        <f t="shared" si="2"/>
        <v>1.0650000000000033</v>
      </c>
      <c r="C34">
        <f>B34+Calc!D$5-Calc!C$5</f>
        <v>1.1150000000000035</v>
      </c>
      <c r="D34" s="1">
        <f>Calc!E$5/Check!C34</f>
        <v>107623.31838564988</v>
      </c>
      <c r="E34" s="1">
        <f>Calc!E$5/Check!B34</f>
        <v>112676.05633802782</v>
      </c>
      <c r="F34" s="2">
        <f t="shared" si="0"/>
        <v>-5052.7379523779382</v>
      </c>
      <c r="G34" s="2">
        <f>((Calc!D$5-Check!B34)*Calc!D$7-(Calc!C$5-Check!B34)*Calc!C$7)/Check!B34</f>
        <v>5030.0090145084669</v>
      </c>
      <c r="H34" s="2">
        <f t="shared" si="1"/>
        <v>-22.728937869471338</v>
      </c>
      <c r="K34">
        <f t="shared" si="3"/>
        <v>1.5249999999999968</v>
      </c>
      <c r="L34">
        <f>K34+Calc!F$5-Calc!G$5</f>
        <v>1.4449999999999967</v>
      </c>
      <c r="M34" s="1">
        <f>Calc!E$5/Check!L34</f>
        <v>83044.982698962122</v>
      </c>
      <c r="N34" s="1">
        <f>Calc!E$5/Check!K34</f>
        <v>78688.524590164103</v>
      </c>
      <c r="O34" s="2">
        <f t="shared" si="4"/>
        <v>-4356.4581087980187</v>
      </c>
      <c r="P34" s="2">
        <f>((-Calc!F$5+Check!K34)*Calc!F$7-(-Calc!G$5+Check!K34)*Calc!G$7)/Check!K34</f>
        <v>4347.2424328663865</v>
      </c>
      <c r="Q34" s="2">
        <f t="shared" si="5"/>
        <v>-9.2156759316321768</v>
      </c>
    </row>
    <row r="35" spans="2:17" x14ac:dyDescent="0.25">
      <c r="B35">
        <f t="shared" si="2"/>
        <v>1.0600000000000034</v>
      </c>
      <c r="C35">
        <f>B35+Calc!D$5-Calc!C$5</f>
        <v>1.1100000000000037</v>
      </c>
      <c r="D35" s="1">
        <f>Calc!E$5/Check!C35</f>
        <v>108108.10810810776</v>
      </c>
      <c r="E35" s="1">
        <f>Calc!E$5/Check!B35</f>
        <v>113207.54716981096</v>
      </c>
      <c r="F35" s="2">
        <f t="shared" si="0"/>
        <v>-5099.4390617032041</v>
      </c>
      <c r="G35" s="2">
        <f>((Calc!D$5-Check!B35)*Calc!D$7-(Calc!C$5-Check!B35)*Calc!C$7)/Check!B35</f>
        <v>5073.0984432816331</v>
      </c>
      <c r="H35" s="2">
        <f t="shared" si="1"/>
        <v>-26.34061842157098</v>
      </c>
      <c r="K35">
        <f t="shared" si="3"/>
        <v>1.5299999999999967</v>
      </c>
      <c r="L35">
        <f>K35+Calc!F$5-Calc!G$5</f>
        <v>1.4499999999999966</v>
      </c>
      <c r="M35" s="1">
        <f>Calc!E$5/Check!L35</f>
        <v>82758.620689655363</v>
      </c>
      <c r="N35" s="1">
        <f>Calc!E$5/Check!K35</f>
        <v>78431.372549019783</v>
      </c>
      <c r="O35" s="2">
        <f t="shared" si="4"/>
        <v>-4327.2481406355801</v>
      </c>
      <c r="P35" s="2">
        <f>((-Calc!F$5+Check!K35)*Calc!F$7-(-Calc!G$5+Check!K35)*Calc!G$7)/Check!K35</f>
        <v>4315.9091346987843</v>
      </c>
      <c r="Q35" s="2">
        <f t="shared" si="5"/>
        <v>-11.339005936795729</v>
      </c>
    </row>
    <row r="36" spans="2:17" x14ac:dyDescent="0.25">
      <c r="B36">
        <f t="shared" si="2"/>
        <v>1.0550000000000035</v>
      </c>
      <c r="C36">
        <f>B36+Calc!D$5-Calc!C$5</f>
        <v>1.1050000000000038</v>
      </c>
      <c r="D36" s="1">
        <f>Calc!E$5/Check!C36</f>
        <v>108597.28506787293</v>
      </c>
      <c r="E36" s="1">
        <f>Calc!E$5/Check!B36</f>
        <v>113744.07582938351</v>
      </c>
      <c r="F36" s="2">
        <f t="shared" si="0"/>
        <v>-5146.7907615105796</v>
      </c>
      <c r="G36" s="2">
        <f>((Calc!D$5-Check!B36)*Calc!D$7-(Calc!C$5-Check!B36)*Calc!C$7)/Check!B36</f>
        <v>5116.5963026592899</v>
      </c>
      <c r="H36" s="2">
        <f t="shared" si="1"/>
        <v>-30.19445885128971</v>
      </c>
      <c r="K36">
        <f t="shared" si="3"/>
        <v>1.5349999999999966</v>
      </c>
      <c r="L36">
        <f>K36+Calc!F$5-Calc!G$5</f>
        <v>1.4549999999999965</v>
      </c>
      <c r="M36" s="1">
        <f>Calc!E$5/Check!L36</f>
        <v>82474.226804123915</v>
      </c>
      <c r="N36" s="1">
        <f>Calc!E$5/Check!K36</f>
        <v>78175.89576547248</v>
      </c>
      <c r="O36" s="2">
        <f t="shared" si="4"/>
        <v>-4298.3310386514349</v>
      </c>
      <c r="P36" s="2">
        <f>((-Calc!F$5+Check!K36)*Calc!F$7-(-Calc!G$5+Check!K36)*Calc!G$7)/Check!K36</f>
        <v>4284.7799622521461</v>
      </c>
      <c r="Q36" s="2">
        <f t="shared" si="5"/>
        <v>-13.551076399288831</v>
      </c>
    </row>
    <row r="37" spans="2:17" x14ac:dyDescent="0.25">
      <c r="B37">
        <f t="shared" si="2"/>
        <v>1.0500000000000036</v>
      </c>
      <c r="C37">
        <f>B37+Calc!D$5-Calc!C$5</f>
        <v>1.1000000000000039</v>
      </c>
      <c r="D37" s="1">
        <f>Calc!E$5/Check!C37</f>
        <v>109090.90909090871</v>
      </c>
      <c r="E37" s="1">
        <f>Calc!E$5/Check!B37</f>
        <v>114285.7142857139</v>
      </c>
      <c r="F37" s="2">
        <f t="shared" si="0"/>
        <v>-5194.8051948051871</v>
      </c>
      <c r="G37" s="2">
        <f>((Calc!D$5-Check!B37)*Calc!D$7-(Calc!C$5-Check!B37)*Calc!C$7)/Check!B37</f>
        <v>5160.5084273643488</v>
      </c>
      <c r="H37" s="2">
        <f t="shared" si="1"/>
        <v>-34.296767440838266</v>
      </c>
      <c r="K37">
        <f t="shared" si="3"/>
        <v>1.5399999999999965</v>
      </c>
      <c r="L37">
        <f>K37+Calc!F$5-Calc!G$5</f>
        <v>1.4599999999999964</v>
      </c>
      <c r="M37" s="1">
        <f>Calc!E$5/Check!L37</f>
        <v>82191.780821918015</v>
      </c>
      <c r="N37" s="1">
        <f>Calc!E$5/Check!K37</f>
        <v>77922.077922078097</v>
      </c>
      <c r="O37" s="2">
        <f t="shared" si="4"/>
        <v>-4269.7028998399182</v>
      </c>
      <c r="P37" s="2">
        <f>((-Calc!F$5+Check!K37)*Calc!F$7-(-Calc!G$5+Check!K37)*Calc!G$7)/Check!K37</f>
        <v>4253.8529272889245</v>
      </c>
      <c r="Q37" s="2">
        <f t="shared" si="5"/>
        <v>-15.849972550993698</v>
      </c>
    </row>
    <row r="38" spans="2:17" x14ac:dyDescent="0.25">
      <c r="B38">
        <f t="shared" si="2"/>
        <v>1.0450000000000037</v>
      </c>
      <c r="C38">
        <f>B38+Calc!D$5-Calc!C$5</f>
        <v>1.095000000000004</v>
      </c>
      <c r="D38" s="1">
        <f>Calc!E$5/Check!C38</f>
        <v>109589.04109589002</v>
      </c>
      <c r="E38" s="1">
        <f>Calc!E$5/Check!B38</f>
        <v>114832.53588516706</v>
      </c>
      <c r="F38" s="2">
        <f t="shared" si="0"/>
        <v>-5243.4947892770433</v>
      </c>
      <c r="G38" s="2">
        <f>((Calc!D$5-Check!B38)*Calc!D$7-(Calc!C$5-Check!B38)*Calc!C$7)/Check!B38</f>
        <v>5204.8407637890741</v>
      </c>
      <c r="H38" s="2">
        <f t="shared" si="1"/>
        <v>-38.654025487969193</v>
      </c>
      <c r="K38">
        <f t="shared" si="3"/>
        <v>1.5449999999999964</v>
      </c>
      <c r="L38">
        <f>K38+Calc!F$5-Calc!G$5</f>
        <v>1.4649999999999963</v>
      </c>
      <c r="M38" s="1">
        <f>Calc!E$5/Check!L38</f>
        <v>81911.262798635013</v>
      </c>
      <c r="N38" s="1">
        <f>Calc!E$5/Check!K38</f>
        <v>77669.902912621546</v>
      </c>
      <c r="O38" s="2">
        <f t="shared" si="4"/>
        <v>-4241.3598860134662</v>
      </c>
      <c r="P38" s="2">
        <f>((-Calc!F$5+Check!K38)*Calc!F$7-(-Calc!G$5+Check!K38)*Calc!G$7)/Check!K38</f>
        <v>4223.1260673092847</v>
      </c>
      <c r="Q38" s="2">
        <f t="shared" si="5"/>
        <v>-18.233818704181431</v>
      </c>
    </row>
    <row r="39" spans="2:17" x14ac:dyDescent="0.25">
      <c r="B39">
        <f t="shared" si="2"/>
        <v>1.0400000000000038</v>
      </c>
      <c r="C39">
        <f>B39+Calc!D$5-Calc!C$5</f>
        <v>1.0900000000000041</v>
      </c>
      <c r="D39" s="1">
        <f>Calc!E$5/Check!C39</f>
        <v>110091.74311926564</v>
      </c>
      <c r="E39" s="1">
        <f>Calc!E$5/Check!B39</f>
        <v>115384.61538461497</v>
      </c>
      <c r="F39" s="2">
        <f t="shared" si="0"/>
        <v>-5292.8722653493314</v>
      </c>
      <c r="G39" s="2">
        <f>((Calc!D$5-Check!B39)*Calc!D$7-(Calc!C$5-Check!B39)*Calc!C$7)/Check!B39</f>
        <v>5249.5993726794195</v>
      </c>
      <c r="H39" s="2">
        <f t="shared" si="1"/>
        <v>-43.272892669911926</v>
      </c>
      <c r="K39">
        <f t="shared" si="3"/>
        <v>1.5499999999999963</v>
      </c>
      <c r="L39">
        <f>K39+Calc!F$5-Calc!G$5</f>
        <v>1.4699999999999962</v>
      </c>
      <c r="M39" s="1">
        <f>Calc!E$5/Check!L39</f>
        <v>81632.653061224701</v>
      </c>
      <c r="N39" s="1">
        <f>Calc!E$5/Check!K39</f>
        <v>77419.354838709871</v>
      </c>
      <c r="O39" s="2">
        <f t="shared" si="4"/>
        <v>-4213.2982225148298</v>
      </c>
      <c r="P39" s="2">
        <f>((-Calc!F$5+Check!K39)*Calc!F$7-(-Calc!G$5+Check!K39)*Calc!G$7)/Check!K39</f>
        <v>4192.5974451359662</v>
      </c>
      <c r="Q39" s="2">
        <f t="shared" si="5"/>
        <v>-20.700777378863677</v>
      </c>
    </row>
    <row r="40" spans="2:17" x14ac:dyDescent="0.25">
      <c r="B40">
        <f t="shared" si="2"/>
        <v>1.0350000000000039</v>
      </c>
      <c r="C40">
        <f>B40+Calc!D$5-Calc!C$5</f>
        <v>1.0850000000000042</v>
      </c>
      <c r="D40" s="1">
        <f>Calc!E$5/Check!C40</f>
        <v>110599.0783410134</v>
      </c>
      <c r="E40" s="1">
        <f>Calc!E$5/Check!B40</f>
        <v>115942.02898550681</v>
      </c>
      <c r="F40" s="2">
        <f t="shared" si="0"/>
        <v>-5342.9506444934086</v>
      </c>
      <c r="G40" s="2">
        <f>((Calc!D$5-Check!B40)*Calc!D$7-(Calc!C$5-Check!B40)*Calc!C$7)/Check!B40</f>
        <v>5294.7904318972123</v>
      </c>
      <c r="H40" s="2">
        <f t="shared" si="1"/>
        <v>-48.160212596196288</v>
      </c>
      <c r="K40">
        <f t="shared" si="3"/>
        <v>1.5549999999999962</v>
      </c>
      <c r="L40">
        <f>K40+Calc!F$5-Calc!G$5</f>
        <v>1.4749999999999961</v>
      </c>
      <c r="M40" s="1">
        <f>Calc!E$5/Check!L40</f>
        <v>81355.932203390039</v>
      </c>
      <c r="N40" s="1">
        <f>Calc!E$5/Check!K40</f>
        <v>77170.418006431064</v>
      </c>
      <c r="O40" s="2">
        <f t="shared" si="4"/>
        <v>-4185.5141969589749</v>
      </c>
      <c r="P40" s="2">
        <f>((-Calc!F$5+Check!K40)*Calc!F$7-(-Calc!G$5+Check!K40)*Calc!G$7)/Check!K40</f>
        <v>4162.2651485071692</v>
      </c>
      <c r="Q40" s="2">
        <f t="shared" si="5"/>
        <v>-23.24904845180572</v>
      </c>
    </row>
    <row r="41" spans="2:17" x14ac:dyDescent="0.25">
      <c r="B41">
        <f t="shared" si="2"/>
        <v>1.030000000000004</v>
      </c>
      <c r="C41">
        <f>B41+Calc!D$5-Calc!C$5</f>
        <v>1.0800000000000043</v>
      </c>
      <c r="D41" s="1">
        <f>Calc!E$5/Check!C41</f>
        <v>111111.11111111067</v>
      </c>
      <c r="E41" s="1">
        <f>Calc!E$5/Check!B41</f>
        <v>116504.85436893158</v>
      </c>
      <c r="F41" s="2">
        <f t="shared" si="0"/>
        <v>-5393.7432578209118</v>
      </c>
      <c r="G41" s="2">
        <f>((Calc!D$5-Check!B41)*Calc!D$7-(Calc!C$5-Check!B41)*Calc!C$7)/Check!B41</f>
        <v>5340.4202392627503</v>
      </c>
      <c r="H41" s="2">
        <f t="shared" si="1"/>
        <v>-53.323018558161493</v>
      </c>
      <c r="K41">
        <f t="shared" si="3"/>
        <v>1.5599999999999961</v>
      </c>
      <c r="L41">
        <f>K41+Calc!F$5-Calc!G$5</f>
        <v>1.479999999999996</v>
      </c>
      <c r="M41" s="1">
        <f>Calc!E$5/Check!L41</f>
        <v>81081.081081081298</v>
      </c>
      <c r="N41" s="1">
        <f>Calc!E$5/Check!K41</f>
        <v>76923.076923077111</v>
      </c>
      <c r="O41" s="2">
        <f t="shared" si="4"/>
        <v>-4158.004158004187</v>
      </c>
      <c r="P41" s="2">
        <f>((-Calc!F$5+Check!K41)*Calc!F$7-(-Calc!G$5+Check!K41)*Calc!G$7)/Check!K41</f>
        <v>4132.1272896772771</v>
      </c>
      <c r="Q41" s="2">
        <f t="shared" si="5"/>
        <v>-25.876868326909971</v>
      </c>
    </row>
    <row r="42" spans="2:17" x14ac:dyDescent="0.25">
      <c r="B42">
        <f t="shared" si="2"/>
        <v>1.0250000000000041</v>
      </c>
      <c r="C42">
        <f>B42+Calc!D$5-Calc!C$5</f>
        <v>1.0750000000000044</v>
      </c>
      <c r="D42" s="1">
        <f>Calc!E$5/Check!C42</f>
        <v>111627.90697674373</v>
      </c>
      <c r="E42" s="1">
        <f>Calc!E$5/Check!B42</f>
        <v>117073.17073170685</v>
      </c>
      <c r="F42" s="2">
        <f t="shared" si="0"/>
        <v>-5445.2637549631181</v>
      </c>
      <c r="G42" s="2">
        <f>((Calc!D$5-Check!B42)*Calc!D$7-(Calc!C$5-Check!B42)*Calc!C$7)/Check!B42</f>
        <v>5386.4952154806315</v>
      </c>
      <c r="H42" s="2">
        <f t="shared" si="1"/>
        <v>-58.768539482486631</v>
      </c>
      <c r="K42">
        <f t="shared" si="3"/>
        <v>1.5649999999999959</v>
      </c>
      <c r="L42">
        <f>K42+Calc!F$5-Calc!G$5</f>
        <v>1.4849999999999959</v>
      </c>
      <c r="M42" s="1">
        <f>Calc!E$5/Check!L42</f>
        <v>80808.080808081038</v>
      </c>
      <c r="N42" s="1">
        <f>Calc!E$5/Check!K42</f>
        <v>76677.316293929907</v>
      </c>
      <c r="O42" s="2">
        <f t="shared" si="4"/>
        <v>-4130.7645141511312</v>
      </c>
      <c r="P42" s="2">
        <f>((-Calc!F$5+Check!K42)*Calc!F$7-(-Calc!G$5+Check!K42)*Calc!G$7)/Check!K42</f>
        <v>4102.1820050252109</v>
      </c>
      <c r="Q42" s="2">
        <f t="shared" si="5"/>
        <v>-28.582509125920296</v>
      </c>
    </row>
    <row r="43" spans="2:17" x14ac:dyDescent="0.25">
      <c r="B43">
        <f t="shared" si="2"/>
        <v>1.0200000000000042</v>
      </c>
      <c r="C43">
        <f>B43+Calc!D$5-Calc!C$5</f>
        <v>1.0700000000000045</v>
      </c>
      <c r="D43" s="1">
        <f>Calc!E$5/Check!C43</f>
        <v>112149.53271027991</v>
      </c>
      <c r="E43" s="1">
        <f>Calc!E$5/Check!B43</f>
        <v>117647.05882352892</v>
      </c>
      <c r="F43" s="2">
        <f t="shared" si="0"/>
        <v>-5497.5261132490123</v>
      </c>
      <c r="G43" s="2">
        <f>((Calc!D$5-Check!B43)*Calc!D$7-(Calc!C$5-Check!B43)*Calc!C$7)/Check!B43</f>
        <v>5433.0219071516331</v>
      </c>
      <c r="H43" s="2">
        <f t="shared" si="1"/>
        <v>-64.50420609737921</v>
      </c>
      <c r="K43">
        <f t="shared" si="3"/>
        <v>1.5699999999999958</v>
      </c>
      <c r="L43">
        <f>K43+Calc!F$5-Calc!G$5</f>
        <v>1.4899999999999958</v>
      </c>
      <c r="M43" s="1">
        <f>Calc!E$5/Check!L43</f>
        <v>80536.912751678086</v>
      </c>
      <c r="N43" s="1">
        <f>Calc!E$5/Check!K43</f>
        <v>76433.121019108483</v>
      </c>
      <c r="O43" s="2">
        <f t="shared" si="4"/>
        <v>-4103.7917325696035</v>
      </c>
      <c r="P43" s="2">
        <f>((-Calc!F$5+Check!K43)*Calc!F$7-(-Calc!G$5+Check!K43)*Calc!G$7)/Check!K43</f>
        <v>4072.42745467029</v>
      </c>
      <c r="Q43" s="2">
        <f t="shared" si="5"/>
        <v>-31.364277899313493</v>
      </c>
    </row>
    <row r="44" spans="2:17" x14ac:dyDescent="0.25">
      <c r="B44">
        <f t="shared" si="2"/>
        <v>1.0150000000000043</v>
      </c>
      <c r="C44">
        <f>B44+Calc!D$5-Calc!C$5</f>
        <v>1.0650000000000046</v>
      </c>
      <c r="D44" s="1">
        <f>Calc!E$5/Check!C44</f>
        <v>112676.05633802769</v>
      </c>
      <c r="E44" s="1">
        <f>Calc!E$5/Check!B44</f>
        <v>118226.60098522117</v>
      </c>
      <c r="F44" s="2">
        <f t="shared" si="0"/>
        <v>-5550.5446471934847</v>
      </c>
      <c r="G44" s="2">
        <f>((Calc!D$5-Check!B44)*Calc!D$7-(Calc!C$5-Check!B44)*Calc!C$7)/Check!B44</f>
        <v>5480.0069898735765</v>
      </c>
      <c r="H44" s="2">
        <f t="shared" si="1"/>
        <v>-70.537657319908249</v>
      </c>
      <c r="K44">
        <f t="shared" si="3"/>
        <v>1.5749999999999957</v>
      </c>
      <c r="L44">
        <f>K44+Calc!F$5-Calc!G$5</f>
        <v>1.4949999999999957</v>
      </c>
      <c r="M44" s="1">
        <f>Calc!E$5/Check!L44</f>
        <v>80267.55852842833</v>
      </c>
      <c r="N44" s="1">
        <f>Calc!E$5/Check!K44</f>
        <v>76190.476190476402</v>
      </c>
      <c r="O44" s="2">
        <f t="shared" si="4"/>
        <v>-4077.0823379519279</v>
      </c>
      <c r="P44" s="2">
        <f>((-Calc!F$5+Check!K44)*Calc!F$7-(-Calc!G$5+Check!K44)*Calc!G$7)/Check!K44</f>
        <v>4042.8618220953999</v>
      </c>
      <c r="Q44" s="2">
        <f t="shared" si="5"/>
        <v>-34.220515856527982</v>
      </c>
    </row>
    <row r="45" spans="2:17" x14ac:dyDescent="0.25">
      <c r="B45">
        <f t="shared" si="2"/>
        <v>1.0100000000000044</v>
      </c>
      <c r="C45">
        <f>B45+Calc!D$5-Calc!C$5</f>
        <v>1.0600000000000047</v>
      </c>
      <c r="D45" s="1">
        <f>Calc!E$5/Check!C45</f>
        <v>113207.54716981082</v>
      </c>
      <c r="E45" s="1">
        <f>Calc!E$5/Check!B45</f>
        <v>118811.88118811829</v>
      </c>
      <c r="F45" s="2">
        <f t="shared" si="0"/>
        <v>-5604.3340183074761</v>
      </c>
      <c r="G45" s="2">
        <f>((Calc!D$5-Check!B45)*Calc!D$7-(Calc!C$5-Check!B45)*Calc!C$7)/Check!B45</f>
        <v>5527.4572714343503</v>
      </c>
      <c r="H45" s="2">
        <f t="shared" si="1"/>
        <v>-76.87674687312574</v>
      </c>
      <c r="K45">
        <f t="shared" si="3"/>
        <v>1.5799999999999956</v>
      </c>
      <c r="L45">
        <f>K45+Calc!F$5-Calc!G$5</f>
        <v>1.4999999999999956</v>
      </c>
      <c r="M45" s="1">
        <f>Calc!E$5/Check!L45</f>
        <v>80000.000000000233</v>
      </c>
      <c r="N45" s="1">
        <f>Calc!E$5/Check!K45</f>
        <v>75949.367088607803</v>
      </c>
      <c r="O45" s="2">
        <f t="shared" si="4"/>
        <v>-4050.6329113924294</v>
      </c>
      <c r="P45" s="2">
        <f>((-Calc!F$5+Check!K45)*Calc!F$7-(-Calc!G$5+Check!K45)*Calc!G$7)/Check!K45</f>
        <v>4013.4833137773157</v>
      </c>
      <c r="Q45" s="2">
        <f t="shared" si="5"/>
        <v>-37.149597615113635</v>
      </c>
    </row>
    <row r="46" spans="2:17" x14ac:dyDescent="0.25">
      <c r="B46">
        <f t="shared" si="2"/>
        <v>1.0050000000000046</v>
      </c>
      <c r="C46">
        <f>B46+Calc!D$5-Calc!C$5</f>
        <v>1.0550000000000048</v>
      </c>
      <c r="D46" s="1">
        <f>Calc!E$5/Check!C46</f>
        <v>113744.07582938336</v>
      </c>
      <c r="E46" s="1">
        <f>Calc!E$5/Check!B46</f>
        <v>119402.98507462633</v>
      </c>
      <c r="F46" s="2">
        <f t="shared" si="0"/>
        <v>-5658.9092452429613</v>
      </c>
      <c r="G46" s="2">
        <f>((Calc!D$5-Check!B46)*Calc!D$7-(Calc!C$5-Check!B46)*Calc!C$7)/Check!B46</f>
        <v>5575.3796951002114</v>
      </c>
      <c r="H46" s="2">
        <f t="shared" si="1"/>
        <v>-83.52955014274994</v>
      </c>
      <c r="K46">
        <f t="shared" si="3"/>
        <v>1.5849999999999955</v>
      </c>
      <c r="L46">
        <f>K46+Calc!F$5-Calc!G$5</f>
        <v>1.5049999999999955</v>
      </c>
      <c r="M46" s="1">
        <f>Calc!E$5/Check!L46</f>
        <v>79734.219269103225</v>
      </c>
      <c r="N46" s="1">
        <f>Calc!E$5/Check!K46</f>
        <v>75709.779179810939</v>
      </c>
      <c r="O46" s="2">
        <f t="shared" si="4"/>
        <v>-4024.4400892922858</v>
      </c>
      <c r="P46" s="2">
        <f>((-Calc!F$5+Check!K46)*Calc!F$7-(-Calc!G$5+Check!K46)*Calc!G$7)/Check!K46</f>
        <v>3984.290158824012</v>
      </c>
      <c r="Q46" s="2">
        <f t="shared" si="5"/>
        <v>-40.149930468273851</v>
      </c>
    </row>
    <row r="47" spans="2:17" x14ac:dyDescent="0.25">
      <c r="B47">
        <f t="shared" si="2"/>
        <v>1.0000000000000047</v>
      </c>
      <c r="C47">
        <f>B47+Calc!D$5-Calc!C$5</f>
        <v>1.0500000000000049</v>
      </c>
      <c r="D47" s="1">
        <f>Calc!E$5/Check!C47</f>
        <v>114285.71428571375</v>
      </c>
      <c r="E47" s="1">
        <f>Calc!E$5/Check!B47</f>
        <v>119999.99999999945</v>
      </c>
      <c r="F47" s="2">
        <f t="shared" si="0"/>
        <v>-5714.2857142856956</v>
      </c>
      <c r="G47" s="2">
        <f>((Calc!D$5-Check!B47)*Calc!D$7-(Calc!C$5-Check!B47)*Calc!C$7)/Check!B47</f>
        <v>5623.78134300273</v>
      </c>
      <c r="H47" s="2">
        <f t="shared" si="1"/>
        <v>-90.504371282965622</v>
      </c>
      <c r="K47">
        <f t="shared" si="3"/>
        <v>1.5899999999999954</v>
      </c>
      <c r="L47">
        <f>K47+Calc!F$5-Calc!G$5</f>
        <v>1.5099999999999953</v>
      </c>
      <c r="M47" s="1">
        <f>Calc!E$5/Check!L47</f>
        <v>79470.19867549694</v>
      </c>
      <c r="N47" s="1">
        <f>Calc!E$5/Check!K47</f>
        <v>75471.698113207764</v>
      </c>
      <c r="O47" s="2">
        <f t="shared" si="4"/>
        <v>-3998.5005622891767</v>
      </c>
      <c r="P47" s="2">
        <f>((-Calc!F$5+Check!K47)*Calc!F$7-(-Calc!G$5+Check!K47)*Calc!G$7)/Check!K47</f>
        <v>3955.2806086188443</v>
      </c>
      <c r="Q47" s="2">
        <f t="shared" si="5"/>
        <v>-43.219953670332416</v>
      </c>
    </row>
    <row r="48" spans="2:17" x14ac:dyDescent="0.25">
      <c r="B48">
        <f t="shared" si="2"/>
        <v>0.99500000000000466</v>
      </c>
      <c r="C48">
        <f>B48+Calc!D$5-Calc!C$5</f>
        <v>1.0450000000000046</v>
      </c>
      <c r="D48" s="1">
        <f>Calc!E$5/Check!C48</f>
        <v>114832.53588516696</v>
      </c>
      <c r="E48" s="1">
        <f>Calc!E$5/Check!B48</f>
        <v>120603.01507537632</v>
      </c>
      <c r="F48" s="2">
        <f t="shared" si="0"/>
        <v>-5770.4791902093566</v>
      </c>
      <c r="G48" s="2">
        <f>((Calc!D$5-Check!B48)*Calc!D$7-(Calc!C$5-Check!B48)*Calc!C$7)/Check!B48</f>
        <v>5672.6694396278845</v>
      </c>
      <c r="H48" s="2">
        <f t="shared" si="1"/>
        <v>-97.809750581472144</v>
      </c>
      <c r="K48">
        <f t="shared" si="3"/>
        <v>1.5949999999999953</v>
      </c>
      <c r="L48">
        <f>K48+Calc!F$5-Calc!G$5</f>
        <v>1.5149999999999952</v>
      </c>
      <c r="M48" s="1">
        <f>Calc!E$5/Check!L48</f>
        <v>79207.920792079458</v>
      </c>
      <c r="N48" s="1">
        <f>Calc!E$5/Check!K48</f>
        <v>75235.10971786856</v>
      </c>
      <c r="O48" s="2">
        <f t="shared" si="4"/>
        <v>-3972.8110742108984</v>
      </c>
      <c r="P48" s="2">
        <f>((-Calc!F$5+Check!K48)*Calc!F$7-(-Calc!G$5+Check!K48)*Calc!G$7)/Check!K48</f>
        <v>3926.4529364713871</v>
      </c>
      <c r="Q48" s="2">
        <f t="shared" si="5"/>
        <v>-46.358137739511221</v>
      </c>
    </row>
    <row r="49" spans="2:17" x14ac:dyDescent="0.25">
      <c r="B49">
        <f t="shared" si="2"/>
        <v>0.99000000000000465</v>
      </c>
      <c r="C49">
        <f>B49+Calc!D$5-Calc!C$5</f>
        <v>1.0400000000000047</v>
      </c>
      <c r="D49" s="1">
        <f>Calc!E$5/Check!C49</f>
        <v>115384.61538461487</v>
      </c>
      <c r="E49" s="1">
        <f>Calc!E$5/Check!B49</f>
        <v>121212.12121212065</v>
      </c>
      <c r="F49" s="2">
        <f t="shared" si="0"/>
        <v>-5827.5058275057818</v>
      </c>
      <c r="G49" s="2">
        <f>((Calc!D$5-Check!B49)*Calc!D$7-(Calc!C$5-Check!B49)*Calc!C$7)/Check!B49</f>
        <v>5722.051355410872</v>
      </c>
      <c r="H49" s="2">
        <f t="shared" si="1"/>
        <v>-105.45447209490976</v>
      </c>
      <c r="K49">
        <f t="shared" si="3"/>
        <v>1.5999999999999952</v>
      </c>
      <c r="L49">
        <f>K49+Calc!F$5-Calc!G$5</f>
        <v>1.5199999999999951</v>
      </c>
      <c r="M49" s="1">
        <f>Calc!E$5/Check!L49</f>
        <v>78947.368421052888</v>
      </c>
      <c r="N49" s="1">
        <f>Calc!E$5/Check!K49</f>
        <v>75000.000000000218</v>
      </c>
      <c r="O49" s="2">
        <f t="shared" si="4"/>
        <v>-3947.3684210526699</v>
      </c>
      <c r="P49" s="2">
        <f>((-Calc!F$5+Check!K49)*Calc!F$7-(-Calc!G$5+Check!K49)*Calc!G$7)/Check!K49</f>
        <v>3897.8054372748516</v>
      </c>
      <c r="Q49" s="2">
        <f t="shared" si="5"/>
        <v>-49.562983777818317</v>
      </c>
    </row>
    <row r="50" spans="2:17" x14ac:dyDescent="0.25">
      <c r="B50">
        <f t="shared" si="2"/>
        <v>0.98500000000000465</v>
      </c>
      <c r="C50">
        <f>B50+Calc!D$5-Calc!C$5</f>
        <v>1.0350000000000048</v>
      </c>
      <c r="D50" s="1">
        <f>Calc!E$5/Check!C50</f>
        <v>115942.02898550671</v>
      </c>
      <c r="E50" s="1">
        <f>Calc!E$5/Check!B50</f>
        <v>121827.41116751211</v>
      </c>
      <c r="F50" s="2">
        <f t="shared" si="0"/>
        <v>-5885.3821820054</v>
      </c>
      <c r="G50" s="2">
        <f>((Calc!D$5-Check!B50)*Calc!D$7-(Calc!C$5-Check!B50)*Calc!C$7)/Check!B50</f>
        <v>5771.9346104403849</v>
      </c>
      <c r="H50" s="2">
        <f t="shared" si="1"/>
        <v>-113.4475715650151</v>
      </c>
      <c r="K50">
        <f t="shared" si="3"/>
        <v>1.6049999999999951</v>
      </c>
      <c r="L50">
        <f>K50+Calc!F$5-Calc!G$5</f>
        <v>1.524999999999995</v>
      </c>
      <c r="M50" s="1">
        <f>Calc!E$5/Check!L50</f>
        <v>78688.52459016419</v>
      </c>
      <c r="N50" s="1">
        <f>Calc!E$5/Check!K50</f>
        <v>74766.355140187137</v>
      </c>
      <c r="O50" s="2">
        <f t="shared" si="4"/>
        <v>-3922.1694499770529</v>
      </c>
      <c r="P50" s="2">
        <f>((-Calc!F$5+Check!K50)*Calc!F$7-(-Calc!G$5+Check!K50)*Calc!G$7)/Check!K50</f>
        <v>3869.3364271698874</v>
      </c>
      <c r="Q50" s="2">
        <f t="shared" si="5"/>
        <v>-52.833022807165435</v>
      </c>
    </row>
    <row r="51" spans="2:17" x14ac:dyDescent="0.25">
      <c r="B51">
        <f t="shared" si="2"/>
        <v>0.98000000000000465</v>
      </c>
      <c r="C51">
        <f>B51+Calc!D$5-Calc!C$5</f>
        <v>1.0300000000000045</v>
      </c>
      <c r="D51" s="1">
        <f>Calc!E$5/Check!C51</f>
        <v>116504.85436893153</v>
      </c>
      <c r="E51" s="1">
        <f>Calc!E$5/Check!B51</f>
        <v>122448.97959183615</v>
      </c>
      <c r="F51" s="2">
        <f t="shared" si="0"/>
        <v>-5944.1252229046222</v>
      </c>
      <c r="G51" s="2">
        <f>((Calc!D$5-Check!B51)*Calc!D$7-(Calc!C$5-Check!B51)*Calc!C$7)/Check!B51</f>
        <v>5822.3268782763234</v>
      </c>
      <c r="H51" s="2">
        <f t="shared" si="1"/>
        <v>-121.79834462829876</v>
      </c>
      <c r="K51">
        <f t="shared" si="3"/>
        <v>1.609999999999995</v>
      </c>
      <c r="L51">
        <f>K51+Calc!F$5-Calc!G$5</f>
        <v>1.5299999999999949</v>
      </c>
      <c r="M51" s="1">
        <f>Calc!E$5/Check!L51</f>
        <v>78431.37254901987</v>
      </c>
      <c r="N51" s="1">
        <f>Calc!E$5/Check!K51</f>
        <v>74534.161490683458</v>
      </c>
      <c r="O51" s="2">
        <f t="shared" si="4"/>
        <v>-3897.211058336412</v>
      </c>
      <c r="P51" s="2">
        <f>((-Calc!F$5+Check!K51)*Calc!F$7-(-Calc!G$5+Check!K51)*Calc!G$7)/Check!K51</f>
        <v>3841.0442432146392</v>
      </c>
      <c r="Q51" s="2">
        <f t="shared" si="5"/>
        <v>-56.166815121772743</v>
      </c>
    </row>
    <row r="52" spans="2:17" x14ac:dyDescent="0.25">
      <c r="B52">
        <f t="shared" si="2"/>
        <v>0.97500000000000464</v>
      </c>
      <c r="C52">
        <f>B52+Calc!D$5-Calc!C$5</f>
        <v>1.0250000000000046</v>
      </c>
      <c r="D52" s="1">
        <f>Calc!E$5/Check!C52</f>
        <v>117073.17073170679</v>
      </c>
      <c r="E52" s="1">
        <f>Calc!E$5/Check!B52</f>
        <v>123076.9230769225</v>
      </c>
      <c r="F52" s="2">
        <f t="shared" si="0"/>
        <v>-6003.7523452157038</v>
      </c>
      <c r="G52" s="2">
        <f>((Calc!D$5-Check!B52)*Calc!D$7-(Calc!C$5-Check!B52)*Calc!C$7)/Check!B52</f>
        <v>5873.2359898849354</v>
      </c>
      <c r="H52" s="2">
        <f t="shared" si="1"/>
        <v>-130.51635533076842</v>
      </c>
      <c r="K52">
        <f t="shared" si="3"/>
        <v>1.6149999999999949</v>
      </c>
      <c r="L52">
        <f>K52+Calc!F$5-Calc!G$5</f>
        <v>1.5349999999999948</v>
      </c>
      <c r="M52" s="1">
        <f>Calc!E$5/Check!L52</f>
        <v>78175.895765472582</v>
      </c>
      <c r="N52" s="1">
        <f>Calc!E$5/Check!K52</f>
        <v>74303.405572755655</v>
      </c>
      <c r="O52" s="2">
        <f t="shared" si="4"/>
        <v>-3872.4901927169267</v>
      </c>
      <c r="P52" s="2">
        <f>((-Calc!F$5+Check!K52)*Calc!F$7-(-Calc!G$5+Check!K52)*Calc!G$7)/Check!K52</f>
        <v>3812.9272430609717</v>
      </c>
      <c r="Q52" s="2">
        <f t="shared" si="5"/>
        <v>-59.562949655954981</v>
      </c>
    </row>
    <row r="53" spans="2:17" x14ac:dyDescent="0.25">
      <c r="B53">
        <f t="shared" si="2"/>
        <v>0.97000000000000464</v>
      </c>
      <c r="C53">
        <f>B53+Calc!D$5-Calc!C$5</f>
        <v>1.0200000000000047</v>
      </c>
      <c r="D53" s="1">
        <f>Calc!E$5/Check!C53</f>
        <v>117647.05882352887</v>
      </c>
      <c r="E53" s="1">
        <f>Calc!E$5/Check!B53</f>
        <v>123711.34020618498</v>
      </c>
      <c r="F53" s="2">
        <f t="shared" si="0"/>
        <v>-6064.2813826561032</v>
      </c>
      <c r="G53" s="2">
        <f>((Calc!D$5-Check!B53)*Calc!D$7-(Calc!C$5-Check!B53)*Calc!C$7)/Check!B53</f>
        <v>5924.6699376957022</v>
      </c>
      <c r="H53" s="2">
        <f t="shared" si="1"/>
        <v>-139.61144496040106</v>
      </c>
      <c r="K53">
        <f t="shared" si="3"/>
        <v>1.6199999999999948</v>
      </c>
      <c r="L53">
        <f>K53+Calc!F$5-Calc!G$5</f>
        <v>1.5399999999999947</v>
      </c>
      <c r="M53" s="1">
        <f>Calc!E$5/Check!L53</f>
        <v>77922.077922078184</v>
      </c>
      <c r="N53" s="1">
        <f>Calc!E$5/Check!K53</f>
        <v>74074.074074074306</v>
      </c>
      <c r="O53" s="2">
        <f t="shared" si="4"/>
        <v>-3848.0038480038784</v>
      </c>
      <c r="P53" s="2">
        <f>((-Calc!F$5+Check!K53)*Calc!F$7-(-Calc!G$5+Check!K53)*Calc!G$7)/Check!K53</f>
        <v>3784.9838046366499</v>
      </c>
      <c r="Q53" s="2">
        <f t="shared" si="5"/>
        <v>-63.020043367228482</v>
      </c>
    </row>
  </sheetData>
  <mergeCells count="8">
    <mergeCell ref="O2:Q2"/>
    <mergeCell ref="A1:H1"/>
    <mergeCell ref="J1:Q1"/>
    <mergeCell ref="B2:C2"/>
    <mergeCell ref="D2:E2"/>
    <mergeCell ref="F2:H2"/>
    <mergeCell ref="K2:L2"/>
    <mergeCell ref="M2:N2"/>
  </mergeCells>
  <conditionalFormatting sqref="H4:H53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Spread</vt:lpstr>
      <vt:lpstr>Spr Fwd Extra</vt:lpstr>
      <vt:lpstr>SPR Ratio FWD Extra</vt:lpstr>
      <vt:lpstr>Params</vt:lpstr>
      <vt:lpstr>Calc</vt:lpstr>
      <vt:lpstr>Check</vt:lpstr>
      <vt:lpstr>Barrier.Touched</vt:lpstr>
    </vt:vector>
  </TitlesOfParts>
  <Company>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Mubarakshin</dc:creator>
  <cp:lastModifiedBy>Oleg Mubarakshin</cp:lastModifiedBy>
  <dcterms:created xsi:type="dcterms:W3CDTF">2016-09-15T08:23:30Z</dcterms:created>
  <dcterms:modified xsi:type="dcterms:W3CDTF">2016-10-06T16:59:58Z</dcterms:modified>
</cp:coreProperties>
</file>