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Dawid\Documents\GitHub\EngineeringProject git\other\"/>
    </mc:Choice>
  </mc:AlternateContent>
  <xr:revisionPtr revIDLastSave="0" documentId="13_ncr:1_{47DDE74C-55C3-42D4-9ECB-1A45D70434D1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0" i="1" l="1"/>
  <c r="U162" i="1"/>
  <c r="U156" i="1"/>
  <c r="C148" i="1"/>
  <c r="U150" i="1"/>
  <c r="C142" i="1"/>
  <c r="U144" i="1"/>
  <c r="U138" i="1"/>
  <c r="U132" i="1"/>
  <c r="U126" i="1"/>
  <c r="U114" i="1"/>
  <c r="U120" i="1"/>
  <c r="U108" i="1"/>
  <c r="C100" i="1"/>
  <c r="U102" i="1"/>
  <c r="U96" i="1"/>
  <c r="C88" i="1"/>
  <c r="U90" i="1"/>
  <c r="C82" i="1"/>
  <c r="U84" i="1"/>
  <c r="C76" i="1"/>
  <c r="U78" i="1"/>
  <c r="U72" i="1"/>
  <c r="U66" i="1"/>
  <c r="U60" i="1"/>
  <c r="C52" i="1"/>
  <c r="U54" i="1"/>
  <c r="U48" i="1"/>
  <c r="U42" i="1"/>
  <c r="U36" i="1"/>
  <c r="U32" i="1"/>
  <c r="C28" i="1"/>
  <c r="U30" i="1"/>
  <c r="U24" i="1"/>
  <c r="U12" i="1"/>
  <c r="U18" i="1"/>
  <c r="U5" i="1"/>
  <c r="U4" i="1"/>
  <c r="U6" i="1"/>
  <c r="I28" i="1"/>
  <c r="G28" i="1"/>
  <c r="D28" i="1"/>
  <c r="F52" i="1"/>
  <c r="G52" i="1"/>
  <c r="H76" i="1"/>
  <c r="F76" i="1"/>
  <c r="H82" i="1"/>
  <c r="E82" i="1"/>
  <c r="J88" i="1"/>
  <c r="H88" i="1"/>
  <c r="G88" i="1"/>
  <c r="F88" i="1"/>
  <c r="E88" i="1"/>
  <c r="F100" i="1"/>
  <c r="D100" i="1"/>
  <c r="H142" i="1"/>
  <c r="G142" i="1"/>
  <c r="F142" i="1"/>
  <c r="E142" i="1"/>
  <c r="G148" i="1"/>
  <c r="F148" i="1"/>
  <c r="E148" i="1"/>
  <c r="D148" i="1"/>
  <c r="L160" i="1"/>
  <c r="M160" i="1"/>
  <c r="K160" i="1"/>
  <c r="J160" i="1"/>
  <c r="H160" i="1"/>
  <c r="G160" i="1"/>
  <c r="F160" i="1"/>
  <c r="U158" i="1"/>
  <c r="U152" i="1"/>
  <c r="U146" i="1"/>
  <c r="U140" i="1"/>
  <c r="U134" i="1"/>
  <c r="U128" i="1"/>
  <c r="U122" i="1"/>
  <c r="U116" i="1"/>
  <c r="U110" i="1"/>
  <c r="U104" i="1"/>
  <c r="U98" i="1"/>
  <c r="U92" i="1"/>
  <c r="U86" i="1"/>
  <c r="U80" i="1"/>
  <c r="U74" i="1"/>
  <c r="U68" i="1"/>
  <c r="U62" i="1"/>
  <c r="U56" i="1"/>
  <c r="U50" i="1"/>
  <c r="U44" i="1"/>
  <c r="U38" i="1"/>
  <c r="U26" i="1"/>
  <c r="U20" i="1"/>
  <c r="U14" i="1"/>
  <c r="U8" i="1"/>
  <c r="U2" i="1"/>
  <c r="U3" i="1"/>
  <c r="I124" i="1"/>
  <c r="F124" i="1"/>
  <c r="E124" i="1"/>
  <c r="U159" i="1"/>
  <c r="U153" i="1"/>
  <c r="U147" i="1"/>
  <c r="U141" i="1"/>
  <c r="U135" i="1"/>
  <c r="U129" i="1"/>
  <c r="U123" i="1"/>
  <c r="U117" i="1"/>
  <c r="U111" i="1"/>
  <c r="U105" i="1"/>
  <c r="U99" i="1"/>
  <c r="U93" i="1"/>
  <c r="U87" i="1"/>
  <c r="U81" i="1"/>
  <c r="U75" i="1"/>
  <c r="U69" i="1"/>
  <c r="U63" i="1"/>
  <c r="U57" i="1"/>
  <c r="U51" i="1"/>
  <c r="U45" i="1"/>
  <c r="U39" i="1"/>
  <c r="U33" i="1"/>
  <c r="U27" i="1"/>
  <c r="U21" i="1"/>
  <c r="U15" i="1"/>
  <c r="U9" i="1"/>
</calcChain>
</file>

<file path=xl/sharedStrings.xml><?xml version="1.0" encoding="utf-8"?>
<sst xmlns="http://schemas.openxmlformats.org/spreadsheetml/2006/main" count="358" uniqueCount="46">
  <si>
    <t>Patient 1</t>
  </si>
  <si>
    <t>Time(days)</t>
  </si>
  <si>
    <t>FT4 (pg/mL)</t>
  </si>
  <si>
    <t>TRAb(U/mL)</t>
  </si>
  <si>
    <t>Patient 2</t>
  </si>
  <si>
    <t>Patient 4</t>
  </si>
  <si>
    <t>Patient 6</t>
  </si>
  <si>
    <t>Patient 13</t>
  </si>
  <si>
    <t>Patient 15</t>
  </si>
  <si>
    <t>Patient 18</t>
  </si>
  <si>
    <t>Patient 20</t>
  </si>
  <si>
    <t>Patient 22</t>
  </si>
  <si>
    <t>Patient 23</t>
  </si>
  <si>
    <t>Patient 31</t>
  </si>
  <si>
    <t>Patient 32</t>
  </si>
  <si>
    <t>Patient 33</t>
  </si>
  <si>
    <t>Patient 35</t>
  </si>
  <si>
    <t>Patient 36</t>
  </si>
  <si>
    <t>Patient 37</t>
  </si>
  <si>
    <t>Patient 38</t>
  </si>
  <si>
    <t>Patient 39</t>
  </si>
  <si>
    <t>Patient 48</t>
  </si>
  <si>
    <t>Patient 50</t>
  </si>
  <si>
    <t>Patient 55</t>
  </si>
  <si>
    <t>Patient 56</t>
  </si>
  <si>
    <t>Patient 57</t>
  </si>
  <si>
    <t>Patient 60</t>
  </si>
  <si>
    <t>Patient 65</t>
  </si>
  <si>
    <t>Patient 70</t>
  </si>
  <si>
    <t>Patient 73</t>
  </si>
  <si>
    <t>k3=</t>
  </si>
  <si>
    <t>N=</t>
  </si>
  <si>
    <t>k7=</t>
  </si>
  <si>
    <t>Patient-Specific Parameters</t>
  </si>
  <si>
    <t>Normal range</t>
  </si>
  <si>
    <t>(0 -18)</t>
  </si>
  <si>
    <t>(0 -1)</t>
  </si>
  <si>
    <t>kb=</t>
  </si>
  <si>
    <t>kd=</t>
  </si>
  <si>
    <t>RMSE_FT4=</t>
  </si>
  <si>
    <t>RMSE_TRAb=</t>
  </si>
  <si>
    <t>Interval Estimation</t>
  </si>
  <si>
    <t>RMSE_FT4_Min=</t>
  </si>
  <si>
    <t>RMSE_FT4_Max=</t>
  </si>
  <si>
    <t>RMSE_TRAb_Min=</t>
  </si>
  <si>
    <t>RMSE_TRAb_Max=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</si>
</sst>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7"/>
  <sheetViews>
    <sheetView tabSelected="1" topLeftCell="A139" zoomScale="91" zoomScaleNormal="91" workbookViewId="0">
      <selection activeCell="N148" sqref="N148"/>
    </sheetView>
  </sheetViews>
  <sheetFormatPr defaultRowHeight="15" x14ac:dyDescent="0.25"/>
  <cols>
    <col min="1" max="1" width="11.7109375" bestFit="1" customWidth="1"/>
    <col min="2" max="2" width="11.7109375" customWidth="1"/>
    <col min="20" max="20" width="11.140625" style="8" bestFit="1" customWidth="1"/>
    <col min="22" max="22" width="12.42578125" bestFit="1" customWidth="1"/>
    <col min="23" max="23" width="9.140625" style="10"/>
    <col min="25" max="25" width="18" bestFit="1" customWidth="1"/>
    <col min="26" max="26" width="9.140625" style="10"/>
  </cols>
  <sheetData>
    <row r="1" spans="1:26" x14ac:dyDescent="0.25">
      <c r="A1" s="1" t="s">
        <v>0</v>
      </c>
      <c r="B1" s="1" t="s">
        <v>34</v>
      </c>
      <c r="T1" s="8" t="s">
        <v>33</v>
      </c>
      <c r="Y1" s="1" t="s">
        <v>41</v>
      </c>
    </row>
    <row r="2" spans="1:26" x14ac:dyDescent="0.25">
      <c r="A2" t="s">
        <v>1</v>
      </c>
      <c r="C2">
        <v>0</v>
      </c>
      <c r="D2">
        <v>180</v>
      </c>
      <c r="E2">
        <v>360</v>
      </c>
      <c r="F2">
        <v>510</v>
      </c>
      <c r="G2">
        <v>720</v>
      </c>
      <c r="H2">
        <v>750</v>
      </c>
      <c r="I2">
        <v>870</v>
      </c>
      <c r="J2">
        <v>960</v>
      </c>
      <c r="K2">
        <v>1140</v>
      </c>
      <c r="L2">
        <v>1260</v>
      </c>
      <c r="M2">
        <v>1500</v>
      </c>
      <c r="T2" s="8" t="s">
        <v>32</v>
      </c>
      <c r="U2">
        <f>0.035*C4</f>
        <v>0.16800000000000001</v>
      </c>
      <c r="Y2" s="7" t="s">
        <v>42</v>
      </c>
      <c r="Z2" s="10">
        <v>0.88900000000000001</v>
      </c>
    </row>
    <row r="3" spans="1:26" x14ac:dyDescent="0.25">
      <c r="A3" t="s">
        <v>2</v>
      </c>
      <c r="B3" t="s">
        <v>35</v>
      </c>
      <c r="C3">
        <v>27.3</v>
      </c>
      <c r="D3">
        <v>11.18</v>
      </c>
      <c r="E3">
        <v>10.59</v>
      </c>
      <c r="F3">
        <v>11.03</v>
      </c>
      <c r="G3">
        <v>23.13</v>
      </c>
      <c r="H3">
        <v>18.22</v>
      </c>
      <c r="I3">
        <v>13.31</v>
      </c>
      <c r="J3">
        <v>12.35</v>
      </c>
      <c r="K3">
        <v>11.77</v>
      </c>
      <c r="L3">
        <v>11.18</v>
      </c>
      <c r="M3">
        <v>11.03</v>
      </c>
      <c r="T3" s="8" t="s">
        <v>31</v>
      </c>
      <c r="U3">
        <f>C4/30</f>
        <v>0.16</v>
      </c>
      <c r="V3" s="7" t="s">
        <v>39</v>
      </c>
      <c r="W3" s="10">
        <v>5.8686999999999996</v>
      </c>
      <c r="Y3" s="7" t="s">
        <v>43</v>
      </c>
      <c r="Z3" s="10">
        <v>36.397500000000001</v>
      </c>
    </row>
    <row r="4" spans="1:26" x14ac:dyDescent="0.25">
      <c r="A4" t="s">
        <v>3</v>
      </c>
      <c r="B4" t="s">
        <v>36</v>
      </c>
      <c r="C4">
        <v>4.8</v>
      </c>
      <c r="D4">
        <v>1.1000000000000001</v>
      </c>
      <c r="E4">
        <v>1.4</v>
      </c>
      <c r="F4">
        <v>1.3</v>
      </c>
      <c r="G4">
        <v>3.8</v>
      </c>
      <c r="I4">
        <v>1.4</v>
      </c>
      <c r="J4">
        <v>0.8</v>
      </c>
      <c r="K4">
        <v>0.7</v>
      </c>
      <c r="L4">
        <v>0.6</v>
      </c>
      <c r="M4">
        <v>0.5</v>
      </c>
      <c r="T4" s="8" t="s">
        <v>37</v>
      </c>
      <c r="U4">
        <f>ROUND(3.0061, 3)</f>
        <v>3.0059999999999998</v>
      </c>
      <c r="V4" s="7" t="s">
        <v>40</v>
      </c>
      <c r="W4" s="10">
        <v>1.7335</v>
      </c>
      <c r="Y4" s="7"/>
    </row>
    <row r="5" spans="1:26" x14ac:dyDescent="0.25">
      <c r="T5" s="8" t="s">
        <v>38</v>
      </c>
      <c r="U5">
        <f>ROUND(0.09347,3)</f>
        <v>9.2999999999999999E-2</v>
      </c>
      <c r="V5" s="8"/>
      <c r="Y5" s="7" t="s">
        <v>44</v>
      </c>
      <c r="Z5" s="10">
        <v>0.17369999999999999</v>
      </c>
    </row>
    <row r="6" spans="1:26" x14ac:dyDescent="0.25">
      <c r="T6" s="8" t="s">
        <v>30</v>
      </c>
      <c r="U6">
        <f>(0.099021*C3*(U5+C4))/(30*C4)</f>
        <v>9.1854974006250006E-2</v>
      </c>
      <c r="V6" s="8"/>
      <c r="Y6" s="7" t="s">
        <v>45</v>
      </c>
      <c r="Z6" s="10">
        <v>15.733499999999999</v>
      </c>
    </row>
    <row r="7" spans="1:26" x14ac:dyDescent="0.25">
      <c r="A7" s="1" t="s">
        <v>4</v>
      </c>
      <c r="B7" s="1"/>
      <c r="V7" s="8"/>
    </row>
    <row r="8" spans="1:26" x14ac:dyDescent="0.25">
      <c r="A8" t="s">
        <v>1</v>
      </c>
      <c r="C8">
        <v>0</v>
      </c>
      <c r="D8">
        <v>270</v>
      </c>
      <c r="E8">
        <v>540</v>
      </c>
      <c r="F8">
        <v>840</v>
      </c>
      <c r="G8">
        <v>1140</v>
      </c>
      <c r="H8">
        <v>1470</v>
      </c>
      <c r="I8">
        <v>1950</v>
      </c>
      <c r="J8">
        <v>2430</v>
      </c>
      <c r="K8">
        <v>2790</v>
      </c>
      <c r="T8" s="8" t="s">
        <v>32</v>
      </c>
      <c r="U8">
        <f>0.035*C10</f>
        <v>0.2205</v>
      </c>
      <c r="V8" s="8"/>
    </row>
    <row r="9" spans="1:26" x14ac:dyDescent="0.25">
      <c r="A9" t="s">
        <v>2</v>
      </c>
      <c r="B9" t="s">
        <v>35</v>
      </c>
      <c r="C9" s="2">
        <v>27.976744186046513</v>
      </c>
      <c r="D9" s="3">
        <v>11.945736434108527</v>
      </c>
      <c r="E9">
        <v>11.689922480620154</v>
      </c>
      <c r="F9">
        <v>11.689922480620154</v>
      </c>
      <c r="G9">
        <v>12.116279069767442</v>
      </c>
      <c r="H9">
        <v>24.565891472868216</v>
      </c>
      <c r="I9">
        <v>12.124806201550388</v>
      </c>
      <c r="J9">
        <v>12.45736434108527</v>
      </c>
      <c r="K9">
        <v>12.372093023255815</v>
      </c>
      <c r="T9" s="8" t="s">
        <v>31</v>
      </c>
      <c r="U9">
        <f>C10/30</f>
        <v>0.21</v>
      </c>
      <c r="V9" s="7" t="s">
        <v>39</v>
      </c>
      <c r="W9" s="10">
        <v>8.3884000000000007</v>
      </c>
    </row>
    <row r="10" spans="1:26" x14ac:dyDescent="0.25">
      <c r="A10" t="s">
        <v>3</v>
      </c>
      <c r="B10" t="s">
        <v>36</v>
      </c>
      <c r="C10">
        <v>6.3</v>
      </c>
      <c r="D10">
        <v>0.7</v>
      </c>
      <c r="F10">
        <v>0.5</v>
      </c>
      <c r="G10">
        <v>1.4</v>
      </c>
      <c r="H10">
        <v>3.5</v>
      </c>
      <c r="I10">
        <v>0.8</v>
      </c>
      <c r="J10">
        <v>0.7</v>
      </c>
      <c r="K10">
        <v>0.6</v>
      </c>
      <c r="T10" s="8" t="s">
        <v>37</v>
      </c>
      <c r="U10">
        <v>3.1379999999999999</v>
      </c>
      <c r="V10" s="7" t="s">
        <v>40</v>
      </c>
      <c r="W10" s="10">
        <v>2.3914</v>
      </c>
    </row>
    <row r="11" spans="1:26" x14ac:dyDescent="0.25">
      <c r="T11" s="8" t="s">
        <v>38</v>
      </c>
      <c r="U11">
        <v>6.3E-2</v>
      </c>
      <c r="V11" s="8"/>
    </row>
    <row r="12" spans="1:26" x14ac:dyDescent="0.25">
      <c r="T12" s="8" t="s">
        <v>30</v>
      </c>
      <c r="U12">
        <f>(0.099021*C9*(U11+C10))/(30*C10)</f>
        <v>9.3266267930232558E-2</v>
      </c>
      <c r="V12" s="8"/>
    </row>
    <row r="13" spans="1:26" x14ac:dyDescent="0.25">
      <c r="A13" s="1" t="s">
        <v>5</v>
      </c>
      <c r="B13" s="1"/>
      <c r="V13" s="8"/>
    </row>
    <row r="14" spans="1:26" x14ac:dyDescent="0.25">
      <c r="A14" t="s">
        <v>1</v>
      </c>
      <c r="C14">
        <v>0</v>
      </c>
      <c r="D14">
        <v>150</v>
      </c>
      <c r="E14">
        <v>390</v>
      </c>
      <c r="F14">
        <v>690</v>
      </c>
      <c r="G14">
        <v>900</v>
      </c>
      <c r="H14">
        <v>1980</v>
      </c>
      <c r="I14">
        <v>2190</v>
      </c>
      <c r="J14">
        <v>2370</v>
      </c>
      <c r="K14">
        <v>3090</v>
      </c>
      <c r="L14">
        <v>3150</v>
      </c>
      <c r="M14">
        <v>3180</v>
      </c>
      <c r="N14">
        <v>3480</v>
      </c>
      <c r="O14">
        <v>3840</v>
      </c>
      <c r="P14">
        <v>4110</v>
      </c>
      <c r="Q14">
        <v>4140</v>
      </c>
      <c r="T14" s="8" t="s">
        <v>32</v>
      </c>
      <c r="U14">
        <f>0.035*C16</f>
        <v>0.29400000000000004</v>
      </c>
      <c r="V14" s="8"/>
    </row>
    <row r="15" spans="1:26" x14ac:dyDescent="0.25">
      <c r="A15" t="s">
        <v>2</v>
      </c>
      <c r="B15" t="s">
        <v>35</v>
      </c>
      <c r="C15">
        <v>35.049999999999997</v>
      </c>
      <c r="D15">
        <v>13.71</v>
      </c>
      <c r="E15">
        <v>12.5</v>
      </c>
      <c r="F15">
        <v>12.72</v>
      </c>
      <c r="G15">
        <v>11.95</v>
      </c>
      <c r="H15">
        <v>26.58</v>
      </c>
      <c r="I15">
        <v>10.74</v>
      </c>
      <c r="J15">
        <v>11.73</v>
      </c>
      <c r="K15">
        <v>12.280000000000001</v>
      </c>
      <c r="L15">
        <v>15.030000000000001</v>
      </c>
      <c r="M15">
        <v>15.800000000000002</v>
      </c>
      <c r="N15">
        <v>14.59</v>
      </c>
      <c r="O15">
        <v>13.600000000000001</v>
      </c>
      <c r="P15">
        <v>24.93</v>
      </c>
      <c r="Q15">
        <v>16.899999999999999</v>
      </c>
      <c r="T15" s="8" t="s">
        <v>31</v>
      </c>
      <c r="U15">
        <f>C16/30</f>
        <v>0.28000000000000003</v>
      </c>
      <c r="V15" s="7" t="s">
        <v>39</v>
      </c>
      <c r="W15" s="10">
        <v>13.968299999999999</v>
      </c>
    </row>
    <row r="16" spans="1:26" x14ac:dyDescent="0.25">
      <c r="A16" t="s">
        <v>3</v>
      </c>
      <c r="B16" t="s">
        <v>36</v>
      </c>
      <c r="C16">
        <v>8.4</v>
      </c>
      <c r="D16">
        <v>0.5</v>
      </c>
      <c r="E16">
        <v>0.3</v>
      </c>
      <c r="H16">
        <v>17.7</v>
      </c>
      <c r="I16">
        <v>3.2</v>
      </c>
      <c r="J16">
        <v>0.5</v>
      </c>
      <c r="T16" s="8" t="s">
        <v>37</v>
      </c>
      <c r="U16">
        <v>5.891</v>
      </c>
      <c r="V16" s="7" t="s">
        <v>40</v>
      </c>
      <c r="W16" s="10">
        <v>5.9177</v>
      </c>
    </row>
    <row r="17" spans="1:23" x14ac:dyDescent="0.25">
      <c r="T17" s="8" t="s">
        <v>38</v>
      </c>
      <c r="U17">
        <v>6.0999999999999999E-2</v>
      </c>
      <c r="V17" s="8"/>
    </row>
    <row r="18" spans="1:23" x14ac:dyDescent="0.25">
      <c r="T18" s="8" t="s">
        <v>30</v>
      </c>
      <c r="U18">
        <f>(0.099021*C15*(U17+C16))/(30*C16)</f>
        <v>0.11652966138511904</v>
      </c>
      <c r="V18" s="8"/>
    </row>
    <row r="19" spans="1:23" x14ac:dyDescent="0.25">
      <c r="A19" s="1" t="s">
        <v>6</v>
      </c>
      <c r="B19" s="1"/>
      <c r="V19" s="8"/>
    </row>
    <row r="20" spans="1:23" x14ac:dyDescent="0.25">
      <c r="A20" t="s">
        <v>1</v>
      </c>
      <c r="C20">
        <v>0</v>
      </c>
      <c r="D20">
        <v>60</v>
      </c>
      <c r="E20">
        <v>120</v>
      </c>
      <c r="F20">
        <v>180</v>
      </c>
      <c r="G20">
        <v>1380</v>
      </c>
      <c r="H20">
        <v>1740</v>
      </c>
      <c r="I20">
        <v>1830</v>
      </c>
      <c r="J20">
        <v>2070</v>
      </c>
      <c r="K20">
        <v>2190</v>
      </c>
      <c r="T20" s="8" t="s">
        <v>32</v>
      </c>
      <c r="U20">
        <f>0.035*C22</f>
        <v>5.9500000000000004E-2</v>
      </c>
      <c r="V20" s="8"/>
    </row>
    <row r="21" spans="1:23" x14ac:dyDescent="0.25">
      <c r="A21" t="s">
        <v>2</v>
      </c>
      <c r="B21" t="s">
        <v>35</v>
      </c>
      <c r="C21">
        <v>17.45</v>
      </c>
      <c r="D21">
        <v>18.66</v>
      </c>
      <c r="E21">
        <v>23.94</v>
      </c>
      <c r="F21">
        <v>16.899999999999999</v>
      </c>
      <c r="G21">
        <v>12.72</v>
      </c>
      <c r="I21">
        <v>12.83</v>
      </c>
      <c r="J21">
        <v>12.169999999999998</v>
      </c>
      <c r="K21">
        <v>10.959999999999999</v>
      </c>
      <c r="T21" s="8" t="s">
        <v>31</v>
      </c>
      <c r="U21">
        <f>C22/30</f>
        <v>5.6666666666666664E-2</v>
      </c>
      <c r="V21" s="7" t="s">
        <v>39</v>
      </c>
      <c r="W21" s="10">
        <v>5.4953000000000003</v>
      </c>
    </row>
    <row r="22" spans="1:23" x14ac:dyDescent="0.25">
      <c r="A22" t="s">
        <v>3</v>
      </c>
      <c r="B22" t="s">
        <v>36</v>
      </c>
      <c r="C22">
        <v>1.7</v>
      </c>
      <c r="E22">
        <v>2.8</v>
      </c>
      <c r="H22">
        <v>1.8</v>
      </c>
      <c r="I22">
        <v>4.5</v>
      </c>
      <c r="J22">
        <v>3.7</v>
      </c>
      <c r="K22">
        <v>2.5</v>
      </c>
      <c r="T22" s="8" t="s">
        <v>37</v>
      </c>
      <c r="U22">
        <v>11.996</v>
      </c>
      <c r="V22" s="7" t="s">
        <v>40</v>
      </c>
      <c r="W22" s="10">
        <v>1.5111000000000001</v>
      </c>
    </row>
    <row r="23" spans="1:23" x14ac:dyDescent="0.25">
      <c r="T23" s="8" t="s">
        <v>38</v>
      </c>
      <c r="U23">
        <v>0.1</v>
      </c>
      <c r="V23" s="8"/>
    </row>
    <row r="24" spans="1:23" x14ac:dyDescent="0.25">
      <c r="T24" s="8" t="s">
        <v>30</v>
      </c>
      <c r="U24">
        <f>(0.099021*C21*(U23+C22))/(30*C22)</f>
        <v>6.0985286470588235E-2</v>
      </c>
      <c r="V24" s="8"/>
    </row>
    <row r="25" spans="1:23" x14ac:dyDescent="0.25">
      <c r="A25" s="1" t="s">
        <v>7</v>
      </c>
      <c r="B25" s="1"/>
      <c r="V25" s="8"/>
    </row>
    <row r="26" spans="1:23" x14ac:dyDescent="0.25">
      <c r="A26" t="s">
        <v>1</v>
      </c>
      <c r="C26">
        <v>0</v>
      </c>
      <c r="D26">
        <v>120</v>
      </c>
      <c r="E26">
        <v>180</v>
      </c>
      <c r="F26">
        <v>210</v>
      </c>
      <c r="G26">
        <v>300</v>
      </c>
      <c r="H26">
        <v>450</v>
      </c>
      <c r="I26">
        <v>780</v>
      </c>
      <c r="T26" s="8" t="s">
        <v>32</v>
      </c>
      <c r="U26">
        <f>0.035*C28</f>
        <v>0.10045000000000001</v>
      </c>
      <c r="V26" s="8"/>
    </row>
    <row r="27" spans="1:23" x14ac:dyDescent="0.25">
      <c r="A27" t="s">
        <v>2</v>
      </c>
      <c r="B27" t="s">
        <v>35</v>
      </c>
      <c r="C27">
        <v>32.51</v>
      </c>
      <c r="D27">
        <v>12.12</v>
      </c>
      <c r="E27">
        <v>4.8600000000000003</v>
      </c>
      <c r="F27">
        <v>8.3000000000000007</v>
      </c>
      <c r="G27">
        <v>10.210000000000001</v>
      </c>
      <c r="H27">
        <v>10.36</v>
      </c>
      <c r="I27">
        <v>10.67</v>
      </c>
      <c r="T27" s="8" t="s">
        <v>31</v>
      </c>
      <c r="U27">
        <f>C28/30</f>
        <v>9.5666666666666664E-2</v>
      </c>
      <c r="V27" s="7" t="s">
        <v>39</v>
      </c>
      <c r="W27" s="10">
        <v>12.6008</v>
      </c>
    </row>
    <row r="28" spans="1:23" x14ac:dyDescent="0.25">
      <c r="A28" t="s">
        <v>3</v>
      </c>
      <c r="B28" t="s">
        <v>36</v>
      </c>
      <c r="C28">
        <f>ROUND(4.3/1.5,2)</f>
        <v>2.87</v>
      </c>
      <c r="D28">
        <f>ROUND(1.8/1.5,2)</f>
        <v>1.2</v>
      </c>
      <c r="G28">
        <f>ROUND(0.5/1.5, 2)</f>
        <v>0.33</v>
      </c>
      <c r="I28">
        <f>ROUND(0.3/1.5,2)</f>
        <v>0.2</v>
      </c>
      <c r="T28" s="8" t="s">
        <v>37</v>
      </c>
      <c r="U28">
        <v>4.6609999999999996</v>
      </c>
      <c r="V28" s="7" t="s">
        <v>40</v>
      </c>
      <c r="W28" s="10">
        <v>1.7185999999999999</v>
      </c>
    </row>
    <row r="29" spans="1:23" x14ac:dyDescent="0.25">
      <c r="T29" s="8" t="s">
        <v>38</v>
      </c>
      <c r="U29">
        <v>9.8699999999999996E-2</v>
      </c>
      <c r="V29" s="8"/>
    </row>
    <row r="30" spans="1:23" x14ac:dyDescent="0.25">
      <c r="T30" s="8" t="s">
        <v>30</v>
      </c>
      <c r="U30">
        <f>(0.099021*C27*(U29+C28))/(30*C28)</f>
        <v>0.11099602815536583</v>
      </c>
      <c r="V30" s="8"/>
    </row>
    <row r="31" spans="1:23" x14ac:dyDescent="0.25">
      <c r="A31" s="1" t="s">
        <v>8</v>
      </c>
      <c r="B31" s="1"/>
      <c r="V31" s="8"/>
    </row>
    <row r="32" spans="1:23" x14ac:dyDescent="0.25">
      <c r="A32" t="s">
        <v>1</v>
      </c>
      <c r="C32">
        <v>0</v>
      </c>
      <c r="D32">
        <v>90</v>
      </c>
      <c r="E32">
        <v>450</v>
      </c>
      <c r="F32">
        <v>540</v>
      </c>
      <c r="G32">
        <v>720</v>
      </c>
      <c r="H32">
        <v>990</v>
      </c>
      <c r="T32" s="8" t="s">
        <v>32</v>
      </c>
      <c r="U32">
        <f>0.035*C34</f>
        <v>4.5500000000000006E-2</v>
      </c>
      <c r="V32" s="8"/>
    </row>
    <row r="33" spans="1:26" x14ac:dyDescent="0.25">
      <c r="A33" t="s">
        <v>2</v>
      </c>
      <c r="B33" t="s">
        <v>35</v>
      </c>
      <c r="C33">
        <v>34.06</v>
      </c>
      <c r="D33">
        <v>38.79</v>
      </c>
      <c r="E33">
        <v>11.4</v>
      </c>
      <c r="F33">
        <v>10.74</v>
      </c>
      <c r="G33">
        <v>12.83</v>
      </c>
      <c r="H33">
        <v>13.05</v>
      </c>
      <c r="T33" s="8" t="s">
        <v>31</v>
      </c>
      <c r="U33">
        <f>C34/30</f>
        <v>4.3333333333333335E-2</v>
      </c>
      <c r="V33" s="7" t="s">
        <v>39</v>
      </c>
      <c r="W33" s="10">
        <v>12.790100000000001</v>
      </c>
    </row>
    <row r="34" spans="1:26" x14ac:dyDescent="0.25">
      <c r="A34" t="s">
        <v>3</v>
      </c>
      <c r="B34" t="s">
        <v>36</v>
      </c>
      <c r="C34">
        <v>1.3</v>
      </c>
      <c r="D34">
        <v>1.3</v>
      </c>
      <c r="F34">
        <v>0.4</v>
      </c>
      <c r="H34">
        <v>0.2</v>
      </c>
      <c r="T34" s="8" t="s">
        <v>37</v>
      </c>
      <c r="U34">
        <v>3.0459999999999998</v>
      </c>
      <c r="V34" s="7" t="s">
        <v>40</v>
      </c>
      <c r="W34" s="10">
        <v>0.57830000000000004</v>
      </c>
    </row>
    <row r="35" spans="1:26" x14ac:dyDescent="0.25">
      <c r="T35" s="8" t="s">
        <v>38</v>
      </c>
      <c r="U35">
        <v>9.4E-2</v>
      </c>
      <c r="V35" s="8"/>
    </row>
    <row r="36" spans="1:26" x14ac:dyDescent="0.25">
      <c r="T36" s="8" t="s">
        <v>30</v>
      </c>
      <c r="U36">
        <f>(0.099021*C33*(U35+C34))/(30*C34)</f>
        <v>0.12055080596000001</v>
      </c>
      <c r="V36" s="8"/>
    </row>
    <row r="37" spans="1:26" x14ac:dyDescent="0.25">
      <c r="A37" s="1" t="s">
        <v>9</v>
      </c>
      <c r="B37" s="1"/>
      <c r="V37" s="8"/>
    </row>
    <row r="38" spans="1:26" x14ac:dyDescent="0.25">
      <c r="A38" t="s">
        <v>1</v>
      </c>
      <c r="C38">
        <v>0</v>
      </c>
      <c r="D38">
        <v>390</v>
      </c>
      <c r="E38">
        <v>630</v>
      </c>
      <c r="F38">
        <v>900</v>
      </c>
      <c r="G38">
        <v>1170</v>
      </c>
      <c r="T38" s="8" t="s">
        <v>32</v>
      </c>
      <c r="U38">
        <f>0.035*C40</f>
        <v>0.39900000000000008</v>
      </c>
      <c r="V38" s="8"/>
    </row>
    <row r="39" spans="1:26" x14ac:dyDescent="0.25">
      <c r="A39" t="s">
        <v>2</v>
      </c>
      <c r="B39" t="s">
        <v>35</v>
      </c>
      <c r="C39">
        <v>24.56</v>
      </c>
      <c r="D39">
        <v>11.13</v>
      </c>
      <c r="E39">
        <v>10.6</v>
      </c>
      <c r="F39">
        <v>10.81</v>
      </c>
      <c r="G39">
        <v>11.55</v>
      </c>
      <c r="T39" s="8" t="s">
        <v>31</v>
      </c>
      <c r="U39">
        <f>C40/30</f>
        <v>0.38</v>
      </c>
      <c r="V39" s="7" t="s">
        <v>39</v>
      </c>
      <c r="W39" s="10">
        <v>8.6902000000000008</v>
      </c>
    </row>
    <row r="40" spans="1:26" x14ac:dyDescent="0.25">
      <c r="A40" t="s">
        <v>3</v>
      </c>
      <c r="B40" t="s">
        <v>36</v>
      </c>
      <c r="C40">
        <v>11.4</v>
      </c>
      <c r="D40">
        <v>2.2999999999999998</v>
      </c>
      <c r="E40">
        <v>0.05</v>
      </c>
      <c r="F40">
        <v>0.04</v>
      </c>
      <c r="G40">
        <v>0.03</v>
      </c>
      <c r="T40" s="8" t="s">
        <v>37</v>
      </c>
      <c r="U40" s="6">
        <v>3.0209999999999999</v>
      </c>
      <c r="V40" s="7" t="s">
        <v>40</v>
      </c>
      <c r="W40" s="10">
        <v>7.4188000000000001</v>
      </c>
    </row>
    <row r="41" spans="1:26" x14ac:dyDescent="0.25">
      <c r="T41" s="8" t="s">
        <v>38</v>
      </c>
      <c r="U41">
        <v>9.0999999999999998E-2</v>
      </c>
      <c r="V41" s="8"/>
    </row>
    <row r="42" spans="1:26" x14ac:dyDescent="0.25">
      <c r="T42" s="8" t="s">
        <v>30</v>
      </c>
      <c r="U42">
        <f>(0.099021*C39*(U41+C40))/(30*C40)</f>
        <v>8.1712291339649107E-2</v>
      </c>
      <c r="V42" s="8"/>
    </row>
    <row r="43" spans="1:26" s="5" customFormat="1" x14ac:dyDescent="0.25">
      <c r="A43" s="4" t="s">
        <v>10</v>
      </c>
      <c r="B43" s="4"/>
      <c r="T43" s="9"/>
      <c r="V43" s="9"/>
      <c r="W43" s="11"/>
      <c r="Z43" s="11"/>
    </row>
    <row r="44" spans="1:26" s="5" customFormat="1" x14ac:dyDescent="0.25">
      <c r="A44" s="5" t="s">
        <v>1</v>
      </c>
      <c r="C44" s="5">
        <v>0</v>
      </c>
      <c r="D44" s="5">
        <v>90</v>
      </c>
      <c r="E44" s="5">
        <v>180</v>
      </c>
      <c r="F44" s="5">
        <v>360</v>
      </c>
      <c r="G44" s="5">
        <v>570</v>
      </c>
      <c r="H44" s="5">
        <v>780</v>
      </c>
      <c r="T44" s="9" t="s">
        <v>32</v>
      </c>
      <c r="U44" s="5">
        <f>0.035*C46</f>
        <v>0.26250000000000001</v>
      </c>
      <c r="V44" s="9"/>
      <c r="W44" s="11"/>
      <c r="Z44" s="11"/>
    </row>
    <row r="45" spans="1:26" s="5" customFormat="1" x14ac:dyDescent="0.25">
      <c r="A45" s="5" t="s">
        <v>2</v>
      </c>
      <c r="B45" s="5" t="s">
        <v>35</v>
      </c>
      <c r="C45" s="5">
        <v>25.63</v>
      </c>
      <c r="D45" s="5">
        <v>17.7</v>
      </c>
      <c r="E45" s="5">
        <v>13.81</v>
      </c>
      <c r="F45" s="5">
        <v>13.14</v>
      </c>
      <c r="G45" s="5">
        <v>12.46</v>
      </c>
      <c r="H45" s="5">
        <v>12.76</v>
      </c>
      <c r="T45" s="9" t="s">
        <v>31</v>
      </c>
      <c r="U45" s="5">
        <f>C46/30</f>
        <v>0.25</v>
      </c>
      <c r="V45" s="7" t="s">
        <v>39</v>
      </c>
      <c r="W45" s="11">
        <v>0.88900000000000001</v>
      </c>
      <c r="Z45" s="11"/>
    </row>
    <row r="46" spans="1:26" s="5" customFormat="1" x14ac:dyDescent="0.25">
      <c r="A46" s="5" t="s">
        <v>3</v>
      </c>
      <c r="B46" s="5" t="s">
        <v>36</v>
      </c>
      <c r="C46" s="5">
        <v>7.5</v>
      </c>
      <c r="F46" s="5">
        <v>0.7</v>
      </c>
      <c r="G46" s="5">
        <v>0.6</v>
      </c>
      <c r="H46" s="5">
        <v>0.6</v>
      </c>
      <c r="T46" s="9" t="s">
        <v>37</v>
      </c>
      <c r="U46" s="5">
        <v>4.95</v>
      </c>
      <c r="V46" s="7" t="s">
        <v>40</v>
      </c>
      <c r="W46" s="11">
        <v>2.3879999999999999</v>
      </c>
      <c r="Z46" s="11"/>
    </row>
    <row r="47" spans="1:26" s="5" customFormat="1" x14ac:dyDescent="0.25">
      <c r="T47" s="9" t="s">
        <v>38</v>
      </c>
      <c r="U47" s="5">
        <v>6.7000000000000004E-2</v>
      </c>
      <c r="V47" s="9"/>
      <c r="W47" s="11"/>
      <c r="Z47" s="11"/>
    </row>
    <row r="48" spans="1:26" s="5" customFormat="1" x14ac:dyDescent="0.25">
      <c r="T48" s="9" t="s">
        <v>30</v>
      </c>
      <c r="U48" s="5">
        <f>(0.099021*C45*(U47+C46))/(30*C46)</f>
        <v>8.5352673672933324E-2</v>
      </c>
      <c r="V48" s="9"/>
      <c r="W48" s="11"/>
      <c r="Z48" s="11"/>
    </row>
    <row r="49" spans="1:26" x14ac:dyDescent="0.25">
      <c r="A49" s="1" t="s">
        <v>11</v>
      </c>
      <c r="B49" s="1"/>
      <c r="V49" s="8"/>
    </row>
    <row r="50" spans="1:26" x14ac:dyDescent="0.25">
      <c r="A50" t="s">
        <v>1</v>
      </c>
      <c r="C50">
        <v>0</v>
      </c>
      <c r="D50">
        <v>60</v>
      </c>
      <c r="E50">
        <v>150</v>
      </c>
      <c r="F50">
        <v>360</v>
      </c>
      <c r="G50">
        <v>420</v>
      </c>
      <c r="T50" s="8" t="s">
        <v>32</v>
      </c>
      <c r="U50">
        <f>0.035*C52</f>
        <v>7.9450000000000007E-2</v>
      </c>
      <c r="V50" s="8"/>
    </row>
    <row r="51" spans="1:26" x14ac:dyDescent="0.25">
      <c r="A51" t="s">
        <v>2</v>
      </c>
      <c r="B51" t="s">
        <v>35</v>
      </c>
      <c r="C51">
        <v>22.49</v>
      </c>
      <c r="D51">
        <v>9.17</v>
      </c>
      <c r="E51">
        <v>10.82</v>
      </c>
      <c r="F51">
        <v>10.97</v>
      </c>
      <c r="G51">
        <v>10.82</v>
      </c>
      <c r="T51" s="8" t="s">
        <v>31</v>
      </c>
      <c r="U51">
        <f>C52/30</f>
        <v>7.5666666666666674E-2</v>
      </c>
      <c r="V51" s="7" t="s">
        <v>39</v>
      </c>
      <c r="W51" s="10">
        <v>5.2169999999999996</v>
      </c>
    </row>
    <row r="52" spans="1:26" x14ac:dyDescent="0.25">
      <c r="A52" t="s">
        <v>3</v>
      </c>
      <c r="B52" t="s">
        <v>36</v>
      </c>
      <c r="C52">
        <f>ROUND(3.4/1.5, 2)</f>
        <v>2.27</v>
      </c>
      <c r="F52">
        <f>ROUND(0.04/1.5, 2)</f>
        <v>0.03</v>
      </c>
      <c r="G52">
        <f>ROUND(0.05/1.5, 2)</f>
        <v>0.03</v>
      </c>
      <c r="T52" s="8" t="s">
        <v>37</v>
      </c>
      <c r="U52">
        <v>5.0540000000000003</v>
      </c>
      <c r="V52" s="7" t="s">
        <v>40</v>
      </c>
      <c r="W52" s="10">
        <v>1.3762000000000001</v>
      </c>
    </row>
    <row r="53" spans="1:26" x14ac:dyDescent="0.25">
      <c r="T53" s="8" t="s">
        <v>38</v>
      </c>
      <c r="U53">
        <v>7.6999999999999999E-2</v>
      </c>
      <c r="V53" s="8"/>
    </row>
    <row r="54" spans="1:26" x14ac:dyDescent="0.25">
      <c r="T54" s="8" t="s">
        <v>30</v>
      </c>
      <c r="U54">
        <f>(0.099021*C51*(U53+C52))/(30*C52)</f>
        <v>7.6750769965198223E-2</v>
      </c>
      <c r="V54" s="8"/>
    </row>
    <row r="55" spans="1:26" x14ac:dyDescent="0.25">
      <c r="A55" s="1" t="s">
        <v>12</v>
      </c>
      <c r="B55" s="1"/>
      <c r="V55" s="8"/>
    </row>
    <row r="56" spans="1:26" x14ac:dyDescent="0.25">
      <c r="A56" t="s">
        <v>1</v>
      </c>
      <c r="C56">
        <v>0</v>
      </c>
      <c r="D56">
        <v>30</v>
      </c>
      <c r="E56">
        <v>60</v>
      </c>
      <c r="F56">
        <v>150</v>
      </c>
      <c r="G56">
        <v>300</v>
      </c>
      <c r="H56">
        <v>450</v>
      </c>
      <c r="I56">
        <v>540</v>
      </c>
      <c r="J56">
        <v>720</v>
      </c>
      <c r="T56" s="8" t="s">
        <v>32</v>
      </c>
      <c r="U56">
        <f>0.035*C58</f>
        <v>0.42000000000000004</v>
      </c>
      <c r="V56" s="8"/>
    </row>
    <row r="57" spans="1:26" x14ac:dyDescent="0.25">
      <c r="A57" t="s">
        <v>2</v>
      </c>
      <c r="B57" t="s">
        <v>35</v>
      </c>
      <c r="C57">
        <v>63.42</v>
      </c>
      <c r="D57">
        <v>39.340000000000003</v>
      </c>
      <c r="E57">
        <v>37.06</v>
      </c>
      <c r="F57">
        <v>27.2</v>
      </c>
      <c r="G57">
        <v>10.79</v>
      </c>
      <c r="H57">
        <v>23.03</v>
      </c>
      <c r="I57">
        <v>14.4</v>
      </c>
      <c r="J57">
        <v>12.2</v>
      </c>
      <c r="T57" s="8" t="s">
        <v>31</v>
      </c>
      <c r="U57">
        <f>C58/30</f>
        <v>0.4</v>
      </c>
      <c r="V57" s="7" t="s">
        <v>39</v>
      </c>
      <c r="W57" s="10">
        <v>22.352499999999999</v>
      </c>
    </row>
    <row r="58" spans="1:26" x14ac:dyDescent="0.25">
      <c r="A58" t="s">
        <v>3</v>
      </c>
      <c r="B58" t="s">
        <v>36</v>
      </c>
      <c r="C58">
        <v>12</v>
      </c>
      <c r="D58">
        <v>9.4</v>
      </c>
      <c r="E58">
        <v>8.8000000000000007</v>
      </c>
      <c r="F58">
        <v>4.2</v>
      </c>
      <c r="G58">
        <v>2.6</v>
      </c>
      <c r="H58">
        <v>7.3</v>
      </c>
      <c r="J58">
        <v>1.5</v>
      </c>
      <c r="T58" s="8" t="s">
        <v>37</v>
      </c>
      <c r="U58">
        <v>5.3022999999999998</v>
      </c>
      <c r="V58" s="7" t="s">
        <v>40</v>
      </c>
      <c r="W58" s="10">
        <v>3.6924999999999999</v>
      </c>
    </row>
    <row r="59" spans="1:26" x14ac:dyDescent="0.25">
      <c r="T59" s="8" t="s">
        <v>38</v>
      </c>
      <c r="U59">
        <v>7.4999999999999997E-2</v>
      </c>
      <c r="V59" s="8"/>
    </row>
    <row r="60" spans="1:26" x14ac:dyDescent="0.25">
      <c r="T60" s="8" t="s">
        <v>30</v>
      </c>
      <c r="U60">
        <f>(0.099021*C57*(U59+C58))/(30*C58)</f>
        <v>0.2106387089625</v>
      </c>
      <c r="V60" s="8"/>
    </row>
    <row r="61" spans="1:26" s="5" customFormat="1" x14ac:dyDescent="0.25">
      <c r="A61" s="4" t="s">
        <v>13</v>
      </c>
      <c r="B61" s="4"/>
      <c r="T61" s="9"/>
      <c r="V61" s="9"/>
      <c r="W61" s="11"/>
      <c r="Z61" s="11"/>
    </row>
    <row r="62" spans="1:26" s="5" customFormat="1" x14ac:dyDescent="0.25">
      <c r="A62" s="5" t="s">
        <v>1</v>
      </c>
      <c r="C62" s="5">
        <v>0</v>
      </c>
      <c r="D62" s="5">
        <v>90</v>
      </c>
      <c r="E62" s="5">
        <v>870</v>
      </c>
      <c r="F62" s="5">
        <v>1350</v>
      </c>
      <c r="T62" s="9" t="s">
        <v>32</v>
      </c>
      <c r="U62" s="5">
        <f>0.035*C64</f>
        <v>6.0900000000000003E-2</v>
      </c>
      <c r="V62" s="9"/>
      <c r="W62" s="11"/>
      <c r="Z62" s="11"/>
    </row>
    <row r="63" spans="1:26" s="5" customFormat="1" x14ac:dyDescent="0.25">
      <c r="A63" s="5" t="s">
        <v>2</v>
      </c>
      <c r="B63" s="5" t="s">
        <v>35</v>
      </c>
      <c r="C63" s="5">
        <v>26.43</v>
      </c>
      <c r="D63" s="5">
        <v>20.43</v>
      </c>
      <c r="E63" s="5">
        <v>11.5</v>
      </c>
      <c r="F63" s="5">
        <v>11.36</v>
      </c>
      <c r="T63" s="9" t="s">
        <v>31</v>
      </c>
      <c r="U63" s="5">
        <f>C64/30</f>
        <v>5.8000000000000003E-2</v>
      </c>
      <c r="V63" s="7" t="s">
        <v>39</v>
      </c>
      <c r="W63" s="11">
        <v>1.9892000000000001</v>
      </c>
      <c r="Z63" s="11"/>
    </row>
    <row r="64" spans="1:26" s="5" customFormat="1" x14ac:dyDescent="0.25">
      <c r="A64" s="5" t="s">
        <v>3</v>
      </c>
      <c r="B64" s="5" t="s">
        <v>36</v>
      </c>
      <c r="C64" s="5">
        <v>1.74</v>
      </c>
      <c r="E64" s="5">
        <v>0.45</v>
      </c>
      <c r="F64" s="5">
        <v>0.43</v>
      </c>
      <c r="T64" s="9" t="s">
        <v>37</v>
      </c>
      <c r="U64" s="5">
        <v>11.8</v>
      </c>
      <c r="V64" s="7" t="s">
        <v>40</v>
      </c>
      <c r="W64" s="11">
        <v>0.2303</v>
      </c>
      <c r="Z64" s="11"/>
    </row>
    <row r="65" spans="1:26" s="5" customFormat="1" x14ac:dyDescent="0.25">
      <c r="T65" s="9" t="s">
        <v>38</v>
      </c>
      <c r="U65" s="5">
        <v>7.0000000000000007E-2</v>
      </c>
      <c r="V65" s="9"/>
      <c r="W65" s="11"/>
      <c r="Z65" s="11"/>
    </row>
    <row r="66" spans="1:26" s="5" customFormat="1" x14ac:dyDescent="0.25">
      <c r="T66" s="9" t="s">
        <v>30</v>
      </c>
      <c r="U66" s="5">
        <f>(0.099021*C63*(U65+C64))/(30*C64)</f>
        <v>9.0747055637931021E-2</v>
      </c>
      <c r="V66" s="9"/>
      <c r="W66" s="11"/>
      <c r="Z66" s="11"/>
    </row>
    <row r="67" spans="1:26" x14ac:dyDescent="0.25">
      <c r="A67" s="1" t="s">
        <v>14</v>
      </c>
      <c r="B67" s="1"/>
      <c r="V67" s="8"/>
    </row>
    <row r="68" spans="1:26" x14ac:dyDescent="0.25">
      <c r="A68" t="s">
        <v>1</v>
      </c>
      <c r="C68">
        <v>0</v>
      </c>
      <c r="D68">
        <v>90</v>
      </c>
      <c r="E68">
        <v>210</v>
      </c>
      <c r="F68">
        <v>390</v>
      </c>
      <c r="G68">
        <v>480</v>
      </c>
      <c r="H68">
        <v>600</v>
      </c>
      <c r="I68">
        <v>780</v>
      </c>
      <c r="J68">
        <v>960</v>
      </c>
      <c r="T68" s="8" t="s">
        <v>32</v>
      </c>
      <c r="U68">
        <f>0.035*C70</f>
        <v>5.3200000000000004E-2</v>
      </c>
      <c r="V68" s="8"/>
    </row>
    <row r="69" spans="1:26" x14ac:dyDescent="0.25">
      <c r="A69" t="s">
        <v>2</v>
      </c>
      <c r="B69" t="s">
        <v>35</v>
      </c>
      <c r="C69">
        <v>37.43</v>
      </c>
      <c r="D69">
        <v>18.47</v>
      </c>
      <c r="E69">
        <v>14.1</v>
      </c>
      <c r="F69">
        <v>21.82</v>
      </c>
      <c r="G69">
        <v>12.3</v>
      </c>
      <c r="H69">
        <v>10.82</v>
      </c>
      <c r="I69">
        <v>10.59</v>
      </c>
      <c r="J69">
        <v>11.84</v>
      </c>
      <c r="T69" s="8" t="s">
        <v>31</v>
      </c>
      <c r="U69">
        <f>C70/30</f>
        <v>5.0666666666666665E-2</v>
      </c>
      <c r="V69" s="7" t="s">
        <v>39</v>
      </c>
      <c r="W69" s="10">
        <v>12.9674</v>
      </c>
    </row>
    <row r="70" spans="1:26" x14ac:dyDescent="0.25">
      <c r="A70" t="s">
        <v>3</v>
      </c>
      <c r="B70" t="s">
        <v>36</v>
      </c>
      <c r="C70">
        <v>1.52</v>
      </c>
      <c r="E70">
        <v>0.82</v>
      </c>
      <c r="F70">
        <v>1.36</v>
      </c>
      <c r="J70">
        <v>0.33</v>
      </c>
      <c r="T70" s="8" t="s">
        <v>37</v>
      </c>
      <c r="U70">
        <v>6</v>
      </c>
      <c r="V70" s="7" t="s">
        <v>40</v>
      </c>
      <c r="W70" s="10">
        <v>0.47089999999999999</v>
      </c>
    </row>
    <row r="71" spans="1:26" x14ac:dyDescent="0.25">
      <c r="T71" s="8" t="s">
        <v>38</v>
      </c>
      <c r="U71">
        <v>7.2999999999999995E-2</v>
      </c>
      <c r="V71" s="8"/>
    </row>
    <row r="72" spans="1:26" x14ac:dyDescent="0.25">
      <c r="T72" s="8" t="s">
        <v>30</v>
      </c>
      <c r="U72">
        <f>(0.099021*C69*(U71+C70))/(30*C70)</f>
        <v>0.1294786218375</v>
      </c>
      <c r="V72" s="8"/>
    </row>
    <row r="73" spans="1:26" x14ac:dyDescent="0.25">
      <c r="A73" s="1" t="s">
        <v>15</v>
      </c>
      <c r="B73" s="1"/>
      <c r="V73" s="8"/>
    </row>
    <row r="74" spans="1:26" x14ac:dyDescent="0.25">
      <c r="A74" t="s">
        <v>1</v>
      </c>
      <c r="C74">
        <v>0</v>
      </c>
      <c r="D74">
        <v>90</v>
      </c>
      <c r="E74">
        <v>240</v>
      </c>
      <c r="F74">
        <v>390</v>
      </c>
      <c r="G74">
        <v>630</v>
      </c>
      <c r="H74">
        <v>780</v>
      </c>
      <c r="T74" s="8" t="s">
        <v>32</v>
      </c>
      <c r="U74">
        <f>0.035*C76</f>
        <v>4.5500000000000006E-2</v>
      </c>
      <c r="V74" s="8"/>
    </row>
    <row r="75" spans="1:26" x14ac:dyDescent="0.25">
      <c r="A75" t="s">
        <v>2</v>
      </c>
      <c r="B75" t="s">
        <v>35</v>
      </c>
      <c r="C75">
        <v>24.63</v>
      </c>
      <c r="D75">
        <v>13.03</v>
      </c>
      <c r="E75">
        <v>11.44</v>
      </c>
      <c r="F75">
        <v>10.84</v>
      </c>
      <c r="G75">
        <v>9.65</v>
      </c>
      <c r="H75">
        <v>11.31</v>
      </c>
      <c r="T75" s="8" t="s">
        <v>31</v>
      </c>
      <c r="U75">
        <f>C76/30</f>
        <v>4.3333333333333335E-2</v>
      </c>
      <c r="V75" s="7" t="s">
        <v>39</v>
      </c>
      <c r="W75" s="10">
        <v>5.7205000000000004</v>
      </c>
    </row>
    <row r="76" spans="1:26" x14ac:dyDescent="0.25">
      <c r="A76" t="s">
        <v>3</v>
      </c>
      <c r="B76" t="s">
        <v>36</v>
      </c>
      <c r="C76">
        <f>ROUND(11.7/9, 2)</f>
        <v>1.3</v>
      </c>
      <c r="F76">
        <f>ROUND(4.4/9,2)</f>
        <v>0.49</v>
      </c>
      <c r="H76">
        <f>ROUND(2.6/9,2)</f>
        <v>0.28999999999999998</v>
      </c>
      <c r="T76" s="8" t="s">
        <v>37</v>
      </c>
      <c r="U76">
        <v>3.0486</v>
      </c>
      <c r="V76" s="7" t="s">
        <v>40</v>
      </c>
      <c r="W76" s="10">
        <v>0.58440000000000003</v>
      </c>
    </row>
    <row r="77" spans="1:26" x14ac:dyDescent="0.25">
      <c r="T77" s="8" t="s">
        <v>38</v>
      </c>
      <c r="U77">
        <v>9.9936999999999998E-2</v>
      </c>
      <c r="V77" s="8"/>
    </row>
    <row r="78" spans="1:26" x14ac:dyDescent="0.25">
      <c r="T78" s="8" t="s">
        <v>30</v>
      </c>
      <c r="U78">
        <f>(0.099021*C75*(U77+C76))/(30*C76)</f>
        <v>8.754585825908999E-2</v>
      </c>
      <c r="V78" s="8"/>
    </row>
    <row r="79" spans="1:26" x14ac:dyDescent="0.25">
      <c r="A79" s="1" t="s">
        <v>16</v>
      </c>
      <c r="B79" s="1"/>
      <c r="V79" s="8"/>
    </row>
    <row r="80" spans="1:26" x14ac:dyDescent="0.25">
      <c r="A80" t="s">
        <v>1</v>
      </c>
      <c r="C80">
        <v>0</v>
      </c>
      <c r="D80">
        <v>120</v>
      </c>
      <c r="E80">
        <v>1110</v>
      </c>
      <c r="F80">
        <v>1290</v>
      </c>
      <c r="G80">
        <v>1920</v>
      </c>
      <c r="H80">
        <v>2910</v>
      </c>
      <c r="T80" s="8" t="s">
        <v>32</v>
      </c>
      <c r="U80">
        <f>0.035*C82</f>
        <v>6.5799999999999997E-2</v>
      </c>
      <c r="V80" s="8"/>
    </row>
    <row r="81" spans="1:23" x14ac:dyDescent="0.25">
      <c r="A81" t="s">
        <v>2</v>
      </c>
      <c r="B81" t="s">
        <v>35</v>
      </c>
      <c r="C81">
        <v>54.14</v>
      </c>
      <c r="D81">
        <v>37.43</v>
      </c>
      <c r="E81">
        <v>43.43</v>
      </c>
      <c r="F81">
        <v>7.93</v>
      </c>
      <c r="G81">
        <v>10.5</v>
      </c>
      <c r="H81">
        <v>38.71</v>
      </c>
      <c r="T81" s="8" t="s">
        <v>31</v>
      </c>
      <c r="U81">
        <f>C82/30</f>
        <v>6.2666666666666662E-2</v>
      </c>
      <c r="V81" s="7" t="s">
        <v>39</v>
      </c>
      <c r="W81" s="10">
        <v>18.6172</v>
      </c>
    </row>
    <row r="82" spans="1:23" x14ac:dyDescent="0.25">
      <c r="A82" t="s">
        <v>3</v>
      </c>
      <c r="B82" t="s">
        <v>36</v>
      </c>
      <c r="C82">
        <f>ROUND(16.9/9,2)</f>
        <v>1.88</v>
      </c>
      <c r="E82">
        <f>ROUND(14.3/9,2)</f>
        <v>1.59</v>
      </c>
      <c r="H82">
        <f>ROUND(16.2/9,2)</f>
        <v>1.8</v>
      </c>
      <c r="T82" s="8" t="s">
        <v>37</v>
      </c>
      <c r="U82">
        <v>11.9846</v>
      </c>
      <c r="V82" s="7" t="s">
        <v>40</v>
      </c>
      <c r="W82" s="10">
        <v>0.17369999999999999</v>
      </c>
    </row>
    <row r="83" spans="1:23" x14ac:dyDescent="0.25">
      <c r="T83" s="8" t="s">
        <v>38</v>
      </c>
      <c r="U83">
        <v>5.0019899999999999E-2</v>
      </c>
      <c r="V83" s="8"/>
    </row>
    <row r="84" spans="1:23" x14ac:dyDescent="0.25">
      <c r="T84" s="8" t="s">
        <v>30</v>
      </c>
      <c r="U84">
        <f>(0.099021*C81*(U83+C82))/(30*C82)</f>
        <v>0.18345444641913305</v>
      </c>
      <c r="V84" s="8"/>
    </row>
    <row r="85" spans="1:23" x14ac:dyDescent="0.25">
      <c r="A85" s="1" t="s">
        <v>17</v>
      </c>
      <c r="B85" s="1"/>
      <c r="V85" s="8"/>
    </row>
    <row r="86" spans="1:23" x14ac:dyDescent="0.25">
      <c r="A86" t="s">
        <v>1</v>
      </c>
      <c r="C86">
        <v>0</v>
      </c>
      <c r="D86">
        <v>90</v>
      </c>
      <c r="E86">
        <v>180</v>
      </c>
      <c r="F86">
        <v>360</v>
      </c>
      <c r="G86">
        <v>780</v>
      </c>
      <c r="H86">
        <v>870</v>
      </c>
      <c r="I86">
        <v>960</v>
      </c>
      <c r="J86">
        <v>1050</v>
      </c>
      <c r="T86" s="8" t="s">
        <v>32</v>
      </c>
      <c r="U86">
        <f>0.035*C88</f>
        <v>5.4950000000000006E-2</v>
      </c>
      <c r="V86" s="8"/>
    </row>
    <row r="87" spans="1:23" x14ac:dyDescent="0.25">
      <c r="A87" t="s">
        <v>2</v>
      </c>
      <c r="B87" t="s">
        <v>35</v>
      </c>
      <c r="C87">
        <v>36.06</v>
      </c>
      <c r="D87">
        <v>20.100000000000001</v>
      </c>
      <c r="E87">
        <v>11.81</v>
      </c>
      <c r="F87">
        <v>9</v>
      </c>
      <c r="G87">
        <v>36.369999999999997</v>
      </c>
      <c r="H87">
        <v>22.35</v>
      </c>
      <c r="I87">
        <v>12.73</v>
      </c>
      <c r="J87">
        <v>10.73</v>
      </c>
      <c r="T87" s="8" t="s">
        <v>31</v>
      </c>
      <c r="U87">
        <f>C88/30</f>
        <v>5.2333333333333336E-2</v>
      </c>
      <c r="V87" s="7" t="s">
        <v>39</v>
      </c>
      <c r="W87" s="10">
        <v>11.521000000000001</v>
      </c>
    </row>
    <row r="88" spans="1:23" x14ac:dyDescent="0.25">
      <c r="A88" t="s">
        <v>3</v>
      </c>
      <c r="B88" t="s">
        <v>36</v>
      </c>
      <c r="C88">
        <f>ROUND(14.1/9,2)</f>
        <v>1.57</v>
      </c>
      <c r="E88">
        <f>ROUND(8/9,2)</f>
        <v>0.89</v>
      </c>
      <c r="F88">
        <f>ROUND(8.8/9,2)</f>
        <v>0.98</v>
      </c>
      <c r="G88">
        <f>ROUND(15.7/9,2)</f>
        <v>1.74</v>
      </c>
      <c r="H88">
        <f>ROUND(8.1/9,2)</f>
        <v>0.9</v>
      </c>
      <c r="J88">
        <f>ROUND(5.2/9,2)</f>
        <v>0.57999999999999996</v>
      </c>
      <c r="T88" s="8" t="s">
        <v>37</v>
      </c>
      <c r="U88">
        <v>6</v>
      </c>
      <c r="V88" s="7" t="s">
        <v>40</v>
      </c>
      <c r="W88" s="10">
        <v>0.39100000000000001</v>
      </c>
    </row>
    <row r="89" spans="1:23" x14ac:dyDescent="0.25">
      <c r="T89" s="8" t="s">
        <v>38</v>
      </c>
      <c r="U89">
        <v>7.2499999999999995E-2</v>
      </c>
      <c r="V89" s="8"/>
    </row>
    <row r="90" spans="1:23" x14ac:dyDescent="0.25">
      <c r="T90" s="8" t="s">
        <v>30</v>
      </c>
      <c r="U90">
        <f>(0.099021*C87*(U89+C88))/(30*C88)</f>
        <v>0.12451953820700638</v>
      </c>
      <c r="V90" s="8"/>
    </row>
    <row r="91" spans="1:23" x14ac:dyDescent="0.25">
      <c r="A91" s="1" t="s">
        <v>18</v>
      </c>
      <c r="B91" s="1"/>
      <c r="V91" s="8"/>
    </row>
    <row r="92" spans="1:23" x14ac:dyDescent="0.25">
      <c r="A92" t="s">
        <v>1</v>
      </c>
      <c r="C92">
        <v>0</v>
      </c>
      <c r="D92">
        <v>210</v>
      </c>
      <c r="E92">
        <v>450</v>
      </c>
      <c r="F92">
        <v>690</v>
      </c>
      <c r="G92">
        <v>810</v>
      </c>
      <c r="H92">
        <v>930</v>
      </c>
      <c r="I92">
        <v>1110</v>
      </c>
      <c r="T92" s="8" t="s">
        <v>32</v>
      </c>
      <c r="U92">
        <f>0.035*C94</f>
        <v>6.4400000000000013E-2</v>
      </c>
      <c r="V92" s="8"/>
    </row>
    <row r="93" spans="1:23" x14ac:dyDescent="0.25">
      <c r="A93" t="s">
        <v>2</v>
      </c>
      <c r="B93" t="s">
        <v>35</v>
      </c>
      <c r="C93">
        <v>31.9</v>
      </c>
      <c r="D93">
        <v>14.1</v>
      </c>
      <c r="E93">
        <v>12.27</v>
      </c>
      <c r="F93">
        <v>23.04</v>
      </c>
      <c r="G93">
        <v>11.66</v>
      </c>
      <c r="H93">
        <v>11.13</v>
      </c>
      <c r="I93">
        <v>20.98</v>
      </c>
      <c r="T93" s="8" t="s">
        <v>31</v>
      </c>
      <c r="U93">
        <f>C94/30</f>
        <v>6.1333333333333337E-2</v>
      </c>
      <c r="V93" s="7" t="s">
        <v>39</v>
      </c>
      <c r="W93" s="10">
        <v>7.1444999999999999</v>
      </c>
    </row>
    <row r="94" spans="1:23" x14ac:dyDescent="0.25">
      <c r="A94" t="s">
        <v>3</v>
      </c>
      <c r="B94" t="s">
        <v>36</v>
      </c>
      <c r="C94">
        <v>1.84</v>
      </c>
      <c r="D94">
        <v>1.35</v>
      </c>
      <c r="E94">
        <v>1.1000000000000001</v>
      </c>
      <c r="F94">
        <v>1.84</v>
      </c>
      <c r="H94">
        <v>0.89</v>
      </c>
      <c r="I94">
        <v>1.33</v>
      </c>
      <c r="T94" s="8" t="s">
        <v>37</v>
      </c>
      <c r="U94">
        <v>4.0620000000000003</v>
      </c>
      <c r="V94" s="7" t="s">
        <v>40</v>
      </c>
      <c r="W94" s="10">
        <v>0.27960000000000002</v>
      </c>
    </row>
    <row r="95" spans="1:23" x14ac:dyDescent="0.25">
      <c r="T95" s="8" t="s">
        <v>38</v>
      </c>
      <c r="U95">
        <v>9.4805E-2</v>
      </c>
      <c r="V95" s="8"/>
    </row>
    <row r="96" spans="1:23" x14ac:dyDescent="0.25">
      <c r="T96" s="8" t="s">
        <v>30</v>
      </c>
      <c r="U96">
        <f>(0.099021*C93*(U95+C94))/(30*C94)</f>
        <v>0.1107174600791576</v>
      </c>
      <c r="V96" s="8"/>
    </row>
    <row r="97" spans="1:23" x14ac:dyDescent="0.25">
      <c r="A97" s="1" t="s">
        <v>19</v>
      </c>
      <c r="B97" s="1"/>
      <c r="V97" s="8"/>
    </row>
    <row r="98" spans="1:23" x14ac:dyDescent="0.25">
      <c r="A98" t="s">
        <v>1</v>
      </c>
      <c r="C98">
        <v>0</v>
      </c>
      <c r="D98">
        <v>600</v>
      </c>
      <c r="E98">
        <v>930</v>
      </c>
      <c r="F98">
        <v>1560</v>
      </c>
      <c r="T98" s="8" t="s">
        <v>32</v>
      </c>
      <c r="U98">
        <f>0.035*C100</f>
        <v>5.2500000000000005E-2</v>
      </c>
      <c r="V98" s="8"/>
    </row>
    <row r="99" spans="1:23" x14ac:dyDescent="0.25">
      <c r="A99" t="s">
        <v>2</v>
      </c>
      <c r="B99" t="s">
        <v>35</v>
      </c>
      <c r="C99">
        <v>38.979999999999997</v>
      </c>
      <c r="D99">
        <v>8.33</v>
      </c>
      <c r="E99">
        <v>10.51</v>
      </c>
      <c r="F99">
        <v>10.67</v>
      </c>
      <c r="T99" s="8" t="s">
        <v>31</v>
      </c>
      <c r="U99">
        <f>C100/30</f>
        <v>0.05</v>
      </c>
      <c r="V99" s="7" t="s">
        <v>39</v>
      </c>
      <c r="W99" s="10">
        <v>20.156600000000001</v>
      </c>
    </row>
    <row r="100" spans="1:23" x14ac:dyDescent="0.25">
      <c r="A100" t="s">
        <v>3</v>
      </c>
      <c r="B100" t="s">
        <v>36</v>
      </c>
      <c r="C100">
        <f>ROUND(13.5/9, 2)</f>
        <v>1.5</v>
      </c>
      <c r="D100">
        <f>ROUND(2.8/9, 2)</f>
        <v>0.31</v>
      </c>
      <c r="F100">
        <f>ROUND(3.2/9,2)</f>
        <v>0.36</v>
      </c>
      <c r="T100" s="8" t="s">
        <v>37</v>
      </c>
      <c r="U100">
        <v>6.2285000000000004</v>
      </c>
      <c r="V100" s="7" t="s">
        <v>40</v>
      </c>
      <c r="W100" s="10">
        <v>0.66869999999999996</v>
      </c>
    </row>
    <row r="101" spans="1:23" x14ac:dyDescent="0.25">
      <c r="T101" s="8" t="s">
        <v>38</v>
      </c>
      <c r="U101">
        <v>9.7882999999999998E-2</v>
      </c>
      <c r="V101" s="8"/>
    </row>
    <row r="102" spans="1:23" x14ac:dyDescent="0.25">
      <c r="T102" s="8" t="s">
        <v>30</v>
      </c>
      <c r="U102">
        <f>(0.099021*C99*(U101+C100))/(30*C100)</f>
        <v>0.1370571211050253</v>
      </c>
      <c r="V102" s="8"/>
    </row>
    <row r="103" spans="1:23" x14ac:dyDescent="0.25">
      <c r="A103" s="1" t="s">
        <v>20</v>
      </c>
      <c r="B103" s="1"/>
      <c r="V103" s="8"/>
    </row>
    <row r="104" spans="1:23" x14ac:dyDescent="0.25">
      <c r="A104" t="s">
        <v>1</v>
      </c>
      <c r="C104">
        <v>0</v>
      </c>
      <c r="D104">
        <v>240</v>
      </c>
      <c r="E104">
        <v>660</v>
      </c>
      <c r="F104">
        <v>750</v>
      </c>
      <c r="G104">
        <v>900</v>
      </c>
      <c r="H104">
        <v>1080</v>
      </c>
      <c r="T104" s="8" t="s">
        <v>32</v>
      </c>
      <c r="U104">
        <f>0.035*C106</f>
        <v>5.7050000000000003E-2</v>
      </c>
      <c r="V104" s="8"/>
    </row>
    <row r="105" spans="1:23" x14ac:dyDescent="0.25">
      <c r="A105" t="s">
        <v>2</v>
      </c>
      <c r="B105" t="s">
        <v>35</v>
      </c>
      <c r="C105">
        <v>28.49</v>
      </c>
      <c r="D105">
        <v>9.1199999999999992</v>
      </c>
      <c r="E105">
        <v>23.33</v>
      </c>
      <c r="F105">
        <v>12.5</v>
      </c>
      <c r="G105">
        <v>10.98</v>
      </c>
      <c r="H105">
        <v>10.72</v>
      </c>
      <c r="T105" s="8" t="s">
        <v>31</v>
      </c>
      <c r="U105">
        <f>C106/30</f>
        <v>5.4333333333333331E-2</v>
      </c>
      <c r="V105" s="7" t="s">
        <v>39</v>
      </c>
      <c r="W105" s="10">
        <v>4.6745000000000001</v>
      </c>
    </row>
    <row r="106" spans="1:23" x14ac:dyDescent="0.25">
      <c r="A106" t="s">
        <v>3</v>
      </c>
      <c r="B106" t="s">
        <v>36</v>
      </c>
      <c r="C106">
        <v>1.63</v>
      </c>
      <c r="D106">
        <v>1.21</v>
      </c>
      <c r="E106">
        <v>1.9</v>
      </c>
      <c r="G106">
        <v>0.72</v>
      </c>
      <c r="H106">
        <v>0.66</v>
      </c>
      <c r="T106" s="8" t="s">
        <v>37</v>
      </c>
      <c r="U106">
        <v>3.2410000000000001</v>
      </c>
      <c r="V106" s="7" t="s">
        <v>40</v>
      </c>
      <c r="W106" s="10">
        <v>0.2273</v>
      </c>
    </row>
    <row r="107" spans="1:23" x14ac:dyDescent="0.25">
      <c r="T107" s="8" t="s">
        <v>38</v>
      </c>
      <c r="U107">
        <v>9.5230999999999996E-2</v>
      </c>
      <c r="V107" s="8"/>
    </row>
    <row r="108" spans="1:23" x14ac:dyDescent="0.25">
      <c r="T108" s="8" t="s">
        <v>30</v>
      </c>
      <c r="U108">
        <f>(0.099021*C105*(U107+C106))/(30*C106)</f>
        <v>9.9530950434866858E-2</v>
      </c>
      <c r="V108" s="8"/>
    </row>
    <row r="109" spans="1:23" x14ac:dyDescent="0.25">
      <c r="A109" s="1" t="s">
        <v>21</v>
      </c>
      <c r="B109" s="1"/>
      <c r="V109" s="8"/>
    </row>
    <row r="110" spans="1:23" x14ac:dyDescent="0.25">
      <c r="A110" t="s">
        <v>1</v>
      </c>
      <c r="C110">
        <v>0</v>
      </c>
      <c r="D110">
        <v>120</v>
      </c>
      <c r="E110">
        <v>600</v>
      </c>
      <c r="F110">
        <v>1020</v>
      </c>
      <c r="T110" s="8" t="s">
        <v>32</v>
      </c>
      <c r="U110">
        <f>0.035*C112</f>
        <v>0.30099999999999999</v>
      </c>
      <c r="V110" s="8"/>
    </row>
    <row r="111" spans="1:23" x14ac:dyDescent="0.25">
      <c r="A111" t="s">
        <v>2</v>
      </c>
      <c r="B111" t="s">
        <v>35</v>
      </c>
      <c r="C111">
        <v>28.14</v>
      </c>
      <c r="D111">
        <v>10.43</v>
      </c>
      <c r="E111">
        <v>10.71</v>
      </c>
      <c r="F111">
        <v>10.36</v>
      </c>
      <c r="T111" s="8" t="s">
        <v>31</v>
      </c>
      <c r="U111">
        <f>C112/30</f>
        <v>0.28666666666666668</v>
      </c>
      <c r="V111" s="7" t="s">
        <v>39</v>
      </c>
      <c r="W111" s="10">
        <v>13.222</v>
      </c>
    </row>
    <row r="112" spans="1:23" x14ac:dyDescent="0.25">
      <c r="A112" t="s">
        <v>3</v>
      </c>
      <c r="B112" t="s">
        <v>36</v>
      </c>
      <c r="C112">
        <v>8.6</v>
      </c>
      <c r="E112">
        <v>0.5</v>
      </c>
      <c r="F112">
        <v>0.5</v>
      </c>
      <c r="T112" s="8" t="s">
        <v>37</v>
      </c>
      <c r="U112">
        <v>3</v>
      </c>
      <c r="V112" s="7" t="s">
        <v>40</v>
      </c>
      <c r="W112" s="10">
        <v>6.6135999999999999</v>
      </c>
    </row>
    <row r="113" spans="1:26" x14ac:dyDescent="0.25">
      <c r="T113" s="8" t="s">
        <v>38</v>
      </c>
      <c r="U113">
        <v>9.9998000000000004E-2</v>
      </c>
      <c r="V113" s="8"/>
    </row>
    <row r="114" spans="1:26" x14ac:dyDescent="0.25">
      <c r="T114" s="8" t="s">
        <v>30</v>
      </c>
      <c r="U114">
        <f>(0.099021*C111*(U113+C112))/(30*C112)</f>
        <v>9.3961696143791143E-2</v>
      </c>
      <c r="V114" s="8"/>
    </row>
    <row r="115" spans="1:26" x14ac:dyDescent="0.25">
      <c r="A115" s="1" t="s">
        <v>22</v>
      </c>
      <c r="B115" s="1"/>
      <c r="V115" s="8"/>
    </row>
    <row r="116" spans="1:26" x14ac:dyDescent="0.25">
      <c r="A116" t="s">
        <v>1</v>
      </c>
      <c r="C116">
        <v>0</v>
      </c>
      <c r="D116">
        <v>480</v>
      </c>
      <c r="E116">
        <v>780</v>
      </c>
      <c r="T116" s="8" t="s">
        <v>32</v>
      </c>
      <c r="U116">
        <f>0.035*C118</f>
        <v>5.4250000000000007E-2</v>
      </c>
      <c r="V116" s="8"/>
    </row>
    <row r="117" spans="1:26" x14ac:dyDescent="0.25">
      <c r="A117" t="s">
        <v>2</v>
      </c>
      <c r="B117" t="s">
        <v>35</v>
      </c>
      <c r="C117">
        <v>72.260000000000005</v>
      </c>
      <c r="D117">
        <v>12.46</v>
      </c>
      <c r="E117">
        <v>11.64</v>
      </c>
      <c r="T117" s="8" t="s">
        <v>31</v>
      </c>
      <c r="U117">
        <f>C118/30</f>
        <v>5.1666666666666666E-2</v>
      </c>
      <c r="V117" s="7" t="s">
        <v>39</v>
      </c>
      <c r="W117" s="10">
        <v>36.397500000000001</v>
      </c>
    </row>
    <row r="118" spans="1:26" x14ac:dyDescent="0.25">
      <c r="A118" t="s">
        <v>3</v>
      </c>
      <c r="B118" t="s">
        <v>36</v>
      </c>
      <c r="C118">
        <v>1.55</v>
      </c>
      <c r="D118">
        <v>0.63</v>
      </c>
      <c r="E118">
        <v>0.56999999999999995</v>
      </c>
      <c r="T118" s="8" t="s">
        <v>37</v>
      </c>
      <c r="U118">
        <v>6.0589000000000004</v>
      </c>
      <c r="V118" s="7" t="s">
        <v>40</v>
      </c>
      <c r="W118" s="10">
        <v>0.56659999999999999</v>
      </c>
    </row>
    <row r="119" spans="1:26" x14ac:dyDescent="0.25">
      <c r="T119" s="8" t="s">
        <v>38</v>
      </c>
      <c r="U119">
        <v>8.9700000000000002E-2</v>
      </c>
      <c r="V119" s="8"/>
    </row>
    <row r="120" spans="1:26" x14ac:dyDescent="0.25">
      <c r="T120" s="8" t="s">
        <v>30</v>
      </c>
      <c r="U120">
        <f>(0.099021*C117*(U119+C118))/(30*C118)</f>
        <v>0.25231130445509681</v>
      </c>
      <c r="V120" s="8"/>
    </row>
    <row r="121" spans="1:26" s="5" customFormat="1" x14ac:dyDescent="0.25">
      <c r="A121" s="4" t="s">
        <v>23</v>
      </c>
      <c r="B121" s="4"/>
      <c r="T121" s="9"/>
      <c r="V121" s="9"/>
      <c r="W121" s="11"/>
      <c r="Z121" s="11"/>
    </row>
    <row r="122" spans="1:26" s="5" customFormat="1" x14ac:dyDescent="0.25">
      <c r="A122" s="5" t="s">
        <v>1</v>
      </c>
      <c r="C122" s="5">
        <v>0</v>
      </c>
      <c r="D122" s="5">
        <v>90</v>
      </c>
      <c r="E122" s="5">
        <v>390</v>
      </c>
      <c r="F122" s="5">
        <v>1080</v>
      </c>
      <c r="G122" s="5">
        <v>1170</v>
      </c>
      <c r="H122" s="5">
        <v>1320</v>
      </c>
      <c r="I122" s="5">
        <v>1650</v>
      </c>
      <c r="T122" s="9" t="s">
        <v>32</v>
      </c>
      <c r="U122" s="5">
        <f>0.035*C124</f>
        <v>0.2177</v>
      </c>
      <c r="V122" s="9"/>
      <c r="W122" s="11"/>
      <c r="Z122" s="11"/>
    </row>
    <row r="123" spans="1:26" s="5" customFormat="1" x14ac:dyDescent="0.25">
      <c r="A123" s="5" t="s">
        <v>2</v>
      </c>
      <c r="B123" s="5" t="s">
        <v>35</v>
      </c>
      <c r="C123" s="5">
        <v>27.01</v>
      </c>
      <c r="D123" s="5">
        <v>10.029999999999999</v>
      </c>
      <c r="E123" s="5">
        <v>8.99</v>
      </c>
      <c r="F123" s="5">
        <v>40.28</v>
      </c>
      <c r="G123" s="5">
        <v>12.4</v>
      </c>
      <c r="H123" s="5">
        <v>10.79</v>
      </c>
      <c r="I123" s="5">
        <v>11.36</v>
      </c>
      <c r="T123" s="9" t="s">
        <v>31</v>
      </c>
      <c r="U123" s="5">
        <f>C124/30</f>
        <v>0.20733333333333331</v>
      </c>
      <c r="V123" s="7" t="s">
        <v>39</v>
      </c>
      <c r="W123" s="11">
        <v>7.3930999999999996</v>
      </c>
      <c r="Z123" s="11"/>
    </row>
    <row r="124" spans="1:26" s="5" customFormat="1" x14ac:dyDescent="0.25">
      <c r="A124" s="5" t="s">
        <v>3</v>
      </c>
      <c r="B124" s="5" t="s">
        <v>36</v>
      </c>
      <c r="C124" s="5">
        <v>6.22</v>
      </c>
      <c r="E124" s="5">
        <f>ROUND(10.5/9,2)</f>
        <v>1.17</v>
      </c>
      <c r="F124" s="5">
        <f>ROUND(22.2/9,2)</f>
        <v>2.4700000000000002</v>
      </c>
      <c r="I124" s="5">
        <f>ROUND(6.3/9,2)</f>
        <v>0.7</v>
      </c>
      <c r="T124" s="9" t="s">
        <v>37</v>
      </c>
      <c r="U124" s="5">
        <v>4.09</v>
      </c>
      <c r="V124" s="7" t="s">
        <v>40</v>
      </c>
      <c r="W124" s="11">
        <v>2.1257000000000001</v>
      </c>
      <c r="Z124" s="11"/>
    </row>
    <row r="125" spans="1:26" s="5" customFormat="1" x14ac:dyDescent="0.25">
      <c r="T125" s="9" t="s">
        <v>38</v>
      </c>
      <c r="U125" s="5">
        <v>8.1000000000000003E-2</v>
      </c>
      <c r="V125" s="9"/>
      <c r="W125" s="11"/>
      <c r="Z125" s="11"/>
    </row>
    <row r="126" spans="1:26" s="5" customFormat="1" x14ac:dyDescent="0.25">
      <c r="T126" s="9" t="s">
        <v>30</v>
      </c>
      <c r="U126" s="5">
        <f>(0.099021*C123*(U125+C124))/(30*C124)</f>
        <v>9.0312888425562704E-2</v>
      </c>
      <c r="V126" s="9"/>
      <c r="W126" s="11"/>
      <c r="Z126" s="11"/>
    </row>
    <row r="127" spans="1:26" x14ac:dyDescent="0.25">
      <c r="A127" s="1" t="s">
        <v>24</v>
      </c>
      <c r="B127" s="1"/>
      <c r="V127" s="8"/>
    </row>
    <row r="128" spans="1:26" x14ac:dyDescent="0.25">
      <c r="A128" t="s">
        <v>1</v>
      </c>
      <c r="C128">
        <v>0</v>
      </c>
      <c r="D128">
        <v>60</v>
      </c>
      <c r="E128">
        <v>270</v>
      </c>
      <c r="F128">
        <v>480</v>
      </c>
      <c r="G128">
        <v>690</v>
      </c>
      <c r="T128" s="8" t="s">
        <v>32</v>
      </c>
      <c r="U128">
        <f>0.035*C130</f>
        <v>0.19600000000000001</v>
      </c>
      <c r="V128" s="8"/>
    </row>
    <row r="129" spans="1:23" x14ac:dyDescent="0.25">
      <c r="A129" t="s">
        <v>2</v>
      </c>
      <c r="B129" t="s">
        <v>35</v>
      </c>
      <c r="C129">
        <v>25.72</v>
      </c>
      <c r="D129">
        <v>14.18</v>
      </c>
      <c r="E129">
        <v>11.52</v>
      </c>
      <c r="F129">
        <v>10.35</v>
      </c>
      <c r="G129">
        <v>11.29</v>
      </c>
      <c r="T129" s="8" t="s">
        <v>31</v>
      </c>
      <c r="U129">
        <f>C130/30</f>
        <v>0.18666666666666665</v>
      </c>
      <c r="V129" s="7" t="s">
        <v>39</v>
      </c>
      <c r="W129" s="10">
        <v>6.7682000000000002</v>
      </c>
    </row>
    <row r="130" spans="1:23" x14ac:dyDescent="0.25">
      <c r="A130" t="s">
        <v>3</v>
      </c>
      <c r="B130" t="s">
        <v>36</v>
      </c>
      <c r="C130">
        <v>5.6</v>
      </c>
      <c r="F130">
        <v>0.6</v>
      </c>
      <c r="G130">
        <v>0.5</v>
      </c>
      <c r="T130" s="8" t="s">
        <v>37</v>
      </c>
      <c r="U130">
        <v>3</v>
      </c>
      <c r="V130" s="7" t="s">
        <v>40</v>
      </c>
      <c r="W130" s="10">
        <v>3.0728</v>
      </c>
    </row>
    <row r="131" spans="1:23" x14ac:dyDescent="0.25">
      <c r="T131" s="8" t="s">
        <v>38</v>
      </c>
      <c r="U131">
        <v>9.9961999999999995E-2</v>
      </c>
      <c r="V131" s="8"/>
    </row>
    <row r="132" spans="1:23" x14ac:dyDescent="0.25">
      <c r="T132" s="8" t="s">
        <v>30</v>
      </c>
      <c r="U132">
        <f>(0.099021*C129*(U131+C130))/(30*C130)</f>
        <v>8.6409392290687129E-2</v>
      </c>
      <c r="V132" s="8"/>
    </row>
    <row r="133" spans="1:23" x14ac:dyDescent="0.25">
      <c r="A133" s="1" t="s">
        <v>25</v>
      </c>
      <c r="B133" s="1"/>
      <c r="V133" s="8"/>
    </row>
    <row r="134" spans="1:23" x14ac:dyDescent="0.25">
      <c r="A134" t="s">
        <v>1</v>
      </c>
      <c r="C134">
        <v>0</v>
      </c>
      <c r="D134">
        <v>240</v>
      </c>
      <c r="E134">
        <v>510</v>
      </c>
      <c r="F134">
        <v>690</v>
      </c>
      <c r="G134">
        <v>1110</v>
      </c>
      <c r="T134" s="8" t="s">
        <v>32</v>
      </c>
      <c r="U134">
        <f>0.035*C136</f>
        <v>1.0360000000000003</v>
      </c>
      <c r="V134" s="8"/>
    </row>
    <row r="135" spans="1:23" x14ac:dyDescent="0.25">
      <c r="A135" t="s">
        <v>2</v>
      </c>
      <c r="B135" t="s">
        <v>35</v>
      </c>
      <c r="C135">
        <v>30.39</v>
      </c>
      <c r="D135">
        <v>10.87</v>
      </c>
      <c r="E135">
        <v>10.64</v>
      </c>
      <c r="F135">
        <v>9.8699999999999992</v>
      </c>
      <c r="G135">
        <v>10.72</v>
      </c>
      <c r="T135" s="8" t="s">
        <v>31</v>
      </c>
      <c r="U135">
        <f>C136/30</f>
        <v>0.98666666666666669</v>
      </c>
      <c r="V135" s="7" t="s">
        <v>39</v>
      </c>
      <c r="W135" s="10">
        <v>10.094799999999999</v>
      </c>
    </row>
    <row r="136" spans="1:23" x14ac:dyDescent="0.25">
      <c r="A136" t="s">
        <v>3</v>
      </c>
      <c r="B136" t="s">
        <v>36</v>
      </c>
      <c r="C136">
        <v>29.6</v>
      </c>
      <c r="D136">
        <v>16.399999999999999</v>
      </c>
      <c r="E136">
        <v>0.8</v>
      </c>
      <c r="G136">
        <v>0.7</v>
      </c>
      <c r="T136" s="8" t="s">
        <v>37</v>
      </c>
      <c r="U136">
        <v>4.9204999999999997</v>
      </c>
      <c r="V136" s="7" t="s">
        <v>40</v>
      </c>
      <c r="W136" s="10">
        <v>15.7355</v>
      </c>
    </row>
    <row r="137" spans="1:23" x14ac:dyDescent="0.25">
      <c r="T137" s="8" t="s">
        <v>38</v>
      </c>
      <c r="U137">
        <v>9.8565E-2</v>
      </c>
      <c r="V137" s="8"/>
    </row>
    <row r="138" spans="1:23" x14ac:dyDescent="0.25">
      <c r="T138" s="8" t="s">
        <v>30</v>
      </c>
      <c r="U138">
        <f>(0.099021*C135*(U137+C136))/(30*C136)</f>
        <v>0.10064228938271098</v>
      </c>
      <c r="V138" s="8"/>
    </row>
    <row r="139" spans="1:23" x14ac:dyDescent="0.25">
      <c r="A139" s="1" t="s">
        <v>26</v>
      </c>
      <c r="B139" s="1"/>
      <c r="V139" s="8"/>
    </row>
    <row r="140" spans="1:23" x14ac:dyDescent="0.25">
      <c r="A140" t="s">
        <v>1</v>
      </c>
      <c r="C140">
        <v>0</v>
      </c>
      <c r="D140">
        <v>180</v>
      </c>
      <c r="E140">
        <v>360</v>
      </c>
      <c r="F140">
        <v>600</v>
      </c>
      <c r="G140">
        <v>720</v>
      </c>
      <c r="H140">
        <v>870</v>
      </c>
      <c r="T140" s="8" t="s">
        <v>32</v>
      </c>
      <c r="U140">
        <f>0.035*C142</f>
        <v>6.405000000000001E-2</v>
      </c>
      <c r="V140" s="8"/>
    </row>
    <row r="141" spans="1:23" x14ac:dyDescent="0.25">
      <c r="A141" t="s">
        <v>2</v>
      </c>
      <c r="B141" t="s">
        <v>35</v>
      </c>
      <c r="C141">
        <v>23.92</v>
      </c>
      <c r="D141">
        <v>8.01</v>
      </c>
      <c r="E141">
        <v>9.73</v>
      </c>
      <c r="F141">
        <v>23.93</v>
      </c>
      <c r="G141">
        <v>10.82</v>
      </c>
      <c r="H141">
        <v>10.119999999999999</v>
      </c>
      <c r="T141" s="8" t="s">
        <v>31</v>
      </c>
      <c r="U141">
        <f>C142/30</f>
        <v>6.1000000000000006E-2</v>
      </c>
      <c r="V141" s="7" t="s">
        <v>39</v>
      </c>
      <c r="W141" s="10">
        <v>6.4561000000000002</v>
      </c>
    </row>
    <row r="142" spans="1:23" x14ac:dyDescent="0.25">
      <c r="A142" t="s">
        <v>3</v>
      </c>
      <c r="B142" t="s">
        <v>36</v>
      </c>
      <c r="C142">
        <f>ROUND(16.5/9,2)</f>
        <v>1.83</v>
      </c>
      <c r="E142">
        <f>ROUND(11.6/9,2)</f>
        <v>1.29</v>
      </c>
      <c r="F142">
        <f>ROUND(13.8/9,2)</f>
        <v>1.53</v>
      </c>
      <c r="G142">
        <f>ROUND(7.5/9,2)</f>
        <v>0.83</v>
      </c>
      <c r="H142">
        <f>ROUND(6.6/9,2)</f>
        <v>0.73</v>
      </c>
      <c r="T142" s="8" t="s">
        <v>37</v>
      </c>
      <c r="U142">
        <v>3.2614000000000001</v>
      </c>
      <c r="V142" s="7" t="s">
        <v>40</v>
      </c>
      <c r="W142" s="10">
        <v>0.30530000000000002</v>
      </c>
    </row>
    <row r="143" spans="1:23" x14ac:dyDescent="0.25">
      <c r="T143" s="8" t="s">
        <v>38</v>
      </c>
      <c r="U143">
        <v>9.9935999999999997E-2</v>
      </c>
      <c r="V143" s="8"/>
    </row>
    <row r="144" spans="1:23" x14ac:dyDescent="0.25">
      <c r="T144" s="8" t="s">
        <v>30</v>
      </c>
      <c r="U144">
        <f>(0.099021*C141*(U143+C142))/(30*C142)</f>
        <v>8.3264340406767209E-2</v>
      </c>
      <c r="V144" s="8"/>
    </row>
    <row r="145" spans="1:26" x14ac:dyDescent="0.25">
      <c r="A145" s="1" t="s">
        <v>27</v>
      </c>
      <c r="B145" s="1"/>
      <c r="V145" s="8"/>
    </row>
    <row r="146" spans="1:26" x14ac:dyDescent="0.25">
      <c r="A146" t="s">
        <v>1</v>
      </c>
      <c r="C146">
        <v>0</v>
      </c>
      <c r="D146">
        <v>240</v>
      </c>
      <c r="E146">
        <v>570</v>
      </c>
      <c r="F146">
        <v>810</v>
      </c>
      <c r="G146">
        <v>1320</v>
      </c>
      <c r="T146" s="8" t="s">
        <v>32</v>
      </c>
      <c r="U146">
        <f>0.035*C148</f>
        <v>0.26355000000000001</v>
      </c>
      <c r="V146" s="8"/>
    </row>
    <row r="147" spans="1:26" x14ac:dyDescent="0.25">
      <c r="A147" t="s">
        <v>2</v>
      </c>
      <c r="B147" t="s">
        <v>35</v>
      </c>
      <c r="C147">
        <v>33.24</v>
      </c>
      <c r="D147">
        <v>9.0399999999999991</v>
      </c>
      <c r="E147">
        <v>8.7100000000000009</v>
      </c>
      <c r="F147">
        <v>10.59</v>
      </c>
      <c r="G147">
        <v>10.34</v>
      </c>
      <c r="T147" s="8" t="s">
        <v>31</v>
      </c>
      <c r="U147">
        <f>C148/30</f>
        <v>0.251</v>
      </c>
      <c r="V147" s="7" t="s">
        <v>39</v>
      </c>
      <c r="W147" s="10">
        <v>12.9323</v>
      </c>
    </row>
    <row r="148" spans="1:26" x14ac:dyDescent="0.25">
      <c r="A148" t="s">
        <v>3</v>
      </c>
      <c r="B148" t="s">
        <v>36</v>
      </c>
      <c r="C148">
        <f>ROUND(11.3/1.5, 2)</f>
        <v>7.53</v>
      </c>
      <c r="D148">
        <f>ROUND(2.5/1.5, 2)</f>
        <v>1.67</v>
      </c>
      <c r="E148">
        <f>ROUND(0.5/1.5, 2)</f>
        <v>0.33</v>
      </c>
      <c r="F148">
        <f>ROUND(0.5/1.5, 2)</f>
        <v>0.33</v>
      </c>
      <c r="G148">
        <f>ROUND(0.4/1.5, 2)</f>
        <v>0.27</v>
      </c>
      <c r="T148" s="8" t="s">
        <v>37</v>
      </c>
      <c r="U148">
        <v>5.2942</v>
      </c>
      <c r="V148" s="7" t="s">
        <v>40</v>
      </c>
      <c r="W148" s="10">
        <v>4.0564999999999998</v>
      </c>
    </row>
    <row r="149" spans="1:26" x14ac:dyDescent="0.25">
      <c r="T149" s="8" t="s">
        <v>38</v>
      </c>
      <c r="U149">
        <v>9.3052999999999997E-2</v>
      </c>
      <c r="V149" s="8"/>
    </row>
    <row r="150" spans="1:26" x14ac:dyDescent="0.25">
      <c r="T150" s="8" t="s">
        <v>30</v>
      </c>
      <c r="U150">
        <f>(0.099021*C147*(U149+C148))/(30*C148)</f>
        <v>0.11107108935899124</v>
      </c>
      <c r="V150" s="8"/>
    </row>
    <row r="151" spans="1:26" s="5" customFormat="1" x14ac:dyDescent="0.25">
      <c r="A151" s="4" t="s">
        <v>28</v>
      </c>
      <c r="B151" s="4"/>
      <c r="T151" s="9"/>
      <c r="V151" s="9"/>
      <c r="W151" s="11"/>
      <c r="Z151" s="11"/>
    </row>
    <row r="152" spans="1:26" s="5" customFormat="1" x14ac:dyDescent="0.25">
      <c r="A152" s="5" t="s">
        <v>1</v>
      </c>
      <c r="C152" s="5">
        <v>0</v>
      </c>
      <c r="D152" s="5">
        <v>180</v>
      </c>
      <c r="E152" s="5">
        <v>300</v>
      </c>
      <c r="F152" s="5">
        <v>360</v>
      </c>
      <c r="G152" s="5">
        <v>540</v>
      </c>
      <c r="H152" s="5">
        <v>720</v>
      </c>
      <c r="I152" s="5">
        <v>1830</v>
      </c>
      <c r="T152" s="9" t="s">
        <v>32</v>
      </c>
      <c r="U152" s="5">
        <f>0.035*C154</f>
        <v>0.30800000000000005</v>
      </c>
      <c r="V152" s="9"/>
      <c r="W152" s="11"/>
      <c r="Z152" s="11"/>
    </row>
    <row r="153" spans="1:26" s="5" customFormat="1" x14ac:dyDescent="0.25">
      <c r="A153" s="5" t="s">
        <v>2</v>
      </c>
      <c r="B153" s="5" t="s">
        <v>35</v>
      </c>
      <c r="C153" s="5">
        <v>35.4</v>
      </c>
      <c r="D153" s="5">
        <v>9.3800000000000008</v>
      </c>
      <c r="E153" s="5">
        <v>8.9700000000000006</v>
      </c>
      <c r="F153" s="5">
        <v>31.22</v>
      </c>
      <c r="G153" s="5">
        <v>9.8699999999999992</v>
      </c>
      <c r="H153" s="5">
        <v>9.8699999999999992</v>
      </c>
      <c r="I153" s="5">
        <v>9.7899999999999991</v>
      </c>
      <c r="T153" s="9" t="s">
        <v>31</v>
      </c>
      <c r="U153" s="5">
        <f>C154/30</f>
        <v>0.29333333333333333</v>
      </c>
      <c r="V153" s="7" t="s">
        <v>39</v>
      </c>
      <c r="W153" s="11">
        <v>1.7005999999999999</v>
      </c>
      <c r="Z153" s="11"/>
    </row>
    <row r="154" spans="1:26" s="5" customFormat="1" x14ac:dyDescent="0.25">
      <c r="A154" s="5" t="s">
        <v>3</v>
      </c>
      <c r="B154" s="5" t="s">
        <v>36</v>
      </c>
      <c r="C154" s="5">
        <v>8.8000000000000007</v>
      </c>
      <c r="D154" s="5">
        <v>1.3</v>
      </c>
      <c r="E154" s="5">
        <v>1.4</v>
      </c>
      <c r="F154" s="5">
        <v>4.7</v>
      </c>
      <c r="G154" s="5">
        <v>0.9</v>
      </c>
      <c r="H154" s="5">
        <v>0.3</v>
      </c>
      <c r="I154" s="5">
        <v>0.05</v>
      </c>
      <c r="T154" s="9" t="s">
        <v>37</v>
      </c>
      <c r="U154" s="5">
        <v>3.15</v>
      </c>
      <c r="V154" s="7" t="s">
        <v>40</v>
      </c>
      <c r="W154" s="11">
        <v>1.5084</v>
      </c>
      <c r="Z154" s="11"/>
    </row>
    <row r="155" spans="1:26" s="5" customFormat="1" x14ac:dyDescent="0.25">
      <c r="T155" s="9" t="s">
        <v>38</v>
      </c>
      <c r="U155" s="5">
        <v>7.4999999999999997E-2</v>
      </c>
      <c r="V155" s="9"/>
      <c r="W155" s="11"/>
      <c r="Z155" s="11"/>
    </row>
    <row r="156" spans="1:26" s="5" customFormat="1" x14ac:dyDescent="0.25">
      <c r="T156" s="9" t="s">
        <v>30</v>
      </c>
      <c r="U156" s="5">
        <f>(0.099021*C153*(U155+C154))/(30*C154)</f>
        <v>0.1178406161931818</v>
      </c>
      <c r="V156" s="9"/>
      <c r="W156" s="11"/>
      <c r="Z156" s="11"/>
    </row>
    <row r="157" spans="1:26" x14ac:dyDescent="0.25">
      <c r="A157" s="1" t="s">
        <v>29</v>
      </c>
      <c r="B157" s="1"/>
      <c r="V157" s="8"/>
    </row>
    <row r="158" spans="1:26" x14ac:dyDescent="0.25">
      <c r="A158" t="s">
        <v>1</v>
      </c>
      <c r="C158">
        <v>0</v>
      </c>
      <c r="D158">
        <v>60</v>
      </c>
      <c r="E158">
        <v>180</v>
      </c>
      <c r="F158">
        <v>390</v>
      </c>
      <c r="G158">
        <v>570</v>
      </c>
      <c r="H158">
        <v>840</v>
      </c>
      <c r="I158">
        <v>960</v>
      </c>
      <c r="J158">
        <v>1170</v>
      </c>
      <c r="K158">
        <v>1410</v>
      </c>
      <c r="L158">
        <v>1590</v>
      </c>
      <c r="M158">
        <v>1860</v>
      </c>
      <c r="T158" s="8" t="s">
        <v>32</v>
      </c>
      <c r="U158">
        <f>0.035*C160</f>
        <v>0.34755000000000003</v>
      </c>
      <c r="V158" s="8"/>
    </row>
    <row r="159" spans="1:26" x14ac:dyDescent="0.25">
      <c r="A159" t="s">
        <v>2</v>
      </c>
      <c r="B159" t="s">
        <v>35</v>
      </c>
      <c r="C159">
        <v>21.93</v>
      </c>
      <c r="D159">
        <v>18.14</v>
      </c>
      <c r="E159">
        <v>11.43</v>
      </c>
      <c r="F159">
        <v>10.29</v>
      </c>
      <c r="G159">
        <v>10.36</v>
      </c>
      <c r="H159">
        <v>22.21</v>
      </c>
      <c r="I159">
        <v>12.36</v>
      </c>
      <c r="J159">
        <v>11.36</v>
      </c>
      <c r="K159">
        <v>10.86</v>
      </c>
      <c r="L159">
        <v>10.93</v>
      </c>
      <c r="M159">
        <v>11.07</v>
      </c>
      <c r="T159" s="8" t="s">
        <v>31</v>
      </c>
      <c r="U159">
        <f>C160/30</f>
        <v>0.33100000000000002</v>
      </c>
      <c r="V159" s="7" t="s">
        <v>39</v>
      </c>
      <c r="W159" s="10">
        <v>7.1611000000000002</v>
      </c>
    </row>
    <row r="160" spans="1:26" x14ac:dyDescent="0.25">
      <c r="A160" t="s">
        <v>3</v>
      </c>
      <c r="B160" t="s">
        <v>36</v>
      </c>
      <c r="C160">
        <f>ROUND(14.9/1.5,2)</f>
        <v>9.93</v>
      </c>
      <c r="F160">
        <f>ROUND(1.6/1.5,2)</f>
        <v>1.07</v>
      </c>
      <c r="G160">
        <f>ROUND(1.2/1.5,2)</f>
        <v>0.8</v>
      </c>
      <c r="H160">
        <f>ROUND(6.1/1.5,2)</f>
        <v>4.07</v>
      </c>
      <c r="J160">
        <f>ROUND(0.5/1.5,2)</f>
        <v>0.33</v>
      </c>
      <c r="K160">
        <f>ROUND(0.05/1.5,2)</f>
        <v>0.03</v>
      </c>
      <c r="L160">
        <f>ROUND(0.04/1.5,2)</f>
        <v>0.03</v>
      </c>
      <c r="M160">
        <f>ROUND(0.03/1.5,2)</f>
        <v>0.02</v>
      </c>
      <c r="T160" s="8" t="s">
        <v>37</v>
      </c>
      <c r="U160">
        <v>6</v>
      </c>
      <c r="V160" s="7" t="s">
        <v>40</v>
      </c>
      <c r="W160" s="10">
        <v>6.7039999999999997</v>
      </c>
    </row>
    <row r="161" spans="1:22" x14ac:dyDescent="0.25">
      <c r="T161" s="8" t="s">
        <v>38</v>
      </c>
      <c r="U161">
        <v>7.2499999999999995E-2</v>
      </c>
      <c r="V161" s="8"/>
    </row>
    <row r="162" spans="1:22" x14ac:dyDescent="0.25">
      <c r="A162" s="1"/>
      <c r="B162" s="1"/>
      <c r="T162" s="8" t="s">
        <v>30</v>
      </c>
      <c r="U162">
        <f>(0.099021*C159*(U161+C160))/(30*C160)</f>
        <v>7.2912836946374626E-2</v>
      </c>
      <c r="V162" s="8"/>
    </row>
    <row r="163" spans="1:22" x14ac:dyDescent="0.25">
      <c r="V163" s="8"/>
    </row>
    <row r="167" spans="1:22" x14ac:dyDescent="0.25">
      <c r="A167" s="1"/>
      <c r="B16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Balamurugan Pandiyan</dc:creator>
  <cp:lastModifiedBy>Dawid Barański</cp:lastModifiedBy>
  <dcterms:created xsi:type="dcterms:W3CDTF">2017-11-21T00:08:15Z</dcterms:created>
  <dcterms:modified xsi:type="dcterms:W3CDTF">2018-12-22T21:24:15Z</dcterms:modified>
</cp:coreProperties>
</file>