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6" rupBuild="26024"/>
  <workbookPr autoCompressPictures="0"/>
  <bookViews>
    <workbookView xWindow="0" yWindow="0" windowWidth="24880" windowHeight="15600" tabRatio="500"/>
  </bookViews>
  <sheets>
    <sheet name="Basic_Annualized" sheetId="1" r:id="rId1"/>
    <sheet name="Table_1_From_Escape_Routes" sheetId="2" r:id="rId2"/>
    <sheet name="Duration_Chart" sheetId="3" r:id="rId3"/>
    <sheet name="Basic_Annualized (2)" sheetId="4"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S22" i="4" l="1"/>
  <c r="S6" i="4"/>
  <c r="U17" i="4"/>
  <c r="P33" i="4"/>
  <c r="K32" i="4"/>
  <c r="N36" i="4"/>
  <c r="A35" i="4"/>
  <c r="D5" i="4"/>
  <c r="E28" i="4"/>
  <c r="F28" i="4"/>
  <c r="G28" i="4"/>
  <c r="H28" i="4"/>
  <c r="I28" i="4"/>
  <c r="J28" i="4"/>
  <c r="K28" i="4"/>
  <c r="L28" i="4"/>
  <c r="M28" i="4"/>
  <c r="N28" i="4"/>
  <c r="N29" i="4"/>
  <c r="M29" i="4"/>
  <c r="L29" i="4"/>
  <c r="K29" i="4"/>
  <c r="J29" i="4"/>
  <c r="I29" i="4"/>
  <c r="H29" i="4"/>
  <c r="G29" i="4"/>
  <c r="F29" i="4"/>
  <c r="E29" i="4"/>
  <c r="M22" i="4"/>
  <c r="M5" i="4"/>
  <c r="N26" i="4"/>
  <c r="N27" i="4"/>
  <c r="L22" i="4"/>
  <c r="L5" i="4"/>
  <c r="M26" i="4"/>
  <c r="M27" i="4"/>
  <c r="K22" i="4"/>
  <c r="K5" i="4"/>
  <c r="L26" i="4"/>
  <c r="L27" i="4"/>
  <c r="J22" i="4"/>
  <c r="J5" i="4"/>
  <c r="K26" i="4"/>
  <c r="K27" i="4"/>
  <c r="I22" i="4"/>
  <c r="I5" i="4"/>
  <c r="J26" i="4"/>
  <c r="J27" i="4"/>
  <c r="H22" i="4"/>
  <c r="H5" i="4"/>
  <c r="I26" i="4"/>
  <c r="I27" i="4"/>
  <c r="G22" i="4"/>
  <c r="G5" i="4"/>
  <c r="H26" i="4"/>
  <c r="H27" i="4"/>
  <c r="F22" i="4"/>
  <c r="F5" i="4"/>
  <c r="G26" i="4"/>
  <c r="G27" i="4"/>
  <c r="E22" i="4"/>
  <c r="E5" i="4"/>
  <c r="F26" i="4"/>
  <c r="F27" i="4"/>
  <c r="E26" i="4"/>
  <c r="E27" i="4"/>
  <c r="N5" i="4"/>
  <c r="N25" i="4"/>
  <c r="M25" i="4"/>
  <c r="L25" i="4"/>
  <c r="K25" i="4"/>
  <c r="J25" i="4"/>
  <c r="I25" i="4"/>
  <c r="H25" i="4"/>
  <c r="G25" i="4"/>
  <c r="F25" i="4"/>
  <c r="E25" i="4"/>
  <c r="D6" i="4"/>
  <c r="D7" i="4"/>
  <c r="D8" i="4"/>
  <c r="D9" i="4"/>
  <c r="D10" i="4"/>
  <c r="D11" i="4"/>
  <c r="D12" i="4"/>
  <c r="D13" i="4"/>
  <c r="D14" i="4"/>
  <c r="D15" i="4"/>
  <c r="D16" i="4"/>
  <c r="D17" i="4"/>
  <c r="E7" i="4"/>
  <c r="E8" i="4"/>
  <c r="E9" i="4"/>
  <c r="E10" i="4"/>
  <c r="E11" i="4"/>
  <c r="E12" i="4"/>
  <c r="E13" i="4"/>
  <c r="E14" i="4"/>
  <c r="E15" i="4"/>
  <c r="E16" i="4"/>
  <c r="E17" i="4"/>
  <c r="F8" i="4"/>
  <c r="F9" i="4"/>
  <c r="F10" i="4"/>
  <c r="F11" i="4"/>
  <c r="F12" i="4"/>
  <c r="F13" i="4"/>
  <c r="F14" i="4"/>
  <c r="F15" i="4"/>
  <c r="F16" i="4"/>
  <c r="F17" i="4"/>
  <c r="G9" i="4"/>
  <c r="G10" i="4"/>
  <c r="G11" i="4"/>
  <c r="G12" i="4"/>
  <c r="G13" i="4"/>
  <c r="G14" i="4"/>
  <c r="G15" i="4"/>
  <c r="G16" i="4"/>
  <c r="G17" i="4"/>
  <c r="H10" i="4"/>
  <c r="H11" i="4"/>
  <c r="H12" i="4"/>
  <c r="H13" i="4"/>
  <c r="H14" i="4"/>
  <c r="H15" i="4"/>
  <c r="H16" i="4"/>
  <c r="H17" i="4"/>
  <c r="I11" i="4"/>
  <c r="I12" i="4"/>
  <c r="I13" i="4"/>
  <c r="I14" i="4"/>
  <c r="I15" i="4"/>
  <c r="I16" i="4"/>
  <c r="I17" i="4"/>
  <c r="J12" i="4"/>
  <c r="J13" i="4"/>
  <c r="J14" i="4"/>
  <c r="J15" i="4"/>
  <c r="J16" i="4"/>
  <c r="J17" i="4"/>
  <c r="K13" i="4"/>
  <c r="K14" i="4"/>
  <c r="K15" i="4"/>
  <c r="K16" i="4"/>
  <c r="K17" i="4"/>
  <c r="L14" i="4"/>
  <c r="L15" i="4"/>
  <c r="L16" i="4"/>
  <c r="L17" i="4"/>
  <c r="M15" i="4"/>
  <c r="M16" i="4"/>
  <c r="M17" i="4"/>
  <c r="N16" i="4"/>
  <c r="N17" i="4"/>
  <c r="O22" i="4"/>
  <c r="O5" i="4"/>
  <c r="O17" i="4"/>
  <c r="S17" i="4"/>
  <c r="D22" i="4"/>
  <c r="O19" i="4"/>
  <c r="N19" i="4"/>
  <c r="M19" i="4"/>
  <c r="L19" i="4"/>
  <c r="K19" i="4"/>
  <c r="J19" i="4"/>
  <c r="I19" i="4"/>
  <c r="H19" i="4"/>
  <c r="G19" i="4"/>
  <c r="F19" i="4"/>
  <c r="E19" i="4"/>
  <c r="D19" i="4"/>
  <c r="S7" i="4"/>
  <c r="S8" i="4"/>
  <c r="S9" i="4"/>
  <c r="S10" i="4"/>
  <c r="S11" i="4"/>
  <c r="S12" i="4"/>
  <c r="S13" i="4"/>
  <c r="S14" i="4"/>
  <c r="S15" i="4"/>
  <c r="S16" i="4"/>
  <c r="S18" i="4"/>
  <c r="T6" i="4"/>
  <c r="T7" i="4"/>
  <c r="T8" i="4"/>
  <c r="T9" i="4"/>
  <c r="T10" i="4"/>
  <c r="T11" i="4"/>
  <c r="T12" i="4"/>
  <c r="T13" i="4"/>
  <c r="T14" i="4"/>
  <c r="T15" i="4"/>
  <c r="T16" i="4"/>
  <c r="T17" i="4"/>
  <c r="T18" i="4"/>
  <c r="P17" i="4"/>
  <c r="U16" i="4"/>
  <c r="P16" i="4"/>
  <c r="U15" i="4"/>
  <c r="P15" i="4"/>
  <c r="U14" i="4"/>
  <c r="P14" i="4"/>
  <c r="U13" i="4"/>
  <c r="P13" i="4"/>
  <c r="U12" i="4"/>
  <c r="P12" i="4"/>
  <c r="U11" i="4"/>
  <c r="P11" i="4"/>
  <c r="U10" i="4"/>
  <c r="P10" i="4"/>
  <c r="U9" i="4"/>
  <c r="P9" i="4"/>
  <c r="U8" i="4"/>
  <c r="P8" i="4"/>
  <c r="U7" i="4"/>
  <c r="P7" i="4"/>
  <c r="U6" i="4"/>
  <c r="P6" i="4"/>
  <c r="S7" i="1"/>
  <c r="S6" i="1"/>
  <c r="D5" i="1"/>
  <c r="D19" i="1"/>
  <c r="D6" i="1"/>
  <c r="F28" i="1"/>
  <c r="E28" i="1"/>
  <c r="E29" i="1"/>
  <c r="H26" i="1"/>
  <c r="H27" i="1"/>
  <c r="I26" i="1"/>
  <c r="I27" i="1"/>
  <c r="J26" i="1"/>
  <c r="J27" i="1"/>
  <c r="K26" i="1"/>
  <c r="K27" i="1"/>
  <c r="L26" i="1"/>
  <c r="L27" i="1"/>
  <c r="M26" i="1"/>
  <c r="M27" i="1"/>
  <c r="N26" i="1"/>
  <c r="N27" i="1"/>
  <c r="G26" i="1"/>
  <c r="G27" i="1"/>
  <c r="F26" i="1"/>
  <c r="F27" i="1"/>
  <c r="E26" i="1"/>
  <c r="E27" i="1"/>
  <c r="C3" i="3"/>
  <c r="C5" i="3"/>
  <c r="C6" i="3"/>
  <c r="D6" i="3"/>
  <c r="D5" i="3"/>
  <c r="E5"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E25" i="1"/>
  <c r="E22" i="1"/>
  <c r="E5" i="1"/>
  <c r="N5" i="1"/>
  <c r="M22" i="1"/>
  <c r="M5" i="1"/>
  <c r="N25" i="1"/>
  <c r="L22" i="1"/>
  <c r="L5" i="1"/>
  <c r="M25" i="1"/>
  <c r="K22" i="1"/>
  <c r="K5" i="1"/>
  <c r="L25" i="1"/>
  <c r="J22" i="1"/>
  <c r="J5" i="1"/>
  <c r="K25" i="1"/>
  <c r="I22" i="1"/>
  <c r="I5" i="1"/>
  <c r="J25" i="1"/>
  <c r="H22" i="1"/>
  <c r="H5" i="1"/>
  <c r="I25" i="1"/>
  <c r="G22" i="1"/>
  <c r="G5" i="1"/>
  <c r="H25" i="1"/>
  <c r="F22" i="1"/>
  <c r="F5" i="1"/>
  <c r="G25" i="1"/>
  <c r="F25" i="1"/>
  <c r="D7" i="1"/>
  <c r="D8" i="1"/>
  <c r="D9" i="1"/>
  <c r="D10" i="1"/>
  <c r="D11" i="1"/>
  <c r="D12" i="1"/>
  <c r="D13" i="1"/>
  <c r="D14" i="1"/>
  <c r="D15" i="1"/>
  <c r="D16" i="1"/>
  <c r="D17" i="1"/>
  <c r="E7" i="1"/>
  <c r="E8" i="1"/>
  <c r="E9" i="1"/>
  <c r="E10" i="1"/>
  <c r="E11" i="1"/>
  <c r="E12" i="1"/>
  <c r="F8" i="1"/>
  <c r="F9" i="1"/>
  <c r="F10" i="1"/>
  <c r="F11" i="1"/>
  <c r="F12" i="1"/>
  <c r="G9" i="1"/>
  <c r="G10" i="1"/>
  <c r="G11" i="1"/>
  <c r="G12" i="1"/>
  <c r="H10" i="1"/>
  <c r="H11" i="1"/>
  <c r="H12" i="1"/>
  <c r="I11" i="1"/>
  <c r="I12" i="1"/>
  <c r="J12" i="1"/>
  <c r="S12" i="1"/>
  <c r="U12" i="1"/>
  <c r="A35" i="1"/>
  <c r="O22" i="1"/>
  <c r="D22" i="1"/>
  <c r="U6" i="1"/>
  <c r="E16" i="2"/>
  <c r="D16" i="2"/>
  <c r="B16" i="2"/>
  <c r="E13" i="1"/>
  <c r="E14" i="1"/>
  <c r="E15" i="1"/>
  <c r="E16" i="1"/>
  <c r="E17" i="1"/>
  <c r="F13" i="1"/>
  <c r="F14" i="1"/>
  <c r="F15" i="1"/>
  <c r="F16" i="1"/>
  <c r="F17" i="1"/>
  <c r="G13" i="1"/>
  <c r="G14" i="1"/>
  <c r="G15" i="1"/>
  <c r="G16" i="1"/>
  <c r="G17" i="1"/>
  <c r="H13" i="1"/>
  <c r="H14" i="1"/>
  <c r="H15" i="1"/>
  <c r="H16" i="1"/>
  <c r="H17" i="1"/>
  <c r="I13" i="1"/>
  <c r="I14" i="1"/>
  <c r="I15" i="1"/>
  <c r="I16" i="1"/>
  <c r="I17" i="1"/>
  <c r="J13" i="1"/>
  <c r="J14" i="1"/>
  <c r="J15" i="1"/>
  <c r="J16" i="1"/>
  <c r="J17" i="1"/>
  <c r="K13" i="1"/>
  <c r="K14" i="1"/>
  <c r="K15" i="1"/>
  <c r="K16" i="1"/>
  <c r="K17" i="1"/>
  <c r="L14" i="1"/>
  <c r="L15" i="1"/>
  <c r="L16" i="1"/>
  <c r="L17" i="1"/>
  <c r="M15" i="1"/>
  <c r="M16" i="1"/>
  <c r="M17" i="1"/>
  <c r="N16" i="1"/>
  <c r="N17" i="1"/>
  <c r="O5" i="1"/>
  <c r="O17" i="1"/>
  <c r="S17" i="1"/>
  <c r="U17" i="1"/>
  <c r="S16" i="1"/>
  <c r="U16" i="1"/>
  <c r="S15" i="1"/>
  <c r="U15" i="1"/>
  <c r="S14" i="1"/>
  <c r="U14" i="1"/>
  <c r="S13" i="1"/>
  <c r="U13" i="1"/>
  <c r="S11" i="1"/>
  <c r="U11" i="1"/>
  <c r="S10" i="1"/>
  <c r="U10" i="1"/>
  <c r="S9" i="1"/>
  <c r="U9" i="1"/>
  <c r="S8" i="1"/>
  <c r="U8" i="1"/>
  <c r="U7" i="1"/>
  <c r="P6" i="1"/>
  <c r="S18" i="1"/>
  <c r="F3" i="3"/>
  <c r="F6" i="3"/>
  <c r="F7" i="3"/>
  <c r="F8" i="3"/>
  <c r="F9" i="3"/>
  <c r="F10" i="3"/>
  <c r="F11" i="3"/>
  <c r="F12" i="3"/>
  <c r="F13" i="3"/>
  <c r="F14" i="3"/>
  <c r="F15" i="3"/>
  <c r="F16" i="3"/>
  <c r="F5" i="3"/>
  <c r="F29" i="1"/>
  <c r="G28" i="1"/>
  <c r="G29" i="1"/>
  <c r="H28" i="1"/>
  <c r="H29" i="1"/>
  <c r="I28" i="1"/>
  <c r="I29" i="1"/>
  <c r="J28" i="1"/>
  <c r="J29" i="1"/>
  <c r="K28" i="1"/>
  <c r="K29" i="1"/>
  <c r="L28" i="1"/>
  <c r="L29" i="1"/>
  <c r="M28" i="1"/>
  <c r="M29" i="1"/>
  <c r="N28" i="1"/>
  <c r="N29" i="1"/>
  <c r="S22" i="1"/>
  <c r="T6" i="1"/>
  <c r="T7" i="1"/>
  <c r="T8" i="1"/>
  <c r="T9" i="1"/>
  <c r="T10" i="1"/>
  <c r="T11" i="1"/>
  <c r="T12" i="1"/>
  <c r="T13" i="1"/>
  <c r="T14" i="1"/>
  <c r="T15" i="1"/>
  <c r="T16" i="1"/>
  <c r="T17" i="1"/>
  <c r="T18" i="1"/>
  <c r="P7" i="1"/>
  <c r="P8" i="1"/>
  <c r="P9" i="1"/>
  <c r="P10" i="1"/>
  <c r="P11" i="1"/>
  <c r="P12" i="1"/>
  <c r="P13" i="1"/>
  <c r="P14" i="1"/>
  <c r="P15" i="1"/>
  <c r="P16" i="1"/>
  <c r="P17" i="1"/>
  <c r="E19" i="1"/>
  <c r="F19" i="1"/>
  <c r="G19" i="1"/>
  <c r="H19" i="1"/>
  <c r="I19" i="1"/>
  <c r="J19" i="1"/>
  <c r="K19" i="1"/>
  <c r="L19" i="1"/>
  <c r="M19" i="1"/>
  <c r="N19" i="1"/>
  <c r="O19" i="1"/>
</calcChain>
</file>

<file path=xl/comments1.xml><?xml version="1.0" encoding="utf-8"?>
<comments xmlns="http://schemas.openxmlformats.org/spreadsheetml/2006/main">
  <authors>
    <author>Microsoft Office User</author>
  </authors>
  <commentList>
    <comment ref="S6" authorId="0">
      <text>
        <r>
          <rPr>
            <b/>
            <sz val="10"/>
            <color indexed="81"/>
            <rFont val="Calibri"/>
            <family val="2"/>
          </rPr>
          <t>Microsoft Office User:</t>
        </r>
        <r>
          <rPr>
            <sz val="10"/>
            <color indexed="81"/>
            <rFont val="Calibri"/>
            <family val="2"/>
          </rPr>
          <t xml:space="preserve">
The strange-seeming sum that is the last term of this comes from the decision to freeze durations at the end of the year instead of carrying them to their concusion. We're answer the question of what we would observe if our count lasted one year.</t>
        </r>
      </text>
    </comment>
    <comment ref="C28" authorId="0">
      <text>
        <r>
          <rPr>
            <b/>
            <sz val="10"/>
            <color indexed="81"/>
            <rFont val="Calibri"/>
            <family val="2"/>
          </rPr>
          <t>Microsoft Office User:</t>
        </r>
        <r>
          <rPr>
            <sz val="10"/>
            <color indexed="81"/>
            <rFont val="Calibri"/>
            <family val="2"/>
          </rPr>
          <t xml:space="preserve">
These get very different if the "Factor for unobserved" mutliplier is not one</t>
        </r>
      </text>
    </comment>
  </commentList>
</comments>
</file>

<file path=xl/comments2.xml><?xml version="1.0" encoding="utf-8"?>
<comments xmlns="http://schemas.openxmlformats.org/spreadsheetml/2006/main">
  <authors>
    <author>Microsoft Office User</author>
  </authors>
  <commentList>
    <comment ref="A5" authorId="0">
      <text>
        <r>
          <rPr>
            <b/>
            <sz val="10"/>
            <color indexed="81"/>
            <rFont val="Calibri"/>
            <family val="2"/>
          </rPr>
          <t>Microsoft Office User:</t>
        </r>
        <r>
          <rPr>
            <sz val="10"/>
            <color indexed="81"/>
            <rFont val="Calibri"/>
            <family val="2"/>
          </rPr>
          <t xml:space="preserve">
Change to .5? Underestimating early months somewhat justified by people interviewed more likely to underestimate their time homeless.</t>
        </r>
      </text>
    </comment>
  </commentList>
</comments>
</file>

<file path=xl/comments3.xml><?xml version="1.0" encoding="utf-8"?>
<comments xmlns="http://schemas.openxmlformats.org/spreadsheetml/2006/main">
  <authors>
    <author>Microsoft Office User</author>
  </authors>
  <commentList>
    <comment ref="S6" authorId="0">
      <text>
        <r>
          <rPr>
            <b/>
            <sz val="10"/>
            <color indexed="81"/>
            <rFont val="Calibri"/>
            <family val="2"/>
          </rPr>
          <t>Microsoft Office User:</t>
        </r>
        <r>
          <rPr>
            <sz val="10"/>
            <color indexed="81"/>
            <rFont val="Calibri"/>
            <family val="2"/>
          </rPr>
          <t xml:space="preserve">
The strange-seeming sum that is the last term of this comes from the decision to freeze durations at the end of the year instead of carrying them to their concusion. We're answer the question of what we would observe if our count lasted one year.</t>
        </r>
      </text>
    </comment>
    <comment ref="C28" authorId="0">
      <text>
        <r>
          <rPr>
            <b/>
            <sz val="10"/>
            <color indexed="81"/>
            <rFont val="Calibri"/>
            <family val="2"/>
          </rPr>
          <t>Microsoft Office User:</t>
        </r>
        <r>
          <rPr>
            <sz val="10"/>
            <color indexed="81"/>
            <rFont val="Calibri"/>
            <family val="2"/>
          </rPr>
          <t xml:space="preserve">
These get very different if the "Factor for unobserved" mutliplier is not one</t>
        </r>
      </text>
    </comment>
  </commentList>
</comments>
</file>

<file path=xl/sharedStrings.xml><?xml version="1.0" encoding="utf-8"?>
<sst xmlns="http://schemas.openxmlformats.org/spreadsheetml/2006/main" count="142" uniqueCount="65">
  <si>
    <t>Observed point-in-time pop</t>
  </si>
  <si>
    <t>1 month</t>
  </si>
  <si>
    <t>2 month</t>
  </si>
  <si>
    <t>3 month</t>
  </si>
  <si>
    <t>4 month</t>
  </si>
  <si>
    <t>5 month</t>
  </si>
  <si>
    <t>6 month</t>
  </si>
  <si>
    <t>7 month</t>
  </si>
  <si>
    <t>8 month</t>
  </si>
  <si>
    <t>9 month</t>
  </si>
  <si>
    <t>10 month</t>
  </si>
  <si>
    <t>11 month</t>
  </si>
  <si>
    <t>12+ month</t>
  </si>
  <si>
    <t>Total</t>
  </si>
  <si>
    <t>Total Duration</t>
  </si>
  <si>
    <t>rowsum</t>
  </si>
  <si>
    <t>Number of People in Annual Homeless Population</t>
  </si>
  <si>
    <t>check total -&gt;</t>
  </si>
  <si>
    <t>Pct of Annual</t>
  </si>
  <si>
    <t>Number observed in Jan who join 12+ month pop</t>
  </si>
  <si>
    <t>Multiplier</t>
  </si>
  <si>
    <t>-</t>
  </si>
  <si>
    <t>Percent of Annual Homeless Population</t>
  </si>
  <si>
    <t>2 Months</t>
  </si>
  <si>
    <t>3 Months</t>
  </si>
  <si>
    <t>4 Months</t>
  </si>
  <si>
    <t>5 Months</t>
  </si>
  <si>
    <t>6 Months</t>
  </si>
  <si>
    <t>7 Months</t>
  </si>
  <si>
    <t>8 Months</t>
  </si>
  <si>
    <t>9 Months</t>
  </si>
  <si>
    <t>10 Months</t>
  </si>
  <si>
    <t>11 Months</t>
  </si>
  <si>
    <t>12+ Months</t>
  </si>
  <si>
    <t>1 Month</t>
  </si>
  <si>
    <t>Factor for unobserved</t>
  </si>
  <si>
    <t>Total Duration of Homelessness</t>
  </si>
  <si>
    <t>Observed Percent Duration of Homelessness in Truncated HMIS Data</t>
  </si>
  <si>
    <t>Number of People in Annual Homeless Population (Based on 50K Observed)</t>
  </si>
  <si>
    <t>Conjectured Percent of Each Monthly Cohort Exiting by End of Month</t>
  </si>
  <si>
    <t>0 month</t>
  </si>
  <si>
    <t>Total PIT Population</t>
  </si>
  <si>
    <t xml:space="preserve">*Based on a hypothetical observed point-in-time population of 50,000. </t>
  </si>
  <si>
    <t># cohorts</t>
  </si>
  <si>
    <t>Percent exit (e.g. re-housed) by end of month</t>
  </si>
  <si>
    <t>Breakdown of PIT population by time homeless</t>
  </si>
  <si>
    <t>Assumes Full Observation of
&lt; 1 Month Homeless</t>
  </si>
  <si>
    <t>Check if "exit rates" are somewhat realistic:</t>
  </si>
  <si>
    <r>
      <rPr>
        <b/>
        <sz val="12"/>
        <color theme="1"/>
        <rFont val="Calibri"/>
        <family val="2"/>
        <scheme val="minor"/>
      </rPr>
      <t>Below is the basic model used to build the estimates in Table 1 of Economic Roundtable's "Escape Routes" report (see table on second sheet)</t>
    </r>
    <r>
      <rPr>
        <sz val="12"/>
        <color theme="1"/>
        <rFont val="Calibri"/>
        <family val="2"/>
        <scheme val="minor"/>
      </rPr>
      <t xml:space="preserve">
Yellow highlighted cells are fields input by the user - From top to bottom: 1) Estimated rates at which people exit the LA CoC homeless population (most likely through housing) after being homeless for the listed number of months. We refer to these as the "exit rates". 2) Estimate of the total point-in-time population 3) The breakdown of the point-in-time population by duration of homelessness. 4) A possible multiplicative factor to account for the number of unobserved people experiencing short-term homelessness. 
PIT = point-in-time
Some ways to improve the model:
- Better estimates/distributions for the values in yellow. 
-- Estimates should be ranges/reflect uncertainty in these quantities. 
-- Considerations for the exit rates are to reflect the observed breakdown of PIT population by time homeless and to generate a realistic number of people entering persistent homelessness (&gt;12 months)
-- Address inconsistencies in the percentages by duration. For example, the six-month group has a higher reported percentage than at five or seven months, probably due in part to rounding in self-reported data. 
- Account for multiple exits and entries if the duration refers to the duration of the current stint of homelessness
- Account for the fact that unsheltered people experiencing short-term homelessness are the most likely to be miseed in a point-in-time estimate.
</t>
    </r>
  </si>
  <si>
    <t>based on compounding from 1-month pop.</t>
  </si>
  <si>
    <t>Observed duration (stint or total over 3 years)</t>
  </si>
  <si>
    <t>Lower range Percent exit (e.g. re-housed) by end of month</t>
  </si>
  <si>
    <t>PIT breakdown based on above</t>
  </si>
  <si>
    <t>Size of chronic homeless pop: about 17,000 people in 2017.  http://www.latimes.com/local/lanow/la-me-ln-homeless-count-20170530-story.html</t>
  </si>
  <si>
    <t>Note: Persistently homeless people (12+ months) are only considered chronically homeless if they have a disability</t>
  </si>
  <si>
    <t>The PIT counts by year are also listed in section E1 of the Guide to the Dive to inform population growth rates</t>
  </si>
  <si>
    <t># Left</t>
  </si>
  <si>
    <t>% Left</t>
  </si>
  <si>
    <t>Dummy</t>
  </si>
  <si>
    <t># Terminal Duration</t>
  </si>
  <si>
    <t>1-mo. Pop.</t>
  </si>
  <si>
    <t>Exit Rates</t>
  </si>
  <si>
    <t>Other option for exit rates</t>
  </si>
  <si>
    <t>"next month" pop based on column A exit rates and breadkown of PIT</t>
  </si>
  <si>
    <t xml:space="preserve">Exit rates based on observed breakdown of PIT pop.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</si>
</sst>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_);_(* \(#,##0.00\);_(* &quot;-&quot;??_);_(@_)"/>
    <numFmt numFmtId="165" formatCode="0.0%"/>
    <numFmt numFmtId="166" formatCode="_(* #,##0.0_);_(* \(#,##0.0\);_(* &quot;-&quot;??_);_(@_)"/>
    <numFmt numFmtId="167" formatCode="_(* #,##0_);_(* \(#,##0\);_(* &quot;-&quot;??_);_(@_)"/>
    <numFmt numFmtId="168" formatCode="0.000"/>
    <numFmt numFmtId="169" formatCode="0.0"/>
  </numFmts>
  <fonts count="16"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12"/>
      <color theme="0" tint="-0.34998626667073579"/>
      <name val="Calibri"/>
      <family val="2"/>
      <scheme val="minor"/>
    </font>
    <font>
      <sz val="12"/>
      <color theme="0" tint="-0.34998626667073579"/>
      <name val="Calibri"/>
      <family val="2"/>
      <scheme val="minor"/>
    </font>
    <font>
      <b/>
      <sz val="9"/>
      <color rgb="FF000000"/>
      <name val="Bembo"/>
      <family val="1"/>
    </font>
    <font>
      <sz val="9"/>
      <color theme="1"/>
      <name val="Bembo"/>
      <family val="1"/>
    </font>
    <font>
      <b/>
      <sz val="9"/>
      <color theme="1"/>
      <name val="Bembo"/>
      <family val="1"/>
    </font>
    <font>
      <u/>
      <sz val="12"/>
      <color theme="10"/>
      <name val="Calibri"/>
      <family val="2"/>
      <scheme val="minor"/>
    </font>
    <font>
      <u/>
      <sz val="12"/>
      <color theme="11"/>
      <name val="Calibri"/>
      <family val="2"/>
      <scheme val="minor"/>
    </font>
    <font>
      <sz val="9"/>
      <color theme="1"/>
      <name val="Calibri"/>
      <family val="2"/>
      <scheme val="minor"/>
    </font>
    <font>
      <sz val="10"/>
      <color indexed="81"/>
      <name val="Calibri"/>
      <family val="2"/>
    </font>
    <font>
      <b/>
      <sz val="10"/>
      <color indexed="81"/>
      <name val="Calibri"/>
      <family val="2"/>
    </font>
    <font>
      <sz val="12"/>
      <color theme="0" tint="-0.249977111117893"/>
      <name val="Calibri"/>
      <family val="2"/>
      <scheme val="minor"/>
    </font>
  </fonts>
  <fills count="8">
    <fill>
      <patternFill patternType="none"/>
    </fill>
    <fill>
      <patternFill patternType="gray125"/>
    </fill>
    <fill>
      <patternFill patternType="solid">
        <fgColor rgb="FFEAF1DD"/>
        <bgColor indexed="64"/>
      </patternFill>
    </fill>
    <fill>
      <patternFill patternType="solid">
        <fgColor theme="9" tint="0.79998168889431442"/>
        <bgColor indexed="64"/>
      </patternFill>
    </fill>
    <fill>
      <patternFill patternType="solid">
        <fgColor theme="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bgColor indexed="64"/>
      </patternFill>
    </fill>
  </fills>
  <borders count="5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theme="9" tint="0.79998168889431442"/>
      </bottom>
      <diagonal/>
    </border>
    <border>
      <left/>
      <right/>
      <top style="thin">
        <color theme="9" tint="0.79998168889431442"/>
      </top>
      <bottom/>
      <diagonal/>
    </border>
    <border>
      <left style="medium">
        <color theme="9" tint="0.59999389629810485"/>
      </left>
      <right style="medium">
        <color theme="9" tint="0.59999389629810485"/>
      </right>
      <top style="medium">
        <color theme="9" tint="0.59999389629810485"/>
      </top>
      <bottom style="medium">
        <color theme="9" tint="0.59999389629810485"/>
      </bottom>
      <diagonal/>
    </border>
    <border>
      <left style="medium">
        <color theme="9" tint="0.59999389629810485"/>
      </left>
      <right/>
      <top style="medium">
        <color theme="9" tint="0.59999389629810485"/>
      </top>
      <bottom/>
      <diagonal/>
    </border>
    <border>
      <left/>
      <right/>
      <top style="medium">
        <color theme="9" tint="0.59999389629810485"/>
      </top>
      <bottom/>
      <diagonal/>
    </border>
    <border>
      <left/>
      <right style="medium">
        <color theme="9" tint="0.59999389629810485"/>
      </right>
      <top style="medium">
        <color theme="9" tint="0.59999389629810485"/>
      </top>
      <bottom/>
      <diagonal/>
    </border>
    <border>
      <left/>
      <right/>
      <top/>
      <bottom style="medium">
        <color theme="9" tint="0.59999389629810485"/>
      </bottom>
      <diagonal/>
    </border>
    <border>
      <left style="thin">
        <color auto="1"/>
      </left>
      <right style="thin">
        <color theme="1"/>
      </right>
      <top style="thin">
        <color auto="1"/>
      </top>
      <bottom/>
      <diagonal/>
    </border>
    <border>
      <left style="thin">
        <color auto="1"/>
      </left>
      <right style="thin">
        <color theme="1"/>
      </right>
      <top/>
      <bottom style="thin">
        <color auto="1"/>
      </bottom>
      <diagonal/>
    </border>
    <border>
      <left style="thin">
        <color auto="1"/>
      </left>
      <right style="thin">
        <color theme="1"/>
      </right>
      <top/>
      <bottom/>
      <diagonal/>
    </border>
    <border>
      <left style="medium">
        <color theme="9" tint="0.59999389629810485"/>
      </left>
      <right style="medium">
        <color theme="9" tint="0.59999389629810485"/>
      </right>
      <top/>
      <bottom/>
      <diagonal/>
    </border>
    <border>
      <left style="medium">
        <color theme="9" tint="0.59999389629810485"/>
      </left>
      <right style="medium">
        <color theme="9" tint="0.59999389629810485"/>
      </right>
      <top/>
      <bottom style="medium">
        <color theme="9" tint="0.59999389629810485"/>
      </bottom>
      <diagonal/>
    </border>
    <border>
      <left/>
      <right/>
      <top/>
      <bottom style="thin">
        <color theme="9" tint="0.59999389629810485"/>
      </bottom>
      <diagonal/>
    </border>
    <border>
      <left style="medium">
        <color theme="9" tint="0.59999389629810485"/>
      </left>
      <right/>
      <top/>
      <bottom style="thin">
        <color theme="9" tint="0.59999389629810485"/>
      </bottom>
      <diagonal/>
    </border>
    <border>
      <left/>
      <right style="medium">
        <color theme="9" tint="0.59999389629810485"/>
      </right>
      <top/>
      <bottom style="thin">
        <color theme="9" tint="0.59999389629810485"/>
      </bottom>
      <diagonal/>
    </border>
    <border>
      <left/>
      <right/>
      <top style="thin">
        <color theme="1"/>
      </top>
      <bottom/>
      <diagonal/>
    </border>
    <border>
      <left style="medium">
        <color theme="9" tint="0.59999389629810485"/>
      </left>
      <right/>
      <top/>
      <bottom/>
      <diagonal/>
    </border>
    <border>
      <left style="thin">
        <color theme="9" tint="0.79998168889431442"/>
      </left>
      <right/>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right style="medium">
        <color theme="9" tint="0.59999389629810485"/>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thin">
        <color theme="1"/>
      </left>
      <right style="thin">
        <color auto="1"/>
      </right>
      <top style="thin">
        <color theme="1"/>
      </top>
      <bottom/>
      <diagonal/>
    </border>
    <border>
      <left style="thin">
        <color auto="1"/>
      </left>
      <right style="thin">
        <color auto="1"/>
      </right>
      <top style="thin">
        <color theme="1"/>
      </top>
      <bottom/>
      <diagonal/>
    </border>
    <border>
      <left/>
      <right style="thin">
        <color theme="1"/>
      </right>
      <top style="thin">
        <color theme="1"/>
      </top>
      <bottom/>
      <diagonal/>
    </border>
    <border>
      <left style="thin">
        <color theme="1"/>
      </left>
      <right style="thin">
        <color auto="1"/>
      </right>
      <top/>
      <bottom style="thin">
        <color theme="1"/>
      </bottom>
      <diagonal/>
    </border>
    <border>
      <left style="thin">
        <color auto="1"/>
      </left>
      <right style="thin">
        <color auto="1"/>
      </right>
      <top/>
      <bottom style="thin">
        <color theme="1"/>
      </bottom>
      <diagonal/>
    </border>
    <border>
      <left/>
      <right/>
      <top/>
      <bottom style="thin">
        <color theme="1"/>
      </bottom>
      <diagonal/>
    </border>
    <border>
      <left/>
      <right style="thin">
        <color theme="1"/>
      </right>
      <top/>
      <bottom style="thin">
        <color theme="1"/>
      </bottom>
      <diagonal/>
    </border>
    <border>
      <left/>
      <right style="thin">
        <color theme="1"/>
      </right>
      <top/>
      <bottom/>
      <diagonal/>
    </border>
    <border>
      <left style="thin">
        <color theme="1"/>
      </left>
      <right style="thin">
        <color auto="1"/>
      </right>
      <top/>
      <bottom/>
      <diagonal/>
    </border>
    <border>
      <left style="thin">
        <color theme="1"/>
      </left>
      <right/>
      <top style="thin">
        <color theme="1"/>
      </top>
      <bottom/>
      <diagonal/>
    </border>
    <border>
      <left style="thin">
        <color theme="1"/>
      </left>
      <right/>
      <top/>
      <bottom style="thin">
        <color theme="1"/>
      </bottom>
      <diagonal/>
    </border>
  </borders>
  <cellStyleXfs count="31">
    <xf numFmtId="0" fontId="0" fillId="0" borderId="0"/>
    <xf numFmtId="16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03">
    <xf numFmtId="0" fontId="0" fillId="0" borderId="0" xfId="0"/>
    <xf numFmtId="0" fontId="0" fillId="0" borderId="0" xfId="0" applyFont="1"/>
    <xf numFmtId="0" fontId="0" fillId="0" borderId="1" xfId="0" applyBorder="1"/>
    <xf numFmtId="0" fontId="0" fillId="0" borderId="1" xfId="0" applyFont="1" applyBorder="1"/>
    <xf numFmtId="0" fontId="0" fillId="0" borderId="0" xfId="0" applyBorder="1"/>
    <xf numFmtId="0" fontId="2" fillId="0" borderId="0" xfId="0" applyFont="1"/>
    <xf numFmtId="2" fontId="0" fillId="0" borderId="0" xfId="0" applyNumberFormat="1"/>
    <xf numFmtId="1" fontId="0" fillId="0" borderId="0" xfId="0" applyNumberFormat="1"/>
    <xf numFmtId="0" fontId="2" fillId="0" borderId="0" xfId="0" applyFont="1" applyBorder="1"/>
    <xf numFmtId="9" fontId="3" fillId="0" borderId="0" xfId="0" applyNumberFormat="1" applyFont="1" applyBorder="1" applyAlignment="1">
      <alignment horizontal="right" vertical="center"/>
    </xf>
    <xf numFmtId="0" fontId="2" fillId="5" borderId="1" xfId="0" applyFont="1" applyFill="1" applyBorder="1"/>
    <xf numFmtId="2" fontId="0" fillId="0" borderId="0" xfId="0" applyNumberFormat="1" applyFill="1"/>
    <xf numFmtId="0" fontId="0" fillId="0" borderId="2" xfId="0" applyBorder="1"/>
    <xf numFmtId="0" fontId="0" fillId="0" borderId="7" xfId="0" applyBorder="1"/>
    <xf numFmtId="0" fontId="0" fillId="0" borderId="8" xfId="0" applyBorder="1"/>
    <xf numFmtId="0" fontId="2" fillId="0" borderId="7" xfId="0" applyFont="1" applyBorder="1"/>
    <xf numFmtId="0" fontId="2" fillId="0" borderId="8" xfId="0" applyFont="1" applyBorder="1"/>
    <xf numFmtId="0" fontId="0" fillId="0" borderId="9" xfId="0" applyFont="1" applyBorder="1"/>
    <xf numFmtId="0" fontId="0" fillId="0" borderId="12" xfId="0" applyFont="1" applyBorder="1"/>
    <xf numFmtId="2" fontId="0" fillId="0" borderId="0" xfId="0" applyNumberFormat="1" applyFont="1" applyBorder="1"/>
    <xf numFmtId="0" fontId="0" fillId="0" borderId="14" xfId="0" applyFont="1" applyBorder="1"/>
    <xf numFmtId="0" fontId="5" fillId="0" borderId="11" xfId="0" applyFont="1" applyBorder="1"/>
    <xf numFmtId="0" fontId="5" fillId="0" borderId="15" xfId="0" applyFont="1" applyBorder="1"/>
    <xf numFmtId="2" fontId="6" fillId="0" borderId="13" xfId="0" applyNumberFormat="1" applyFont="1" applyBorder="1"/>
    <xf numFmtId="1" fontId="0" fillId="0" borderId="15" xfId="0" applyNumberFormat="1" applyBorder="1"/>
    <xf numFmtId="1" fontId="2" fillId="0" borderId="7" xfId="0" applyNumberFormat="1" applyFont="1" applyBorder="1"/>
    <xf numFmtId="0" fontId="0" fillId="0" borderId="0" xfId="0" applyAlignment="1">
      <alignment vertical="center"/>
    </xf>
    <xf numFmtId="0" fontId="2" fillId="6" borderId="3" xfId="0" applyFont="1" applyFill="1" applyBorder="1"/>
    <xf numFmtId="0" fontId="2" fillId="6" borderId="5" xfId="0" applyFont="1" applyFill="1" applyBorder="1"/>
    <xf numFmtId="0" fontId="0" fillId="0" borderId="0" xfId="0" applyFill="1" applyBorder="1"/>
    <xf numFmtId="0" fontId="0" fillId="0" borderId="0" xfId="0" applyFill="1" applyBorder="1" applyAlignment="1">
      <alignment vertical="center"/>
    </xf>
    <xf numFmtId="2" fontId="0" fillId="0" borderId="0" xfId="0" applyNumberFormat="1" applyFill="1" applyBorder="1"/>
    <xf numFmtId="0" fontId="0" fillId="0" borderId="8" xfId="0" applyFont="1" applyBorder="1" applyAlignment="1">
      <alignment wrapText="1"/>
    </xf>
    <xf numFmtId="1" fontId="0" fillId="0" borderId="10" xfId="0" applyNumberFormat="1" applyFont="1" applyBorder="1"/>
    <xf numFmtId="1" fontId="0" fillId="0" borderId="0" xfId="0" applyNumberFormat="1" applyFont="1" applyBorder="1"/>
    <xf numFmtId="1" fontId="0" fillId="7" borderId="10" xfId="0" applyNumberFormat="1" applyFont="1" applyFill="1" applyBorder="1"/>
    <xf numFmtId="1" fontId="0" fillId="7" borderId="0" xfId="0" applyNumberFormat="1" applyFont="1" applyFill="1" applyBorder="1"/>
    <xf numFmtId="0" fontId="2" fillId="0" borderId="13" xfId="0" applyFont="1" applyBorder="1"/>
    <xf numFmtId="1" fontId="0" fillId="0" borderId="1" xfId="0" applyNumberFormat="1" applyFont="1" applyBorder="1"/>
    <xf numFmtId="0" fontId="0" fillId="0" borderId="1" xfId="0" applyBorder="1" applyAlignment="1">
      <alignment horizontal="right"/>
    </xf>
    <xf numFmtId="0" fontId="0" fillId="0" borderId="0" xfId="0" applyBorder="1" applyAlignment="1">
      <alignment horizontal="right" wrapText="1"/>
    </xf>
    <xf numFmtId="0" fontId="2" fillId="0" borderId="15" xfId="0" applyFont="1" applyBorder="1"/>
    <xf numFmtId="166" fontId="2" fillId="0" borderId="13" xfId="1" applyNumberFormat="1" applyFont="1" applyBorder="1"/>
    <xf numFmtId="165" fontId="2" fillId="0" borderId="0" xfId="0" applyNumberFormat="1" applyFont="1" applyBorder="1"/>
    <xf numFmtId="0" fontId="0" fillId="0" borderId="16" xfId="0" applyBorder="1"/>
    <xf numFmtId="0" fontId="0" fillId="0" borderId="17" xfId="0" applyBorder="1"/>
    <xf numFmtId="9" fontId="0" fillId="0" borderId="0" xfId="0" applyNumberFormat="1" applyFont="1" applyFill="1" applyBorder="1" applyAlignment="1">
      <alignment horizontal="right" vertical="center"/>
    </xf>
    <xf numFmtId="0" fontId="2" fillId="0" borderId="0" xfId="0" applyFont="1" applyFill="1" applyBorder="1"/>
    <xf numFmtId="0" fontId="0" fillId="0" borderId="23" xfId="0" applyBorder="1"/>
    <xf numFmtId="0" fontId="6" fillId="0" borderId="25" xfId="0" applyFont="1" applyBorder="1"/>
    <xf numFmtId="1" fontId="6" fillId="0" borderId="25" xfId="0" applyNumberFormat="1" applyFont="1" applyBorder="1"/>
    <xf numFmtId="1" fontId="6" fillId="0" borderId="24" xfId="0" applyNumberFormat="1" applyFont="1" applyBorder="1"/>
    <xf numFmtId="0" fontId="8" fillId="0" borderId="22" xfId="0" applyFont="1" applyBorder="1"/>
    <xf numFmtId="0" fontId="7" fillId="0" borderId="22" xfId="0" applyFont="1" applyBorder="1" applyAlignment="1">
      <alignment wrapText="1"/>
    </xf>
    <xf numFmtId="9" fontId="8" fillId="2" borderId="26" xfId="0" applyNumberFormat="1" applyFont="1" applyFill="1" applyBorder="1" applyAlignment="1">
      <alignment horizontal="left" vertical="center"/>
    </xf>
    <xf numFmtId="9" fontId="8" fillId="0" borderId="26" xfId="0" applyNumberFormat="1" applyFont="1" applyBorder="1" applyAlignment="1">
      <alignment horizontal="left" vertical="center"/>
    </xf>
    <xf numFmtId="1" fontId="8" fillId="0" borderId="26" xfId="0" applyNumberFormat="1" applyFont="1" applyBorder="1" applyAlignment="1">
      <alignment horizontal="left" vertical="center"/>
    </xf>
    <xf numFmtId="10" fontId="8" fillId="2" borderId="26" xfId="0" applyNumberFormat="1" applyFont="1" applyFill="1" applyBorder="1" applyAlignment="1">
      <alignment horizontal="left" vertical="center"/>
    </xf>
    <xf numFmtId="10" fontId="8" fillId="0" borderId="26" xfId="0" applyNumberFormat="1" applyFont="1" applyBorder="1" applyAlignment="1">
      <alignment horizontal="left" vertical="center"/>
    </xf>
    <xf numFmtId="9" fontId="8" fillId="0" borderId="27" xfId="0" applyNumberFormat="1" applyFont="1" applyBorder="1" applyAlignment="1">
      <alignment horizontal="left" vertical="center"/>
    </xf>
    <xf numFmtId="9" fontId="8" fillId="2" borderId="26" xfId="0" applyNumberFormat="1" applyFont="1" applyFill="1" applyBorder="1" applyAlignment="1">
      <alignment horizontal="center" vertical="center"/>
    </xf>
    <xf numFmtId="9" fontId="8" fillId="0" borderId="26" xfId="0" applyNumberFormat="1" applyFont="1" applyBorder="1" applyAlignment="1">
      <alignment horizontal="center" vertical="center"/>
    </xf>
    <xf numFmtId="9" fontId="8" fillId="0" borderId="27" xfId="0" applyNumberFormat="1" applyFont="1" applyBorder="1" applyAlignment="1">
      <alignment horizontal="center" vertical="center"/>
    </xf>
    <xf numFmtId="9" fontId="8" fillId="3" borderId="26" xfId="0" applyNumberFormat="1" applyFont="1" applyFill="1" applyBorder="1" applyAlignment="1">
      <alignment horizontal="center" vertical="center"/>
    </xf>
    <xf numFmtId="1" fontId="2" fillId="0" borderId="0" xfId="0" applyNumberFormat="1" applyFont="1" applyFill="1" applyBorder="1"/>
    <xf numFmtId="167" fontId="8" fillId="2" borderId="26" xfId="1" applyNumberFormat="1" applyFont="1" applyFill="1" applyBorder="1" applyAlignment="1">
      <alignment horizontal="center" vertical="center"/>
    </xf>
    <xf numFmtId="167" fontId="8" fillId="0" borderId="26" xfId="1" applyNumberFormat="1" applyFont="1" applyBorder="1" applyAlignment="1">
      <alignment horizontal="center" vertical="center"/>
    </xf>
    <xf numFmtId="167" fontId="8" fillId="0" borderId="27" xfId="1" applyNumberFormat="1" applyFont="1" applyBorder="1" applyAlignment="1">
      <alignment horizontal="center" vertical="center"/>
    </xf>
    <xf numFmtId="10" fontId="8" fillId="2" borderId="18" xfId="0" applyNumberFormat="1" applyFont="1" applyFill="1" applyBorder="1" applyAlignment="1">
      <alignment horizontal="left" vertical="center"/>
    </xf>
    <xf numFmtId="9" fontId="8" fillId="2" borderId="18" xfId="0" applyNumberFormat="1" applyFont="1" applyFill="1" applyBorder="1" applyAlignment="1">
      <alignment horizontal="center" vertical="center"/>
    </xf>
    <xf numFmtId="167" fontId="8" fillId="2" borderId="18" xfId="1" applyNumberFormat="1" applyFont="1" applyFill="1" applyBorder="1" applyAlignment="1">
      <alignment horizontal="center" vertical="center"/>
    </xf>
    <xf numFmtId="1" fontId="12" fillId="0" borderId="0" xfId="1" applyNumberFormat="1" applyFont="1" applyFill="1" applyBorder="1" applyAlignment="1">
      <alignment horizontal="center"/>
    </xf>
    <xf numFmtId="1" fontId="12" fillId="0" borderId="0" xfId="1" applyNumberFormat="1" applyFont="1" applyFill="1" applyBorder="1" applyAlignment="1">
      <alignment horizontal="center" vertical="center"/>
    </xf>
    <xf numFmtId="1" fontId="0" fillId="0" borderId="13" xfId="0" applyNumberFormat="1" applyFont="1" applyBorder="1"/>
    <xf numFmtId="9" fontId="3" fillId="0" borderId="31" xfId="0" applyNumberFormat="1" applyFont="1" applyFill="1" applyBorder="1" applyAlignment="1">
      <alignment horizontal="right" vertical="center"/>
    </xf>
    <xf numFmtId="165" fontId="8" fillId="2" borderId="26" xfId="0" applyNumberFormat="1" applyFont="1" applyFill="1" applyBorder="1" applyAlignment="1">
      <alignment horizontal="center" vertical="center"/>
    </xf>
    <xf numFmtId="165" fontId="8" fillId="0" borderId="26" xfId="0" applyNumberFormat="1" applyFont="1" applyBorder="1" applyAlignment="1">
      <alignment horizontal="center" vertical="center"/>
    </xf>
    <xf numFmtId="9" fontId="2" fillId="0" borderId="6" xfId="0" applyNumberFormat="1" applyFont="1" applyBorder="1"/>
    <xf numFmtId="9" fontId="2" fillId="0" borderId="7" xfId="0" applyNumberFormat="1" applyFont="1" applyBorder="1"/>
    <xf numFmtId="9" fontId="8" fillId="0" borderId="26" xfId="2" applyFont="1" applyBorder="1" applyAlignment="1">
      <alignment horizontal="center" vertical="center"/>
    </xf>
    <xf numFmtId="169" fontId="0" fillId="0" borderId="0" xfId="0" applyNumberFormat="1"/>
    <xf numFmtId="165" fontId="0" fillId="3" borderId="4" xfId="2" applyNumberFormat="1" applyFont="1" applyFill="1" applyBorder="1" applyAlignment="1">
      <alignment vertical="center"/>
    </xf>
    <xf numFmtId="165" fontId="3" fillId="3" borderId="4" xfId="2" applyNumberFormat="1" applyFont="1" applyFill="1" applyBorder="1" applyAlignment="1">
      <alignment horizontal="right" vertical="center"/>
    </xf>
    <xf numFmtId="9" fontId="8" fillId="0" borderId="0" xfId="0" applyNumberFormat="1" applyFont="1" applyFill="1" applyBorder="1" applyAlignment="1">
      <alignment horizontal="left" vertical="center"/>
    </xf>
    <xf numFmtId="9" fontId="8" fillId="0" borderId="0" xfId="0" applyNumberFormat="1" applyFont="1" applyFill="1" applyBorder="1" applyAlignment="1">
      <alignment horizontal="center" vertical="center"/>
    </xf>
    <xf numFmtId="167" fontId="8" fillId="0" borderId="0" xfId="1" applyNumberFormat="1" applyFont="1" applyFill="1" applyBorder="1" applyAlignment="1">
      <alignment horizontal="center" vertical="center"/>
    </xf>
    <xf numFmtId="166" fontId="8" fillId="0" borderId="0" xfId="1" applyNumberFormat="1" applyFont="1" applyFill="1" applyBorder="1" applyAlignment="1">
      <alignment horizontal="center" vertical="center"/>
    </xf>
    <xf numFmtId="0" fontId="8" fillId="0" borderId="0" xfId="0" applyFont="1" applyFill="1" applyBorder="1"/>
    <xf numFmtId="0" fontId="7" fillId="0" borderId="0" xfId="0" applyFont="1" applyFill="1" applyBorder="1" applyAlignment="1">
      <alignment wrapText="1"/>
    </xf>
    <xf numFmtId="0" fontId="7" fillId="0" borderId="0" xfId="0" applyFont="1" applyFill="1" applyBorder="1" applyAlignment="1">
      <alignment horizontal="center" vertical="center" wrapText="1"/>
    </xf>
    <xf numFmtId="0" fontId="9" fillId="0" borderId="0" xfId="0" applyFont="1" applyFill="1" applyBorder="1" applyAlignment="1">
      <alignment horizontal="center" vertical="center" textRotation="180" wrapText="1"/>
    </xf>
    <xf numFmtId="1" fontId="8" fillId="0" borderId="0" xfId="0" applyNumberFormat="1" applyFont="1" applyFill="1" applyBorder="1" applyAlignment="1">
      <alignment horizontal="left" vertical="center"/>
    </xf>
    <xf numFmtId="9" fontId="8" fillId="0" borderId="0" xfId="2" applyFont="1" applyFill="1" applyBorder="1" applyAlignment="1">
      <alignment horizontal="center" vertical="center"/>
    </xf>
    <xf numFmtId="10" fontId="8" fillId="0" borderId="0" xfId="0" applyNumberFormat="1" applyFont="1" applyFill="1" applyBorder="1" applyAlignment="1">
      <alignment horizontal="left" vertical="center"/>
    </xf>
    <xf numFmtId="165" fontId="8" fillId="0" borderId="0" xfId="0" applyNumberFormat="1" applyFont="1" applyFill="1" applyBorder="1" applyAlignment="1">
      <alignment horizontal="center" vertical="center"/>
    </xf>
    <xf numFmtId="165" fontId="2" fillId="0" borderId="0" xfId="0" applyNumberFormat="1" applyFont="1" applyFill="1" applyBorder="1"/>
    <xf numFmtId="0" fontId="4" fillId="0" borderId="0" xfId="0" applyFont="1" applyFill="1" applyBorder="1" applyAlignment="1">
      <alignment wrapText="1"/>
    </xf>
    <xf numFmtId="1" fontId="2" fillId="5" borderId="2" xfId="0" applyNumberFormat="1" applyFont="1" applyFill="1" applyBorder="1"/>
    <xf numFmtId="0" fontId="0" fillId="0" borderId="0" xfId="0" applyFill="1" applyBorder="1" applyAlignment="1">
      <alignment horizontal="center" wrapText="1"/>
    </xf>
    <xf numFmtId="1" fontId="0" fillId="0" borderId="0" xfId="0" applyNumberFormat="1" applyFill="1" applyBorder="1" applyAlignment="1">
      <alignment horizontal="center"/>
    </xf>
    <xf numFmtId="9" fontId="3" fillId="0" borderId="0" xfId="0" applyNumberFormat="1" applyFont="1" applyFill="1" applyBorder="1" applyAlignment="1">
      <alignment horizontal="right" vertical="center"/>
    </xf>
    <xf numFmtId="0" fontId="6" fillId="0" borderId="13" xfId="0" applyFont="1" applyBorder="1" applyAlignment="1"/>
    <xf numFmtId="0" fontId="5" fillId="0" borderId="8" xfId="0" applyFont="1" applyBorder="1" applyAlignment="1">
      <alignment wrapText="1"/>
    </xf>
    <xf numFmtId="9" fontId="0" fillId="0" borderId="0" xfId="2" applyNumberFormat="1" applyFont="1" applyFill="1" applyBorder="1" applyAlignment="1">
      <alignment vertical="center"/>
    </xf>
    <xf numFmtId="0" fontId="2" fillId="6" borderId="5" xfId="0" applyFont="1" applyFill="1" applyBorder="1" applyAlignment="1">
      <alignment horizontal="center"/>
    </xf>
    <xf numFmtId="9" fontId="3" fillId="0" borderId="5" xfId="0" applyNumberFormat="1" applyFont="1" applyBorder="1" applyAlignment="1">
      <alignment horizontal="right" vertical="center" wrapText="1"/>
    </xf>
    <xf numFmtId="165" fontId="3" fillId="6" borderId="9" xfId="0" applyNumberFormat="1" applyFont="1" applyFill="1" applyBorder="1" applyAlignment="1">
      <alignment horizontal="right" vertical="center"/>
    </xf>
    <xf numFmtId="165" fontId="3" fillId="6" borderId="12" xfId="0" applyNumberFormat="1" applyFont="1" applyFill="1" applyBorder="1" applyAlignment="1">
      <alignment horizontal="right" vertical="center"/>
    </xf>
    <xf numFmtId="0" fontId="2" fillId="0" borderId="12" xfId="0" applyFont="1" applyFill="1" applyBorder="1"/>
    <xf numFmtId="0" fontId="0" fillId="0" borderId="33" xfId="0" applyBorder="1"/>
    <xf numFmtId="0" fontId="2" fillId="0" borderId="13" xfId="0" applyFont="1" applyBorder="1" applyAlignment="1">
      <alignment horizontal="right"/>
    </xf>
    <xf numFmtId="165" fontId="0" fillId="3" borderId="3" xfId="2" applyNumberFormat="1" applyFont="1" applyFill="1" applyBorder="1" applyAlignment="1">
      <alignment vertical="center"/>
    </xf>
    <xf numFmtId="165" fontId="0" fillId="3" borderId="5" xfId="2" applyNumberFormat="1" applyFont="1" applyFill="1" applyBorder="1" applyAlignment="1">
      <alignment vertical="center"/>
    </xf>
    <xf numFmtId="0" fontId="0" fillId="0" borderId="6" xfId="0" applyBorder="1" applyAlignment="1">
      <alignment wrapText="1"/>
    </xf>
    <xf numFmtId="9" fontId="0" fillId="6" borderId="34" xfId="0" applyNumberFormat="1" applyFont="1" applyFill="1" applyBorder="1" applyAlignment="1">
      <alignment horizontal="right"/>
    </xf>
    <xf numFmtId="9" fontId="0" fillId="6" borderId="35" xfId="0" applyNumberFormat="1" applyFont="1" applyFill="1" applyBorder="1" applyAlignment="1">
      <alignment horizontal="right" vertical="center"/>
    </xf>
    <xf numFmtId="9" fontId="0" fillId="6" borderId="36" xfId="0" applyNumberFormat="1" applyFont="1" applyFill="1" applyBorder="1" applyAlignment="1">
      <alignment horizontal="right" vertical="center"/>
    </xf>
    <xf numFmtId="165" fontId="0" fillId="5" borderId="5" xfId="0" applyNumberFormat="1" applyFont="1" applyFill="1" applyBorder="1" applyAlignment="1">
      <alignment horizontal="right" vertical="center"/>
    </xf>
    <xf numFmtId="9" fontId="3" fillId="6" borderId="14" xfId="0" applyNumberFormat="1" applyFont="1" applyFill="1" applyBorder="1" applyAlignment="1">
      <alignment horizontal="right" vertical="center"/>
    </xf>
    <xf numFmtId="0" fontId="8" fillId="0" borderId="0" xfId="0" applyFont="1" applyBorder="1" applyAlignment="1">
      <alignment wrapText="1"/>
    </xf>
    <xf numFmtId="0" fontId="9" fillId="0" borderId="0" xfId="0" applyFont="1" applyFill="1" applyBorder="1" applyAlignment="1">
      <alignment vertical="center" textRotation="180" wrapText="1"/>
    </xf>
    <xf numFmtId="165" fontId="2" fillId="5" borderId="2" xfId="2" applyNumberFormat="1" applyFont="1" applyFill="1" applyBorder="1"/>
    <xf numFmtId="9" fontId="0" fillId="5" borderId="39" xfId="2" applyFont="1" applyFill="1" applyBorder="1"/>
    <xf numFmtId="9" fontId="2" fillId="5" borderId="39" xfId="2" applyFont="1" applyFill="1" applyBorder="1"/>
    <xf numFmtId="9" fontId="0" fillId="5" borderId="40" xfId="2" applyFont="1" applyFill="1" applyBorder="1"/>
    <xf numFmtId="0" fontId="0" fillId="0" borderId="41" xfId="0" applyBorder="1"/>
    <xf numFmtId="0" fontId="15" fillId="0" borderId="43" xfId="0" applyFont="1" applyBorder="1"/>
    <xf numFmtId="0" fontId="15" fillId="0" borderId="43" xfId="0" applyFont="1" applyFill="1" applyBorder="1"/>
    <xf numFmtId="0" fontId="15" fillId="4" borderId="44" xfId="0" applyFont="1" applyFill="1" applyBorder="1"/>
    <xf numFmtId="0" fontId="2" fillId="0" borderId="12" xfId="0" applyFont="1" applyBorder="1"/>
    <xf numFmtId="0" fontId="0" fillId="0" borderId="6" xfId="0" applyBorder="1"/>
    <xf numFmtId="0" fontId="0" fillId="0" borderId="45" xfId="0" applyBorder="1"/>
    <xf numFmtId="0" fontId="0" fillId="0" borderId="46" xfId="0" applyBorder="1"/>
    <xf numFmtId="0" fontId="0" fillId="0" borderId="31" xfId="0" applyBorder="1"/>
    <xf numFmtId="0" fontId="0" fillId="0" borderId="47" xfId="0" applyBorder="1"/>
    <xf numFmtId="0" fontId="0" fillId="0" borderId="48" xfId="0" applyBorder="1"/>
    <xf numFmtId="0" fontId="2" fillId="0" borderId="49" xfId="0" applyFont="1" applyBorder="1"/>
    <xf numFmtId="0" fontId="2" fillId="6" borderId="50" xfId="0" applyFont="1" applyFill="1" applyBorder="1"/>
    <xf numFmtId="0" fontId="2" fillId="0" borderId="50" xfId="0" applyFont="1" applyBorder="1"/>
    <xf numFmtId="168" fontId="2" fillId="0" borderId="51" xfId="0" applyNumberFormat="1" applyFont="1" applyBorder="1"/>
    <xf numFmtId="1" fontId="0" fillId="0" borderId="50" xfId="0" applyNumberFormat="1" applyBorder="1"/>
    <xf numFmtId="0" fontId="0" fillId="0" borderId="53" xfId="0" applyBorder="1"/>
    <xf numFmtId="168" fontId="2" fillId="0" borderId="52" xfId="0" applyNumberFormat="1" applyFont="1" applyBorder="1"/>
    <xf numFmtId="0" fontId="0" fillId="0" borderId="53" xfId="0" applyFont="1" applyBorder="1"/>
    <xf numFmtId="1" fontId="0" fillId="0" borderId="0" xfId="0" applyNumberFormat="1" applyBorder="1"/>
    <xf numFmtId="168" fontId="0" fillId="0" borderId="52" xfId="0" applyNumberFormat="1" applyBorder="1"/>
    <xf numFmtId="0" fontId="0" fillId="0" borderId="41" xfId="0" applyFont="1" applyFill="1" applyBorder="1"/>
    <xf numFmtId="0" fontId="0" fillId="4" borderId="48" xfId="0" applyFont="1" applyFill="1" applyBorder="1"/>
    <xf numFmtId="1" fontId="0" fillId="0" borderId="50" xfId="0" applyNumberFormat="1" applyFont="1" applyBorder="1"/>
    <xf numFmtId="168" fontId="0" fillId="0" borderId="51" xfId="0" applyNumberFormat="1" applyBorder="1"/>
    <xf numFmtId="0" fontId="0" fillId="0" borderId="54" xfId="0" applyFont="1" applyFill="1" applyBorder="1" applyAlignment="1">
      <alignment wrapText="1"/>
    </xf>
    <xf numFmtId="0" fontId="0" fillId="0" borderId="54" xfId="0" applyBorder="1"/>
    <xf numFmtId="0" fontId="2" fillId="0" borderId="55" xfId="0" applyFont="1" applyBorder="1"/>
    <xf numFmtId="0" fontId="2" fillId="0" borderId="41" xfId="0" applyFont="1" applyBorder="1"/>
    <xf numFmtId="1" fontId="0" fillId="0" borderId="41" xfId="0" applyNumberFormat="1" applyBorder="1"/>
    <xf numFmtId="1" fontId="0" fillId="0" borderId="55" xfId="0" applyNumberFormat="1" applyBorder="1"/>
    <xf numFmtId="0" fontId="2" fillId="6" borderId="31" xfId="0" applyFont="1" applyFill="1" applyBorder="1"/>
    <xf numFmtId="1" fontId="0" fillId="5" borderId="31" xfId="0" applyNumberFormat="1" applyFill="1" applyBorder="1"/>
    <xf numFmtId="1" fontId="0" fillId="5" borderId="47" xfId="0" applyNumberFormat="1" applyFill="1" applyBorder="1"/>
    <xf numFmtId="165" fontId="1" fillId="5" borderId="50" xfId="2" applyNumberFormat="1" applyFont="1" applyFill="1" applyBorder="1"/>
    <xf numFmtId="165" fontId="1" fillId="5" borderId="51" xfId="2" applyNumberFormat="1" applyFont="1" applyFill="1" applyBorder="1"/>
    <xf numFmtId="167" fontId="0" fillId="5" borderId="31" xfId="1" applyNumberFormat="1" applyFont="1" applyFill="1" applyBorder="1"/>
    <xf numFmtId="167" fontId="0" fillId="5" borderId="47" xfId="1" applyNumberFormat="1" applyFont="1" applyFill="1" applyBorder="1"/>
    <xf numFmtId="9" fontId="0" fillId="5" borderId="50" xfId="2" applyFont="1" applyFill="1" applyBorder="1"/>
    <xf numFmtId="9" fontId="0" fillId="5" borderId="51" xfId="2" applyFont="1" applyFill="1" applyBorder="1"/>
    <xf numFmtId="0" fontId="0" fillId="0" borderId="0" xfId="0" applyAlignment="1">
      <alignment horizontal="left" wrapText="1"/>
    </xf>
    <xf numFmtId="0" fontId="0" fillId="0" borderId="55" xfId="0" applyBorder="1" applyAlignment="1">
      <alignment horizontal="left"/>
    </xf>
    <xf numFmtId="0" fontId="0" fillId="0" borderId="50" xfId="0" applyBorder="1" applyAlignment="1">
      <alignment horizontal="left"/>
    </xf>
    <xf numFmtId="0" fontId="0" fillId="0" borderId="0" xfId="0" applyAlignment="1">
      <alignment horizontal="left"/>
    </xf>
    <xf numFmtId="0" fontId="0" fillId="0" borderId="38" xfId="0" applyBorder="1" applyAlignment="1">
      <alignment horizontal="left"/>
    </xf>
    <xf numFmtId="0" fontId="0" fillId="0" borderId="39" xfId="0" applyBorder="1" applyAlignment="1">
      <alignment horizontal="left"/>
    </xf>
    <xf numFmtId="0" fontId="0" fillId="0" borderId="54" xfId="0" applyBorder="1" applyAlignment="1">
      <alignment horizontal="left"/>
    </xf>
    <xf numFmtId="0" fontId="0" fillId="0" borderId="31" xfId="0" applyBorder="1" applyAlignment="1">
      <alignment horizontal="left"/>
    </xf>
    <xf numFmtId="1" fontId="0" fillId="0" borderId="54" xfId="0" applyNumberFormat="1" applyBorder="1" applyAlignment="1">
      <alignment horizontal="left"/>
    </xf>
    <xf numFmtId="1" fontId="0" fillId="0" borderId="31" xfId="0" applyNumberFormat="1" applyBorder="1" applyAlignment="1">
      <alignment horizontal="left"/>
    </xf>
    <xf numFmtId="0" fontId="15" fillId="0" borderId="42" xfId="0" applyFont="1" applyBorder="1" applyAlignment="1">
      <alignment horizontal="center" wrapText="1"/>
    </xf>
    <xf numFmtId="0" fontId="15" fillId="0" borderId="44" xfId="0" applyFont="1" applyBorder="1" applyAlignment="1">
      <alignment horizontal="center" wrapText="1"/>
    </xf>
    <xf numFmtId="9" fontId="0" fillId="0" borderId="0" xfId="0" applyNumberFormat="1" applyFont="1" applyFill="1" applyBorder="1" applyAlignment="1">
      <alignment horizontal="left" vertical="center" wrapText="1"/>
    </xf>
    <xf numFmtId="0" fontId="7" fillId="0" borderId="0" xfId="0" applyFont="1" applyFill="1" applyBorder="1" applyAlignment="1">
      <alignment horizontal="center" vertical="center" wrapText="1"/>
    </xf>
    <xf numFmtId="0" fontId="9" fillId="0" borderId="0" xfId="0" applyFont="1" applyFill="1" applyBorder="1" applyAlignment="1">
      <alignment horizontal="center" vertical="center" textRotation="180" wrapText="1"/>
    </xf>
    <xf numFmtId="0" fontId="0" fillId="0" borderId="7" xfId="0" applyFont="1" applyBorder="1" applyAlignment="1">
      <alignment horizontal="center" vertical="top" wrapText="1"/>
    </xf>
    <xf numFmtId="0" fontId="4" fillId="0" borderId="6" xfId="0" applyFont="1" applyBorder="1" applyAlignment="1">
      <alignment horizontal="left" wrapText="1"/>
    </xf>
    <xf numFmtId="0" fontId="0" fillId="0" borderId="12" xfId="0" applyBorder="1" applyAlignment="1">
      <alignment horizontal="left" wrapText="1"/>
    </xf>
    <xf numFmtId="0" fontId="0" fillId="0" borderId="14" xfId="0" applyBorder="1" applyAlignment="1">
      <alignment horizontal="left" wrapText="1"/>
    </xf>
    <xf numFmtId="0" fontId="0" fillId="5" borderId="9" xfId="0" applyFill="1" applyBorder="1" applyAlignment="1">
      <alignment horizontal="center" wrapText="1"/>
    </xf>
    <xf numFmtId="0" fontId="0" fillId="5" borderId="11" xfId="0" applyFill="1" applyBorder="1" applyAlignment="1">
      <alignment horizontal="center" wrapText="1"/>
    </xf>
    <xf numFmtId="0" fontId="0" fillId="5" borderId="14" xfId="0" applyFill="1" applyBorder="1" applyAlignment="1">
      <alignment horizontal="center" wrapText="1"/>
    </xf>
    <xf numFmtId="0" fontId="0" fillId="5" borderId="15" xfId="0" applyFill="1" applyBorder="1" applyAlignment="1">
      <alignment horizontal="center" wrapText="1"/>
    </xf>
    <xf numFmtId="1" fontId="0" fillId="5" borderId="3" xfId="0" applyNumberFormat="1" applyFill="1" applyBorder="1" applyAlignment="1">
      <alignment horizontal="center"/>
    </xf>
    <xf numFmtId="1" fontId="0" fillId="5" borderId="5" xfId="0" applyNumberFormat="1" applyFill="1" applyBorder="1" applyAlignment="1">
      <alignment horizontal="center"/>
    </xf>
    <xf numFmtId="0" fontId="4" fillId="0" borderId="7" xfId="0" applyFont="1" applyBorder="1" applyAlignment="1">
      <alignment horizontal="left" wrapText="1"/>
    </xf>
    <xf numFmtId="0" fontId="4" fillId="0" borderId="15" xfId="0" applyFont="1" applyBorder="1" applyAlignment="1">
      <alignment horizontal="left" wrapText="1"/>
    </xf>
    <xf numFmtId="0" fontId="4" fillId="0" borderId="11" xfId="0" applyFont="1" applyBorder="1" applyAlignment="1">
      <alignment horizontal="left" wrapText="1"/>
    </xf>
    <xf numFmtId="0" fontId="4" fillId="0" borderId="13" xfId="0" applyFont="1" applyBorder="1" applyAlignment="1">
      <alignment horizontal="left" wrapText="1"/>
    </xf>
    <xf numFmtId="0" fontId="7" fillId="0" borderId="19"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20" xfId="0" applyFont="1" applyBorder="1" applyAlignment="1">
      <alignment horizontal="center" vertical="center" wrapText="1"/>
    </xf>
    <xf numFmtId="0" fontId="7" fillId="0" borderId="28" xfId="0" applyFont="1" applyBorder="1" applyAlignment="1">
      <alignment horizontal="center" vertical="center" wrapText="1"/>
    </xf>
    <xf numFmtId="0" fontId="7" fillId="0" borderId="21"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7" xfId="0" applyFont="1" applyBorder="1" applyAlignment="1">
      <alignment horizontal="center" vertical="center" wrapText="1"/>
    </xf>
    <xf numFmtId="0" fontId="8" fillId="0" borderId="22" xfId="0" applyFont="1" applyBorder="1" applyAlignment="1">
      <alignment horizontal="center" wrapText="1"/>
    </xf>
  </cellXfs>
  <cellStyles count="31">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 remaining from cohort</a:t>
            </a:r>
          </a:p>
        </c:rich>
      </c:tx>
      <c:layout/>
      <c:overlay val="0"/>
      <c:spPr>
        <a:noFill/>
        <a:ln>
          <a:noFill/>
        </a:ln>
        <a:effectLst/>
      </c:spPr>
    </c:title>
    <c:autoTitleDeleted val="0"/>
    <c:plotArea>
      <c:layout/>
      <c:lineChart>
        <c:grouping val="standard"/>
        <c:varyColors val="0"/>
        <c:ser>
          <c:idx val="0"/>
          <c:order val="0"/>
          <c:spPr>
            <a:ln w="28575" cap="rnd">
              <a:solidFill>
                <a:schemeClr val="accent1"/>
              </a:solidFill>
              <a:round/>
            </a:ln>
            <a:effectLst/>
          </c:spPr>
          <c:marker>
            <c:symbol val="none"/>
          </c:marker>
          <c:cat>
            <c:strRef>
              <c:f>Duration_Chart!$B$3:$B$16</c:f>
              <c:strCache>
                <c:ptCount val="14"/>
                <c:pt idx="0">
                  <c:v>0 month</c:v>
                </c:pt>
                <c:pt idx="2">
                  <c:v>1 month</c:v>
                </c:pt>
                <c:pt idx="3">
                  <c:v>2 month</c:v>
                </c:pt>
                <c:pt idx="4">
                  <c:v>3 month</c:v>
                </c:pt>
                <c:pt idx="5">
                  <c:v>4 month</c:v>
                </c:pt>
                <c:pt idx="6">
                  <c:v>5 month</c:v>
                </c:pt>
                <c:pt idx="7">
                  <c:v>6 month</c:v>
                </c:pt>
                <c:pt idx="8">
                  <c:v>7 month</c:v>
                </c:pt>
                <c:pt idx="9">
                  <c:v>8 month</c:v>
                </c:pt>
                <c:pt idx="10">
                  <c:v>9 month</c:v>
                </c:pt>
                <c:pt idx="11">
                  <c:v>10 month</c:v>
                </c:pt>
                <c:pt idx="12">
                  <c:v>11 month</c:v>
                </c:pt>
                <c:pt idx="13">
                  <c:v>12+ month</c:v>
                </c:pt>
              </c:strCache>
            </c:strRef>
          </c:cat>
          <c:val>
            <c:numRef>
              <c:f>Duration_Chart!$F$3:$F$16</c:f>
              <c:numCache>
                <c:formatCode>0.000</c:formatCode>
                <c:ptCount val="14"/>
                <c:pt idx="0">
                  <c:v>1.0</c:v>
                </c:pt>
                <c:pt idx="2">
                  <c:v>0.5</c:v>
                </c:pt>
                <c:pt idx="3">
                  <c:v>0.335</c:v>
                </c:pt>
                <c:pt idx="4">
                  <c:v>0.22445</c:v>
                </c:pt>
                <c:pt idx="5">
                  <c:v>0.1683375</c:v>
                </c:pt>
                <c:pt idx="6">
                  <c:v>0.126253125</c:v>
                </c:pt>
                <c:pt idx="7">
                  <c:v>0.0946898437500001</c:v>
                </c:pt>
                <c:pt idx="8">
                  <c:v>0.0710173828125001</c:v>
                </c:pt>
                <c:pt idx="9">
                  <c:v>0.0532630371093751</c:v>
                </c:pt>
                <c:pt idx="10">
                  <c:v>0.0479367333984376</c:v>
                </c:pt>
                <c:pt idx="11">
                  <c:v>0.0431430600585938</c:v>
                </c:pt>
                <c:pt idx="12">
                  <c:v>0.0388287540527345</c:v>
                </c:pt>
                <c:pt idx="13">
                  <c:v>0.0</c:v>
                </c:pt>
              </c:numCache>
            </c:numRef>
          </c:val>
          <c:smooth val="0"/>
        </c:ser>
        <c:dLbls>
          <c:showLegendKey val="0"/>
          <c:showVal val="0"/>
          <c:showCatName val="0"/>
          <c:showSerName val="0"/>
          <c:showPercent val="0"/>
          <c:showBubbleSize val="0"/>
        </c:dLbls>
        <c:marker val="1"/>
        <c:smooth val="0"/>
        <c:axId val="-2118315640"/>
        <c:axId val="-2115030136"/>
      </c:lineChart>
      <c:catAx>
        <c:axId val="-2118315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30136"/>
        <c:crosses val="autoZero"/>
        <c:auto val="1"/>
        <c:lblAlgn val="ctr"/>
        <c:lblOffset val="100"/>
        <c:noMultiLvlLbl val="0"/>
      </c:catAx>
      <c:valAx>
        <c:axId val="-2115030136"/>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315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800100</xdr:colOff>
      <xdr:row>1</xdr:row>
      <xdr:rowOff>101600</xdr:rowOff>
    </xdr:from>
    <xdr:to>
      <xdr:col>12</xdr:col>
      <xdr:colOff>419100</xdr:colOff>
      <xdr:row>16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70"/>
  <sheetViews>
    <sheetView tabSelected="1" topLeftCell="E5" zoomScale="93" workbookViewId="0">
      <selection activeCell="S8" sqref="S8"/>
    </sheetView>
  </sheetViews>
  <sheetFormatPr baseColWidth="10" defaultRowHeight="15" x14ac:dyDescent="0"/>
  <cols>
    <col min="1" max="1" width="19.1640625" customWidth="1"/>
    <col min="2" max="2" width="23.1640625" customWidth="1"/>
    <col min="3" max="3" width="30.5" customWidth="1"/>
    <col min="4" max="4" width="13.1640625" customWidth="1"/>
    <col min="5" max="5" width="12.6640625" customWidth="1"/>
    <col min="6" max="6" width="9.33203125" customWidth="1"/>
    <col min="7" max="14" width="9.83203125" bestFit="1" customWidth="1"/>
    <col min="15" max="15" width="10.5" bestFit="1" customWidth="1"/>
    <col min="16" max="16" width="9.1640625" customWidth="1"/>
    <col min="17" max="17" width="9" customWidth="1"/>
    <col min="18" max="18" width="8.33203125" customWidth="1"/>
    <col min="19" max="19" width="11.5" customWidth="1"/>
    <col min="20" max="21" width="10.33203125" customWidth="1"/>
    <col min="23" max="23" width="14.83203125" customWidth="1"/>
    <col min="24" max="24" width="10.6640625" style="29" customWidth="1"/>
    <col min="25" max="25" width="10.6640625" customWidth="1"/>
    <col min="26" max="26" width="13.5" customWidth="1"/>
    <col min="27" max="27" width="12.6640625" customWidth="1"/>
    <col min="28" max="29" width="10.6640625" customWidth="1"/>
    <col min="30" max="30" width="4.83203125" customWidth="1"/>
    <col min="31" max="32" width="10.6640625" customWidth="1"/>
    <col min="33" max="33" width="4" customWidth="1"/>
  </cols>
  <sheetData>
    <row r="1" spans="1:37" ht="262" customHeight="1">
      <c r="A1" s="165" t="s">
        <v>48</v>
      </c>
      <c r="B1" s="168"/>
      <c r="C1" s="168"/>
      <c r="D1" s="168"/>
      <c r="E1" s="168"/>
      <c r="F1" s="168"/>
      <c r="G1" s="168"/>
      <c r="H1" s="168"/>
      <c r="I1" s="168"/>
      <c r="J1" s="168"/>
      <c r="K1" s="168"/>
      <c r="L1" s="168"/>
      <c r="M1" s="168"/>
      <c r="N1" s="168"/>
      <c r="O1" s="168"/>
      <c r="P1" s="168"/>
      <c r="Q1" s="168"/>
      <c r="R1" s="168"/>
      <c r="S1" s="168"/>
      <c r="T1" s="168"/>
      <c r="U1" s="168"/>
      <c r="V1" s="168"/>
      <c r="W1" s="168"/>
      <c r="X1" s="168"/>
      <c r="Y1" s="168"/>
    </row>
    <row r="3" spans="1:37" s="2" customFormat="1">
      <c r="B3" s="12" t="s">
        <v>14</v>
      </c>
      <c r="F3" s="3"/>
      <c r="P3" s="4"/>
      <c r="Q3" s="4"/>
      <c r="R3" s="4"/>
      <c r="S3" s="181" t="s">
        <v>16</v>
      </c>
      <c r="T3" s="192" t="s">
        <v>18</v>
      </c>
      <c r="U3" s="181" t="s">
        <v>20</v>
      </c>
      <c r="V3" s="4"/>
      <c r="W3" s="4"/>
      <c r="X3" s="29"/>
      <c r="Y3" s="4"/>
      <c r="Z3" s="4"/>
      <c r="AA3" s="4"/>
      <c r="AB3" s="4"/>
      <c r="AC3" s="4"/>
      <c r="AD3" s="4"/>
      <c r="AE3" s="4"/>
      <c r="AF3" s="4"/>
      <c r="AG3" s="4"/>
      <c r="AH3" s="4"/>
      <c r="AI3" s="4"/>
      <c r="AJ3" s="4"/>
      <c r="AK3" s="4"/>
    </row>
    <row r="4" spans="1:37" s="4" customFormat="1" ht="51" customHeight="1">
      <c r="A4" s="13"/>
      <c r="B4" s="13"/>
      <c r="C4" s="40" t="s">
        <v>50</v>
      </c>
      <c r="D4" s="8" t="s">
        <v>1</v>
      </c>
      <c r="E4" s="8" t="s">
        <v>2</v>
      </c>
      <c r="F4" s="8" t="s">
        <v>3</v>
      </c>
      <c r="G4" s="8" t="s">
        <v>4</v>
      </c>
      <c r="H4" s="8" t="s">
        <v>5</v>
      </c>
      <c r="I4" s="8" t="s">
        <v>6</v>
      </c>
      <c r="J4" s="8" t="s">
        <v>7</v>
      </c>
      <c r="K4" s="8" t="s">
        <v>8</v>
      </c>
      <c r="L4" s="8" t="s">
        <v>9</v>
      </c>
      <c r="M4" s="8" t="s">
        <v>10</v>
      </c>
      <c r="N4" s="8" t="s">
        <v>11</v>
      </c>
      <c r="O4" s="8" t="s">
        <v>12</v>
      </c>
      <c r="P4" s="21"/>
      <c r="Q4" s="48"/>
      <c r="R4" s="15"/>
      <c r="S4" s="190"/>
      <c r="T4" s="193"/>
      <c r="U4" s="182"/>
      <c r="V4" s="125"/>
      <c r="W4" s="175" t="s">
        <v>51</v>
      </c>
      <c r="X4" s="29"/>
      <c r="Y4" s="87"/>
      <c r="Z4" s="88"/>
      <c r="AA4" s="87"/>
      <c r="AB4" s="87"/>
      <c r="AC4" s="87"/>
      <c r="AD4" s="87"/>
      <c r="AE4" s="88"/>
      <c r="AF4" s="88"/>
      <c r="AG4" s="88"/>
      <c r="AH4" s="29"/>
      <c r="AI4" s="29"/>
      <c r="AJ4" s="29"/>
      <c r="AK4" s="29"/>
    </row>
    <row r="5" spans="1:37" s="2" customFormat="1" ht="53" customHeight="1">
      <c r="A5" s="113" t="s">
        <v>44</v>
      </c>
      <c r="B5" s="14"/>
      <c r="C5" s="39" t="s">
        <v>0</v>
      </c>
      <c r="D5" s="10">
        <f>B21*A23*B37</f>
        <v>7904.9999999999991</v>
      </c>
      <c r="E5" s="10">
        <f>$B21*E22</f>
        <v>3975</v>
      </c>
      <c r="F5" s="10">
        <f t="shared" ref="F5:O5" si="0">$B21*F22</f>
        <v>3620.0000000000005</v>
      </c>
      <c r="G5" s="10">
        <f t="shared" si="0"/>
        <v>2165</v>
      </c>
      <c r="H5" s="10">
        <f t="shared" si="0"/>
        <v>1470</v>
      </c>
      <c r="I5" s="10">
        <f t="shared" si="0"/>
        <v>2960</v>
      </c>
      <c r="J5" s="10">
        <f t="shared" si="0"/>
        <v>1110</v>
      </c>
      <c r="K5" s="10">
        <f>$B21*K22</f>
        <v>1280</v>
      </c>
      <c r="L5" s="10">
        <f t="shared" si="0"/>
        <v>710</v>
      </c>
      <c r="M5" s="10">
        <f t="shared" si="0"/>
        <v>595</v>
      </c>
      <c r="N5" s="10">
        <f t="shared" si="0"/>
        <v>375</v>
      </c>
      <c r="O5" s="10">
        <f t="shared" si="0"/>
        <v>23840</v>
      </c>
      <c r="P5" s="22" t="s">
        <v>15</v>
      </c>
      <c r="Q5" s="102" t="s">
        <v>43</v>
      </c>
      <c r="R5" s="101"/>
      <c r="S5" s="191"/>
      <c r="T5" s="191"/>
      <c r="U5" s="183"/>
      <c r="V5" s="125"/>
      <c r="W5" s="176"/>
      <c r="X5" s="29"/>
      <c r="Y5" s="89"/>
      <c r="Z5" s="178"/>
      <c r="AA5" s="178"/>
      <c r="AB5" s="178"/>
      <c r="AC5" s="178"/>
      <c r="AD5" s="179"/>
      <c r="AE5" s="29"/>
      <c r="AF5" s="29"/>
      <c r="AG5" s="29"/>
      <c r="AH5" s="178"/>
      <c r="AI5" s="178"/>
      <c r="AJ5" s="178"/>
      <c r="AK5" s="29"/>
    </row>
    <row r="6" spans="1:37" s="5" customFormat="1" ht="45" customHeight="1">
      <c r="A6" s="114">
        <v>0.66</v>
      </c>
      <c r="B6" s="110" t="s">
        <v>1</v>
      </c>
      <c r="C6" s="17"/>
      <c r="D6" s="33">
        <f>$D5*$A6</f>
        <v>5217.2999999999993</v>
      </c>
      <c r="E6" s="35">
        <v>0</v>
      </c>
      <c r="F6" s="35">
        <v>0</v>
      </c>
      <c r="G6" s="35">
        <v>0</v>
      </c>
      <c r="H6" s="35">
        <v>0</v>
      </c>
      <c r="I6" s="35">
        <v>0</v>
      </c>
      <c r="J6" s="35">
        <v>0</v>
      </c>
      <c r="K6" s="35">
        <v>0</v>
      </c>
      <c r="L6" s="35">
        <v>0</v>
      </c>
      <c r="M6" s="35">
        <v>0</v>
      </c>
      <c r="N6" s="35">
        <v>0</v>
      </c>
      <c r="O6" s="35">
        <v>0</v>
      </c>
      <c r="P6" s="23">
        <f t="shared" ref="P6:P17" si="1">SUM(D6:O6)</f>
        <v>5217.2999999999993</v>
      </c>
      <c r="Q6" s="49">
        <v>12</v>
      </c>
      <c r="R6" s="19"/>
      <c r="S6" s="25">
        <f>D6*Q6+SUM(E6:O6)+SUM(D7:D17)</f>
        <v>65295.299999999988</v>
      </c>
      <c r="T6" s="77">
        <f t="shared" ref="T6:T17" si="2">S6/S$18</f>
        <v>0.47674722546728965</v>
      </c>
      <c r="U6" s="42">
        <f>S6/D5</f>
        <v>8.26</v>
      </c>
      <c r="W6" s="126">
        <v>0.5</v>
      </c>
      <c r="X6" s="71"/>
      <c r="Y6" s="89"/>
      <c r="Z6" s="178"/>
      <c r="AA6" s="178"/>
      <c r="AB6" s="178"/>
      <c r="AC6" s="178"/>
      <c r="AD6" s="179"/>
      <c r="AE6" s="47"/>
      <c r="AF6" s="47"/>
      <c r="AG6" s="47"/>
      <c r="AH6" s="89"/>
      <c r="AI6" s="89"/>
      <c r="AJ6" s="90"/>
      <c r="AK6" s="47"/>
    </row>
    <row r="7" spans="1:37">
      <c r="A7" s="115">
        <v>0.5</v>
      </c>
      <c r="B7" s="110" t="s">
        <v>2</v>
      </c>
      <c r="C7" s="18"/>
      <c r="D7" s="34">
        <f>(D$5-SUM(D$6:D6))*$A7</f>
        <v>1343.85</v>
      </c>
      <c r="E7" s="34">
        <f>(E$5-SUM(E$6:E6))*$A7</f>
        <v>1987.5</v>
      </c>
      <c r="F7" s="36">
        <v>0</v>
      </c>
      <c r="G7" s="36">
        <v>0</v>
      </c>
      <c r="H7" s="36">
        <v>0</v>
      </c>
      <c r="I7" s="36">
        <v>0</v>
      </c>
      <c r="J7" s="36">
        <v>0</v>
      </c>
      <c r="K7" s="36">
        <v>0</v>
      </c>
      <c r="L7" s="36">
        <v>0</v>
      </c>
      <c r="M7" s="36">
        <v>0</v>
      </c>
      <c r="N7" s="36">
        <v>0</v>
      </c>
      <c r="O7" s="36">
        <v>0</v>
      </c>
      <c r="P7" s="23">
        <f t="shared" si="1"/>
        <v>3331.35</v>
      </c>
      <c r="Q7" s="50">
        <v>11</v>
      </c>
      <c r="R7" s="19"/>
      <c r="S7" s="25">
        <f>D7*Q7+SUM(E7:O7)+SUM(D8:D$17)</f>
        <v>18113.7</v>
      </c>
      <c r="T7" s="78">
        <f t="shared" si="2"/>
        <v>0.13225540303738317</v>
      </c>
      <c r="U7" s="42">
        <f>S7/E$5</f>
        <v>4.5569056603773586</v>
      </c>
      <c r="W7" s="126">
        <v>0.33</v>
      </c>
      <c r="X7" s="72"/>
      <c r="Z7" s="84"/>
      <c r="AA7" s="84"/>
      <c r="AB7" s="84"/>
      <c r="AC7" s="85"/>
      <c r="AD7" s="86"/>
      <c r="AE7" s="29"/>
      <c r="AF7" s="47"/>
      <c r="AG7" s="29"/>
      <c r="AH7" s="84"/>
      <c r="AI7" s="85"/>
      <c r="AJ7" s="86"/>
      <c r="AK7" s="29"/>
    </row>
    <row r="8" spans="1:37">
      <c r="A8" s="115">
        <v>0.5</v>
      </c>
      <c r="B8" s="110" t="s">
        <v>3</v>
      </c>
      <c r="C8" s="18"/>
      <c r="D8" s="34">
        <f>(D$5-SUM(D$6:D7))*$A8</f>
        <v>671.92499999999973</v>
      </c>
      <c r="E8" s="34">
        <f>(E$5-SUM(E$6:E7))*$A8</f>
        <v>993.75</v>
      </c>
      <c r="F8" s="34">
        <f>(F$5-SUM(F$6:F7))*$A8</f>
        <v>1810.0000000000002</v>
      </c>
      <c r="G8" s="36">
        <v>0</v>
      </c>
      <c r="H8" s="36">
        <v>0</v>
      </c>
      <c r="I8" s="36">
        <v>0</v>
      </c>
      <c r="J8" s="36">
        <v>0</v>
      </c>
      <c r="K8" s="36">
        <v>0</v>
      </c>
      <c r="L8" s="36">
        <v>0</v>
      </c>
      <c r="M8" s="36">
        <v>0</v>
      </c>
      <c r="N8" s="36">
        <v>0</v>
      </c>
      <c r="O8" s="36">
        <v>0</v>
      </c>
      <c r="P8" s="23">
        <f t="shared" si="1"/>
        <v>3475.6750000000002</v>
      </c>
      <c r="Q8" s="50">
        <v>10</v>
      </c>
      <c r="R8" s="19"/>
      <c r="S8" s="25">
        <f>D8*Q8+SUM(E8:O8)+SUM(D9:D$17)</f>
        <v>10194.924999999997</v>
      </c>
      <c r="T8" s="78">
        <f t="shared" si="2"/>
        <v>7.4437244450934567E-2</v>
      </c>
      <c r="U8" s="42">
        <f>S8/F$5</f>
        <v>2.8162776243093912</v>
      </c>
      <c r="W8" s="126">
        <v>0.33</v>
      </c>
      <c r="X8" s="72"/>
      <c r="Y8" s="83"/>
      <c r="Z8" s="84"/>
      <c r="AA8" s="84"/>
      <c r="AB8" s="84"/>
      <c r="AC8" s="85"/>
      <c r="AD8" s="86"/>
      <c r="AE8" s="29"/>
      <c r="AF8" s="47"/>
      <c r="AG8" s="29"/>
      <c r="AH8" s="84"/>
      <c r="AI8" s="85"/>
      <c r="AJ8" s="86"/>
      <c r="AK8" s="29"/>
    </row>
    <row r="9" spans="1:37">
      <c r="A9" s="115">
        <v>0.33</v>
      </c>
      <c r="B9" s="110" t="s">
        <v>4</v>
      </c>
      <c r="C9" s="18"/>
      <c r="D9" s="34">
        <f>(D$5-SUM(D$6:D8))*$A9</f>
        <v>221.73525000000006</v>
      </c>
      <c r="E9" s="34">
        <f>(E$5-SUM(E$6:E8))*$A9</f>
        <v>327.9375</v>
      </c>
      <c r="F9" s="34">
        <f>(F$5-SUM(F$6:F8))*$A9</f>
        <v>597.30000000000007</v>
      </c>
      <c r="G9" s="34">
        <f>(G$5-SUM(G$6:G8))*$A9</f>
        <v>714.45</v>
      </c>
      <c r="H9" s="36">
        <v>0</v>
      </c>
      <c r="I9" s="36">
        <v>0</v>
      </c>
      <c r="J9" s="36">
        <v>0</v>
      </c>
      <c r="K9" s="36">
        <v>0</v>
      </c>
      <c r="L9" s="36">
        <v>0</v>
      </c>
      <c r="M9" s="36">
        <v>0</v>
      </c>
      <c r="N9" s="36">
        <v>0</v>
      </c>
      <c r="O9" s="36">
        <v>0</v>
      </c>
      <c r="P9" s="23">
        <f t="shared" si="1"/>
        <v>1861.4227500000002</v>
      </c>
      <c r="Q9" s="49">
        <v>9</v>
      </c>
      <c r="R9" s="19"/>
      <c r="S9" s="25">
        <f>D9*Q9+SUM(E9:O9)+SUM(D10:D$17)</f>
        <v>4085.4945000000016</v>
      </c>
      <c r="T9" s="78">
        <f t="shared" si="2"/>
        <v>2.9829837178738331E-2</v>
      </c>
      <c r="U9" s="42">
        <f>S9/G$5</f>
        <v>1.8870644341801392</v>
      </c>
      <c r="W9" s="126">
        <v>0.25</v>
      </c>
      <c r="X9" s="71"/>
      <c r="Y9" s="83"/>
      <c r="Z9" s="84"/>
      <c r="AA9" s="84"/>
      <c r="AB9" s="84"/>
      <c r="AC9" s="85"/>
      <c r="AD9" s="86"/>
      <c r="AE9" s="29"/>
      <c r="AF9" s="47"/>
      <c r="AG9" s="29"/>
      <c r="AH9" s="84"/>
      <c r="AI9" s="85"/>
      <c r="AJ9" s="86"/>
      <c r="AK9" s="29"/>
    </row>
    <row r="10" spans="1:37">
      <c r="A10" s="115">
        <v>0.33</v>
      </c>
      <c r="B10" s="110" t="s">
        <v>5</v>
      </c>
      <c r="C10" s="18"/>
      <c r="D10" s="34">
        <f>(D$5-SUM(D$6:D9))*$A10</f>
        <v>148.56261750000016</v>
      </c>
      <c r="E10" s="34">
        <f>(E$5-SUM(E$6:E9))*$A10</f>
        <v>219.71812500000001</v>
      </c>
      <c r="F10" s="34">
        <f>(F$5-SUM(F$6:F9))*$A10</f>
        <v>400.19100000000009</v>
      </c>
      <c r="G10" s="34">
        <f>(G$5-SUM(G$6:G9))*$A10</f>
        <v>478.68150000000003</v>
      </c>
      <c r="H10" s="34">
        <f>(H$5-SUM(H$6:H9))*$A10</f>
        <v>485.1</v>
      </c>
      <c r="I10" s="36">
        <v>0</v>
      </c>
      <c r="J10" s="36">
        <v>0</v>
      </c>
      <c r="K10" s="36">
        <v>0</v>
      </c>
      <c r="L10" s="36">
        <v>0</v>
      </c>
      <c r="M10" s="36">
        <v>0</v>
      </c>
      <c r="N10" s="36">
        <v>0</v>
      </c>
      <c r="O10" s="36">
        <v>0</v>
      </c>
      <c r="P10" s="23">
        <f t="shared" si="1"/>
        <v>1732.2532425000004</v>
      </c>
      <c r="Q10" s="50">
        <v>8</v>
      </c>
      <c r="R10" s="19"/>
      <c r="S10" s="25">
        <f>D10*Q10+SUM(E10:O10)+SUM(D11:D$17)</f>
        <v>3073.8186975000021</v>
      </c>
      <c r="T10" s="78">
        <f t="shared" si="2"/>
        <v>2.2443185583382024E-2</v>
      </c>
      <c r="U10" s="42">
        <f>S10/H$5</f>
        <v>2.0910331275510217</v>
      </c>
      <c r="W10" s="126">
        <v>0.25</v>
      </c>
      <c r="X10" s="72"/>
      <c r="Z10" s="92"/>
      <c r="AA10" s="84"/>
      <c r="AB10" s="84"/>
      <c r="AC10" s="85"/>
      <c r="AD10" s="86"/>
      <c r="AE10" s="29"/>
      <c r="AF10" s="47"/>
      <c r="AG10" s="29"/>
      <c r="AH10" s="84"/>
      <c r="AI10" s="85"/>
      <c r="AJ10" s="86"/>
      <c r="AK10" s="29"/>
    </row>
    <row r="11" spans="1:37">
      <c r="A11" s="115">
        <v>0.33</v>
      </c>
      <c r="B11" s="110" t="s">
        <v>6</v>
      </c>
      <c r="C11" s="18"/>
      <c r="D11" s="34">
        <f>(D$5-SUM(D$6:D10))*$A11</f>
        <v>99.536953725000231</v>
      </c>
      <c r="E11" s="34">
        <f>(E$5-SUM(E$6:E10))*$A11</f>
        <v>147.21114375000005</v>
      </c>
      <c r="F11" s="34">
        <f>(F$5-SUM(F$6:F10))*$A11</f>
        <v>268.12797</v>
      </c>
      <c r="G11" s="34">
        <f>(G$5-SUM(G$6:G10))*$A11</f>
        <v>320.71660500000002</v>
      </c>
      <c r="H11" s="34">
        <f>(H$5-SUM(H$6:H10))*$A11</f>
        <v>325.017</v>
      </c>
      <c r="I11" s="34">
        <f>(I$5-SUM(I$6:I10))*$A11</f>
        <v>976.80000000000007</v>
      </c>
      <c r="J11" s="36">
        <v>0</v>
      </c>
      <c r="K11" s="36">
        <v>0</v>
      </c>
      <c r="L11" s="36">
        <v>0</v>
      </c>
      <c r="M11" s="36">
        <v>0</v>
      </c>
      <c r="N11" s="36">
        <v>0</v>
      </c>
      <c r="O11" s="36">
        <v>0</v>
      </c>
      <c r="P11" s="23">
        <f t="shared" si="1"/>
        <v>2137.4096724750007</v>
      </c>
      <c r="Q11" s="50">
        <v>7</v>
      </c>
      <c r="R11" s="19"/>
      <c r="S11" s="25">
        <f>D11*Q11+SUM(E11:O11)+SUM(D12:D$17)</f>
        <v>2936.7215736000026</v>
      </c>
      <c r="T11" s="78">
        <f t="shared" si="2"/>
        <v>2.1442184386682262E-2</v>
      </c>
      <c r="U11" s="42">
        <f>S11/I$5</f>
        <v>0.99213566675675757</v>
      </c>
      <c r="W11" s="126">
        <v>0.25</v>
      </c>
      <c r="X11" s="72"/>
      <c r="Y11" s="91"/>
      <c r="Z11" s="84"/>
      <c r="AA11" s="84"/>
      <c r="AB11" s="84"/>
      <c r="AC11" s="85"/>
      <c r="AD11" s="86"/>
      <c r="AE11" s="29"/>
      <c r="AF11" s="29"/>
      <c r="AG11" s="29"/>
      <c r="AH11" s="84"/>
      <c r="AI11" s="85"/>
      <c r="AJ11" s="86"/>
      <c r="AK11" s="29"/>
    </row>
    <row r="12" spans="1:37">
      <c r="A12" s="115">
        <v>0.25</v>
      </c>
      <c r="B12" s="110" t="s">
        <v>7</v>
      </c>
      <c r="C12" s="18"/>
      <c r="D12" s="34">
        <f>(D$5-SUM(D$6:D11))*$A12</f>
        <v>50.522544693750206</v>
      </c>
      <c r="E12" s="34">
        <f>(E$5-SUM(E$6:E11))*$A12</f>
        <v>74.72080781249997</v>
      </c>
      <c r="F12" s="34">
        <f>(F$5-SUM(F$6:F11))*$A12</f>
        <v>136.0952575</v>
      </c>
      <c r="G12" s="34">
        <f>(G$5-SUM(G$6:G11))*$A12</f>
        <v>162.78797374999999</v>
      </c>
      <c r="H12" s="34">
        <f>(H$5-SUM(H$6:H11))*$A12</f>
        <v>164.97075000000001</v>
      </c>
      <c r="I12" s="34">
        <f>(I$5-SUM(I$6:I11))*$A12</f>
        <v>495.79999999999995</v>
      </c>
      <c r="J12" s="34">
        <f>(J$5-SUM(J$6:J11))*$A12</f>
        <v>277.5</v>
      </c>
      <c r="K12" s="36">
        <v>0</v>
      </c>
      <c r="L12" s="36">
        <v>0</v>
      </c>
      <c r="M12" s="36">
        <v>0</v>
      </c>
      <c r="N12" s="36">
        <v>0</v>
      </c>
      <c r="O12" s="36">
        <v>0</v>
      </c>
      <c r="P12" s="23">
        <f t="shared" si="1"/>
        <v>1362.3973337562502</v>
      </c>
      <c r="Q12" s="49">
        <v>6</v>
      </c>
      <c r="R12" s="19"/>
      <c r="S12" s="25">
        <f>D12*Q12+SUM(E12:O12)+SUM(D13:D$17)</f>
        <v>1766.5776913062516</v>
      </c>
      <c r="T12" s="78">
        <f t="shared" si="2"/>
        <v>1.2898493657317841E-2</v>
      </c>
      <c r="U12" s="42">
        <f>S12/J$5</f>
        <v>1.5915114336092357</v>
      </c>
      <c r="W12" s="126">
        <v>0.25</v>
      </c>
      <c r="X12" s="71"/>
      <c r="Z12" s="84"/>
      <c r="AA12" s="84"/>
      <c r="AB12" s="84"/>
      <c r="AC12" s="85"/>
      <c r="AD12" s="86"/>
      <c r="AE12" s="29"/>
      <c r="AF12" s="29"/>
      <c r="AG12" s="29"/>
      <c r="AH12" s="84"/>
      <c r="AI12" s="85"/>
      <c r="AJ12" s="86"/>
      <c r="AK12" s="29"/>
    </row>
    <row r="13" spans="1:37">
      <c r="A13" s="115">
        <v>0.25</v>
      </c>
      <c r="B13" s="110" t="s">
        <v>8</v>
      </c>
      <c r="C13" s="18"/>
      <c r="D13" s="34">
        <f>(D$5-SUM(D$6:D12))*$A13</f>
        <v>37.891908520312654</v>
      </c>
      <c r="E13" s="34">
        <f>(E$5-SUM(E$6:E12))*$A13</f>
        <v>56.040605859374978</v>
      </c>
      <c r="F13" s="34">
        <f>(F$5-SUM(F$6:F12))*$A13</f>
        <v>102.07144312499997</v>
      </c>
      <c r="G13" s="34">
        <f>(G$5-SUM(G$6:G12))*$A13</f>
        <v>122.09098031249999</v>
      </c>
      <c r="H13" s="34">
        <f>(H$5-SUM(H$6:H12))*$A13</f>
        <v>123.72806250000002</v>
      </c>
      <c r="I13" s="34">
        <f>(I$5-SUM(I$6:I12))*$A13</f>
        <v>371.85</v>
      </c>
      <c r="J13" s="34">
        <f>(J$5-SUM(J$6:J12))*$A13</f>
        <v>208.125</v>
      </c>
      <c r="K13" s="34">
        <f>(K$5-SUM(K$6:K12))*$A13</f>
        <v>320</v>
      </c>
      <c r="L13" s="36">
        <v>0</v>
      </c>
      <c r="M13" s="36">
        <v>0</v>
      </c>
      <c r="N13" s="36">
        <v>0</v>
      </c>
      <c r="O13" s="36">
        <v>0</v>
      </c>
      <c r="P13" s="23">
        <f t="shared" si="1"/>
        <v>1341.7980003171876</v>
      </c>
      <c r="Q13" s="50">
        <v>5</v>
      </c>
      <c r="R13" s="19"/>
      <c r="S13" s="25">
        <f>D13*Q13+SUM(E13:O13)+SUM(D14:D$17)</f>
        <v>1607.041359959376</v>
      </c>
      <c r="T13" s="78">
        <f t="shared" si="2"/>
        <v>1.1733654789423014E-2</v>
      </c>
      <c r="U13" s="42">
        <f>S13/K$5</f>
        <v>1.2555010624682625</v>
      </c>
      <c r="W13" s="126">
        <v>0.25</v>
      </c>
      <c r="X13" s="72"/>
      <c r="Z13" s="84"/>
      <c r="AA13" s="84"/>
      <c r="AB13" s="84"/>
      <c r="AC13" s="85"/>
      <c r="AD13" s="86"/>
      <c r="AE13" s="29"/>
      <c r="AF13" s="29"/>
      <c r="AG13" s="29"/>
      <c r="AH13" s="84"/>
      <c r="AI13" s="85"/>
      <c r="AJ13" s="86"/>
      <c r="AK13" s="29"/>
    </row>
    <row r="14" spans="1:37">
      <c r="A14" s="115">
        <v>0.25</v>
      </c>
      <c r="B14" s="110" t="s">
        <v>9</v>
      </c>
      <c r="C14" s="18"/>
      <c r="D14" s="34">
        <f>(D$5-SUM(D$6:D13))*$A14</f>
        <v>28.418931390234548</v>
      </c>
      <c r="E14" s="34">
        <f>(E$5-SUM(E$6:E13))*$A14</f>
        <v>42.030454394531262</v>
      </c>
      <c r="F14" s="34">
        <f>(F$5-SUM(F$6:F13))*$A14</f>
        <v>76.553582343750008</v>
      </c>
      <c r="G14" s="34">
        <f>(G$5-SUM(G$6:G13))*$A14</f>
        <v>91.568235234374981</v>
      </c>
      <c r="H14" s="34">
        <f>(H$5-SUM(H$6:H13))*$A14</f>
        <v>92.796046875000002</v>
      </c>
      <c r="I14" s="34">
        <f>(I$5-SUM(I$6:I13))*$A14</f>
        <v>278.88750000000005</v>
      </c>
      <c r="J14" s="34">
        <f>(J$5-SUM(J$6:J13))*$A14</f>
        <v>156.09375</v>
      </c>
      <c r="K14" s="34">
        <f>(K$5-SUM(K$6:K13))*$A14</f>
        <v>240</v>
      </c>
      <c r="L14" s="34">
        <f>(L$5-SUM(L$6:L13))*$A14</f>
        <v>177.5</v>
      </c>
      <c r="M14" s="36">
        <v>0</v>
      </c>
      <c r="N14" s="36">
        <v>0</v>
      </c>
      <c r="O14" s="36">
        <v>0</v>
      </c>
      <c r="P14" s="23">
        <f t="shared" si="1"/>
        <v>1183.8485002378909</v>
      </c>
      <c r="Q14" s="50">
        <v>4</v>
      </c>
      <c r="R14" s="19"/>
      <c r="S14" s="25">
        <f>D14*Q14+SUM(E14:O14)+SUM(D15:D$17)</f>
        <v>1354.3620885792977</v>
      </c>
      <c r="T14" s="78">
        <f t="shared" si="2"/>
        <v>9.8887418850708078E-3</v>
      </c>
      <c r="U14" s="42">
        <f>S14/L$5</f>
        <v>1.9075522374356306</v>
      </c>
      <c r="W14" s="126">
        <v>0.1</v>
      </c>
      <c r="X14" s="72"/>
      <c r="Y14" s="83"/>
      <c r="Z14" s="84"/>
      <c r="AA14" s="84"/>
      <c r="AB14" s="84"/>
      <c r="AC14" s="85"/>
      <c r="AD14" s="86"/>
      <c r="AE14" s="29"/>
      <c r="AF14" s="29"/>
      <c r="AG14" s="29"/>
      <c r="AH14" s="84"/>
      <c r="AI14" s="85"/>
      <c r="AJ14" s="86"/>
      <c r="AK14" s="29"/>
    </row>
    <row r="15" spans="1:37">
      <c r="A15" s="115">
        <v>0.25</v>
      </c>
      <c r="B15" s="110" t="s">
        <v>10</v>
      </c>
      <c r="C15" s="18"/>
      <c r="D15" s="34">
        <f>(D$5-SUM(D$6:D14))*$A15</f>
        <v>21.314198542675967</v>
      </c>
      <c r="E15" s="34">
        <f>(E$5-SUM(E$6:E14))*$A15</f>
        <v>31.522840795898446</v>
      </c>
      <c r="F15" s="34">
        <f>(F$5-SUM(F$6:F14))*$A15</f>
        <v>57.415186757812535</v>
      </c>
      <c r="G15" s="34">
        <f>(G$5-SUM(G$6:G14))*$A15</f>
        <v>68.67617642578125</v>
      </c>
      <c r="H15" s="34">
        <f>(H$5-SUM(H$6:H14))*$A15</f>
        <v>69.597035156250001</v>
      </c>
      <c r="I15" s="34">
        <f>(I$5-SUM(I$6:I14))*$A15</f>
        <v>209.16562500000009</v>
      </c>
      <c r="J15" s="34">
        <f>(J$5-SUM(J$6:J14))*$A15</f>
        <v>117.0703125</v>
      </c>
      <c r="K15" s="34">
        <f>(K$5-SUM(K$6:K14))*$A15</f>
        <v>180</v>
      </c>
      <c r="L15" s="34">
        <f>(L$5-SUM(L$6:L14))*$A15</f>
        <v>133.125</v>
      </c>
      <c r="M15" s="34">
        <f>(M$5-SUM(M$6:M14))*$A15</f>
        <v>148.75</v>
      </c>
      <c r="N15" s="36">
        <v>0</v>
      </c>
      <c r="O15" s="36">
        <v>0</v>
      </c>
      <c r="P15" s="23">
        <f t="shared" si="1"/>
        <v>1036.6363751784183</v>
      </c>
      <c r="Q15" s="49">
        <v>3</v>
      </c>
      <c r="R15" s="19"/>
      <c r="S15" s="25">
        <f>D15*Q15+SUM(E15:O15)+SUM(D16:D$17)</f>
        <v>1143.2073678917975</v>
      </c>
      <c r="T15" s="78">
        <f t="shared" si="2"/>
        <v>8.3470164127613725E-3</v>
      </c>
      <c r="U15" s="42">
        <f>S15/M$5</f>
        <v>1.9213569208265504</v>
      </c>
      <c r="W15" s="126">
        <v>0.1</v>
      </c>
      <c r="X15" s="71"/>
      <c r="Y15" s="93"/>
      <c r="Z15" s="94"/>
      <c r="AA15" s="84"/>
      <c r="AB15" s="84"/>
      <c r="AC15" s="85"/>
      <c r="AD15" s="86"/>
      <c r="AE15" s="29"/>
      <c r="AF15" s="29"/>
      <c r="AG15" s="29"/>
      <c r="AH15" s="84"/>
      <c r="AI15" s="85"/>
      <c r="AJ15" s="86"/>
      <c r="AK15" s="29"/>
    </row>
    <row r="16" spans="1:37">
      <c r="A16" s="115">
        <v>0.25</v>
      </c>
      <c r="B16" s="110" t="s">
        <v>11</v>
      </c>
      <c r="C16" s="18"/>
      <c r="D16" s="34">
        <f>(D$5-SUM(D$6:D15))*$A16</f>
        <v>15.985648907006862</v>
      </c>
      <c r="E16" s="34">
        <f>(E$5-SUM(E$6:E15))*$A16</f>
        <v>23.642130596923835</v>
      </c>
      <c r="F16" s="34">
        <f>(F$5-SUM(F$6:F15))*$A16</f>
        <v>43.061390068359401</v>
      </c>
      <c r="G16" s="34">
        <f>(G$5-SUM(G$6:G15))*$A16</f>
        <v>51.507132319335938</v>
      </c>
      <c r="H16" s="34">
        <f>(H$5-SUM(H$6:H15))*$A16</f>
        <v>52.197776367187487</v>
      </c>
      <c r="I16" s="34">
        <f>(I$5-SUM(I$6:I15))*$A16</f>
        <v>156.87421875000007</v>
      </c>
      <c r="J16" s="34">
        <f>(J$5-SUM(J$6:J15))*$A16</f>
        <v>87.802734375</v>
      </c>
      <c r="K16" s="34">
        <f>(K$5-SUM(K$6:K15))*$A16</f>
        <v>135</v>
      </c>
      <c r="L16" s="34">
        <f>(L$5-SUM(L$6:L15))*$A16</f>
        <v>99.84375</v>
      </c>
      <c r="M16" s="34">
        <f>(M$5-SUM(M$6:M15))*$A16</f>
        <v>111.5625</v>
      </c>
      <c r="N16" s="34">
        <f>(N$5-SUM(N$6:N15))*$A16</f>
        <v>93.75</v>
      </c>
      <c r="O16" s="36">
        <v>0</v>
      </c>
      <c r="P16" s="23">
        <f t="shared" si="1"/>
        <v>871.22728138381353</v>
      </c>
      <c r="Q16" s="50">
        <v>2</v>
      </c>
      <c r="R16" s="19"/>
      <c r="S16" s="25">
        <f>D16*Q16+SUM(E16:O16)+SUM(D$17:D17)</f>
        <v>935.16987701184075</v>
      </c>
      <c r="T16" s="78">
        <f t="shared" si="2"/>
        <v>6.8280510879953323E-3</v>
      </c>
      <c r="U16" s="42">
        <f>S16/N$5</f>
        <v>2.493786338698242</v>
      </c>
      <c r="W16" s="127">
        <v>0.1</v>
      </c>
      <c r="X16" s="72"/>
      <c r="Y16" s="93"/>
      <c r="Z16" s="94"/>
      <c r="AA16" s="84"/>
      <c r="AB16" s="84"/>
      <c r="AC16" s="85"/>
      <c r="AD16" s="86"/>
      <c r="AE16" s="29"/>
      <c r="AF16" s="29"/>
      <c r="AG16" s="29"/>
      <c r="AH16" s="84"/>
      <c r="AI16" s="85"/>
      <c r="AJ16" s="86"/>
      <c r="AK16" s="29"/>
    </row>
    <row r="17" spans="1:37" ht="16" customHeight="1">
      <c r="A17" s="116">
        <v>1</v>
      </c>
      <c r="B17" s="110" t="s">
        <v>12</v>
      </c>
      <c r="C17" s="18"/>
      <c r="D17" s="34">
        <f>(D$5-SUM(D$6:D16))*$A17</f>
        <v>47.956946721020358</v>
      </c>
      <c r="E17" s="34">
        <f>(E$5-SUM(E$6:E16))*$A17</f>
        <v>70.926391790771504</v>
      </c>
      <c r="F17" s="34">
        <f>(F$5-SUM(F$6:F16))*$A17</f>
        <v>129.18417020507832</v>
      </c>
      <c r="G17" s="34">
        <f>(G$5-SUM(G$6:G16))*$A17</f>
        <v>154.5213969580077</v>
      </c>
      <c r="H17" s="34">
        <f>(H$5-SUM(H$6:H16))*$A17</f>
        <v>156.5933291015624</v>
      </c>
      <c r="I17" s="34">
        <f>(I$5-SUM(I$6:I16))*$A17</f>
        <v>470.62265625000009</v>
      </c>
      <c r="J17" s="34">
        <f>(J$5-SUM(J$6:J16))*$A17</f>
        <v>263.408203125</v>
      </c>
      <c r="K17" s="34">
        <f>(K$5-SUM(K$6:K16))*$A17</f>
        <v>405</v>
      </c>
      <c r="L17" s="34">
        <f>(L$5-SUM(L$6:L16))*$A17</f>
        <v>299.53125</v>
      </c>
      <c r="M17" s="34">
        <f>(M$5-SUM(M$6:M16))*$A17</f>
        <v>334.6875</v>
      </c>
      <c r="N17" s="34">
        <f>(N$5-SUM(N$6:N16))*$A17</f>
        <v>281.25</v>
      </c>
      <c r="O17" s="34">
        <f>(O$5-SUM(O$6:O16))*$A17</f>
        <v>23840</v>
      </c>
      <c r="P17" s="23">
        <f t="shared" si="1"/>
        <v>26453.681844151441</v>
      </c>
      <c r="Q17" s="50">
        <v>1</v>
      </c>
      <c r="R17" s="19"/>
      <c r="S17" s="25">
        <f>D17*Q17+SUM(E17:O17)</f>
        <v>26453.681844151441</v>
      </c>
      <c r="T17" s="78">
        <f t="shared" si="2"/>
        <v>0.19314896206302162</v>
      </c>
      <c r="U17" s="42">
        <f>S17/O$5</f>
        <v>1.1096343055432651</v>
      </c>
      <c r="W17" s="128">
        <v>1</v>
      </c>
      <c r="X17" s="72"/>
      <c r="Y17" s="93"/>
      <c r="Z17" s="94"/>
      <c r="AA17" s="84"/>
      <c r="AB17" s="84"/>
      <c r="AC17" s="85"/>
      <c r="AD17" s="86"/>
      <c r="AE17" s="29"/>
      <c r="AF17" s="29"/>
      <c r="AG17" s="29"/>
      <c r="AH17" s="84"/>
      <c r="AI17" s="85"/>
      <c r="AJ17" s="86"/>
      <c r="AK17" s="29"/>
    </row>
    <row r="18" spans="1:37" ht="17" customHeight="1">
      <c r="A18" s="180"/>
      <c r="B18" s="15"/>
      <c r="C18" s="18"/>
      <c r="D18" s="19"/>
      <c r="E18" s="19"/>
      <c r="F18" s="19"/>
      <c r="G18" s="19"/>
      <c r="H18" s="19"/>
      <c r="I18" s="19"/>
      <c r="J18" s="19"/>
      <c r="K18" s="19"/>
      <c r="L18" s="19"/>
      <c r="M18" s="19"/>
      <c r="N18" s="19"/>
      <c r="O18" s="19"/>
      <c r="P18" s="24"/>
      <c r="Q18" s="51"/>
      <c r="R18" s="19"/>
      <c r="S18" s="97">
        <f>SUM(S6:S17)</f>
        <v>136960</v>
      </c>
      <c r="T18" s="121">
        <f>SUM(T6:T17)</f>
        <v>1</v>
      </c>
      <c r="U18" s="41"/>
      <c r="X18" s="46"/>
      <c r="Y18" s="83"/>
      <c r="Z18" s="84"/>
      <c r="AA18" s="84"/>
      <c r="AB18" s="84"/>
      <c r="AC18" s="85"/>
      <c r="AD18" s="86"/>
      <c r="AE18" s="29"/>
      <c r="AF18" s="29"/>
      <c r="AG18" s="29"/>
      <c r="AH18" s="84"/>
      <c r="AI18" s="85"/>
      <c r="AJ18" s="86"/>
      <c r="AK18" s="29"/>
    </row>
    <row r="19" spans="1:37" s="5" customFormat="1">
      <c r="A19" s="180"/>
      <c r="B19" s="16"/>
      <c r="C19" s="20" t="s">
        <v>17</v>
      </c>
      <c r="D19" s="38">
        <f>SUM(D6:D18)</f>
        <v>7904.9999999999991</v>
      </c>
      <c r="E19" s="34">
        <f>SUM(E6:E18)</f>
        <v>3975</v>
      </c>
      <c r="F19" s="34">
        <f t="shared" ref="F19:O19" si="3">SUM(F6:F18)</f>
        <v>3620.0000000000005</v>
      </c>
      <c r="G19" s="34">
        <f t="shared" si="3"/>
        <v>2165</v>
      </c>
      <c r="H19" s="34">
        <f t="shared" si="3"/>
        <v>1470</v>
      </c>
      <c r="I19" s="34">
        <f t="shared" si="3"/>
        <v>2960</v>
      </c>
      <c r="J19" s="34">
        <f t="shared" si="3"/>
        <v>1110</v>
      </c>
      <c r="K19" s="34">
        <f t="shared" si="3"/>
        <v>1280</v>
      </c>
      <c r="L19" s="34">
        <f t="shared" si="3"/>
        <v>710</v>
      </c>
      <c r="M19" s="34">
        <f t="shared" si="3"/>
        <v>595</v>
      </c>
      <c r="N19" s="34">
        <f t="shared" si="3"/>
        <v>375</v>
      </c>
      <c r="O19" s="73">
        <f t="shared" si="3"/>
        <v>23840</v>
      </c>
      <c r="P19" s="34"/>
      <c r="Q19" s="34"/>
      <c r="R19" s="19"/>
      <c r="X19" s="47"/>
      <c r="Y19" s="93"/>
      <c r="Z19" s="84"/>
      <c r="AA19" s="84"/>
      <c r="AB19" s="84"/>
      <c r="AC19" s="85"/>
      <c r="AD19" s="86"/>
      <c r="AE19" s="47"/>
      <c r="AF19" s="47"/>
      <c r="AG19" s="47"/>
      <c r="AH19" s="84"/>
      <c r="AI19" s="85"/>
      <c r="AJ19" s="86"/>
      <c r="AK19" s="47"/>
    </row>
    <row r="20" spans="1:37">
      <c r="A20" s="32"/>
      <c r="B20" s="5"/>
      <c r="C20" s="1"/>
      <c r="D20" s="74"/>
      <c r="E20" s="74"/>
      <c r="F20" s="74"/>
      <c r="G20" s="74"/>
      <c r="H20" s="74"/>
      <c r="I20" s="74"/>
      <c r="J20" s="74"/>
      <c r="K20" s="74"/>
      <c r="L20" s="74"/>
      <c r="M20" s="74"/>
      <c r="N20" s="74"/>
      <c r="O20" s="74"/>
      <c r="P20" s="100"/>
      <c r="Q20" s="100"/>
      <c r="R20" s="6"/>
      <c r="S20" s="184" t="s">
        <v>19</v>
      </c>
      <c r="T20" s="185"/>
      <c r="U20" s="98"/>
      <c r="Y20" s="83"/>
      <c r="Z20" s="84"/>
      <c r="AA20" s="84"/>
      <c r="AB20" s="84"/>
      <c r="AC20" s="85"/>
      <c r="AD20" s="86"/>
      <c r="AE20" s="84"/>
      <c r="AF20" s="84"/>
      <c r="AG20" s="86"/>
      <c r="AH20" s="29"/>
      <c r="AI20" s="29"/>
      <c r="AJ20" s="29"/>
      <c r="AK20" s="29"/>
    </row>
    <row r="21" spans="1:37">
      <c r="A21" s="27" t="s">
        <v>41</v>
      </c>
      <c r="B21" s="28">
        <v>50000</v>
      </c>
      <c r="C21" s="1"/>
      <c r="F21" s="9"/>
      <c r="G21" s="4"/>
      <c r="R21" s="29"/>
      <c r="S21" s="186"/>
      <c r="T21" s="187"/>
      <c r="U21" s="98"/>
      <c r="Y21" s="29"/>
      <c r="Z21" s="29"/>
      <c r="AA21" s="29"/>
      <c r="AB21" s="29"/>
      <c r="AC21" s="29"/>
      <c r="AD21" s="29"/>
      <c r="AE21" s="29"/>
      <c r="AF21" s="29"/>
      <c r="AG21" s="29"/>
      <c r="AH21" s="29"/>
      <c r="AI21" s="29"/>
      <c r="AJ21" s="29"/>
      <c r="AK21" s="29"/>
    </row>
    <row r="22" spans="1:37" s="26" customFormat="1" ht="48">
      <c r="A22" s="105" t="s">
        <v>45</v>
      </c>
      <c r="D22" s="111">
        <f>A23</f>
        <v>0.15809999999999999</v>
      </c>
      <c r="E22" s="81">
        <f>A24</f>
        <v>7.9500000000000001E-2</v>
      </c>
      <c r="F22" s="81">
        <f>A25</f>
        <v>7.2400000000000006E-2</v>
      </c>
      <c r="G22" s="81">
        <f>A26</f>
        <v>4.3299999999999998E-2</v>
      </c>
      <c r="H22" s="81">
        <f>A27</f>
        <v>2.9399999999999999E-2</v>
      </c>
      <c r="I22" s="82">
        <f>A28</f>
        <v>5.9200000000000003E-2</v>
      </c>
      <c r="J22" s="81">
        <f>A29</f>
        <v>2.2200000000000001E-2</v>
      </c>
      <c r="K22" s="81">
        <f>A30</f>
        <v>2.5600000000000001E-2</v>
      </c>
      <c r="L22" s="81">
        <f>A31</f>
        <v>1.4200000000000001E-2</v>
      </c>
      <c r="M22" s="81">
        <f>A32</f>
        <v>1.1900000000000001E-2</v>
      </c>
      <c r="N22" s="81">
        <v>7.4999999999999997E-3</v>
      </c>
      <c r="O22" s="112">
        <f>A34</f>
        <v>0.4768</v>
      </c>
      <c r="P22" s="103"/>
      <c r="Q22" s="103"/>
      <c r="R22" s="30"/>
      <c r="S22" s="188">
        <f>S17-O17</f>
        <v>2613.6818441514406</v>
      </c>
      <c r="T22" s="189"/>
      <c r="U22" s="99"/>
      <c r="X22" s="30"/>
      <c r="Y22" s="30"/>
      <c r="Z22" s="30"/>
      <c r="AA22" s="30"/>
      <c r="AB22" s="30"/>
      <c r="AC22" s="30"/>
      <c r="AD22" s="30"/>
      <c r="AE22" s="30"/>
      <c r="AF22" s="30"/>
      <c r="AG22" s="30"/>
      <c r="AH22" s="30"/>
      <c r="AI22" s="30"/>
      <c r="AJ22" s="30"/>
      <c r="AK22" s="30"/>
    </row>
    <row r="23" spans="1:37">
      <c r="A23" s="106">
        <v>0.15809999999999999</v>
      </c>
      <c r="B23" s="108"/>
      <c r="F23" s="9"/>
      <c r="G23" s="4"/>
      <c r="R23" s="29"/>
    </row>
    <row r="24" spans="1:37" ht="16" customHeight="1">
      <c r="A24" s="107">
        <v>7.9500000000000001E-2</v>
      </c>
      <c r="B24" s="108"/>
      <c r="C24" s="1"/>
      <c r="D24" s="5" t="s">
        <v>47</v>
      </c>
      <c r="F24" s="9"/>
      <c r="G24" s="4"/>
      <c r="R24" s="29"/>
      <c r="S24" s="177" t="s">
        <v>53</v>
      </c>
      <c r="T24" s="177"/>
      <c r="U24" s="177"/>
      <c r="V24" s="177"/>
    </row>
    <row r="25" spans="1:37">
      <c r="A25" s="107">
        <v>7.2400000000000006E-2</v>
      </c>
      <c r="B25" s="108"/>
      <c r="C25" s="169" t="s">
        <v>64</v>
      </c>
      <c r="D25" s="170"/>
      <c r="E25" s="122">
        <f>E5/D5</f>
        <v>0.50284629981024676</v>
      </c>
      <c r="F25" s="122">
        <f t="shared" ref="F25:N25" si="4">1 - F5/E5</f>
        <v>8.93081761006288E-2</v>
      </c>
      <c r="G25" s="122">
        <f t="shared" si="4"/>
        <v>0.40193370165745868</v>
      </c>
      <c r="H25" s="122">
        <f t="shared" si="4"/>
        <v>0.32101616628175522</v>
      </c>
      <c r="I25" s="123">
        <f t="shared" si="4"/>
        <v>-1.0136054421768708</v>
      </c>
      <c r="J25" s="122">
        <f t="shared" si="4"/>
        <v>0.625</v>
      </c>
      <c r="K25" s="122">
        <f t="shared" si="4"/>
        <v>-0.15315315315315314</v>
      </c>
      <c r="L25" s="122">
        <f t="shared" si="4"/>
        <v>0.4453125</v>
      </c>
      <c r="M25" s="122">
        <f t="shared" si="4"/>
        <v>0.1619718309859155</v>
      </c>
      <c r="N25" s="124">
        <f t="shared" si="4"/>
        <v>0.36974789915966388</v>
      </c>
      <c r="O25" s="11"/>
      <c r="P25" s="11"/>
      <c r="Q25" s="11"/>
      <c r="R25" s="31"/>
      <c r="S25" s="177"/>
      <c r="T25" s="177"/>
      <c r="U25" s="177"/>
      <c r="V25" s="177"/>
      <c r="Y25" s="45"/>
    </row>
    <row r="26" spans="1:37">
      <c r="A26" s="107">
        <v>4.3299999999999998E-2</v>
      </c>
      <c r="B26" s="108"/>
      <c r="C26" s="171" t="s">
        <v>63</v>
      </c>
      <c r="D26" s="172"/>
      <c r="E26" s="161">
        <f>D5*(1-$A6)</f>
        <v>2687.6999999999994</v>
      </c>
      <c r="F26" s="161">
        <f>E5*(1-$A7)</f>
        <v>1987.5</v>
      </c>
      <c r="G26" s="161">
        <f>F5*(1-$A8)</f>
        <v>1810.0000000000002</v>
      </c>
      <c r="H26" s="161">
        <f>G5*(1-$A9)</f>
        <v>1450.55</v>
      </c>
      <c r="I26" s="161">
        <f>H5*(1-$A10)</f>
        <v>984.89999999999986</v>
      </c>
      <c r="J26" s="161">
        <f>I5*(1-$A11)</f>
        <v>1983.1999999999998</v>
      </c>
      <c r="K26" s="161">
        <f>J5*(1-$A12)</f>
        <v>832.5</v>
      </c>
      <c r="L26" s="161">
        <f>K5*(1-$A13)</f>
        <v>960</v>
      </c>
      <c r="M26" s="161">
        <f>L5*(1-$A14)</f>
        <v>532.5</v>
      </c>
      <c r="N26" s="162">
        <f>M5*(1-$A15)</f>
        <v>446.25</v>
      </c>
      <c r="R26" s="29"/>
      <c r="S26" s="177"/>
      <c r="T26" s="177"/>
      <c r="U26" s="177"/>
      <c r="V26" s="177"/>
    </row>
    <row r="27" spans="1:37" ht="16" customHeight="1">
      <c r="A27" s="107">
        <v>2.9399999999999999E-2</v>
      </c>
      <c r="B27" s="108"/>
      <c r="C27" s="166" t="s">
        <v>52</v>
      </c>
      <c r="D27" s="167"/>
      <c r="E27" s="163">
        <f>E26/$B21</f>
        <v>5.3753999999999989E-2</v>
      </c>
      <c r="F27" s="163">
        <f>F26/$B21</f>
        <v>3.9750000000000001E-2</v>
      </c>
      <c r="G27" s="163">
        <f>G26/$B21</f>
        <v>3.6200000000000003E-2</v>
      </c>
      <c r="H27" s="163">
        <f t="shared" ref="H27:N27" si="5">H26/$B21</f>
        <v>2.9010999999999999E-2</v>
      </c>
      <c r="I27" s="163">
        <f t="shared" si="5"/>
        <v>1.9697999999999997E-2</v>
      </c>
      <c r="J27" s="163">
        <f t="shared" si="5"/>
        <v>3.9663999999999998E-2</v>
      </c>
      <c r="K27" s="163">
        <f t="shared" si="5"/>
        <v>1.6650000000000002E-2</v>
      </c>
      <c r="L27" s="163">
        <f t="shared" si="5"/>
        <v>1.9199999999999998E-2</v>
      </c>
      <c r="M27" s="163">
        <f t="shared" si="5"/>
        <v>1.065E-2</v>
      </c>
      <c r="N27" s="164">
        <f t="shared" si="5"/>
        <v>8.9250000000000006E-3</v>
      </c>
      <c r="R27" s="4"/>
      <c r="S27" s="177" t="s">
        <v>54</v>
      </c>
      <c r="T27" s="177"/>
      <c r="U27" s="177"/>
      <c r="V27" s="177"/>
      <c r="W27" s="7"/>
    </row>
    <row r="28" spans="1:37">
      <c r="A28" s="107">
        <v>5.9200000000000003E-2</v>
      </c>
      <c r="B28" s="108"/>
      <c r="C28" s="173" t="s">
        <v>49</v>
      </c>
      <c r="D28" s="174"/>
      <c r="E28" s="157">
        <f>D5*(1-A6)</f>
        <v>2687.6999999999994</v>
      </c>
      <c r="F28" s="157">
        <f>E28*(1-$A$7)</f>
        <v>1343.8499999999997</v>
      </c>
      <c r="G28" s="157">
        <f>F28*(1-$A$8)</f>
        <v>671.92499999999984</v>
      </c>
      <c r="H28" s="157">
        <f>G28*(1-$A$9)</f>
        <v>450.18974999999983</v>
      </c>
      <c r="I28" s="157">
        <f>H28*(1-$A$10)</f>
        <v>301.62713249999985</v>
      </c>
      <c r="J28" s="157">
        <f>I28*(1-$A$11)</f>
        <v>202.09017877499988</v>
      </c>
      <c r="K28" s="157">
        <f>J28*(1-$A$12)</f>
        <v>151.56763408124991</v>
      </c>
      <c r="L28" s="157">
        <f>K28*(1-$A$13)</f>
        <v>113.67572556093742</v>
      </c>
      <c r="M28" s="157">
        <f>L28*(1-$A$14)</f>
        <v>85.256794170703074</v>
      </c>
      <c r="N28" s="158">
        <f>M28*(1-$A$14)</f>
        <v>63.942595628027306</v>
      </c>
      <c r="S28" s="177"/>
      <c r="T28" s="177"/>
      <c r="U28" s="177"/>
      <c r="V28" s="177"/>
      <c r="W28" s="7"/>
      <c r="Y28" s="44"/>
    </row>
    <row r="29" spans="1:37">
      <c r="A29" s="107">
        <v>2.2200000000000001E-2</v>
      </c>
      <c r="B29" s="108"/>
      <c r="C29" s="166" t="s">
        <v>52</v>
      </c>
      <c r="D29" s="167"/>
      <c r="E29" s="159">
        <f t="shared" ref="E29:N29" si="6">E28/$B21</f>
        <v>5.3753999999999989E-2</v>
      </c>
      <c r="F29" s="159">
        <f t="shared" si="6"/>
        <v>2.6876999999999995E-2</v>
      </c>
      <c r="G29" s="159">
        <f t="shared" si="6"/>
        <v>1.3438499999999997E-2</v>
      </c>
      <c r="H29" s="159">
        <f t="shared" si="6"/>
        <v>9.0037949999999967E-3</v>
      </c>
      <c r="I29" s="159">
        <f t="shared" si="6"/>
        <v>6.0325426499999966E-3</v>
      </c>
      <c r="J29" s="159">
        <f t="shared" si="6"/>
        <v>4.0418035754999975E-3</v>
      </c>
      <c r="K29" s="159">
        <f t="shared" si="6"/>
        <v>3.0313526816249979E-3</v>
      </c>
      <c r="L29" s="159">
        <f t="shared" si="6"/>
        <v>2.2735145112187482E-3</v>
      </c>
      <c r="M29" s="159">
        <f t="shared" si="6"/>
        <v>1.7051358834140615E-3</v>
      </c>
      <c r="N29" s="160">
        <f t="shared" si="6"/>
        <v>1.2788519125605461E-3</v>
      </c>
      <c r="S29" s="165" t="s">
        <v>55</v>
      </c>
      <c r="T29" s="165"/>
      <c r="U29" s="165"/>
      <c r="V29" s="165"/>
    </row>
    <row r="30" spans="1:37">
      <c r="A30" s="107">
        <v>2.5600000000000001E-2</v>
      </c>
      <c r="B30" s="108"/>
      <c r="E30" s="80"/>
      <c r="F30" s="80"/>
      <c r="G30" s="80"/>
      <c r="H30" s="80"/>
      <c r="I30" s="80"/>
      <c r="J30" s="80"/>
      <c r="K30" s="80"/>
      <c r="L30" s="80"/>
      <c r="M30" s="80"/>
      <c r="N30" s="80"/>
      <c r="O30" s="80"/>
      <c r="P30" s="80"/>
      <c r="Q30" s="80"/>
      <c r="S30" s="165"/>
      <c r="T30" s="165"/>
      <c r="U30" s="165"/>
      <c r="V30" s="165"/>
    </row>
    <row r="31" spans="1:37" ht="17" customHeight="1">
      <c r="A31" s="107">
        <v>1.4200000000000001E-2</v>
      </c>
      <c r="B31" s="108"/>
      <c r="C31" s="1"/>
    </row>
    <row r="32" spans="1:37">
      <c r="A32" s="107">
        <v>1.1900000000000001E-2</v>
      </c>
      <c r="B32" s="108"/>
      <c r="C32" s="1"/>
    </row>
    <row r="33" spans="1:5">
      <c r="A33" s="107">
        <v>7.45E-3</v>
      </c>
      <c r="B33" s="108"/>
      <c r="C33" s="1"/>
      <c r="D33" s="96"/>
      <c r="E33" s="96"/>
    </row>
    <row r="34" spans="1:5">
      <c r="A34" s="118">
        <v>0.4768</v>
      </c>
      <c r="B34" s="108"/>
      <c r="C34" s="1"/>
      <c r="D34" s="96"/>
      <c r="E34" s="96"/>
    </row>
    <row r="35" spans="1:5">
      <c r="A35" s="117">
        <f>SUM(A23:A34)</f>
        <v>1.0000499999999999</v>
      </c>
      <c r="C35" s="1"/>
      <c r="D35" s="96"/>
      <c r="E35" s="96"/>
    </row>
    <row r="36" spans="1:5">
      <c r="A36" s="1"/>
      <c r="C36" s="1"/>
      <c r="D36" s="64"/>
      <c r="E36" s="95"/>
    </row>
    <row r="37" spans="1:5">
      <c r="A37" s="27" t="s">
        <v>35</v>
      </c>
      <c r="B37" s="104">
        <v>1</v>
      </c>
      <c r="C37" s="1"/>
      <c r="D37" s="64"/>
      <c r="E37" s="95"/>
    </row>
    <row r="38" spans="1:5">
      <c r="C38" s="1"/>
      <c r="D38" s="64"/>
      <c r="E38" s="95"/>
    </row>
    <row r="39" spans="1:5">
      <c r="C39" s="1"/>
      <c r="D39" s="64"/>
      <c r="E39" s="95"/>
    </row>
    <row r="40" spans="1:5" ht="16" customHeight="1">
      <c r="D40" s="64"/>
      <c r="E40" s="95"/>
    </row>
    <row r="41" spans="1:5">
      <c r="D41" s="64"/>
      <c r="E41" s="95"/>
    </row>
    <row r="42" spans="1:5">
      <c r="D42" s="64"/>
      <c r="E42" s="95"/>
    </row>
    <row r="43" spans="1:5">
      <c r="D43" s="64"/>
      <c r="E43" s="95"/>
    </row>
    <row r="44" spans="1:5">
      <c r="D44" s="64"/>
      <c r="E44" s="95"/>
    </row>
    <row r="45" spans="1:5">
      <c r="D45" s="64"/>
      <c r="E45" s="95"/>
    </row>
    <row r="46" spans="1:5">
      <c r="C46" s="6"/>
      <c r="D46" s="64"/>
      <c r="E46" s="95"/>
    </row>
    <row r="47" spans="1:5">
      <c r="D47" s="64"/>
      <c r="E47" s="95"/>
    </row>
    <row r="48" spans="1:5">
      <c r="D48" s="64"/>
      <c r="E48" s="47"/>
    </row>
    <row r="56" ht="16" customHeight="1"/>
    <row r="70" spans="3:3">
      <c r="C70" s="43"/>
    </row>
  </sheetData>
  <mergeCells count="22">
    <mergeCell ref="AH5:AJ5"/>
    <mergeCell ref="Z5:Z6"/>
    <mergeCell ref="AA5:AA6"/>
    <mergeCell ref="AB5:AB6"/>
    <mergeCell ref="AC5:AC6"/>
    <mergeCell ref="AD5:AD6"/>
    <mergeCell ref="S29:V30"/>
    <mergeCell ref="C27:D27"/>
    <mergeCell ref="C29:D29"/>
    <mergeCell ref="A1:Y1"/>
    <mergeCell ref="C25:D25"/>
    <mergeCell ref="C26:D26"/>
    <mergeCell ref="C28:D28"/>
    <mergeCell ref="W4:W5"/>
    <mergeCell ref="S24:V26"/>
    <mergeCell ref="S27:V28"/>
    <mergeCell ref="A18:A19"/>
    <mergeCell ref="U3:U5"/>
    <mergeCell ref="S20:T21"/>
    <mergeCell ref="S22:T22"/>
    <mergeCell ref="S3:S5"/>
    <mergeCell ref="T3:T5"/>
  </mergeCells>
  <pageMargins left="0.7" right="0.7" top="0.75" bottom="0.75" header="0.3" footer="0.3"/>
  <pageSetup orientation="portrait" horizontalDpi="0"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96" workbookViewId="0">
      <selection activeCell="L21" sqref="L21"/>
    </sheetView>
  </sheetViews>
  <sheetFormatPr baseColWidth="10" defaultRowHeight="15" x14ac:dyDescent="0"/>
  <sheetData>
    <row r="1" spans="1:10" ht="46" customHeight="1" thickBot="1">
      <c r="A1" s="52"/>
      <c r="B1" s="53"/>
      <c r="C1" s="52"/>
      <c r="D1" s="202" t="s">
        <v>46</v>
      </c>
      <c r="E1" s="202"/>
      <c r="F1" s="119"/>
      <c r="G1" s="178"/>
      <c r="H1" s="178"/>
      <c r="I1" s="178"/>
      <c r="J1" s="29"/>
    </row>
    <row r="2" spans="1:10" ht="72" customHeight="1">
      <c r="A2" s="194" t="s">
        <v>36</v>
      </c>
      <c r="B2" s="196" t="s">
        <v>37</v>
      </c>
      <c r="C2" s="198" t="s">
        <v>39</v>
      </c>
      <c r="D2" s="200" t="s">
        <v>22</v>
      </c>
      <c r="E2" s="201" t="s">
        <v>38</v>
      </c>
      <c r="F2" s="120"/>
      <c r="G2" s="89"/>
      <c r="H2" s="89"/>
      <c r="I2" s="90"/>
      <c r="J2" s="29"/>
    </row>
    <row r="3" spans="1:10">
      <c r="A3" s="195"/>
      <c r="B3" s="197"/>
      <c r="C3" s="199"/>
      <c r="D3" s="195"/>
      <c r="E3" s="199"/>
      <c r="F3" s="120"/>
      <c r="G3" s="84"/>
      <c r="H3" s="85"/>
      <c r="I3" s="86"/>
      <c r="J3" s="29"/>
    </row>
    <row r="4" spans="1:10">
      <c r="A4" s="54" t="s">
        <v>34</v>
      </c>
      <c r="B4" s="60">
        <v>0.16</v>
      </c>
      <c r="C4" s="60">
        <v>0.67</v>
      </c>
      <c r="D4" s="60">
        <v>0.48309615946261686</v>
      </c>
      <c r="E4" s="65">
        <v>66164.849999999991</v>
      </c>
      <c r="F4" s="86"/>
      <c r="G4" s="84"/>
      <c r="H4" s="85"/>
      <c r="I4" s="86"/>
      <c r="J4" s="29"/>
    </row>
    <row r="5" spans="1:10">
      <c r="A5" s="55" t="s">
        <v>23</v>
      </c>
      <c r="B5" s="61">
        <v>0.08</v>
      </c>
      <c r="C5" s="61">
        <v>0.5</v>
      </c>
      <c r="D5" s="61">
        <v>0.12879234813084114</v>
      </c>
      <c r="E5" s="66">
        <v>17639.399999999998</v>
      </c>
      <c r="F5" s="86"/>
      <c r="G5" s="84"/>
      <c r="H5" s="85"/>
      <c r="I5" s="86"/>
      <c r="J5" s="29"/>
    </row>
    <row r="6" spans="1:10">
      <c r="A6" s="54" t="s">
        <v>24</v>
      </c>
      <c r="B6" s="63">
        <v>7.0000000000000007E-2</v>
      </c>
      <c r="C6" s="60">
        <v>0.5</v>
      </c>
      <c r="D6" s="60">
        <v>7.285001095210282E-2</v>
      </c>
      <c r="E6" s="65">
        <v>9977.5375000000004</v>
      </c>
      <c r="F6" s="86"/>
      <c r="G6" s="84"/>
      <c r="H6" s="85"/>
      <c r="I6" s="86"/>
      <c r="J6" s="29"/>
    </row>
    <row r="7" spans="1:10">
      <c r="A7" s="56" t="s">
        <v>25</v>
      </c>
      <c r="B7" s="79">
        <v>0.04</v>
      </c>
      <c r="C7" s="61">
        <v>0.33</v>
      </c>
      <c r="D7" s="61">
        <v>2.9304607184579438E-2</v>
      </c>
      <c r="E7" s="66">
        <v>4013.5589999999988</v>
      </c>
      <c r="F7" s="86"/>
      <c r="G7" s="84"/>
      <c r="H7" s="85"/>
      <c r="I7" s="86"/>
      <c r="J7" s="29"/>
    </row>
    <row r="8" spans="1:10">
      <c r="A8" s="54" t="s">
        <v>26</v>
      </c>
      <c r="B8" s="60">
        <v>0.03</v>
      </c>
      <c r="C8" s="60">
        <v>0.33</v>
      </c>
      <c r="D8" s="60">
        <v>2.212318488062209E-2</v>
      </c>
      <c r="E8" s="65">
        <v>3029.9914012500008</v>
      </c>
      <c r="F8" s="86"/>
      <c r="G8" s="84"/>
      <c r="H8" s="85"/>
      <c r="I8" s="86"/>
      <c r="J8" s="29"/>
    </row>
    <row r="9" spans="1:10">
      <c r="A9" s="55" t="s">
        <v>27</v>
      </c>
      <c r="B9" s="61">
        <v>0.06</v>
      </c>
      <c r="C9" s="61">
        <v>0.33</v>
      </c>
      <c r="D9" s="61">
        <v>2.1249159189361867E-2</v>
      </c>
      <c r="E9" s="66">
        <v>2910.2848425750008</v>
      </c>
      <c r="F9" s="86"/>
      <c r="G9" s="84"/>
      <c r="H9" s="85"/>
      <c r="I9" s="86"/>
      <c r="J9" s="29"/>
    </row>
    <row r="10" spans="1:10">
      <c r="A10" s="54" t="s">
        <v>28</v>
      </c>
      <c r="B10" s="60">
        <v>0.02</v>
      </c>
      <c r="C10" s="60">
        <v>0.25</v>
      </c>
      <c r="D10" s="60">
        <v>1.2800847521425057E-2</v>
      </c>
      <c r="E10" s="65">
        <v>1753.2040765343754</v>
      </c>
      <c r="F10" s="86"/>
      <c r="G10" s="84"/>
      <c r="H10" s="85"/>
      <c r="I10" s="86"/>
      <c r="J10" s="29"/>
    </row>
    <row r="11" spans="1:10">
      <c r="A11" s="55" t="s">
        <v>29</v>
      </c>
      <c r="B11" s="61">
        <v>0.03</v>
      </c>
      <c r="C11" s="61">
        <v>0.25</v>
      </c>
      <c r="D11" s="61">
        <v>1.1668557365494495E-2</v>
      </c>
      <c r="E11" s="66">
        <v>1598.1256167781257</v>
      </c>
      <c r="F11" s="86"/>
      <c r="G11" s="84"/>
      <c r="H11" s="85"/>
      <c r="I11" s="86"/>
      <c r="J11" s="29"/>
    </row>
    <row r="12" spans="1:10">
      <c r="A12" s="57" t="s">
        <v>30</v>
      </c>
      <c r="B12" s="75">
        <v>1.4E-2</v>
      </c>
      <c r="C12" s="60">
        <v>0.25</v>
      </c>
      <c r="D12" s="60">
        <v>9.8460217006177183E-3</v>
      </c>
      <c r="E12" s="65">
        <v>1348.5111321166023</v>
      </c>
      <c r="F12" s="86"/>
      <c r="G12" s="84"/>
      <c r="H12" s="85"/>
      <c r="I12" s="86"/>
      <c r="J12" s="29"/>
    </row>
    <row r="13" spans="1:10">
      <c r="A13" s="58" t="s">
        <v>31</v>
      </c>
      <c r="B13" s="76">
        <v>1.2E-2</v>
      </c>
      <c r="C13" s="61">
        <v>0.25</v>
      </c>
      <c r="D13" s="61">
        <v>8.3195534370415301E-3</v>
      </c>
      <c r="E13" s="66">
        <v>1139.4460387372078</v>
      </c>
      <c r="F13" s="86"/>
      <c r="G13" s="84"/>
      <c r="H13" s="85"/>
      <c r="I13" s="86"/>
      <c r="J13" s="29"/>
    </row>
    <row r="14" spans="1:10">
      <c r="A14" s="57" t="s">
        <v>32</v>
      </c>
      <c r="B14" s="75">
        <v>7.0000000000000001E-3</v>
      </c>
      <c r="C14" s="60">
        <v>0.25</v>
      </c>
      <c r="D14" s="60">
        <v>6.8108867281704366E-3</v>
      </c>
      <c r="E14" s="65">
        <v>932.81904629022279</v>
      </c>
      <c r="F14" s="86"/>
      <c r="G14" s="84"/>
      <c r="H14" s="85"/>
      <c r="I14" s="86"/>
      <c r="J14" s="29"/>
    </row>
    <row r="15" spans="1:10" ht="17" thickBot="1">
      <c r="A15" s="59" t="s">
        <v>33</v>
      </c>
      <c r="B15" s="62">
        <v>0.48</v>
      </c>
      <c r="C15" s="62" t="s">
        <v>21</v>
      </c>
      <c r="D15" s="62">
        <v>0.19313866344712671</v>
      </c>
      <c r="E15" s="67">
        <v>26452.271345718469</v>
      </c>
      <c r="F15" s="86"/>
      <c r="G15" s="84"/>
      <c r="H15" s="85"/>
      <c r="I15" s="86"/>
      <c r="J15" s="29"/>
    </row>
    <row r="16" spans="1:10" ht="17" thickBot="1">
      <c r="A16" s="68" t="s">
        <v>13</v>
      </c>
      <c r="B16" s="69">
        <f>SUM(B4:B15)</f>
        <v>1.0030000000000001</v>
      </c>
      <c r="C16" s="69" t="s">
        <v>21</v>
      </c>
      <c r="D16" s="69">
        <f>SUM(D4:D15)</f>
        <v>1.0000000000000002</v>
      </c>
      <c r="E16" s="70">
        <f>SUM(E4:E15)</f>
        <v>136959.99999999997</v>
      </c>
      <c r="F16" s="86"/>
      <c r="G16" s="29"/>
      <c r="H16" s="29"/>
      <c r="I16" s="29"/>
      <c r="J16" s="29"/>
    </row>
    <row r="17" spans="1:13">
      <c r="A17" t="s">
        <v>42</v>
      </c>
      <c r="G17" s="29"/>
      <c r="H17" s="29"/>
      <c r="I17" s="29"/>
      <c r="J17" s="29"/>
    </row>
    <row r="28" spans="1:13">
      <c r="M28" s="109"/>
    </row>
  </sheetData>
  <mergeCells count="7">
    <mergeCell ref="G1:I1"/>
    <mergeCell ref="D1:E1"/>
    <mergeCell ref="A2:A3"/>
    <mergeCell ref="B2:B3"/>
    <mergeCell ref="C2:C3"/>
    <mergeCell ref="D2:D3"/>
    <mergeCell ref="E2:E3"/>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
  <sheetViews>
    <sheetView workbookViewId="0">
      <selection activeCell="H32" sqref="H32"/>
    </sheetView>
  </sheetViews>
  <sheetFormatPr baseColWidth="10" defaultRowHeight="15" x14ac:dyDescent="0"/>
  <cols>
    <col min="1" max="1" width="11.5" customWidth="1"/>
  </cols>
  <sheetData>
    <row r="1" spans="1:6">
      <c r="A1" s="130"/>
      <c r="B1" s="130" t="s">
        <v>14</v>
      </c>
      <c r="C1" s="4"/>
    </row>
    <row r="2" spans="1:6">
      <c r="A2" s="131"/>
      <c r="B2" s="132"/>
      <c r="C2" s="156" t="s">
        <v>60</v>
      </c>
      <c r="D2" s="151" t="s">
        <v>56</v>
      </c>
      <c r="E2" s="133" t="s">
        <v>58</v>
      </c>
      <c r="F2" s="134" t="s">
        <v>57</v>
      </c>
    </row>
    <row r="3" spans="1:6">
      <c r="A3" s="135" t="s">
        <v>61</v>
      </c>
      <c r="B3" s="136" t="s">
        <v>40</v>
      </c>
      <c r="C3" s="137">
        <f>Basic_Annualized!D5</f>
        <v>7904.9999999999991</v>
      </c>
      <c r="D3" s="152">
        <v>7905</v>
      </c>
      <c r="E3" s="138">
        <v>7905</v>
      </c>
      <c r="F3" s="139">
        <f>D3/E3</f>
        <v>1</v>
      </c>
    </row>
    <row r="4" spans="1:6" ht="35" customHeight="1">
      <c r="A4" s="141"/>
      <c r="B4" s="129"/>
      <c r="C4" s="150" t="s">
        <v>59</v>
      </c>
      <c r="D4" s="153"/>
      <c r="E4" s="8"/>
      <c r="F4" s="142"/>
    </row>
    <row r="5" spans="1:6">
      <c r="A5" s="143">
        <v>0.5</v>
      </c>
      <c r="B5" s="15" t="s">
        <v>1</v>
      </c>
      <c r="C5" s="34">
        <f>$C3*$A5</f>
        <v>3952.4999999999995</v>
      </c>
      <c r="D5" s="154">
        <f>C3-C5</f>
        <v>3952.4999999999995</v>
      </c>
      <c r="E5" s="144">
        <f>D5+C5</f>
        <v>7904.9999999999991</v>
      </c>
      <c r="F5" s="145">
        <f>D5/E5</f>
        <v>0.5</v>
      </c>
    </row>
    <row r="6" spans="1:6">
      <c r="A6" s="143">
        <v>0.33</v>
      </c>
      <c r="B6" s="15" t="s">
        <v>2</v>
      </c>
      <c r="C6" s="34">
        <f>(C$3-SUM(C$5:C5))*$A6</f>
        <v>1304.3249999999998</v>
      </c>
      <c r="D6" s="154">
        <f>$C$3-SUM($C$5:C6)</f>
        <v>2648.1750000000002</v>
      </c>
      <c r="E6" s="144">
        <f>D6+SUM(C$5:C6)</f>
        <v>7904.9999999999991</v>
      </c>
      <c r="F6" s="145">
        <f t="shared" ref="F6:F16" si="0">D6/E6</f>
        <v>0.33500000000000008</v>
      </c>
    </row>
    <row r="7" spans="1:6">
      <c r="A7" s="143">
        <v>0.33</v>
      </c>
      <c r="B7" s="15" t="s">
        <v>3</v>
      </c>
      <c r="C7" s="34">
        <f>(C$3-SUM(C$5:C6))*$A7</f>
        <v>873.89775000000009</v>
      </c>
      <c r="D7" s="154">
        <f>$C$3-SUM($C$5:C7)</f>
        <v>1774.2772500000001</v>
      </c>
      <c r="E7" s="144">
        <f>D7+SUM(C$5:C7)</f>
        <v>7904.9999999999991</v>
      </c>
      <c r="F7" s="145">
        <f t="shared" si="0"/>
        <v>0.22445000000000004</v>
      </c>
    </row>
    <row r="8" spans="1:6">
      <c r="A8" s="143">
        <v>0.25</v>
      </c>
      <c r="B8" s="15" t="s">
        <v>4</v>
      </c>
      <c r="C8" s="34">
        <f>(C$3-SUM(C$5:C7))*$A8</f>
        <v>443.56931250000002</v>
      </c>
      <c r="D8" s="154">
        <f>$C$3-SUM($C$5:C8)</f>
        <v>1330.7079375000003</v>
      </c>
      <c r="E8" s="144">
        <f>D8+SUM(C$5:C8)</f>
        <v>7904.9999999999991</v>
      </c>
      <c r="F8" s="145">
        <f t="shared" si="0"/>
        <v>0.16833750000000006</v>
      </c>
    </row>
    <row r="9" spans="1:6">
      <c r="A9" s="143">
        <v>0.25</v>
      </c>
      <c r="B9" s="15" t="s">
        <v>5</v>
      </c>
      <c r="C9" s="34">
        <f>(C$3-SUM(C$5:C8))*$A9</f>
        <v>332.67698437500007</v>
      </c>
      <c r="D9" s="154">
        <f>$C$3-SUM($C$5:C9)</f>
        <v>998.03095312500045</v>
      </c>
      <c r="E9" s="144">
        <f>D9+SUM(C$5:C9)</f>
        <v>7904.9999999999991</v>
      </c>
      <c r="F9" s="145">
        <f t="shared" si="0"/>
        <v>0.12625312500000008</v>
      </c>
    </row>
    <row r="10" spans="1:6">
      <c r="A10" s="143">
        <v>0.25</v>
      </c>
      <c r="B10" s="15" t="s">
        <v>6</v>
      </c>
      <c r="C10" s="34">
        <f>(C$3-SUM(C$5:C9))*$A10</f>
        <v>249.50773828125011</v>
      </c>
      <c r="D10" s="154">
        <f>$C$3-SUM($C$5:C10)</f>
        <v>748.52321484375079</v>
      </c>
      <c r="E10" s="144">
        <f>D10+SUM(C$5:C10)</f>
        <v>7904.9999999999991</v>
      </c>
      <c r="F10" s="145">
        <f t="shared" si="0"/>
        <v>9.4689843750000113E-2</v>
      </c>
    </row>
    <row r="11" spans="1:6">
      <c r="A11" s="143">
        <v>0.25</v>
      </c>
      <c r="B11" s="15" t="s">
        <v>7</v>
      </c>
      <c r="C11" s="34">
        <f>(C$3-SUM(C$5:C10))*$A11</f>
        <v>187.1308037109377</v>
      </c>
      <c r="D11" s="154">
        <f>$C$3-SUM($C$5:C11)</f>
        <v>561.39241113281332</v>
      </c>
      <c r="E11" s="144">
        <f>D11+SUM(C$5:C11)</f>
        <v>7904.9999999999991</v>
      </c>
      <c r="F11" s="145">
        <f t="shared" si="0"/>
        <v>7.1017382812500113E-2</v>
      </c>
    </row>
    <row r="12" spans="1:6">
      <c r="A12" s="143">
        <v>0.25</v>
      </c>
      <c r="B12" s="15" t="s">
        <v>8</v>
      </c>
      <c r="C12" s="34">
        <f>(C$3-SUM(C$5:C11))*$A12</f>
        <v>140.34810278320333</v>
      </c>
      <c r="D12" s="154">
        <f>$C$3-SUM($C$5:C12)</f>
        <v>421.04430834961022</v>
      </c>
      <c r="E12" s="144">
        <f>D12+SUM(C$5:C12)</f>
        <v>7904.9999999999991</v>
      </c>
      <c r="F12" s="145">
        <f t="shared" si="0"/>
        <v>5.3263037109375112E-2</v>
      </c>
    </row>
    <row r="13" spans="1:6">
      <c r="A13" s="143">
        <v>0.1</v>
      </c>
      <c r="B13" s="15" t="s">
        <v>9</v>
      </c>
      <c r="C13" s="34">
        <f>(C$3-SUM(C$5:C12))*$A13</f>
        <v>42.104430834961022</v>
      </c>
      <c r="D13" s="154">
        <f>$C$3-SUM($C$5:C13)</f>
        <v>378.9398775146492</v>
      </c>
      <c r="E13" s="144">
        <f>D13+SUM(C$5:C13)</f>
        <v>7904.9999999999991</v>
      </c>
      <c r="F13" s="145">
        <f t="shared" si="0"/>
        <v>4.7936733398437605E-2</v>
      </c>
    </row>
    <row r="14" spans="1:6">
      <c r="A14" s="143">
        <v>0.1</v>
      </c>
      <c r="B14" s="15" t="s">
        <v>10</v>
      </c>
      <c r="C14" s="34">
        <f>(C$3-SUM(C$5:C13))*$A14</f>
        <v>37.89398775146492</v>
      </c>
      <c r="D14" s="154">
        <f>$C$3-SUM($C$5:C14)</f>
        <v>341.04588976318428</v>
      </c>
      <c r="E14" s="144">
        <f>D14+SUM(C$5:C14)</f>
        <v>7904.9999999999991</v>
      </c>
      <c r="F14" s="145">
        <f t="shared" si="0"/>
        <v>4.3143060058593842E-2</v>
      </c>
    </row>
    <row r="15" spans="1:6">
      <c r="A15" s="146">
        <v>0.1</v>
      </c>
      <c r="B15" s="37" t="s">
        <v>11</v>
      </c>
      <c r="C15" s="34">
        <f>(C$3-SUM(C$5:C14))*$A15</f>
        <v>34.104588976318432</v>
      </c>
      <c r="D15" s="154">
        <f>$C$3-SUM($C$5:C15)</f>
        <v>306.94130078686612</v>
      </c>
      <c r="E15" s="144">
        <f>D15+SUM(C$5:C15)</f>
        <v>7904.9999999999991</v>
      </c>
      <c r="F15" s="145">
        <f t="shared" si="0"/>
        <v>3.882875405273449E-2</v>
      </c>
    </row>
    <row r="16" spans="1:6">
      <c r="A16" s="147">
        <v>1</v>
      </c>
      <c r="B16" s="136" t="s">
        <v>12</v>
      </c>
      <c r="C16" s="148">
        <f>(C$3-SUM(C$5:C15))*$A16</f>
        <v>306.94130078686612</v>
      </c>
      <c r="D16" s="155">
        <f>$C$3-SUM($C$5:C16)</f>
        <v>0</v>
      </c>
      <c r="E16" s="140">
        <f>D16+SUM(C$5:C16)</f>
        <v>7904.9999999999991</v>
      </c>
      <c r="F16" s="149">
        <f t="shared" si="0"/>
        <v>0</v>
      </c>
    </row>
    <row r="18" spans="1:1">
      <c r="A18" t="s">
        <v>62</v>
      </c>
    </row>
    <row r="19" spans="1:1">
      <c r="A19" s="60">
        <v>0.67</v>
      </c>
    </row>
    <row r="20" spans="1:1">
      <c r="A20" s="61">
        <v>0.5</v>
      </c>
    </row>
    <row r="21" spans="1:1">
      <c r="A21" s="60">
        <v>0.5</v>
      </c>
    </row>
    <row r="22" spans="1:1">
      <c r="A22" s="61">
        <v>0.33</v>
      </c>
    </row>
    <row r="23" spans="1:1">
      <c r="A23" s="60">
        <v>0.33</v>
      </c>
    </row>
    <row r="24" spans="1:1">
      <c r="A24" s="61">
        <v>0.33</v>
      </c>
    </row>
    <row r="25" spans="1:1">
      <c r="A25" s="60">
        <v>0.25</v>
      </c>
    </row>
    <row r="26" spans="1:1">
      <c r="A26" s="61">
        <v>0.25</v>
      </c>
    </row>
    <row r="27" spans="1:1">
      <c r="A27" s="60">
        <v>0.25</v>
      </c>
    </row>
    <row r="28" spans="1:1">
      <c r="A28" s="61">
        <v>0.25</v>
      </c>
    </row>
    <row r="29" spans="1:1">
      <c r="A29" s="60">
        <v>0.25</v>
      </c>
    </row>
    <row r="30" spans="1:1" ht="17" thickBot="1">
      <c r="A30" s="62" t="s">
        <v>21</v>
      </c>
    </row>
  </sheetData>
  <pageMargins left="0.7" right="0.7" top="0.75" bottom="0.75" header="0.3" footer="0.3"/>
  <pageSetup orientation="portrait" horizontalDpi="0" verticalDpi="0"/>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70"/>
  <sheetViews>
    <sheetView topLeftCell="F2" zoomScale="93" workbookViewId="0">
      <selection activeCell="S23" sqref="S23"/>
    </sheetView>
  </sheetViews>
  <sheetFormatPr baseColWidth="10" defaultRowHeight="15" x14ac:dyDescent="0"/>
  <cols>
    <col min="1" max="1" width="19.1640625" customWidth="1"/>
    <col min="2" max="2" width="23.1640625" customWidth="1"/>
    <col min="3" max="3" width="30.5" customWidth="1"/>
    <col min="4" max="4" width="13.1640625" customWidth="1"/>
    <col min="5" max="5" width="12.6640625" customWidth="1"/>
    <col min="6" max="6" width="9.33203125" customWidth="1"/>
    <col min="7" max="14" width="9.83203125" bestFit="1" customWidth="1"/>
    <col min="15" max="15" width="10.5" bestFit="1" customWidth="1"/>
    <col min="16" max="16" width="9.1640625" customWidth="1"/>
    <col min="17" max="17" width="9" customWidth="1"/>
    <col min="18" max="18" width="8.33203125" customWidth="1"/>
    <col min="19" max="19" width="11.5" customWidth="1"/>
    <col min="20" max="21" width="10.33203125" customWidth="1"/>
    <col min="23" max="23" width="14.83203125" customWidth="1"/>
    <col min="24" max="24" width="10.6640625" style="29" customWidth="1"/>
    <col min="25" max="25" width="10.6640625" customWidth="1"/>
    <col min="26" max="26" width="13.5" customWidth="1"/>
    <col min="27" max="27" width="12.6640625" customWidth="1"/>
    <col min="28" max="29" width="10.6640625" customWidth="1"/>
    <col min="30" max="30" width="4.83203125" customWidth="1"/>
    <col min="31" max="32" width="10.6640625" customWidth="1"/>
    <col min="33" max="33" width="4" customWidth="1"/>
  </cols>
  <sheetData>
    <row r="1" spans="1:37" ht="262" customHeight="1">
      <c r="A1" s="165" t="s">
        <v>48</v>
      </c>
      <c r="B1" s="168"/>
      <c r="C1" s="168"/>
      <c r="D1" s="168"/>
      <c r="E1" s="168"/>
      <c r="F1" s="168"/>
      <c r="G1" s="168"/>
      <c r="H1" s="168"/>
      <c r="I1" s="168"/>
      <c r="J1" s="168"/>
      <c r="K1" s="168"/>
      <c r="L1" s="168"/>
      <c r="M1" s="168"/>
      <c r="N1" s="168"/>
      <c r="O1" s="168"/>
      <c r="P1" s="168"/>
      <c r="Q1" s="168"/>
      <c r="R1" s="168"/>
      <c r="S1" s="168"/>
      <c r="T1" s="168"/>
      <c r="U1" s="168"/>
      <c r="V1" s="168"/>
      <c r="W1" s="168"/>
      <c r="X1" s="168"/>
      <c r="Y1" s="168"/>
    </row>
    <row r="3" spans="1:37" s="2" customFormat="1">
      <c r="B3" s="12" t="s">
        <v>14</v>
      </c>
      <c r="F3" s="3"/>
      <c r="P3" s="4"/>
      <c r="Q3" s="4"/>
      <c r="R3" s="4"/>
      <c r="S3" s="181" t="s">
        <v>16</v>
      </c>
      <c r="T3" s="192" t="s">
        <v>18</v>
      </c>
      <c r="U3" s="181" t="s">
        <v>20</v>
      </c>
      <c r="V3" s="4"/>
      <c r="W3" s="4"/>
      <c r="X3" s="29"/>
      <c r="Y3" s="4"/>
      <c r="Z3" s="4"/>
      <c r="AA3" s="4"/>
      <c r="AB3" s="4"/>
      <c r="AC3" s="4"/>
      <c r="AD3" s="4"/>
      <c r="AE3" s="4"/>
      <c r="AF3" s="4"/>
      <c r="AG3" s="4"/>
      <c r="AH3" s="4"/>
      <c r="AI3" s="4"/>
      <c r="AJ3" s="4"/>
      <c r="AK3" s="4"/>
    </row>
    <row r="4" spans="1:37" s="4" customFormat="1" ht="51" customHeight="1">
      <c r="A4" s="13"/>
      <c r="B4" s="13"/>
      <c r="C4" s="40" t="s">
        <v>50</v>
      </c>
      <c r="D4" s="8" t="s">
        <v>1</v>
      </c>
      <c r="E4" s="8" t="s">
        <v>2</v>
      </c>
      <c r="F4" s="8" t="s">
        <v>3</v>
      </c>
      <c r="G4" s="8" t="s">
        <v>4</v>
      </c>
      <c r="H4" s="8" t="s">
        <v>5</v>
      </c>
      <c r="I4" s="8" t="s">
        <v>6</v>
      </c>
      <c r="J4" s="8" t="s">
        <v>7</v>
      </c>
      <c r="K4" s="8" t="s">
        <v>8</v>
      </c>
      <c r="L4" s="8" t="s">
        <v>9</v>
      </c>
      <c r="M4" s="8" t="s">
        <v>10</v>
      </c>
      <c r="N4" s="8" t="s">
        <v>11</v>
      </c>
      <c r="O4" s="8" t="s">
        <v>12</v>
      </c>
      <c r="P4" s="21"/>
      <c r="Q4" s="48"/>
      <c r="R4" s="15"/>
      <c r="S4" s="190"/>
      <c r="T4" s="193"/>
      <c r="U4" s="182"/>
      <c r="V4" s="125"/>
      <c r="W4" s="175" t="s">
        <v>51</v>
      </c>
      <c r="X4" s="29"/>
      <c r="Y4" s="87"/>
      <c r="Z4" s="88"/>
      <c r="AA4" s="87"/>
      <c r="AB4" s="87"/>
      <c r="AC4" s="87"/>
      <c r="AD4" s="87"/>
      <c r="AE4" s="88"/>
      <c r="AF4" s="88"/>
      <c r="AG4" s="88"/>
      <c r="AH4" s="29"/>
      <c r="AI4" s="29"/>
      <c r="AJ4" s="29"/>
      <c r="AK4" s="29"/>
    </row>
    <row r="5" spans="1:37" s="2" customFormat="1" ht="53" customHeight="1">
      <c r="A5" s="113" t="s">
        <v>44</v>
      </c>
      <c r="B5" s="14"/>
      <c r="C5" s="39" t="s">
        <v>0</v>
      </c>
      <c r="D5" s="10">
        <f>B21*A23*B37</f>
        <v>5488.9530500000001</v>
      </c>
      <c r="E5" s="10">
        <f>$B21*E22</f>
        <v>2056.9277499999998</v>
      </c>
      <c r="F5" s="10">
        <f t="shared" ref="F5:O5" si="0">$B21*F22</f>
        <v>1524.5110500000001</v>
      </c>
      <c r="G5" s="10">
        <f t="shared" si="0"/>
        <v>1242.8805</v>
      </c>
      <c r="H5" s="10">
        <f t="shared" si="0"/>
        <v>1050.5002499999998</v>
      </c>
      <c r="I5" s="10">
        <f t="shared" si="0"/>
        <v>901.18255000000011</v>
      </c>
      <c r="J5" s="10">
        <f t="shared" si="0"/>
        <v>775.2183</v>
      </c>
      <c r="K5" s="10">
        <f>$B21*K22</f>
        <v>661.72230000000002</v>
      </c>
      <c r="L5" s="10">
        <f t="shared" si="0"/>
        <v>552.78295000000003</v>
      </c>
      <c r="M5" s="10">
        <f t="shared" si="0"/>
        <v>439.79665000000006</v>
      </c>
      <c r="N5" s="10">
        <f t="shared" si="0"/>
        <v>375</v>
      </c>
      <c r="O5" s="10">
        <f t="shared" si="0"/>
        <v>35000</v>
      </c>
      <c r="P5" s="22" t="s">
        <v>15</v>
      </c>
      <c r="Q5" s="102" t="s">
        <v>43</v>
      </c>
      <c r="R5" s="101"/>
      <c r="S5" s="191"/>
      <c r="T5" s="191"/>
      <c r="U5" s="183"/>
      <c r="V5" s="125"/>
      <c r="W5" s="176"/>
      <c r="X5" s="29"/>
      <c r="Y5" s="89"/>
      <c r="Z5" s="178"/>
      <c r="AA5" s="178"/>
      <c r="AB5" s="178"/>
      <c r="AC5" s="178"/>
      <c r="AD5" s="179"/>
      <c r="AE5" s="29"/>
      <c r="AF5" s="29"/>
      <c r="AG5" s="29"/>
      <c r="AH5" s="178"/>
      <c r="AI5" s="178"/>
      <c r="AJ5" s="178"/>
      <c r="AK5" s="29"/>
    </row>
    <row r="6" spans="1:37" s="5" customFormat="1" ht="45" customHeight="1">
      <c r="A6" s="114">
        <v>0.6252605</v>
      </c>
      <c r="B6" s="110" t="s">
        <v>1</v>
      </c>
      <c r="C6" s="17"/>
      <c r="D6" s="33">
        <f>$D5*$A6</f>
        <v>3432.0255285195249</v>
      </c>
      <c r="E6" s="35">
        <v>0</v>
      </c>
      <c r="F6" s="35">
        <v>0</v>
      </c>
      <c r="G6" s="35">
        <v>0</v>
      </c>
      <c r="H6" s="35">
        <v>0</v>
      </c>
      <c r="I6" s="35">
        <v>0</v>
      </c>
      <c r="J6" s="35">
        <v>0</v>
      </c>
      <c r="K6" s="35">
        <v>0</v>
      </c>
      <c r="L6" s="35">
        <v>0</v>
      </c>
      <c r="M6" s="35">
        <v>0</v>
      </c>
      <c r="N6" s="35">
        <v>0</v>
      </c>
      <c r="O6" s="35">
        <v>0</v>
      </c>
      <c r="P6" s="23">
        <f t="shared" ref="P6:P17" si="1">SUM(D6:O6)</f>
        <v>3432.0255285195249</v>
      </c>
      <c r="Q6" s="49">
        <v>12</v>
      </c>
      <c r="R6" s="19"/>
      <c r="S6" s="25">
        <f>D6*Q6+SUM(E6:O6)+SUM(D7:D17)</f>
        <v>43241.23386371477</v>
      </c>
      <c r="T6" s="77">
        <f t="shared" ref="T6:T17" si="2">S6/S$18</f>
        <v>0.39150776795128955</v>
      </c>
      <c r="U6" s="42">
        <f>S6/D5</f>
        <v>7.8778654999999986</v>
      </c>
      <c r="W6" s="126">
        <v>0.5</v>
      </c>
      <c r="X6" s="71"/>
      <c r="Y6" s="89"/>
      <c r="Z6" s="178"/>
      <c r="AA6" s="178"/>
      <c r="AB6" s="178"/>
      <c r="AC6" s="178"/>
      <c r="AD6" s="179"/>
      <c r="AE6" s="47"/>
      <c r="AF6" s="47"/>
      <c r="AG6" s="47"/>
      <c r="AH6" s="89"/>
      <c r="AI6" s="89"/>
      <c r="AJ6" s="90"/>
      <c r="AK6" s="47"/>
    </row>
    <row r="7" spans="1:37">
      <c r="A7" s="115">
        <v>0.25884069999999998</v>
      </c>
      <c r="B7" s="110" t="s">
        <v>2</v>
      </c>
      <c r="C7" s="18"/>
      <c r="D7" s="34">
        <f>(D$5-SUM(D$6:D6))*$A7</f>
        <v>532.41655950927122</v>
      </c>
      <c r="E7" s="34">
        <f>(E$5-SUM(E$6:E6))*$A7</f>
        <v>532.4166186594249</v>
      </c>
      <c r="F7" s="36">
        <v>0</v>
      </c>
      <c r="G7" s="36">
        <v>0</v>
      </c>
      <c r="H7" s="36">
        <v>0</v>
      </c>
      <c r="I7" s="36">
        <v>0</v>
      </c>
      <c r="J7" s="36">
        <v>0</v>
      </c>
      <c r="K7" s="36">
        <v>0</v>
      </c>
      <c r="L7" s="36">
        <v>0</v>
      </c>
      <c r="M7" s="36">
        <v>0</v>
      </c>
      <c r="N7" s="36">
        <v>0</v>
      </c>
      <c r="O7" s="36">
        <v>0</v>
      </c>
      <c r="P7" s="23">
        <f t="shared" si="1"/>
        <v>1064.8331781686961</v>
      </c>
      <c r="Q7" s="50">
        <v>11</v>
      </c>
      <c r="R7" s="19"/>
      <c r="S7" s="25">
        <f>D7*Q7+SUM(E7:O7)+SUM(D8:D$17)</f>
        <v>7913.509735232612</v>
      </c>
      <c r="T7" s="78">
        <f t="shared" si="2"/>
        <v>7.1649216645076549E-2</v>
      </c>
      <c r="U7" s="42">
        <f>S7/E$5</f>
        <v>3.8472473013369637</v>
      </c>
      <c r="W7" s="126">
        <v>0.33</v>
      </c>
      <c r="X7" s="72"/>
      <c r="Z7" s="84"/>
      <c r="AA7" s="84"/>
      <c r="AB7" s="84"/>
      <c r="AC7" s="85"/>
      <c r="AD7" s="86"/>
      <c r="AE7" s="29"/>
      <c r="AF7" s="47"/>
      <c r="AG7" s="29"/>
      <c r="AH7" s="84"/>
      <c r="AI7" s="85"/>
      <c r="AJ7" s="86"/>
      <c r="AK7" s="29"/>
    </row>
    <row r="8" spans="1:37">
      <c r="A8" s="115">
        <v>0.18473500000000001</v>
      </c>
      <c r="B8" s="110" t="s">
        <v>3</v>
      </c>
      <c r="C8" s="18"/>
      <c r="D8" s="34">
        <f>(D$5-SUM(D$6:D7))*$A8</f>
        <v>281.63053255975035</v>
      </c>
      <c r="E8" s="34">
        <f>(E$5-SUM(E$6:E7))*$A8</f>
        <v>281.63056384820112</v>
      </c>
      <c r="F8" s="34">
        <f>(F$5-SUM(F$6:F7))*$A8</f>
        <v>281.63054882175004</v>
      </c>
      <c r="G8" s="36">
        <v>0</v>
      </c>
      <c r="H8" s="36">
        <v>0</v>
      </c>
      <c r="I8" s="36">
        <v>0</v>
      </c>
      <c r="J8" s="36">
        <v>0</v>
      </c>
      <c r="K8" s="36">
        <v>0</v>
      </c>
      <c r="L8" s="36">
        <v>0</v>
      </c>
      <c r="M8" s="36">
        <v>0</v>
      </c>
      <c r="N8" s="36">
        <v>0</v>
      </c>
      <c r="O8" s="36">
        <v>0</v>
      </c>
      <c r="P8" s="23">
        <f t="shared" si="1"/>
        <v>844.89164522970157</v>
      </c>
      <c r="Q8" s="50">
        <v>10</v>
      </c>
      <c r="R8" s="19"/>
      <c r="S8" s="25">
        <f>D8*Q8+SUM(E8:O8)+SUM(D9:D$17)</f>
        <v>4622.4468676789093</v>
      </c>
      <c r="T8" s="78">
        <f t="shared" si="2"/>
        <v>4.185180888552309E-2</v>
      </c>
      <c r="U8" s="42">
        <f>S8/F$5</f>
        <v>3.0320848561110192</v>
      </c>
      <c r="W8" s="126">
        <v>0.33</v>
      </c>
      <c r="X8" s="72"/>
      <c r="Y8" s="83"/>
      <c r="Z8" s="84"/>
      <c r="AA8" s="84"/>
      <c r="AB8" s="84"/>
      <c r="AC8" s="85"/>
      <c r="AD8" s="86"/>
      <c r="AE8" s="29"/>
      <c r="AF8" s="47"/>
      <c r="AG8" s="29"/>
      <c r="AH8" s="84"/>
      <c r="AI8" s="85"/>
      <c r="AJ8" s="86"/>
      <c r="AK8" s="29"/>
    </row>
    <row r="9" spans="1:37">
      <c r="A9" s="115">
        <v>0.1547858</v>
      </c>
      <c r="B9" s="110" t="s">
        <v>4</v>
      </c>
      <c r="C9" s="18"/>
      <c r="D9" s="34">
        <f>(D$5-SUM(D$6:D8))*$A9</f>
        <v>192.38024157079533</v>
      </c>
      <c r="E9" s="34">
        <f>(E$5-SUM(E$6:E8))*$A9</f>
        <v>192.38026294376107</v>
      </c>
      <c r="F9" s="34">
        <f>(F$5-SUM(F$6:F8))*$A9</f>
        <v>192.3802526792764</v>
      </c>
      <c r="G9" s="34">
        <f>(G$5-SUM(G$6:G8))*$A9</f>
        <v>192.3802524969</v>
      </c>
      <c r="H9" s="36">
        <v>0</v>
      </c>
      <c r="I9" s="36">
        <v>0</v>
      </c>
      <c r="J9" s="36">
        <v>0</v>
      </c>
      <c r="K9" s="36">
        <v>0</v>
      </c>
      <c r="L9" s="36">
        <v>0</v>
      </c>
      <c r="M9" s="36">
        <v>0</v>
      </c>
      <c r="N9" s="36">
        <v>0</v>
      </c>
      <c r="O9" s="36">
        <v>0</v>
      </c>
      <c r="P9" s="23">
        <f t="shared" si="1"/>
        <v>769.52100969073274</v>
      </c>
      <c r="Q9" s="49">
        <v>9</v>
      </c>
      <c r="R9" s="19"/>
      <c r="S9" s="25">
        <f>D9*Q9+SUM(E9:O9)+SUM(D10:D$17)</f>
        <v>3359.0631300977543</v>
      </c>
      <c r="T9" s="78">
        <f t="shared" si="2"/>
        <v>3.0413084710230475E-2</v>
      </c>
      <c r="U9" s="42">
        <f>S9/G$5</f>
        <v>2.7026436814301569</v>
      </c>
      <c r="W9" s="126">
        <v>0.25</v>
      </c>
      <c r="X9" s="71"/>
      <c r="Y9" s="83"/>
      <c r="Z9" s="84"/>
      <c r="AA9" s="84"/>
      <c r="AB9" s="84"/>
      <c r="AC9" s="85"/>
      <c r="AD9" s="86"/>
      <c r="AE9" s="29"/>
      <c r="AF9" s="47"/>
      <c r="AG9" s="29"/>
      <c r="AH9" s="84"/>
      <c r="AI9" s="85"/>
      <c r="AJ9" s="86"/>
      <c r="AK9" s="29"/>
    </row>
    <row r="10" spans="1:37">
      <c r="A10" s="115">
        <v>0.1421396</v>
      </c>
      <c r="B10" s="110" t="s">
        <v>5</v>
      </c>
      <c r="C10" s="18"/>
      <c r="D10" s="34">
        <f>(D$5-SUM(D$6:D9))*$A10</f>
        <v>149.31767649959605</v>
      </c>
      <c r="E10" s="34">
        <f>(E$5-SUM(E$6:E9))*$A10</f>
        <v>149.317693088418</v>
      </c>
      <c r="F10" s="34">
        <f>(F$5-SUM(F$6:F9))*$A10</f>
        <v>149.31768512154471</v>
      </c>
      <c r="G10" s="34">
        <f>(G$5-SUM(G$6:G9))*$A10</f>
        <v>149.31768497999161</v>
      </c>
      <c r="H10" s="34">
        <f>(H$5-SUM(H$6:H9))*$A10</f>
        <v>149.31768533489998</v>
      </c>
      <c r="I10" s="36">
        <v>0</v>
      </c>
      <c r="J10" s="36">
        <v>0</v>
      </c>
      <c r="K10" s="36">
        <v>0</v>
      </c>
      <c r="L10" s="36">
        <v>0</v>
      </c>
      <c r="M10" s="36">
        <v>0</v>
      </c>
      <c r="N10" s="36">
        <v>0</v>
      </c>
      <c r="O10" s="36">
        <v>0</v>
      </c>
      <c r="P10" s="23">
        <f t="shared" si="1"/>
        <v>746.58842502445032</v>
      </c>
      <c r="Q10" s="50">
        <v>8</v>
      </c>
      <c r="R10" s="19"/>
      <c r="S10" s="25">
        <f>D10*Q10+SUM(E10:O10)+SUM(D11:D$17)</f>
        <v>2692.9946718626852</v>
      </c>
      <c r="T10" s="78">
        <f t="shared" si="2"/>
        <v>2.4382475680704362E-2</v>
      </c>
      <c r="U10" s="42">
        <f>S10/H$5</f>
        <v>2.563535488794682</v>
      </c>
      <c r="W10" s="126">
        <v>0.25</v>
      </c>
      <c r="X10" s="72"/>
      <c r="Z10" s="92"/>
      <c r="AA10" s="84"/>
      <c r="AB10" s="84"/>
      <c r="AC10" s="85"/>
      <c r="AD10" s="86"/>
      <c r="AE10" s="29"/>
      <c r="AF10" s="47"/>
      <c r="AG10" s="29"/>
      <c r="AH10" s="84"/>
      <c r="AI10" s="85"/>
      <c r="AJ10" s="86"/>
      <c r="AK10" s="29"/>
    </row>
    <row r="11" spans="1:37">
      <c r="A11" s="115">
        <v>0.1397767</v>
      </c>
      <c r="B11" s="110" t="s">
        <v>6</v>
      </c>
      <c r="C11" s="18"/>
      <c r="D11" s="34">
        <f>(D$5-SUM(D$6:D10))*$A11</f>
        <v>125.96431753296626</v>
      </c>
      <c r="E11" s="34">
        <f>(E$5-SUM(E$6:E10))*$A11</f>
        <v>125.96433152728821</v>
      </c>
      <c r="F11" s="34">
        <f>(F$5-SUM(F$6:F10))*$A11</f>
        <v>125.96432480643787</v>
      </c>
      <c r="G11" s="34">
        <f>(G$5-SUM(G$6:G10))*$A11</f>
        <v>125.96432468702376</v>
      </c>
      <c r="H11" s="34">
        <f>(H$5-SUM(H$6:H10))*$A11</f>
        <v>125.96432498642426</v>
      </c>
      <c r="I11" s="34">
        <f>(I$5-SUM(I$6:I10))*$A11</f>
        <v>125.96432293658502</v>
      </c>
      <c r="J11" s="36">
        <v>0</v>
      </c>
      <c r="K11" s="36">
        <v>0</v>
      </c>
      <c r="L11" s="36">
        <v>0</v>
      </c>
      <c r="M11" s="36">
        <v>0</v>
      </c>
      <c r="N11" s="36">
        <v>0</v>
      </c>
      <c r="O11" s="36">
        <v>0</v>
      </c>
      <c r="P11" s="23">
        <f t="shared" si="1"/>
        <v>755.78594647672548</v>
      </c>
      <c r="Q11" s="50">
        <v>7</v>
      </c>
      <c r="R11" s="19"/>
      <c r="S11" s="25">
        <f>D11*Q11+SUM(E11:O11)+SUM(D12:D$17)</f>
        <v>2286.7900454826195</v>
      </c>
      <c r="T11" s="78">
        <f t="shared" si="2"/>
        <v>2.0704683619849305E-2</v>
      </c>
      <c r="U11" s="42">
        <f>S11/I$5</f>
        <v>2.537543636949716</v>
      </c>
      <c r="W11" s="126">
        <v>0.25</v>
      </c>
      <c r="X11" s="72"/>
      <c r="Y11" s="91"/>
      <c r="Z11" s="84"/>
      <c r="AA11" s="84"/>
      <c r="AB11" s="84"/>
      <c r="AC11" s="85"/>
      <c r="AD11" s="86"/>
      <c r="AE11" s="29"/>
      <c r="AF11" s="29"/>
      <c r="AG11" s="29"/>
      <c r="AH11" s="84"/>
      <c r="AI11" s="85"/>
      <c r="AJ11" s="86"/>
      <c r="AK11" s="29"/>
    </row>
    <row r="12" spans="1:37">
      <c r="A12" s="115">
        <v>0.14640520000000001</v>
      </c>
      <c r="B12" s="110" t="s">
        <v>7</v>
      </c>
      <c r="C12" s="18"/>
      <c r="D12" s="34">
        <f>(D$5-SUM(D$6:D11))*$A12</f>
        <v>113.49597470811302</v>
      </c>
      <c r="E12" s="34">
        <f>(E$5-SUM(E$6:E11))*$A12</f>
        <v>113.49598731723319</v>
      </c>
      <c r="F12" s="34">
        <f>(F$5-SUM(F$6:F11))*$A12</f>
        <v>113.49598126163367</v>
      </c>
      <c r="G12" s="34">
        <f>(G$5-SUM(G$6:G11))*$A12</f>
        <v>113.49598115403955</v>
      </c>
      <c r="H12" s="34">
        <f>(H$5-SUM(H$6:H11))*$A12</f>
        <v>113.49598142380444</v>
      </c>
      <c r="I12" s="34">
        <f>(I$5-SUM(I$6:I11))*$A12</f>
        <v>113.4959795768647</v>
      </c>
      <c r="J12" s="34">
        <f>(J$5-SUM(J$6:J11))*$A12</f>
        <v>113.49599025516001</v>
      </c>
      <c r="K12" s="36">
        <v>0</v>
      </c>
      <c r="L12" s="36">
        <v>0</v>
      </c>
      <c r="M12" s="36">
        <v>0</v>
      </c>
      <c r="N12" s="36">
        <v>0</v>
      </c>
      <c r="O12" s="36">
        <v>0</v>
      </c>
      <c r="P12" s="23">
        <f t="shared" si="1"/>
        <v>794.47187569684854</v>
      </c>
      <c r="Q12" s="49">
        <v>6</v>
      </c>
      <c r="R12" s="19"/>
      <c r="S12" s="25">
        <f>D12*Q12+SUM(E12:O12)+SUM(D13:D$17)</f>
        <v>2023.6739683373971</v>
      </c>
      <c r="T12" s="78">
        <f t="shared" si="2"/>
        <v>1.8322420699233011E-2</v>
      </c>
      <c r="U12" s="42">
        <f>S12/J$5</f>
        <v>2.6104569104436739</v>
      </c>
      <c r="W12" s="126">
        <v>0.25</v>
      </c>
      <c r="X12" s="71"/>
      <c r="Z12" s="84"/>
      <c r="AA12" s="84"/>
      <c r="AB12" s="84"/>
      <c r="AC12" s="85"/>
      <c r="AD12" s="86"/>
      <c r="AE12" s="29"/>
      <c r="AF12" s="29"/>
      <c r="AG12" s="29"/>
      <c r="AH12" s="84"/>
      <c r="AI12" s="85"/>
      <c r="AJ12" s="86"/>
      <c r="AK12" s="29"/>
    </row>
    <row r="13" spans="1:37">
      <c r="A13" s="115">
        <v>0.1646301</v>
      </c>
      <c r="B13" s="110" t="s">
        <v>8</v>
      </c>
      <c r="C13" s="18"/>
      <c r="D13" s="34">
        <f>(D$5-SUM(D$6:D12))*$A13</f>
        <v>108.93939510265209</v>
      </c>
      <c r="E13" s="34">
        <f>(E$5-SUM(E$6:E12))*$A13</f>
        <v>108.9394072055476</v>
      </c>
      <c r="F13" s="34">
        <f>(F$5-SUM(F$6:F12))*$A13</f>
        <v>108.93940139306524</v>
      </c>
      <c r="G13" s="34">
        <f>(G$5-SUM(G$6:G12))*$A13</f>
        <v>108.93940128979075</v>
      </c>
      <c r="H13" s="34">
        <f>(H$5-SUM(H$6:H12))*$A13</f>
        <v>108.93940154872526</v>
      </c>
      <c r="I13" s="34">
        <f>(I$5-SUM(I$6:I12))*$A13</f>
        <v>108.93939977593554</v>
      </c>
      <c r="J13" s="34">
        <f>(J$5-SUM(J$6:J12))*$A13</f>
        <v>108.93941002552398</v>
      </c>
      <c r="K13" s="34">
        <f>(K$5-SUM(K$6:K12))*$A13</f>
        <v>108.93940842123</v>
      </c>
      <c r="L13" s="36">
        <v>0</v>
      </c>
      <c r="M13" s="36">
        <v>0</v>
      </c>
      <c r="N13" s="36">
        <v>0</v>
      </c>
      <c r="O13" s="36">
        <v>0</v>
      </c>
      <c r="P13" s="23">
        <f t="shared" si="1"/>
        <v>871.51522476247044</v>
      </c>
      <c r="Q13" s="50">
        <v>5</v>
      </c>
      <c r="R13" s="19"/>
      <c r="S13" s="25">
        <f>D13*Q13+SUM(E13:O13)+SUM(D14:D$17)</f>
        <v>1860.0556291704102</v>
      </c>
      <c r="T13" s="78">
        <f t="shared" si="2"/>
        <v>1.6841014063958496E-2</v>
      </c>
      <c r="U13" s="42">
        <f>S13/K$5</f>
        <v>2.8109308529732338</v>
      </c>
      <c r="W13" s="126">
        <v>0.25</v>
      </c>
      <c r="X13" s="72"/>
      <c r="Z13" s="84"/>
      <c r="AA13" s="84"/>
      <c r="AB13" s="84"/>
      <c r="AC13" s="85"/>
      <c r="AD13" s="86"/>
      <c r="AE13" s="29"/>
      <c r="AF13" s="29"/>
      <c r="AG13" s="29"/>
      <c r="AH13" s="84"/>
      <c r="AI13" s="85"/>
      <c r="AJ13" s="86"/>
      <c r="AK13" s="29"/>
    </row>
    <row r="14" spans="1:37">
      <c r="A14" s="115">
        <v>0.2043954</v>
      </c>
      <c r="B14" s="110" t="s">
        <v>9</v>
      </c>
      <c r="C14" s="18"/>
      <c r="D14" s="34">
        <f>(D$5-SUM(D$6:D13))*$A14</f>
        <v>112.98626642406397</v>
      </c>
      <c r="E14" s="34">
        <f>(E$5-SUM(E$6:E13))*$A14</f>
        <v>112.98627897655683</v>
      </c>
      <c r="F14" s="34">
        <f>(F$5-SUM(F$6:F13))*$A14</f>
        <v>112.98627294815289</v>
      </c>
      <c r="G14" s="34">
        <f>(G$5-SUM(G$6:G13))*$A14</f>
        <v>112.98627284104198</v>
      </c>
      <c r="H14" s="34">
        <f>(H$5-SUM(H$6:H13))*$A14</f>
        <v>112.98627310959536</v>
      </c>
      <c r="I14" s="34">
        <f>(I$5-SUM(I$6:I13))*$A14</f>
        <v>112.9862712709502</v>
      </c>
      <c r="J14" s="34">
        <f>(J$5-SUM(J$6:J13))*$A14</f>
        <v>112.98628190128949</v>
      </c>
      <c r="K14" s="34">
        <f>(K$5-SUM(K$6:K13))*$A14</f>
        <v>112.98628023739933</v>
      </c>
      <c r="L14" s="34">
        <f>(L$5-SUM(L$6:L13))*$A14</f>
        <v>112.98629217843001</v>
      </c>
      <c r="M14" s="36">
        <v>0</v>
      </c>
      <c r="N14" s="36">
        <v>0</v>
      </c>
      <c r="O14" s="36">
        <v>0</v>
      </c>
      <c r="P14" s="23">
        <f t="shared" si="1"/>
        <v>1016.8764898874799</v>
      </c>
      <c r="Q14" s="50">
        <v>4</v>
      </c>
      <c r="R14" s="19"/>
      <c r="S14" s="25">
        <f>D14*Q14+SUM(E14:O14)+SUM(D15:D$17)</f>
        <v>1795.6318467329393</v>
      </c>
      <c r="T14" s="78">
        <f t="shared" si="2"/>
        <v>1.6257718699525366E-2</v>
      </c>
      <c r="U14" s="42">
        <f>S14/L$5</f>
        <v>3.248348826122331</v>
      </c>
      <c r="W14" s="126">
        <v>0.1</v>
      </c>
      <c r="X14" s="72"/>
      <c r="Y14" s="83"/>
      <c r="Z14" s="84"/>
      <c r="AA14" s="84"/>
      <c r="AB14" s="84"/>
      <c r="AC14" s="85"/>
      <c r="AD14" s="86"/>
      <c r="AE14" s="29"/>
      <c r="AF14" s="29"/>
      <c r="AG14" s="29"/>
      <c r="AH14" s="84"/>
      <c r="AI14" s="85"/>
      <c r="AJ14" s="86"/>
      <c r="AK14" s="29"/>
    </row>
    <row r="15" spans="1:37">
      <c r="A15" s="115">
        <v>0.30530499999999999</v>
      </c>
      <c r="B15" s="110" t="s">
        <v>10</v>
      </c>
      <c r="C15" s="18"/>
      <c r="D15" s="34">
        <f>(D$5-SUM(D$6:D14))*$A15</f>
        <v>134.27208800990624</v>
      </c>
      <c r="E15" s="34">
        <f>(E$5-SUM(E$6:E14))*$A15</f>
        <v>134.27210292720076</v>
      </c>
      <c r="F15" s="34">
        <f>(F$5-SUM(F$6:F14))*$A15</f>
        <v>134.27209576308769</v>
      </c>
      <c r="G15" s="34">
        <f>(G$5-SUM(G$6:G14))*$A15</f>
        <v>134.27209563579785</v>
      </c>
      <c r="H15" s="34">
        <f>(H$5-SUM(H$6:H14))*$A15</f>
        <v>134.27209595494483</v>
      </c>
      <c r="I15" s="34">
        <f>(I$5-SUM(I$6:I14))*$A15</f>
        <v>134.27209376991181</v>
      </c>
      <c r="J15" s="34">
        <f>(J$5-SUM(J$6:J14))*$A15</f>
        <v>134.27210640293259</v>
      </c>
      <c r="K15" s="34">
        <f>(K$5-SUM(K$6:K14))*$A15</f>
        <v>134.27210442557717</v>
      </c>
      <c r="L15" s="34">
        <f>(L$5-SUM(L$6:L14))*$A15</f>
        <v>134.27211861621444</v>
      </c>
      <c r="M15" s="34">
        <f>(M$5-SUM(M$6:M14))*$A15</f>
        <v>134.27211622825001</v>
      </c>
      <c r="N15" s="36">
        <v>0</v>
      </c>
      <c r="O15" s="36">
        <v>0</v>
      </c>
      <c r="P15" s="23">
        <f t="shared" si="1"/>
        <v>1342.7210177338236</v>
      </c>
      <c r="Q15" s="49">
        <v>3</v>
      </c>
      <c r="R15" s="19"/>
      <c r="S15" s="25">
        <f>D15*Q15+SUM(E15:O15)+SUM(D16:D$17)</f>
        <v>1916.7896633169971</v>
      </c>
      <c r="T15" s="78">
        <f t="shared" si="2"/>
        <v>1.7354686156332372E-2</v>
      </c>
      <c r="U15" s="42">
        <f>S15/M$5</f>
        <v>4.358354397008247</v>
      </c>
      <c r="W15" s="126">
        <v>0.1</v>
      </c>
      <c r="X15" s="71"/>
      <c r="Y15" s="93"/>
      <c r="Z15" s="94"/>
      <c r="AA15" s="84"/>
      <c r="AB15" s="84"/>
      <c r="AC15" s="85"/>
      <c r="AD15" s="86"/>
      <c r="AE15" s="29"/>
      <c r="AF15" s="29"/>
      <c r="AG15" s="29"/>
      <c r="AH15" s="84"/>
      <c r="AI15" s="85"/>
      <c r="AJ15" s="86"/>
      <c r="AK15" s="29"/>
    </row>
    <row r="16" spans="1:37">
      <c r="A16" s="115">
        <v>0.31</v>
      </c>
      <c r="B16" s="110" t="s">
        <v>11</v>
      </c>
      <c r="C16" s="18"/>
      <c r="D16" s="34">
        <f>(D$5-SUM(D$6:D15))*$A16</f>
        <v>94.712585564641898</v>
      </c>
      <c r="E16" s="34">
        <f>(E$5-SUM(E$6:E15))*$A16</f>
        <v>94.712596086974102</v>
      </c>
      <c r="F16" s="34">
        <f>(F$5-SUM(F$6:F15))*$A16</f>
        <v>94.712591033565928</v>
      </c>
      <c r="G16" s="34">
        <f>(G$5-SUM(G$6:G15))*$A16</f>
        <v>94.712590943778466</v>
      </c>
      <c r="H16" s="34">
        <f>(H$5-SUM(H$6:H15))*$A16</f>
        <v>94.71259116889776</v>
      </c>
      <c r="I16" s="34">
        <f>(I$5-SUM(I$6:I15))*$A16</f>
        <v>94.712589627623345</v>
      </c>
      <c r="J16" s="34">
        <f>(J$5-SUM(J$6:J15))*$A16</f>
        <v>94.712598538679117</v>
      </c>
      <c r="K16" s="34">
        <f>(K$5-SUM(K$6:K15))*$A16</f>
        <v>94.712597143895977</v>
      </c>
      <c r="L16" s="34">
        <f>(L$5-SUM(L$6:L15))*$A16</f>
        <v>94.712607153660244</v>
      </c>
      <c r="M16" s="34">
        <f>(M$5-SUM(M$6:M15))*$A16</f>
        <v>94.712605469242519</v>
      </c>
      <c r="N16" s="34">
        <f>(N$5-SUM(N$6:N15))*$A16</f>
        <v>116.25</v>
      </c>
      <c r="O16" s="36">
        <v>0</v>
      </c>
      <c r="P16" s="23">
        <f t="shared" si="1"/>
        <v>1063.3759527309594</v>
      </c>
      <c r="Q16" s="50">
        <v>2</v>
      </c>
      <c r="R16" s="19"/>
      <c r="S16" s="25">
        <f>D16*Q16+SUM(E16:O16)+SUM(D$17:D17)</f>
        <v>1368.9004222943204</v>
      </c>
      <c r="T16" s="78">
        <f t="shared" si="2"/>
        <v>1.2394076232171279E-2</v>
      </c>
      <c r="U16" s="42">
        <f>S16/N$5</f>
        <v>3.6504011261181875</v>
      </c>
      <c r="W16" s="127">
        <v>0.1</v>
      </c>
      <c r="X16" s="72"/>
      <c r="Y16" s="93"/>
      <c r="Z16" s="94"/>
      <c r="AA16" s="84"/>
      <c r="AB16" s="84"/>
      <c r="AC16" s="85"/>
      <c r="AD16" s="86"/>
      <c r="AE16" s="29"/>
      <c r="AF16" s="29"/>
      <c r="AG16" s="29"/>
      <c r="AH16" s="84"/>
      <c r="AI16" s="85"/>
      <c r="AJ16" s="86"/>
      <c r="AK16" s="29"/>
    </row>
    <row r="17" spans="1:37" ht="16" customHeight="1">
      <c r="A17" s="116">
        <v>1</v>
      </c>
      <c r="B17" s="110" t="s">
        <v>12</v>
      </c>
      <c r="C17" s="18"/>
      <c r="D17" s="34">
        <f>(D$5-SUM(D$6:D16))*$A17</f>
        <v>210.81188399871917</v>
      </c>
      <c r="E17" s="34">
        <f>(E$5-SUM(E$6:E16))*$A17</f>
        <v>210.81190741939395</v>
      </c>
      <c r="F17" s="34">
        <f>(F$5-SUM(F$6:F16))*$A17</f>
        <v>210.81189617148539</v>
      </c>
      <c r="G17" s="34">
        <f>(G$5-SUM(G$6:G16))*$A17</f>
        <v>210.81189597163598</v>
      </c>
      <c r="H17" s="34">
        <f>(H$5-SUM(H$6:H16))*$A17</f>
        <v>210.81189647270787</v>
      </c>
      <c r="I17" s="34">
        <f>(I$5-SUM(I$6:I16))*$A17</f>
        <v>210.81189304212933</v>
      </c>
      <c r="J17" s="34">
        <f>(J$5-SUM(J$6:J16))*$A17</f>
        <v>210.81191287641479</v>
      </c>
      <c r="K17" s="34">
        <f>(K$5-SUM(K$6:K16))*$A17</f>
        <v>210.81190977189749</v>
      </c>
      <c r="L17" s="34">
        <f>(L$5-SUM(L$6:L16))*$A17</f>
        <v>210.81193205169535</v>
      </c>
      <c r="M17" s="34">
        <f>(M$5-SUM(M$6:M16))*$A17</f>
        <v>210.81192830250751</v>
      </c>
      <c r="N17" s="34">
        <f>(N$5-SUM(N$6:N16))*$A17</f>
        <v>258.75</v>
      </c>
      <c r="O17" s="34">
        <f>(O$5-SUM(O$6:O16))*$A17</f>
        <v>35000</v>
      </c>
      <c r="P17" s="23">
        <f t="shared" si="1"/>
        <v>37366.869056078584</v>
      </c>
      <c r="Q17" s="50">
        <v>1</v>
      </c>
      <c r="R17" s="19"/>
      <c r="S17" s="25">
        <f>D17*Q17+SUM(E17:O17)</f>
        <v>37366.869056078591</v>
      </c>
      <c r="T17" s="78">
        <f t="shared" si="2"/>
        <v>0.33832104665610607</v>
      </c>
      <c r="U17" s="42">
        <f>S17/O$5</f>
        <v>1.0676248301736739</v>
      </c>
      <c r="W17" s="128">
        <v>1</v>
      </c>
      <c r="X17" s="72"/>
      <c r="Y17" s="93"/>
      <c r="Z17" s="94"/>
      <c r="AA17" s="84"/>
      <c r="AB17" s="84"/>
      <c r="AC17" s="85"/>
      <c r="AD17" s="86"/>
      <c r="AE17" s="29"/>
      <c r="AF17" s="29"/>
      <c r="AG17" s="29"/>
      <c r="AH17" s="84"/>
      <c r="AI17" s="85"/>
      <c r="AJ17" s="86"/>
      <c r="AK17" s="29"/>
    </row>
    <row r="18" spans="1:37" ht="17" customHeight="1">
      <c r="A18" s="180"/>
      <c r="B18" s="15"/>
      <c r="C18" s="18"/>
      <c r="D18" s="19"/>
      <c r="E18" s="19"/>
      <c r="F18" s="19"/>
      <c r="G18" s="19"/>
      <c r="H18" s="19"/>
      <c r="I18" s="19"/>
      <c r="J18" s="19"/>
      <c r="K18" s="19"/>
      <c r="L18" s="19"/>
      <c r="M18" s="19"/>
      <c r="N18" s="19"/>
      <c r="O18" s="19"/>
      <c r="P18" s="24"/>
      <c r="Q18" s="51"/>
      <c r="R18" s="19"/>
      <c r="S18" s="97">
        <f>SUM(S6:S17)</f>
        <v>110447.95890000001</v>
      </c>
      <c r="T18" s="121">
        <f>SUM(T6:T17)</f>
        <v>1.0000000000000002</v>
      </c>
      <c r="U18" s="41"/>
      <c r="X18" s="46"/>
      <c r="Y18" s="83"/>
      <c r="Z18" s="84"/>
      <c r="AA18" s="84"/>
      <c r="AB18" s="84"/>
      <c r="AC18" s="85"/>
      <c r="AD18" s="86"/>
      <c r="AE18" s="29"/>
      <c r="AF18" s="29"/>
      <c r="AG18" s="29"/>
      <c r="AH18" s="84"/>
      <c r="AI18" s="85"/>
      <c r="AJ18" s="86"/>
      <c r="AK18" s="29"/>
    </row>
    <row r="19" spans="1:37" s="5" customFormat="1">
      <c r="A19" s="180"/>
      <c r="B19" s="16"/>
      <c r="C19" s="20" t="s">
        <v>17</v>
      </c>
      <c r="D19" s="38">
        <f>SUM(D6:D18)</f>
        <v>5488.9530500000001</v>
      </c>
      <c r="E19" s="34">
        <f>SUM(E6:E18)</f>
        <v>2056.9277499999998</v>
      </c>
      <c r="F19" s="34">
        <f t="shared" ref="F19:O19" si="3">SUM(F6:F18)</f>
        <v>1524.5110500000001</v>
      </c>
      <c r="G19" s="34">
        <f t="shared" si="3"/>
        <v>1242.8805</v>
      </c>
      <c r="H19" s="34">
        <f t="shared" si="3"/>
        <v>1050.5002499999998</v>
      </c>
      <c r="I19" s="34">
        <f t="shared" si="3"/>
        <v>901.18255000000011</v>
      </c>
      <c r="J19" s="34">
        <f t="shared" si="3"/>
        <v>775.2183</v>
      </c>
      <c r="K19" s="34">
        <f t="shared" si="3"/>
        <v>661.72230000000002</v>
      </c>
      <c r="L19" s="34">
        <f t="shared" si="3"/>
        <v>552.78295000000003</v>
      </c>
      <c r="M19" s="34">
        <f t="shared" si="3"/>
        <v>439.79665000000006</v>
      </c>
      <c r="N19" s="34">
        <f t="shared" si="3"/>
        <v>375</v>
      </c>
      <c r="O19" s="73">
        <f t="shared" si="3"/>
        <v>35000</v>
      </c>
      <c r="P19" s="34"/>
      <c r="Q19" s="34"/>
      <c r="R19" s="19"/>
      <c r="X19" s="47"/>
      <c r="Y19" s="93"/>
      <c r="Z19" s="84"/>
      <c r="AA19" s="84"/>
      <c r="AB19" s="84"/>
      <c r="AC19" s="85"/>
      <c r="AD19" s="86"/>
      <c r="AE19" s="47"/>
      <c r="AF19" s="47"/>
      <c r="AG19" s="47"/>
      <c r="AH19" s="84"/>
      <c r="AI19" s="85"/>
      <c r="AJ19" s="86"/>
      <c r="AK19" s="47"/>
    </row>
    <row r="20" spans="1:37">
      <c r="A20" s="32"/>
      <c r="B20" s="5"/>
      <c r="C20" s="1"/>
      <c r="D20" s="74"/>
      <c r="E20" s="74"/>
      <c r="F20" s="74"/>
      <c r="G20" s="74"/>
      <c r="H20" s="74"/>
      <c r="I20" s="74"/>
      <c r="J20" s="74"/>
      <c r="K20" s="74"/>
      <c r="L20" s="74"/>
      <c r="M20" s="74"/>
      <c r="N20" s="74"/>
      <c r="O20" s="74"/>
      <c r="P20" s="100"/>
      <c r="Q20" s="100"/>
      <c r="R20" s="6"/>
      <c r="S20" s="184" t="s">
        <v>19</v>
      </c>
      <c r="T20" s="185"/>
      <c r="U20" s="98"/>
      <c r="Y20" s="83"/>
      <c r="Z20" s="84"/>
      <c r="AA20" s="84"/>
      <c r="AB20" s="84"/>
      <c r="AC20" s="85"/>
      <c r="AD20" s="86"/>
      <c r="AE20" s="84"/>
      <c r="AF20" s="84"/>
      <c r="AG20" s="86"/>
      <c r="AH20" s="29"/>
      <c r="AI20" s="29"/>
      <c r="AJ20" s="29"/>
      <c r="AK20" s="29"/>
    </row>
    <row r="21" spans="1:37">
      <c r="A21" s="27" t="s">
        <v>41</v>
      </c>
      <c r="B21" s="28">
        <v>50000</v>
      </c>
      <c r="C21" s="1"/>
      <c r="F21" s="9"/>
      <c r="G21" s="4"/>
      <c r="R21" s="29"/>
      <c r="S21" s="186"/>
      <c r="T21" s="187"/>
      <c r="U21" s="98"/>
      <c r="Y21" s="29"/>
      <c r="Z21" s="29"/>
      <c r="AA21" s="29"/>
      <c r="AB21" s="29"/>
      <c r="AC21" s="29"/>
      <c r="AD21" s="29"/>
      <c r="AE21" s="29"/>
      <c r="AF21" s="29"/>
      <c r="AG21" s="29"/>
      <c r="AH21" s="29"/>
      <c r="AI21" s="29"/>
      <c r="AJ21" s="29"/>
      <c r="AK21" s="29"/>
    </row>
    <row r="22" spans="1:37" s="26" customFormat="1" ht="45">
      <c r="A22" s="105" t="s">
        <v>45</v>
      </c>
      <c r="D22" s="111">
        <f>A23</f>
        <v>0.109779061</v>
      </c>
      <c r="E22" s="81">
        <f>A24</f>
        <v>4.1138555E-2</v>
      </c>
      <c r="F22" s="81">
        <f>A25</f>
        <v>3.0490221000000001E-2</v>
      </c>
      <c r="G22" s="81">
        <f>A26</f>
        <v>2.4857609999999999E-2</v>
      </c>
      <c r="H22" s="81">
        <f>A27</f>
        <v>2.1010004999999998E-2</v>
      </c>
      <c r="I22" s="82">
        <f>A28</f>
        <v>1.8023651000000002E-2</v>
      </c>
      <c r="J22" s="81">
        <f>A29</f>
        <v>1.5504366E-2</v>
      </c>
      <c r="K22" s="81">
        <f>A30</f>
        <v>1.3234446E-2</v>
      </c>
      <c r="L22" s="81">
        <f>A31</f>
        <v>1.1055659000000001E-2</v>
      </c>
      <c r="M22" s="81">
        <f>A32</f>
        <v>8.7959330000000006E-3</v>
      </c>
      <c r="N22" s="81">
        <v>7.4999999999999997E-3</v>
      </c>
      <c r="O22" s="112">
        <f>A34</f>
        <v>0.7</v>
      </c>
      <c r="P22" s="103"/>
      <c r="Q22" s="103"/>
      <c r="R22" s="30"/>
      <c r="S22" s="188">
        <f>S17-O17</f>
        <v>2366.8690560785908</v>
      </c>
      <c r="T22" s="189"/>
      <c r="U22" s="99"/>
      <c r="X22" s="30"/>
      <c r="Y22" s="30"/>
      <c r="Z22" s="30"/>
      <c r="AA22" s="30"/>
      <c r="AB22" s="30"/>
      <c r="AC22" s="30"/>
      <c r="AD22" s="30"/>
      <c r="AE22" s="30"/>
      <c r="AF22" s="30"/>
      <c r="AG22" s="30"/>
      <c r="AH22" s="30"/>
      <c r="AI22" s="30"/>
      <c r="AJ22" s="30"/>
      <c r="AK22" s="30"/>
    </row>
    <row r="23" spans="1:37">
      <c r="A23" s="106">
        <v>0.109779061</v>
      </c>
      <c r="B23" s="108"/>
      <c r="F23" s="9"/>
      <c r="G23" s="4"/>
      <c r="R23" s="29"/>
    </row>
    <row r="24" spans="1:37" ht="16" customHeight="1">
      <c r="A24" s="107">
        <v>4.1138555E-2</v>
      </c>
      <c r="B24" s="108"/>
      <c r="C24" s="1"/>
      <c r="D24" s="5" t="s">
        <v>47</v>
      </c>
      <c r="F24" s="9"/>
      <c r="G24" s="4"/>
      <c r="R24" s="29"/>
      <c r="S24" s="177" t="s">
        <v>53</v>
      </c>
      <c r="T24" s="177"/>
      <c r="U24" s="177"/>
      <c r="V24" s="177"/>
    </row>
    <row r="25" spans="1:37">
      <c r="A25" s="107">
        <v>3.0490221000000001E-2</v>
      </c>
      <c r="B25" s="108"/>
      <c r="C25" s="169" t="s">
        <v>64</v>
      </c>
      <c r="D25" s="170"/>
      <c r="E25" s="122">
        <f>E5/D5</f>
        <v>0.37473954163262513</v>
      </c>
      <c r="F25" s="122">
        <f t="shared" ref="F25:N25" si="4">1 - F5/E5</f>
        <v>0.25884073954469222</v>
      </c>
      <c r="G25" s="122">
        <f t="shared" si="4"/>
        <v>0.18473500077287075</v>
      </c>
      <c r="H25" s="122">
        <f t="shared" si="4"/>
        <v>0.15478579799103787</v>
      </c>
      <c r="I25" s="123">
        <f t="shared" si="4"/>
        <v>0.14213961396011066</v>
      </c>
      <c r="J25" s="122">
        <f t="shared" si="4"/>
        <v>0.13977661906569327</v>
      </c>
      <c r="K25" s="122">
        <f t="shared" si="4"/>
        <v>0.14640521257044625</v>
      </c>
      <c r="L25" s="122">
        <f t="shared" si="4"/>
        <v>0.16463001171337277</v>
      </c>
      <c r="M25" s="122">
        <f t="shared" si="4"/>
        <v>0.2043954141494414</v>
      </c>
      <c r="N25" s="124">
        <f t="shared" si="4"/>
        <v>0.14733320501645486</v>
      </c>
      <c r="O25" s="11"/>
      <c r="P25" s="11"/>
      <c r="Q25" s="11"/>
      <c r="R25" s="31"/>
      <c r="S25" s="177"/>
      <c r="T25" s="177"/>
      <c r="U25" s="177"/>
      <c r="V25" s="177"/>
      <c r="Y25" s="45"/>
    </row>
    <row r="26" spans="1:37">
      <c r="A26" s="107">
        <v>2.4857609999999999E-2</v>
      </c>
      <c r="B26" s="108"/>
      <c r="C26" s="171" t="s">
        <v>63</v>
      </c>
      <c r="D26" s="172"/>
      <c r="E26" s="161">
        <f>D5*(1-$A6)</f>
        <v>2056.9275214804752</v>
      </c>
      <c r="F26" s="161">
        <f>E5*(1-$A7)</f>
        <v>1524.511131340575</v>
      </c>
      <c r="G26" s="161">
        <f>F5*(1-$A8)</f>
        <v>1242.8805011782501</v>
      </c>
      <c r="H26" s="161">
        <f>G5*(1-$A9)</f>
        <v>1050.5002475031001</v>
      </c>
      <c r="I26" s="161">
        <f>H5*(1-$A10)</f>
        <v>901.18256466509979</v>
      </c>
      <c r="J26" s="161">
        <f>I5*(1-$A11)</f>
        <v>775.21822706341516</v>
      </c>
      <c r="K26" s="161">
        <f>J5*(1-$A12)</f>
        <v>661.72230974484</v>
      </c>
      <c r="L26" s="161">
        <f>K5*(1-$A13)</f>
        <v>552.78289157876998</v>
      </c>
      <c r="M26" s="161">
        <f>L5*(1-$A14)</f>
        <v>439.79665782157002</v>
      </c>
      <c r="N26" s="162">
        <f>M5*(1-$A15)</f>
        <v>305.52453377175004</v>
      </c>
      <c r="R26" s="29"/>
      <c r="S26" s="177"/>
      <c r="T26" s="177"/>
      <c r="U26" s="177"/>
      <c r="V26" s="177"/>
    </row>
    <row r="27" spans="1:37" ht="16" customHeight="1">
      <c r="A27" s="107">
        <v>2.1010004999999998E-2</v>
      </c>
      <c r="B27" s="108"/>
      <c r="C27" s="166" t="s">
        <v>52</v>
      </c>
      <c r="D27" s="167"/>
      <c r="E27" s="163">
        <f>E26/$B21</f>
        <v>4.1138550429609504E-2</v>
      </c>
      <c r="F27" s="163">
        <f>F26/$B21</f>
        <v>3.0490222626811499E-2</v>
      </c>
      <c r="G27" s="163">
        <f>G26/$B21</f>
        <v>2.4857610023565003E-2</v>
      </c>
      <c r="H27" s="163">
        <f t="shared" ref="H27:N27" si="5">H26/$B21</f>
        <v>2.1010004950062004E-2</v>
      </c>
      <c r="I27" s="163">
        <f t="shared" si="5"/>
        <v>1.8023651293301995E-2</v>
      </c>
      <c r="J27" s="163">
        <f t="shared" si="5"/>
        <v>1.5504364541268302E-2</v>
      </c>
      <c r="K27" s="163">
        <f t="shared" si="5"/>
        <v>1.32344461948968E-2</v>
      </c>
      <c r="L27" s="163">
        <f t="shared" si="5"/>
        <v>1.1055657831575399E-2</v>
      </c>
      <c r="M27" s="163">
        <f t="shared" si="5"/>
        <v>8.7959331564313997E-3</v>
      </c>
      <c r="N27" s="164">
        <f t="shared" si="5"/>
        <v>6.110490675435001E-3</v>
      </c>
      <c r="R27" s="4"/>
      <c r="S27" s="177" t="s">
        <v>54</v>
      </c>
      <c r="T27" s="177"/>
      <c r="U27" s="177"/>
      <c r="V27" s="177"/>
      <c r="W27" s="7"/>
    </row>
    <row r="28" spans="1:37">
      <c r="A28" s="107">
        <v>1.8023651000000002E-2</v>
      </c>
      <c r="B28" s="108"/>
      <c r="C28" s="173" t="s">
        <v>49</v>
      </c>
      <c r="D28" s="174"/>
      <c r="E28" s="157">
        <f>D5*(1-A6)</f>
        <v>2056.9275214804752</v>
      </c>
      <c r="F28" s="157">
        <f>E28*(1-$A$7)</f>
        <v>1524.5109619712041</v>
      </c>
      <c r="G28" s="157">
        <f>F28*(1-$A$8)</f>
        <v>1242.8804294114536</v>
      </c>
      <c r="H28" s="157">
        <f>G28*(1-$A$9)</f>
        <v>1050.5001878406583</v>
      </c>
      <c r="I28" s="157">
        <f>H28*(1-$A$10)</f>
        <v>901.18251134106231</v>
      </c>
      <c r="J28" s="157">
        <f>I28*(1-$A$11)</f>
        <v>775.21819380809609</v>
      </c>
      <c r="K28" s="157">
        <f>J28*(1-$A$12)</f>
        <v>661.72221909998302</v>
      </c>
      <c r="L28" s="157">
        <f>K28*(1-$A$13)</f>
        <v>552.78282399733087</v>
      </c>
      <c r="M28" s="157">
        <f>L28*(1-$A$14)</f>
        <v>439.7965575732668</v>
      </c>
      <c r="N28" s="158">
        <f>M28*(1-$A$14)</f>
        <v>349.90416426945592</v>
      </c>
      <c r="S28" s="177"/>
      <c r="T28" s="177"/>
      <c r="U28" s="177"/>
      <c r="V28" s="177"/>
      <c r="W28" s="7"/>
      <c r="Y28" s="44"/>
    </row>
    <row r="29" spans="1:37">
      <c r="A29" s="107">
        <v>1.5504366E-2</v>
      </c>
      <c r="B29" s="108"/>
      <c r="C29" s="166" t="s">
        <v>52</v>
      </c>
      <c r="D29" s="167"/>
      <c r="E29" s="159">
        <f t="shared" ref="E29:N29" si="6">E28/$B21</f>
        <v>4.1138550429609504E-2</v>
      </c>
      <c r="F29" s="159">
        <f t="shared" si="6"/>
        <v>3.049021923942408E-2</v>
      </c>
      <c r="G29" s="159">
        <f t="shared" si="6"/>
        <v>2.4857608588229073E-2</v>
      </c>
      <c r="H29" s="159">
        <f t="shared" si="6"/>
        <v>2.1010003756813167E-2</v>
      </c>
      <c r="I29" s="159">
        <f t="shared" si="6"/>
        <v>1.8023650226821245E-2</v>
      </c>
      <c r="J29" s="159">
        <f t="shared" si="6"/>
        <v>1.5504363876161921E-2</v>
      </c>
      <c r="K29" s="159">
        <f t="shared" si="6"/>
        <v>1.3234444381999661E-2</v>
      </c>
      <c r="L29" s="159">
        <f t="shared" si="6"/>
        <v>1.1055656479946618E-2</v>
      </c>
      <c r="M29" s="159">
        <f t="shared" si="6"/>
        <v>8.7959311514653367E-3</v>
      </c>
      <c r="N29" s="160">
        <f t="shared" si="6"/>
        <v>6.9980832853891181E-3</v>
      </c>
      <c r="S29" s="165" t="s">
        <v>55</v>
      </c>
      <c r="T29" s="165"/>
      <c r="U29" s="165"/>
      <c r="V29" s="165"/>
    </row>
    <row r="30" spans="1:37">
      <c r="A30" s="107">
        <v>1.3234446E-2</v>
      </c>
      <c r="B30" s="108"/>
      <c r="E30" s="80"/>
      <c r="F30" s="80"/>
      <c r="G30" s="80"/>
      <c r="H30" s="80"/>
      <c r="I30" s="80"/>
      <c r="J30" s="80"/>
      <c r="K30" s="80"/>
      <c r="L30" s="80"/>
      <c r="M30" s="80"/>
      <c r="N30" s="80"/>
      <c r="O30" s="80"/>
      <c r="P30" s="80"/>
      <c r="Q30" s="80"/>
      <c r="S30" s="165"/>
      <c r="T30" s="165"/>
      <c r="U30" s="165"/>
      <c r="V30" s="165"/>
    </row>
    <row r="31" spans="1:37" ht="17" customHeight="1">
      <c r="A31" s="107">
        <v>1.1055659000000001E-2</v>
      </c>
      <c r="B31" s="108"/>
      <c r="C31" s="1"/>
    </row>
    <row r="32" spans="1:37">
      <c r="A32" s="107">
        <v>8.7959330000000006E-3</v>
      </c>
      <c r="B32" s="108"/>
      <c r="C32" s="1"/>
      <c r="K32">
        <f>134/375</f>
        <v>0.35733333333333334</v>
      </c>
    </row>
    <row r="33" spans="1:16">
      <c r="A33" s="107">
        <v>6.110491E-3</v>
      </c>
      <c r="B33" s="108"/>
      <c r="C33" s="1"/>
      <c r="D33" s="96"/>
      <c r="E33" s="96"/>
      <c r="P33">
        <f>440-116</f>
        <v>324</v>
      </c>
    </row>
    <row r="34" spans="1:16">
      <c r="A34" s="118">
        <v>0.7</v>
      </c>
      <c r="B34" s="108"/>
      <c r="C34" s="1"/>
      <c r="D34" s="96"/>
      <c r="E34" s="96"/>
    </row>
    <row r="35" spans="1:16">
      <c r="A35" s="117">
        <f>SUM(A23:A34)</f>
        <v>0.99999999799999995</v>
      </c>
      <c r="C35" s="1"/>
      <c r="D35" s="96"/>
      <c r="E35" s="96"/>
    </row>
    <row r="36" spans="1:16">
      <c r="A36" s="1"/>
      <c r="C36" s="1"/>
      <c r="D36" s="64"/>
      <c r="E36" s="95"/>
      <c r="N36">
        <f>95/375</f>
        <v>0.25333333333333335</v>
      </c>
    </row>
    <row r="37" spans="1:16">
      <c r="A37" s="27" t="s">
        <v>35</v>
      </c>
      <c r="B37" s="104">
        <v>1</v>
      </c>
      <c r="C37" s="1"/>
      <c r="D37" s="64"/>
      <c r="E37" s="95"/>
    </row>
    <row r="38" spans="1:16">
      <c r="C38" s="1"/>
      <c r="D38" s="64"/>
      <c r="E38" s="95"/>
    </row>
    <row r="39" spans="1:16">
      <c r="C39" s="1"/>
      <c r="D39" s="64"/>
      <c r="E39" s="95"/>
    </row>
    <row r="40" spans="1:16" ht="16" customHeight="1">
      <c r="D40" s="64"/>
      <c r="E40" s="95"/>
    </row>
    <row r="41" spans="1:16">
      <c r="D41" s="64"/>
      <c r="E41" s="95"/>
    </row>
    <row r="42" spans="1:16">
      <c r="D42" s="64"/>
      <c r="E42" s="95"/>
    </row>
    <row r="43" spans="1:16">
      <c r="D43" s="64"/>
      <c r="E43" s="95"/>
    </row>
    <row r="44" spans="1:16">
      <c r="D44" s="64"/>
      <c r="E44" s="95"/>
    </row>
    <row r="45" spans="1:16">
      <c r="D45" s="64"/>
      <c r="E45" s="95"/>
    </row>
    <row r="46" spans="1:16">
      <c r="C46" s="6"/>
      <c r="D46" s="64"/>
      <c r="E46" s="95"/>
    </row>
    <row r="47" spans="1:16">
      <c r="D47" s="64"/>
      <c r="E47" s="95"/>
    </row>
    <row r="48" spans="1:16">
      <c r="D48" s="64"/>
      <c r="E48" s="47"/>
    </row>
    <row r="56" ht="16" customHeight="1"/>
    <row r="70" spans="3:3">
      <c r="C70" s="43"/>
    </row>
  </sheetData>
  <mergeCells count="22">
    <mergeCell ref="C29:D29"/>
    <mergeCell ref="S29:V30"/>
    <mergeCell ref="S20:T21"/>
    <mergeCell ref="S22:T22"/>
    <mergeCell ref="S24:V26"/>
    <mergeCell ref="C25:D25"/>
    <mergeCell ref="C26:D26"/>
    <mergeCell ref="C27:D27"/>
    <mergeCell ref="S27:V28"/>
    <mergeCell ref="C28:D28"/>
    <mergeCell ref="AA5:AA6"/>
    <mergeCell ref="AB5:AB6"/>
    <mergeCell ref="AC5:AC6"/>
    <mergeCell ref="AD5:AD6"/>
    <mergeCell ref="AH5:AJ5"/>
    <mergeCell ref="A18:A19"/>
    <mergeCell ref="A1:Y1"/>
    <mergeCell ref="S3:S5"/>
    <mergeCell ref="T3:T5"/>
    <mergeCell ref="U3:U5"/>
    <mergeCell ref="W4:W5"/>
    <mergeCell ref="Z5:Z6"/>
  </mergeCells>
  <pageMargins left="0.7" right="0.7" top="0.75" bottom="0.75" header="0.3" footer="0.3"/>
  <pageSetup orientation="portrait" horizontalDpi="0" verticalDpi="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Basic_Annualized</vt:lpstr>
      <vt:lpstr>Table_1_From_Escape_Routes</vt:lpstr>
      <vt:lpstr>Duration_Chart</vt:lpstr>
      <vt:lpstr>Basic_Annualized (2)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David Wulf</cp:lastModifiedBy>
  <dcterms:created xsi:type="dcterms:W3CDTF">2018-03-19T18:23:18Z</dcterms:created>
  <dcterms:modified xsi:type="dcterms:W3CDTF">2018-07-22T20:43:54Z</dcterms:modified>
</cp:coreProperties>
</file>